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comments1.xml" ContentType="application/vnd.openxmlformats-officedocument.spreadsheetml.comments+xml"/>
  <Override PartName="/xl/printerSettings/printerSettings2.bin" ContentType="application/vnd.openxmlformats-officedocument.spreadsheetml.printerSettings"/>
  <Override PartName="/xl/drawings/drawing2.xml" ContentType="application/vnd.openxmlformats-officedocument.drawing+xml"/>
  <Override PartName="/xl/comments2.xml" ContentType="application/vnd.openxmlformats-officedocument.spreadsheetml.comments+xml"/>
  <Override PartName="/xl/printerSettings/printerSettings3.bin" ContentType="application/vnd.openxmlformats-officedocument.spreadsheetml.printerSettings"/>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printerSettings/printerSettings4.bin" ContentType="application/vnd.openxmlformats-officedocument.spreadsheetml.printerSettings"/>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printerSettings/printerSettings5.bin" ContentType="application/vnd.openxmlformats-officedocument.spreadsheetml.printerSettings"/>
  <Override PartName="/xl/tables/table1.xml" ContentType="application/vnd.openxmlformats-officedocument.spreadsheetml.table+xml"/>
  <Override PartName="/xl/tables/table2.xml" ContentType="application/vnd.openxmlformats-officedocument.spreadsheetml.table+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drawings/drawing13.xml" ContentType="application/vnd.openxmlformats-officedocument.drawing+xml"/>
  <Override PartName="/xl/comments12.xml" ContentType="application/vnd.openxmlformats-officedocument.spreadsheetml.comments+xml"/>
  <Override PartName="/xl/printerSettings/printerSettings8.bin" ContentType="application/vnd.openxmlformats-officedocument.spreadsheetml.printerSettings"/>
  <Override PartName="/xl/drawings/drawing14.xml" ContentType="application/vnd.openxmlformats-officedocument.drawing+xml"/>
  <Override PartName="/xl/comments13.xml" ContentType="application/vnd.openxmlformats-officedocument.spreadsheetml.comments+xml"/>
  <Override PartName="/xl/printerSettings/printerSettings9.bin" ContentType="application/vnd.openxmlformats-officedocument.spreadsheetml.printerSettings"/>
  <Override PartName="/xl/drawings/drawing15.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printerSettings/printerSettings10.bin" ContentType="application/vnd.openxmlformats-officedocument.spreadsheetml.printerSettings"/>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19.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printerSettings/printerSettings11.bin" ContentType="application/vnd.openxmlformats-officedocument.spreadsheetml.printerSettings"/>
  <Override PartName="/xl/drawings/drawing20.xml" ContentType="application/vnd.openxmlformats-officedocument.drawing+xml"/>
  <Override PartName="/xl/comments23.xml" ContentType="application/vnd.openxmlformats-officedocument.spreadsheetml.comments+xml"/>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tables/table3.xml" ContentType="application/vnd.openxmlformats-officedocument.spreadsheetml.table+xml"/>
  <Override PartName="/xl/tables/table4.xml" ContentType="application/vnd.openxmlformats-officedocument.spreadsheetml.table+xml"/>
  <Override PartName="/xl/drawings/drawing21.xml" ContentType="application/vnd.openxmlformats-officedocument.drawing+xml"/>
  <Override PartName="/xl/comments24.xml" ContentType="application/vnd.openxmlformats-officedocument.spreadsheetml.comments+xml"/>
  <Override PartName="/xl/drawings/drawing22.xml" ContentType="application/vnd.openxmlformats-officedocument.drawing+xml"/>
  <Override PartName="/xl/comments25.xml" ContentType="application/vnd.openxmlformats-officedocument.spreadsheetml.comments+xml"/>
  <Override PartName="/xl/drawings/drawing23.xml" ContentType="application/vnd.openxmlformats-officedocument.drawing+xml"/>
  <Override PartName="/xl/comments26.xml" ContentType="application/vnd.openxmlformats-officedocument.spreadsheetml.comments+xml"/>
  <Override PartName="/xl/drawings/drawing24.xml" ContentType="application/vnd.openxmlformats-officedocument.drawing+xml"/>
  <Override PartName="/xl/comments27.xml" ContentType="application/vnd.openxmlformats-officedocument.spreadsheetml.comments+xml"/>
  <Override PartName="/xl/drawings/drawing25.xml" ContentType="application/vnd.openxmlformats-officedocument.drawing+xml"/>
  <Override PartName="/xl/comments28.xml" ContentType="application/vnd.openxmlformats-officedocument.spreadsheetml.comments+xml"/>
  <Override PartName="/xl/drawings/drawing26.xml" ContentType="application/vnd.openxmlformats-officedocument.drawing+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eLivro" defaultThemeVersion="164011"/>
  <mc:AlternateContent xmlns:mc="http://schemas.openxmlformats.org/markup-compatibility/2006">
    <mc:Choice Requires="x15">
      <x15ac:absPath xmlns:x15ac="http://schemas.microsoft.com/office/spreadsheetml/2010/11/ac" url="C:\Users\AIPC\Desktop\Dados Pegada Carbono GB\"/>
    </mc:Choice>
  </mc:AlternateContent>
  <bookViews>
    <workbookView xWindow="0" yWindow="0" windowWidth="2010" windowHeight="0" firstSheet="9" activeTab="44"/>
    <workbookView xWindow="0" yWindow="0" windowWidth="38400" windowHeight="12000" firstSheet="14" activeTab="23"/>
  </bookViews>
  <sheets>
    <sheet name="Folha de Rosto" sheetId="21" r:id="rId1"/>
    <sheet name="Indicadores Econ. e Op. copy" sheetId="61" r:id="rId2"/>
    <sheet name="Indicadores Económicos e Op." sheetId="44" state="hidden" r:id="rId3"/>
    <sheet name="MM" sheetId="4" state="hidden" r:id="rId4"/>
    <sheet name="A1.1" sheetId="3" state="hidden" r:id="rId5"/>
    <sheet name="MM (ex BT)" sheetId="2" state="hidden" r:id="rId6"/>
    <sheet name="Notas" sheetId="60" r:id="rId7"/>
    <sheet name="A1.1 copy" sheetId="59" r:id="rId8"/>
    <sheet name="A1.1.1" sheetId="23" state="hidden" r:id="rId9"/>
    <sheet name="A1.1.1 copy" sheetId="45" r:id="rId10"/>
    <sheet name="A1.2" sheetId="24" state="hidden" r:id="rId11"/>
    <sheet name="A1.2 copy" sheetId="46" r:id="rId12"/>
    <sheet name="A1.2.1" sheetId="25" state="hidden" r:id="rId13"/>
    <sheet name="A1.3" sheetId="26" state="hidden" r:id="rId14"/>
    <sheet name="A1.3 copy" sheetId="47" r:id="rId15"/>
    <sheet name="A1.3.1" sheetId="29" state="hidden" r:id="rId16"/>
    <sheet name="A1.4" sheetId="28" state="hidden" r:id="rId17"/>
    <sheet name="A1.4.1" sheetId="27" state="hidden" r:id="rId18"/>
    <sheet name="A1.4.1 copy" sheetId="48" r:id="rId19"/>
    <sheet name="A1.4.2" sheetId="30" state="hidden" r:id="rId20"/>
    <sheet name="A2" sheetId="5" state="hidden" r:id="rId21"/>
    <sheet name="A3.1" sheetId="9" state="hidden" r:id="rId22"/>
    <sheet name="A2 copy" sheetId="50" r:id="rId23"/>
    <sheet name="A3.1 copy" sheetId="49" r:id="rId24"/>
    <sheet name="A3.2" sheetId="31" state="hidden" r:id="rId25"/>
    <sheet name="A3.2 copy" sheetId="51" r:id="rId26"/>
    <sheet name="A3.3" sheetId="32" state="hidden" r:id="rId27"/>
    <sheet name="A3.3 copy" sheetId="52" r:id="rId28"/>
    <sheet name="A3.4" sheetId="33" state="hidden" r:id="rId29"/>
    <sheet name="A3.4 copy" sheetId="58" r:id="rId30"/>
    <sheet name="A3.5" sheetId="34" state="hidden" r:id="rId31"/>
    <sheet name="A3.5 copy" sheetId="53" r:id="rId32"/>
    <sheet name="A3.6" sheetId="14" r:id="rId33"/>
    <sheet name="A3.7" sheetId="39" state="hidden" r:id="rId34"/>
    <sheet name="A3.7 copy" sheetId="54" r:id="rId35"/>
    <sheet name="A3.8" sheetId="40" state="hidden" r:id="rId36"/>
    <sheet name="A3.8 copy" sheetId="55" r:id="rId37"/>
    <sheet name="A3.9.1" sheetId="17" state="hidden" r:id="rId38"/>
    <sheet name="A3.9.1 copy" sheetId="57" r:id="rId39"/>
    <sheet name="A3.9.1.1" sheetId="38" state="hidden" r:id="rId40"/>
    <sheet name="A3.9.1.2" sheetId="42" state="hidden" r:id="rId41"/>
    <sheet name="A3.9.2" sheetId="41" state="hidden" r:id="rId42"/>
    <sheet name="A3.9.2 copy" sheetId="56" r:id="rId43"/>
    <sheet name="A3.9.2.1" sheetId="43" state="hidden" r:id="rId44"/>
    <sheet name="A3.10" sheetId="37" r:id="rId45"/>
    <sheet name="A3.11" sheetId="20" r:id="rId46"/>
    <sheet name="A3.12" sheetId="35" r:id="rId47"/>
    <sheet name="A3.13" sheetId="36" r:id="rId48"/>
  </sheets>
  <externalReferences>
    <externalReference r:id="rId49"/>
    <externalReference r:id="rId50"/>
    <externalReference r:id="rId51"/>
  </externalReferences>
  <definedNames>
    <definedName name="_xlnm._FilterDatabase" localSheetId="7" hidden="1">'A1.1 copy'!$A$1:$U$152</definedName>
    <definedName name="_xlnm._FilterDatabase" localSheetId="8" hidden="1">'A1.1.1'!$B$28:$M$916</definedName>
    <definedName name="_xlnm._FilterDatabase" localSheetId="9" hidden="1">'A1.1.1 copy'!$A$1:$V$3478</definedName>
    <definedName name="_xlnm._FilterDatabase" localSheetId="22" hidden="1">'A2 copy'!$A$1:$N$107</definedName>
    <definedName name="_xlnm._FilterDatabase" localSheetId="23" hidden="1">'A3.1 copy'!$A$1:$S$79</definedName>
    <definedName name="_xlnm._FilterDatabase" localSheetId="29" hidden="1">'A3.4 copy'!$A$1:$Q$457</definedName>
    <definedName name="_xlnm._FilterDatabase" localSheetId="38" hidden="1">'A3.9.1 copy'!$A$1:$R$527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92" i="49" l="1"/>
  <c r="O92" i="49"/>
  <c r="N92" i="49"/>
  <c r="P90" i="49"/>
  <c r="O90" i="49"/>
  <c r="N90" i="49"/>
  <c r="P91" i="49"/>
  <c r="O91" i="49"/>
  <c r="N91" i="49"/>
  <c r="V28" i="55"/>
  <c r="V29" i="55"/>
  <c r="V30" i="55"/>
  <c r="V31" i="55"/>
  <c r="V32" i="55"/>
  <c r="V33" i="55"/>
  <c r="V34" i="55"/>
  <c r="V35" i="55"/>
  <c r="V36" i="55"/>
  <c r="V37" i="55"/>
  <c r="V38" i="55"/>
  <c r="V39" i="55"/>
  <c r="V40" i="55"/>
  <c r="V41" i="55"/>
  <c r="V42" i="55"/>
  <c r="V43" i="55"/>
  <c r="V44" i="55"/>
  <c r="V45" i="55"/>
  <c r="V46" i="55"/>
  <c r="V47" i="55"/>
  <c r="V48" i="55"/>
  <c r="V49" i="55"/>
  <c r="V50" i="55"/>
  <c r="V51" i="55"/>
  <c r="V52" i="55"/>
  <c r="V53" i="55"/>
  <c r="V27" i="55"/>
  <c r="K118" i="50"/>
  <c r="G20" i="47"/>
  <c r="C20" i="47"/>
  <c r="I113" i="46"/>
  <c r="I112" i="46"/>
  <c r="O11" i="59" l="1"/>
  <c r="P11" i="59" s="1"/>
  <c r="M11" i="59"/>
  <c r="O20" i="59"/>
  <c r="M20" i="59"/>
  <c r="P89" i="49" l="1"/>
  <c r="P88" i="49"/>
  <c r="O89" i="49"/>
  <c r="N89" i="49"/>
  <c r="O88" i="49"/>
  <c r="N88" i="49"/>
  <c r="C89" i="49"/>
  <c r="C88" i="49"/>
  <c r="N108" i="46" l="1"/>
  <c r="I2829" i="45" l="1"/>
  <c r="I2830" i="45"/>
  <c r="I2831" i="45"/>
  <c r="I2832" i="45"/>
  <c r="I2833" i="45"/>
  <c r="I2834" i="45"/>
  <c r="I2835" i="45"/>
  <c r="I2836" i="45"/>
  <c r="I2837" i="45"/>
  <c r="I2838" i="45"/>
  <c r="I2839" i="45"/>
  <c r="I2840" i="45"/>
  <c r="I2841" i="45"/>
  <c r="I2842" i="45"/>
  <c r="I2843" i="45"/>
  <c r="I2844" i="45"/>
  <c r="I2845" i="45"/>
  <c r="I2846" i="45"/>
  <c r="I2847" i="45"/>
  <c r="I2848" i="45"/>
  <c r="I2849" i="45"/>
  <c r="I2850" i="45"/>
  <c r="I2851" i="45"/>
  <c r="I2852" i="45"/>
  <c r="I2853" i="45"/>
  <c r="I2854" i="45"/>
  <c r="I2855" i="45"/>
  <c r="I2856" i="45"/>
  <c r="I2857" i="45"/>
  <c r="I2858" i="45"/>
  <c r="I2859" i="45"/>
  <c r="I2860" i="45"/>
  <c r="I2861" i="45"/>
  <c r="I2862" i="45"/>
  <c r="I2863" i="45"/>
  <c r="I2864" i="45"/>
  <c r="I2865" i="45"/>
  <c r="I2866" i="45"/>
  <c r="I2867" i="45"/>
  <c r="I2868" i="45"/>
  <c r="I2869" i="45"/>
  <c r="I2870" i="45"/>
  <c r="I2871" i="45"/>
  <c r="I2872" i="45"/>
  <c r="I2873" i="45"/>
  <c r="I2874" i="45"/>
  <c r="I2875" i="45"/>
  <c r="I2876" i="45"/>
  <c r="I2877" i="45"/>
  <c r="I2878" i="45"/>
  <c r="I2879" i="45"/>
  <c r="I2880" i="45"/>
  <c r="I2881" i="45"/>
  <c r="I2882" i="45"/>
  <c r="I2883" i="45"/>
  <c r="I2884" i="45"/>
  <c r="I2885" i="45"/>
  <c r="I2886" i="45"/>
  <c r="I2887" i="45"/>
  <c r="I2888" i="45"/>
  <c r="I2889" i="45"/>
  <c r="I2890" i="45"/>
  <c r="I2891" i="45"/>
  <c r="I2892" i="45"/>
  <c r="I2893" i="45"/>
  <c r="I2894" i="45"/>
  <c r="I2895" i="45"/>
  <c r="I2896" i="45"/>
  <c r="I2897" i="45"/>
  <c r="I2898" i="45"/>
  <c r="I2899" i="45"/>
  <c r="I2900" i="45"/>
  <c r="I2901" i="45"/>
  <c r="I2902" i="45"/>
  <c r="I2903" i="45"/>
  <c r="I2904" i="45"/>
  <c r="I2905" i="45"/>
  <c r="I2906" i="45"/>
  <c r="I2907" i="45"/>
  <c r="I2908" i="45"/>
  <c r="I2909" i="45"/>
  <c r="I2910" i="45"/>
  <c r="I2911" i="45"/>
  <c r="I2912" i="45"/>
  <c r="I2913" i="45"/>
  <c r="I2914" i="45"/>
  <c r="I2915" i="45"/>
  <c r="I2916" i="45"/>
  <c r="I2917" i="45"/>
  <c r="I2918" i="45"/>
  <c r="I2919" i="45"/>
  <c r="I2920" i="45"/>
  <c r="I2921" i="45"/>
  <c r="I2922" i="45"/>
  <c r="I2923" i="45"/>
  <c r="I2924" i="45"/>
  <c r="I2925" i="45"/>
  <c r="I2926" i="45"/>
  <c r="I2927" i="45"/>
  <c r="I2928" i="45"/>
  <c r="I2929" i="45"/>
  <c r="I2930" i="45"/>
  <c r="I2931" i="45"/>
  <c r="I2932" i="45"/>
  <c r="I2933" i="45"/>
  <c r="I2934" i="45"/>
  <c r="I2935" i="45"/>
  <c r="I2936" i="45"/>
  <c r="I2937" i="45"/>
  <c r="I2938" i="45"/>
  <c r="I2939" i="45"/>
  <c r="I2940" i="45"/>
  <c r="I2941" i="45"/>
  <c r="I2942" i="45"/>
  <c r="I2943" i="45"/>
  <c r="I2944" i="45"/>
  <c r="I2945" i="45"/>
  <c r="I2946" i="45"/>
  <c r="I2947" i="45"/>
  <c r="I2948" i="45"/>
  <c r="I2949" i="45"/>
  <c r="I2950" i="45"/>
  <c r="I2951" i="45"/>
  <c r="I2952" i="45"/>
  <c r="I2953" i="45"/>
  <c r="I2954" i="45"/>
  <c r="I2955" i="45"/>
  <c r="I2956" i="45"/>
  <c r="I2957" i="45"/>
  <c r="I2958" i="45"/>
  <c r="I2959" i="45"/>
  <c r="I2960" i="45"/>
  <c r="I2961" i="45"/>
  <c r="I2962" i="45"/>
  <c r="I2963" i="45"/>
  <c r="I2964" i="45"/>
  <c r="I2965" i="45"/>
  <c r="I2966" i="45"/>
  <c r="I2967" i="45"/>
  <c r="I2968" i="45"/>
  <c r="I2969" i="45"/>
  <c r="I2970" i="45"/>
  <c r="I2971" i="45"/>
  <c r="I2972" i="45"/>
  <c r="I2973" i="45"/>
  <c r="I2974" i="45"/>
  <c r="I2975" i="45"/>
  <c r="I2976" i="45"/>
  <c r="I2977" i="45"/>
  <c r="I2978" i="45"/>
  <c r="I2979" i="45"/>
  <c r="I2980" i="45"/>
  <c r="I2981" i="45"/>
  <c r="I2982" i="45"/>
  <c r="I2983" i="45"/>
  <c r="I2984" i="45"/>
  <c r="I2985" i="45"/>
  <c r="I2986" i="45"/>
  <c r="I2987" i="45"/>
  <c r="I2988" i="45"/>
  <c r="I2989" i="45"/>
  <c r="I2990" i="45"/>
  <c r="I2991" i="45"/>
  <c r="I2992" i="45"/>
  <c r="I2993" i="45"/>
  <c r="I2994" i="45"/>
  <c r="I2995" i="45"/>
  <c r="I2996" i="45"/>
  <c r="I2997" i="45"/>
  <c r="I2998" i="45"/>
  <c r="I2999" i="45"/>
  <c r="I3000" i="45"/>
  <c r="I3001" i="45"/>
  <c r="I3002" i="45"/>
  <c r="I3003" i="45"/>
  <c r="I3004" i="45"/>
  <c r="I3005" i="45"/>
  <c r="I3006" i="45"/>
  <c r="I3007" i="45"/>
  <c r="I3008" i="45"/>
  <c r="I3009" i="45"/>
  <c r="I3010" i="45"/>
  <c r="I3011" i="45"/>
  <c r="I3012" i="45"/>
  <c r="I3013" i="45"/>
  <c r="I3014" i="45"/>
  <c r="I3015" i="45"/>
  <c r="I3016" i="45"/>
  <c r="I3017" i="45"/>
  <c r="I3018" i="45"/>
  <c r="I3019" i="45"/>
  <c r="I3020" i="45"/>
  <c r="I3021" i="45"/>
  <c r="I3022" i="45"/>
  <c r="I3023" i="45"/>
  <c r="I3024" i="45"/>
  <c r="I3025" i="45"/>
  <c r="I3026" i="45"/>
  <c r="I3027" i="45"/>
  <c r="I3028" i="45"/>
  <c r="I3029" i="45"/>
  <c r="I3030" i="45"/>
  <c r="I3031" i="45"/>
  <c r="I3032" i="45"/>
  <c r="I3033" i="45"/>
  <c r="I3034" i="45"/>
  <c r="I3035" i="45"/>
  <c r="I3036" i="45"/>
  <c r="I3037" i="45"/>
  <c r="I3038" i="45"/>
  <c r="I3039" i="45"/>
  <c r="I3040" i="45"/>
  <c r="I3041" i="45"/>
  <c r="I3042" i="45"/>
  <c r="I3043" i="45"/>
  <c r="I3044" i="45"/>
  <c r="I3045" i="45"/>
  <c r="I3046" i="45"/>
  <c r="I3047" i="45"/>
  <c r="I3048" i="45"/>
  <c r="I3049" i="45"/>
  <c r="I3050" i="45"/>
  <c r="I3051" i="45"/>
  <c r="I3052" i="45"/>
  <c r="I3053" i="45"/>
  <c r="I3054" i="45"/>
  <c r="I3055" i="45"/>
  <c r="I3056" i="45"/>
  <c r="I3057" i="45"/>
  <c r="I3058" i="45"/>
  <c r="I3059" i="45"/>
  <c r="I3060" i="45"/>
  <c r="I3061" i="45"/>
  <c r="I3062" i="45"/>
  <c r="I3063" i="45"/>
  <c r="I3064" i="45"/>
  <c r="I3065" i="45"/>
  <c r="I3066" i="45"/>
  <c r="I3067" i="45"/>
  <c r="I3068" i="45"/>
  <c r="I3069" i="45"/>
  <c r="I3070" i="45"/>
  <c r="I3071" i="45"/>
  <c r="I3072" i="45"/>
  <c r="I3073" i="45"/>
  <c r="I3074" i="45"/>
  <c r="I3075" i="45"/>
  <c r="I3076" i="45"/>
  <c r="I3077" i="45"/>
  <c r="I3078" i="45"/>
  <c r="I3079" i="45"/>
  <c r="I3080" i="45"/>
  <c r="I3081" i="45"/>
  <c r="I3082" i="45"/>
  <c r="I3083" i="45"/>
  <c r="I3084" i="45"/>
  <c r="I3085" i="45"/>
  <c r="I3086" i="45"/>
  <c r="I3087" i="45"/>
  <c r="I3088" i="45"/>
  <c r="I3089" i="45"/>
  <c r="I3090" i="45"/>
  <c r="I3091" i="45"/>
  <c r="I3092" i="45"/>
  <c r="I3093" i="45"/>
  <c r="I3094" i="45"/>
  <c r="I3095" i="45"/>
  <c r="I3096" i="45"/>
  <c r="I3097" i="45"/>
  <c r="I3098" i="45"/>
  <c r="I3099" i="45"/>
  <c r="I3100" i="45"/>
  <c r="I3101" i="45"/>
  <c r="I3102" i="45"/>
  <c r="I3103" i="45"/>
  <c r="I3104" i="45"/>
  <c r="I3105" i="45"/>
  <c r="I3106" i="45"/>
  <c r="I3107" i="45"/>
  <c r="I3108" i="45"/>
  <c r="I3109" i="45"/>
  <c r="I3110" i="45"/>
  <c r="I3111" i="45"/>
  <c r="I3112" i="45"/>
  <c r="I3113" i="45"/>
  <c r="I3114" i="45"/>
  <c r="I3115" i="45"/>
  <c r="I3116" i="45"/>
  <c r="I3117" i="45"/>
  <c r="I3118" i="45"/>
  <c r="I3119" i="45"/>
  <c r="I3120" i="45"/>
  <c r="I3121" i="45"/>
  <c r="I3122" i="45"/>
  <c r="I3123" i="45"/>
  <c r="I3124" i="45"/>
  <c r="I3125" i="45"/>
  <c r="I3126" i="45"/>
  <c r="I3127" i="45"/>
  <c r="I3128" i="45"/>
  <c r="I3129" i="45"/>
  <c r="I3130" i="45"/>
  <c r="I3131" i="45"/>
  <c r="I3132" i="45"/>
  <c r="I3133" i="45"/>
  <c r="I3134" i="45"/>
  <c r="I3135" i="45"/>
  <c r="I3136" i="45"/>
  <c r="I3137" i="45"/>
  <c r="I3138" i="45"/>
  <c r="I3139" i="45"/>
  <c r="I3140" i="45"/>
  <c r="I3141" i="45"/>
  <c r="I3142" i="45"/>
  <c r="I3143" i="45"/>
  <c r="I3144" i="45"/>
  <c r="I3145" i="45"/>
  <c r="I3146" i="45"/>
  <c r="I3147" i="45"/>
  <c r="I3148" i="45"/>
  <c r="I3149" i="45"/>
  <c r="I3150" i="45"/>
  <c r="I3151" i="45"/>
  <c r="I3152" i="45"/>
  <c r="I3153" i="45"/>
  <c r="I3154" i="45"/>
  <c r="I3155" i="45"/>
  <c r="I3156" i="45"/>
  <c r="I3157" i="45"/>
  <c r="I3158" i="45"/>
  <c r="I3159" i="45"/>
  <c r="I3160" i="45"/>
  <c r="I3161" i="45"/>
  <c r="I3162" i="45"/>
  <c r="I3163" i="45"/>
  <c r="I3164" i="45"/>
  <c r="I3165" i="45"/>
  <c r="I3166" i="45"/>
  <c r="I3167" i="45"/>
  <c r="I3168" i="45"/>
  <c r="I3169" i="45"/>
  <c r="I3170" i="45"/>
  <c r="I3171" i="45"/>
  <c r="I3172" i="45"/>
  <c r="I3173" i="45"/>
  <c r="I3174" i="45"/>
  <c r="I3175" i="45"/>
  <c r="I3176" i="45"/>
  <c r="I3177" i="45"/>
  <c r="I3178" i="45"/>
  <c r="I3179" i="45"/>
  <c r="I3180" i="45"/>
  <c r="I3181" i="45"/>
  <c r="I3182" i="45"/>
  <c r="I3183" i="45"/>
  <c r="I3184" i="45"/>
  <c r="I3185" i="45"/>
  <c r="I3186" i="45"/>
  <c r="I3187" i="45"/>
  <c r="I3188" i="45"/>
  <c r="I3189" i="45"/>
  <c r="I3190" i="45"/>
  <c r="I3191" i="45"/>
  <c r="I3192" i="45"/>
  <c r="I3193" i="45"/>
  <c r="I3194" i="45"/>
  <c r="I3195" i="45"/>
  <c r="I3196" i="45"/>
  <c r="I3197" i="45"/>
  <c r="I3198" i="45"/>
  <c r="I3199" i="45"/>
  <c r="I3200" i="45"/>
  <c r="I3201" i="45"/>
  <c r="I3202" i="45"/>
  <c r="I3203" i="45"/>
  <c r="I3204" i="45"/>
  <c r="I3205" i="45"/>
  <c r="I3206" i="45"/>
  <c r="I3207" i="45"/>
  <c r="I3208" i="45"/>
  <c r="I3209" i="45"/>
  <c r="I3210" i="45"/>
  <c r="I3211" i="45"/>
  <c r="I3212" i="45"/>
  <c r="I3213" i="45"/>
  <c r="I3214" i="45"/>
  <c r="I3215" i="45"/>
  <c r="I3216" i="45"/>
  <c r="I3217" i="45"/>
  <c r="I3218" i="45"/>
  <c r="I3219" i="45"/>
  <c r="I3220" i="45"/>
  <c r="I3221" i="45"/>
  <c r="I3222" i="45"/>
  <c r="I3223" i="45"/>
  <c r="I3224" i="45"/>
  <c r="I3225" i="45"/>
  <c r="I3226" i="45"/>
  <c r="I3227" i="45"/>
  <c r="I3228" i="45"/>
  <c r="I3229" i="45"/>
  <c r="I3230" i="45"/>
  <c r="I3231" i="45"/>
  <c r="I3232" i="45"/>
  <c r="I3233" i="45"/>
  <c r="I3234" i="45"/>
  <c r="I3235" i="45"/>
  <c r="I3236" i="45"/>
  <c r="I3237" i="45"/>
  <c r="I3238" i="45"/>
  <c r="I3239" i="45"/>
  <c r="I3240" i="45"/>
  <c r="I3241" i="45"/>
  <c r="I3242" i="45"/>
  <c r="I3243" i="45"/>
  <c r="I3244" i="45"/>
  <c r="I3245" i="45"/>
  <c r="I3246" i="45"/>
  <c r="I3247" i="45"/>
  <c r="I3248" i="45"/>
  <c r="I3249" i="45"/>
  <c r="I3250" i="45"/>
  <c r="I3251" i="45"/>
  <c r="I3252" i="45"/>
  <c r="I3253" i="45"/>
  <c r="I3254" i="45"/>
  <c r="I3255" i="45"/>
  <c r="I3256" i="45"/>
  <c r="I3257" i="45"/>
  <c r="I3258" i="45"/>
  <c r="I3259" i="45"/>
  <c r="I3260" i="45"/>
  <c r="I3261" i="45"/>
  <c r="I3262" i="45"/>
  <c r="I3263" i="45"/>
  <c r="I3264" i="45"/>
  <c r="I3265" i="45"/>
  <c r="I3266" i="45"/>
  <c r="I3267" i="45"/>
  <c r="I3268" i="45"/>
  <c r="I3269" i="45"/>
  <c r="I3270" i="45"/>
  <c r="I3271" i="45"/>
  <c r="I3272" i="45"/>
  <c r="I3273" i="45"/>
  <c r="I3274" i="45"/>
  <c r="I3275" i="45"/>
  <c r="I3276" i="45"/>
  <c r="I3277" i="45"/>
  <c r="I3278" i="45"/>
  <c r="I3279" i="45"/>
  <c r="I3280" i="45"/>
  <c r="I3281" i="45"/>
  <c r="I3282" i="45"/>
  <c r="I3283" i="45"/>
  <c r="I3284" i="45"/>
  <c r="I3285" i="45"/>
  <c r="I3286" i="45"/>
  <c r="I3287" i="45"/>
  <c r="I3288" i="45"/>
  <c r="I3289" i="45"/>
  <c r="I3290" i="45"/>
  <c r="I3291" i="45"/>
  <c r="I3292" i="45"/>
  <c r="I3293" i="45"/>
  <c r="I3294" i="45"/>
  <c r="I3295" i="45"/>
  <c r="I3296" i="45"/>
  <c r="I3297" i="45"/>
  <c r="I3298" i="45"/>
  <c r="I3299" i="45"/>
  <c r="I3300" i="45"/>
  <c r="I3301" i="45"/>
  <c r="I3302" i="45"/>
  <c r="I3303" i="45"/>
  <c r="I3304" i="45"/>
  <c r="I3305" i="45"/>
  <c r="I3306" i="45"/>
  <c r="I3307" i="45"/>
  <c r="I3308" i="45"/>
  <c r="I3309" i="45"/>
  <c r="I3310" i="45"/>
  <c r="I3311" i="45"/>
  <c r="I3312" i="45"/>
  <c r="I3313" i="45"/>
  <c r="I3314" i="45"/>
  <c r="I3315" i="45"/>
  <c r="I3316" i="45"/>
  <c r="I3317" i="45"/>
  <c r="I3318" i="45"/>
  <c r="I3319" i="45"/>
  <c r="I3320" i="45"/>
  <c r="I3321" i="45"/>
  <c r="I3322" i="45"/>
  <c r="I3323" i="45"/>
  <c r="I3324" i="45"/>
  <c r="I3325" i="45"/>
  <c r="I3326" i="45"/>
  <c r="I3327" i="45"/>
  <c r="I3328" i="45"/>
  <c r="I3329" i="45"/>
  <c r="I3330" i="45"/>
  <c r="I3331" i="45"/>
  <c r="I3332" i="45"/>
  <c r="I3333" i="45"/>
  <c r="I3334" i="45"/>
  <c r="I3335" i="45"/>
  <c r="I3336" i="45"/>
  <c r="I3337" i="45"/>
  <c r="I3338" i="45"/>
  <c r="I3339" i="45"/>
  <c r="I3340" i="45"/>
  <c r="I3341" i="45"/>
  <c r="I3342" i="45"/>
  <c r="I3343" i="45"/>
  <c r="I3344" i="45"/>
  <c r="I3345" i="45"/>
  <c r="I3346" i="45"/>
  <c r="I3347" i="45"/>
  <c r="I3348" i="45"/>
  <c r="I3349" i="45"/>
  <c r="I3350" i="45"/>
  <c r="I3351" i="45"/>
  <c r="I3352" i="45"/>
  <c r="I3353" i="45"/>
  <c r="I3354" i="45"/>
  <c r="I3355" i="45"/>
  <c r="I3356" i="45"/>
  <c r="I3357" i="45"/>
  <c r="I3358" i="45"/>
  <c r="I3359" i="45"/>
  <c r="I3360" i="45"/>
  <c r="I3361" i="45"/>
  <c r="I3362" i="45"/>
  <c r="I3363" i="45"/>
  <c r="I3364" i="45"/>
  <c r="I3365" i="45"/>
  <c r="I3366" i="45"/>
  <c r="I3367" i="45"/>
  <c r="I3368" i="45"/>
  <c r="I3369" i="45"/>
  <c r="I3370" i="45"/>
  <c r="I3371" i="45"/>
  <c r="I3372" i="45"/>
  <c r="I3373" i="45"/>
  <c r="I3374" i="45"/>
  <c r="I3375" i="45"/>
  <c r="I3376" i="45"/>
  <c r="I3377" i="45"/>
  <c r="I3378" i="45"/>
  <c r="I3379" i="45"/>
  <c r="I3380" i="45"/>
  <c r="I3381" i="45"/>
  <c r="I3382" i="45"/>
  <c r="I3383" i="45"/>
  <c r="I3384" i="45"/>
  <c r="I3385" i="45"/>
  <c r="I3386" i="45"/>
  <c r="I3387" i="45"/>
  <c r="I3388" i="45"/>
  <c r="I3389" i="45"/>
  <c r="I3390" i="45"/>
  <c r="I3391" i="45"/>
  <c r="I3392" i="45"/>
  <c r="I3393" i="45"/>
  <c r="I3394" i="45"/>
  <c r="I3395" i="45"/>
  <c r="I3396" i="45"/>
  <c r="I3397" i="45"/>
  <c r="I3398" i="45"/>
  <c r="I3399" i="45"/>
  <c r="I3400" i="45"/>
  <c r="I3401" i="45"/>
  <c r="I3402" i="45"/>
  <c r="I3403" i="45"/>
  <c r="I3404" i="45"/>
  <c r="I3405" i="45"/>
  <c r="I3406" i="45"/>
  <c r="I3407" i="45"/>
  <c r="I3408" i="45"/>
  <c r="I3409" i="45"/>
  <c r="I3410" i="45"/>
  <c r="I3411" i="45"/>
  <c r="I3412" i="45"/>
  <c r="I3413" i="45"/>
  <c r="I3414" i="45"/>
  <c r="I3415" i="45"/>
  <c r="I3416" i="45"/>
  <c r="I3417" i="45"/>
  <c r="I3418" i="45"/>
  <c r="I3419" i="45"/>
  <c r="I3420" i="45"/>
  <c r="I3421" i="45"/>
  <c r="I3422" i="45"/>
  <c r="I3423" i="45"/>
  <c r="I3424" i="45"/>
  <c r="I3425" i="45"/>
  <c r="I3426" i="45"/>
  <c r="I3427" i="45"/>
  <c r="I3428" i="45"/>
  <c r="I3429" i="45"/>
  <c r="I3430" i="45"/>
  <c r="I3431" i="45"/>
  <c r="I3432" i="45"/>
  <c r="I3433" i="45"/>
  <c r="I3434" i="45"/>
  <c r="I3435" i="45"/>
  <c r="I3436" i="45"/>
  <c r="I3437" i="45"/>
  <c r="I3438" i="45"/>
  <c r="I3439" i="45"/>
  <c r="I3440" i="45"/>
  <c r="I3441" i="45"/>
  <c r="I3442" i="45"/>
  <c r="I3443" i="45"/>
  <c r="I3444" i="45"/>
  <c r="I3445" i="45"/>
  <c r="I3446" i="45"/>
  <c r="I3447" i="45"/>
  <c r="I3448" i="45"/>
  <c r="I3449" i="45"/>
  <c r="I3450" i="45"/>
  <c r="I3451" i="45"/>
  <c r="I3452" i="45"/>
  <c r="I3453" i="45"/>
  <c r="I3454" i="45"/>
  <c r="I3455" i="45"/>
  <c r="I3456" i="45"/>
  <c r="I3457" i="45"/>
  <c r="I3458" i="45"/>
  <c r="I3459" i="45"/>
  <c r="I3460" i="45"/>
  <c r="I3461" i="45"/>
  <c r="I3462" i="45"/>
  <c r="I3463" i="45"/>
  <c r="I3464" i="45"/>
  <c r="I3465" i="45"/>
  <c r="I3466" i="45"/>
  <c r="I3467" i="45"/>
  <c r="I3468" i="45"/>
  <c r="I3469" i="45"/>
  <c r="I3470" i="45"/>
  <c r="I3471" i="45"/>
  <c r="I3472" i="45"/>
  <c r="I3473" i="45"/>
  <c r="I3474" i="45"/>
  <c r="I3475" i="45"/>
  <c r="I3476" i="45"/>
  <c r="I3477" i="45"/>
  <c r="I3478" i="45"/>
  <c r="O2830" i="45"/>
  <c r="O2831" i="45"/>
  <c r="O2832" i="45"/>
  <c r="O2833" i="45"/>
  <c r="O2834" i="45"/>
  <c r="O2835" i="45"/>
  <c r="O2836" i="45"/>
  <c r="O2837" i="45"/>
  <c r="O2838" i="45"/>
  <c r="O2839" i="45"/>
  <c r="O2840" i="45"/>
  <c r="O2841" i="45"/>
  <c r="O2842" i="45"/>
  <c r="O2843" i="45"/>
  <c r="O2844" i="45"/>
  <c r="O2845" i="45"/>
  <c r="O2846" i="45"/>
  <c r="O2847" i="45"/>
  <c r="O2848" i="45"/>
  <c r="O2849" i="45"/>
  <c r="O2850" i="45"/>
  <c r="O2851" i="45"/>
  <c r="O2852" i="45"/>
  <c r="O2853" i="45"/>
  <c r="O2854" i="45"/>
  <c r="O2855" i="45"/>
  <c r="O2856" i="45"/>
  <c r="O2857" i="45"/>
  <c r="O2858" i="45"/>
  <c r="O2859" i="45"/>
  <c r="O2860" i="45"/>
  <c r="O2861" i="45"/>
  <c r="O2862" i="45"/>
  <c r="O2863" i="45"/>
  <c r="O2864" i="45"/>
  <c r="O2865" i="45"/>
  <c r="O2866" i="45"/>
  <c r="O2867" i="45"/>
  <c r="O2868" i="45"/>
  <c r="O2869" i="45"/>
  <c r="O2870" i="45"/>
  <c r="O2871" i="45"/>
  <c r="O2872" i="45"/>
  <c r="O2873" i="45"/>
  <c r="O2874" i="45"/>
  <c r="O2875" i="45"/>
  <c r="O2876" i="45"/>
  <c r="O2877" i="45"/>
  <c r="O2878" i="45"/>
  <c r="O2879" i="45"/>
  <c r="O2880" i="45"/>
  <c r="O2881" i="45"/>
  <c r="O2882" i="45"/>
  <c r="O2883" i="45"/>
  <c r="O2884" i="45"/>
  <c r="O2885" i="45"/>
  <c r="O2886" i="45"/>
  <c r="O2887" i="45"/>
  <c r="O2888" i="45"/>
  <c r="O2889" i="45"/>
  <c r="O2890" i="45"/>
  <c r="O2891" i="45"/>
  <c r="O2892" i="45"/>
  <c r="O2893" i="45"/>
  <c r="O2894" i="45"/>
  <c r="O2895" i="45"/>
  <c r="O2896" i="45"/>
  <c r="O2897" i="45"/>
  <c r="O2898" i="45"/>
  <c r="O2899" i="45"/>
  <c r="O2900" i="45"/>
  <c r="O2901" i="45"/>
  <c r="O2902" i="45"/>
  <c r="O2903" i="45"/>
  <c r="O2904" i="45"/>
  <c r="O2905" i="45"/>
  <c r="O2906" i="45"/>
  <c r="O2907" i="45"/>
  <c r="O2908" i="45"/>
  <c r="O2909" i="45"/>
  <c r="O2910" i="45"/>
  <c r="O2911" i="45"/>
  <c r="O2912" i="45"/>
  <c r="O2913" i="45"/>
  <c r="O2914" i="45"/>
  <c r="O2915" i="45"/>
  <c r="O2916" i="45"/>
  <c r="O2917" i="45"/>
  <c r="O2918" i="45"/>
  <c r="O2919" i="45"/>
  <c r="O2920" i="45"/>
  <c r="O2921" i="45"/>
  <c r="O2922" i="45"/>
  <c r="O2923" i="45"/>
  <c r="O2924" i="45"/>
  <c r="O2925" i="45"/>
  <c r="O2926" i="45"/>
  <c r="O2927" i="45"/>
  <c r="O2928" i="45"/>
  <c r="O2929" i="45"/>
  <c r="O2930" i="45"/>
  <c r="O2931" i="45"/>
  <c r="O2932" i="45"/>
  <c r="O2933" i="45"/>
  <c r="O2934" i="45"/>
  <c r="O2935" i="45"/>
  <c r="O2936" i="45"/>
  <c r="O2937" i="45"/>
  <c r="O2938" i="45"/>
  <c r="O2939" i="45"/>
  <c r="O2940" i="45"/>
  <c r="O2941" i="45"/>
  <c r="O2942" i="45"/>
  <c r="O2943" i="45"/>
  <c r="O2944" i="45"/>
  <c r="O2945" i="45"/>
  <c r="O2946" i="45"/>
  <c r="O2947" i="45"/>
  <c r="O2948" i="45"/>
  <c r="O2949" i="45"/>
  <c r="O2950" i="45"/>
  <c r="O2951" i="45"/>
  <c r="O2952" i="45"/>
  <c r="O2953" i="45"/>
  <c r="O2954" i="45"/>
  <c r="O2955" i="45"/>
  <c r="O2956" i="45"/>
  <c r="O2957" i="45"/>
  <c r="O2958" i="45"/>
  <c r="O2959" i="45"/>
  <c r="O2960" i="45"/>
  <c r="O2961" i="45"/>
  <c r="O2962" i="45"/>
  <c r="O2963" i="45"/>
  <c r="O2964" i="45"/>
  <c r="O2965" i="45"/>
  <c r="O2966" i="45"/>
  <c r="O2967" i="45"/>
  <c r="O2968" i="45"/>
  <c r="O2969" i="45"/>
  <c r="O2970" i="45"/>
  <c r="O2971" i="45"/>
  <c r="O2972" i="45"/>
  <c r="O2973" i="45"/>
  <c r="O2974" i="45"/>
  <c r="O2975" i="45"/>
  <c r="O2976" i="45"/>
  <c r="O2977" i="45"/>
  <c r="O2978" i="45"/>
  <c r="O2979" i="45"/>
  <c r="O2980" i="45"/>
  <c r="O2981" i="45"/>
  <c r="O2982" i="45"/>
  <c r="O2983" i="45"/>
  <c r="O2984" i="45"/>
  <c r="O2985" i="45"/>
  <c r="O2986" i="45"/>
  <c r="O2987" i="45"/>
  <c r="O2988" i="45"/>
  <c r="O2989" i="45"/>
  <c r="O2990" i="45"/>
  <c r="O2991" i="45"/>
  <c r="O2992" i="45"/>
  <c r="O2993" i="45"/>
  <c r="O2994" i="45"/>
  <c r="O2995" i="45"/>
  <c r="O2996" i="45"/>
  <c r="O2997" i="45"/>
  <c r="O2998" i="45"/>
  <c r="O2999" i="45"/>
  <c r="O3000" i="45"/>
  <c r="O3001" i="45"/>
  <c r="O3002" i="45"/>
  <c r="O3003" i="45"/>
  <c r="O3004" i="45"/>
  <c r="O3005" i="45"/>
  <c r="O3006" i="45"/>
  <c r="O3007" i="45"/>
  <c r="O3008" i="45"/>
  <c r="O3009" i="45"/>
  <c r="O3010" i="45"/>
  <c r="O3011" i="45"/>
  <c r="O3012" i="45"/>
  <c r="O3013" i="45"/>
  <c r="O3014" i="45"/>
  <c r="O3015" i="45"/>
  <c r="O3016" i="45"/>
  <c r="O3017" i="45"/>
  <c r="O3018" i="45"/>
  <c r="O3019" i="45"/>
  <c r="O3020" i="45"/>
  <c r="O3021" i="45"/>
  <c r="O3022" i="45"/>
  <c r="O3023" i="45"/>
  <c r="O3024" i="45"/>
  <c r="O3025" i="45"/>
  <c r="O3026" i="45"/>
  <c r="O3027" i="45"/>
  <c r="O3028" i="45"/>
  <c r="O3029" i="45"/>
  <c r="O3030" i="45"/>
  <c r="O3031" i="45"/>
  <c r="O3032" i="45"/>
  <c r="O3033" i="45"/>
  <c r="O3034" i="45"/>
  <c r="O3035" i="45"/>
  <c r="O3036" i="45"/>
  <c r="O3037" i="45"/>
  <c r="O3038" i="45"/>
  <c r="O3039" i="45"/>
  <c r="O3040" i="45"/>
  <c r="O3041" i="45"/>
  <c r="O3042" i="45"/>
  <c r="O3043" i="45"/>
  <c r="O3044" i="45"/>
  <c r="O3045" i="45"/>
  <c r="O3046" i="45"/>
  <c r="O3047" i="45"/>
  <c r="O3048" i="45"/>
  <c r="O3049" i="45"/>
  <c r="O3050" i="45"/>
  <c r="O3051" i="45"/>
  <c r="O3052" i="45"/>
  <c r="O3053" i="45"/>
  <c r="O3054" i="45"/>
  <c r="O3055" i="45"/>
  <c r="O3056" i="45"/>
  <c r="O3057" i="45"/>
  <c r="O3058" i="45"/>
  <c r="O3059" i="45"/>
  <c r="O3060" i="45"/>
  <c r="O3061" i="45"/>
  <c r="O3062" i="45"/>
  <c r="O3063" i="45"/>
  <c r="O3064" i="45"/>
  <c r="O3065" i="45"/>
  <c r="O3066" i="45"/>
  <c r="O3067" i="45"/>
  <c r="O3068" i="45"/>
  <c r="O3069" i="45"/>
  <c r="O3070" i="45"/>
  <c r="O3071" i="45"/>
  <c r="O3072" i="45"/>
  <c r="O3073" i="45"/>
  <c r="O3074" i="45"/>
  <c r="O3075" i="45"/>
  <c r="O3076" i="45"/>
  <c r="O3077" i="45"/>
  <c r="O3078" i="45"/>
  <c r="O3079" i="45"/>
  <c r="O3080" i="45"/>
  <c r="O3081" i="45"/>
  <c r="O3082" i="45"/>
  <c r="O3083" i="45"/>
  <c r="O3084" i="45"/>
  <c r="O3085" i="45"/>
  <c r="O3086" i="45"/>
  <c r="O3087" i="45"/>
  <c r="O3088" i="45"/>
  <c r="O3089" i="45"/>
  <c r="O3090" i="45"/>
  <c r="O3091" i="45"/>
  <c r="O3092" i="45"/>
  <c r="O3093" i="45"/>
  <c r="O3094" i="45"/>
  <c r="O3095" i="45"/>
  <c r="O3096" i="45"/>
  <c r="O3097" i="45"/>
  <c r="O3098" i="45"/>
  <c r="O3099" i="45"/>
  <c r="O3100" i="45"/>
  <c r="O3101" i="45"/>
  <c r="O3102" i="45"/>
  <c r="O3103" i="45"/>
  <c r="O3104" i="45"/>
  <c r="O3105" i="45"/>
  <c r="O3106" i="45"/>
  <c r="O3107" i="45"/>
  <c r="O3108" i="45"/>
  <c r="O3109" i="45"/>
  <c r="O3110" i="45"/>
  <c r="O3111" i="45"/>
  <c r="O3112" i="45"/>
  <c r="O3113" i="45"/>
  <c r="O3114" i="45"/>
  <c r="O3115" i="45"/>
  <c r="O3116" i="45"/>
  <c r="O3117" i="45"/>
  <c r="O3118" i="45"/>
  <c r="O3119" i="45"/>
  <c r="O3120" i="45"/>
  <c r="O3121" i="45"/>
  <c r="O3122" i="45"/>
  <c r="O3123" i="45"/>
  <c r="O3124" i="45"/>
  <c r="O3125" i="45"/>
  <c r="O3126" i="45"/>
  <c r="O3127" i="45"/>
  <c r="O3128" i="45"/>
  <c r="O3129" i="45"/>
  <c r="O3130" i="45"/>
  <c r="O3131" i="45"/>
  <c r="O3132" i="45"/>
  <c r="O3133" i="45"/>
  <c r="O3134" i="45"/>
  <c r="O3135" i="45"/>
  <c r="O3136" i="45"/>
  <c r="O3137" i="45"/>
  <c r="O3138" i="45"/>
  <c r="O3139" i="45"/>
  <c r="O3140" i="45"/>
  <c r="O3141" i="45"/>
  <c r="O3142" i="45"/>
  <c r="O3143" i="45"/>
  <c r="O3144" i="45"/>
  <c r="O3145" i="45"/>
  <c r="O3146" i="45"/>
  <c r="O3147" i="45"/>
  <c r="O3148" i="45"/>
  <c r="O3149" i="45"/>
  <c r="O3150" i="45"/>
  <c r="O3151" i="45"/>
  <c r="O3152" i="45"/>
  <c r="O3153" i="45"/>
  <c r="O3154" i="45"/>
  <c r="O3155" i="45"/>
  <c r="O3156" i="45"/>
  <c r="O3157" i="45"/>
  <c r="O3158" i="45"/>
  <c r="O3159" i="45"/>
  <c r="O3160" i="45"/>
  <c r="O3161" i="45"/>
  <c r="O3162" i="45"/>
  <c r="O3163" i="45"/>
  <c r="O3164" i="45"/>
  <c r="O3165" i="45"/>
  <c r="O3166" i="45"/>
  <c r="O3167" i="45"/>
  <c r="O3168" i="45"/>
  <c r="O3169" i="45"/>
  <c r="O3170" i="45"/>
  <c r="O3171" i="45"/>
  <c r="O3172" i="45"/>
  <c r="O3173" i="45"/>
  <c r="O3174" i="45"/>
  <c r="O3175" i="45"/>
  <c r="O3176" i="45"/>
  <c r="O3177" i="45"/>
  <c r="O3178" i="45"/>
  <c r="O3179" i="45"/>
  <c r="O3180" i="45"/>
  <c r="O3181" i="45"/>
  <c r="O3182" i="45"/>
  <c r="O3183" i="45"/>
  <c r="O3184" i="45"/>
  <c r="O3185" i="45"/>
  <c r="O3186" i="45"/>
  <c r="O3187" i="45"/>
  <c r="O3188" i="45"/>
  <c r="O3189" i="45"/>
  <c r="O3190" i="45"/>
  <c r="O3191" i="45"/>
  <c r="O3192" i="45"/>
  <c r="O3193" i="45"/>
  <c r="O3194" i="45"/>
  <c r="O3195" i="45"/>
  <c r="O3196" i="45"/>
  <c r="O3197" i="45"/>
  <c r="O3198" i="45"/>
  <c r="O3199" i="45"/>
  <c r="O3200" i="45"/>
  <c r="O3201" i="45"/>
  <c r="O3202" i="45"/>
  <c r="O3203" i="45"/>
  <c r="O3204" i="45"/>
  <c r="O3205" i="45"/>
  <c r="O3206" i="45"/>
  <c r="O3207" i="45"/>
  <c r="O3208" i="45"/>
  <c r="O3209" i="45"/>
  <c r="O3210" i="45"/>
  <c r="O3211" i="45"/>
  <c r="O3212" i="45"/>
  <c r="O3213" i="45"/>
  <c r="O3214" i="45"/>
  <c r="O3215" i="45"/>
  <c r="O3216" i="45"/>
  <c r="O3217" i="45"/>
  <c r="O3218" i="45"/>
  <c r="O3219" i="45"/>
  <c r="O3220" i="45"/>
  <c r="O3221" i="45"/>
  <c r="O3222" i="45"/>
  <c r="O3223" i="45"/>
  <c r="O3224" i="45"/>
  <c r="O3225" i="45"/>
  <c r="O3226" i="45"/>
  <c r="O3227" i="45"/>
  <c r="O3228" i="45"/>
  <c r="O3229" i="45"/>
  <c r="O3230" i="45"/>
  <c r="O3231" i="45"/>
  <c r="O3232" i="45"/>
  <c r="O3233" i="45"/>
  <c r="O3234" i="45"/>
  <c r="O3235" i="45"/>
  <c r="O3236" i="45"/>
  <c r="O3237" i="45"/>
  <c r="O3238" i="45"/>
  <c r="O3239" i="45"/>
  <c r="O3240" i="45"/>
  <c r="O3241" i="45"/>
  <c r="O3242" i="45"/>
  <c r="O3243" i="45"/>
  <c r="O3244" i="45"/>
  <c r="O3245" i="45"/>
  <c r="O3246" i="45"/>
  <c r="O3247" i="45"/>
  <c r="O3248" i="45"/>
  <c r="O3249" i="45"/>
  <c r="O3250" i="45"/>
  <c r="O3251" i="45"/>
  <c r="O3252" i="45"/>
  <c r="O3253" i="45"/>
  <c r="O3254" i="45"/>
  <c r="O3255" i="45"/>
  <c r="O3256" i="45"/>
  <c r="O3257" i="45"/>
  <c r="O3258" i="45"/>
  <c r="O3259" i="45"/>
  <c r="O3260" i="45"/>
  <c r="O3261" i="45"/>
  <c r="O3262" i="45"/>
  <c r="O3263" i="45"/>
  <c r="O3264" i="45"/>
  <c r="O3265" i="45"/>
  <c r="O3266" i="45"/>
  <c r="O3267" i="45"/>
  <c r="O3268" i="45"/>
  <c r="O3269" i="45"/>
  <c r="O3270" i="45"/>
  <c r="O3271" i="45"/>
  <c r="O3272" i="45"/>
  <c r="O3273" i="45"/>
  <c r="O3274" i="45"/>
  <c r="O3275" i="45"/>
  <c r="O3276" i="45"/>
  <c r="O3277" i="45"/>
  <c r="O3278" i="45"/>
  <c r="O3279" i="45"/>
  <c r="O3280" i="45"/>
  <c r="O3281" i="45"/>
  <c r="O3282" i="45"/>
  <c r="O3283" i="45"/>
  <c r="O3284" i="45"/>
  <c r="O3285" i="45"/>
  <c r="O3286" i="45"/>
  <c r="O3287" i="45"/>
  <c r="O3288" i="45"/>
  <c r="O3289" i="45"/>
  <c r="O3290" i="45"/>
  <c r="O3291" i="45"/>
  <c r="O3292" i="45"/>
  <c r="O3293" i="45"/>
  <c r="O3294" i="45"/>
  <c r="O3295" i="45"/>
  <c r="O3296" i="45"/>
  <c r="O3297" i="45"/>
  <c r="O3298" i="45"/>
  <c r="O3299" i="45"/>
  <c r="O3300" i="45"/>
  <c r="O3301" i="45"/>
  <c r="O3302" i="45"/>
  <c r="O3303" i="45"/>
  <c r="O3304" i="45"/>
  <c r="O3305" i="45"/>
  <c r="O3306" i="45"/>
  <c r="O3307" i="45"/>
  <c r="O3308" i="45"/>
  <c r="O3309" i="45"/>
  <c r="O3310" i="45"/>
  <c r="O3311" i="45"/>
  <c r="O3312" i="45"/>
  <c r="O3313" i="45"/>
  <c r="O3314" i="45"/>
  <c r="O3315" i="45"/>
  <c r="O3316" i="45"/>
  <c r="O3317" i="45"/>
  <c r="O3318" i="45"/>
  <c r="O3319" i="45"/>
  <c r="O3320" i="45"/>
  <c r="O3321" i="45"/>
  <c r="O3322" i="45"/>
  <c r="O3323" i="45"/>
  <c r="O3324" i="45"/>
  <c r="O3325" i="45"/>
  <c r="O3326" i="45"/>
  <c r="O3327" i="45"/>
  <c r="O3328" i="45"/>
  <c r="O3329" i="45"/>
  <c r="O3330" i="45"/>
  <c r="O3331" i="45"/>
  <c r="O3332" i="45"/>
  <c r="O3333" i="45"/>
  <c r="O3334" i="45"/>
  <c r="O3335" i="45"/>
  <c r="O3336" i="45"/>
  <c r="O3337" i="45"/>
  <c r="O3338" i="45"/>
  <c r="O3339" i="45"/>
  <c r="O3340" i="45"/>
  <c r="O3341" i="45"/>
  <c r="O3342" i="45"/>
  <c r="O3343" i="45"/>
  <c r="O3344" i="45"/>
  <c r="O3345" i="45"/>
  <c r="O3346" i="45"/>
  <c r="O3347" i="45"/>
  <c r="O3348" i="45"/>
  <c r="O3349" i="45"/>
  <c r="O3350" i="45"/>
  <c r="O3351" i="45"/>
  <c r="O3352" i="45"/>
  <c r="O3353" i="45"/>
  <c r="O3354" i="45"/>
  <c r="O3355" i="45"/>
  <c r="O3356" i="45"/>
  <c r="O3357" i="45"/>
  <c r="O3358" i="45"/>
  <c r="O3359" i="45"/>
  <c r="O3360" i="45"/>
  <c r="O3361" i="45"/>
  <c r="O3362" i="45"/>
  <c r="O3363" i="45"/>
  <c r="O3364" i="45"/>
  <c r="O3365" i="45"/>
  <c r="O3366" i="45"/>
  <c r="O3367" i="45"/>
  <c r="O3368" i="45"/>
  <c r="O3369" i="45"/>
  <c r="O3370" i="45"/>
  <c r="O3371" i="45"/>
  <c r="O3372" i="45"/>
  <c r="O3373" i="45"/>
  <c r="O3374" i="45"/>
  <c r="O3375" i="45"/>
  <c r="O3376" i="45"/>
  <c r="O3377" i="45"/>
  <c r="O3378" i="45"/>
  <c r="O3379" i="45"/>
  <c r="O3380" i="45"/>
  <c r="O3381" i="45"/>
  <c r="O3382" i="45"/>
  <c r="O3383" i="45"/>
  <c r="O3384" i="45"/>
  <c r="O3385" i="45"/>
  <c r="O3386" i="45"/>
  <c r="O3387" i="45"/>
  <c r="O3388" i="45"/>
  <c r="O3389" i="45"/>
  <c r="O3390" i="45"/>
  <c r="O3391" i="45"/>
  <c r="O3392" i="45"/>
  <c r="O3393" i="45"/>
  <c r="O3394" i="45"/>
  <c r="O3395" i="45"/>
  <c r="O3396" i="45"/>
  <c r="O3397" i="45"/>
  <c r="O3398" i="45"/>
  <c r="O3399" i="45"/>
  <c r="O3400" i="45"/>
  <c r="O3401" i="45"/>
  <c r="O3402" i="45"/>
  <c r="O3403" i="45"/>
  <c r="O3404" i="45"/>
  <c r="O3405" i="45"/>
  <c r="O3406" i="45"/>
  <c r="O3407" i="45"/>
  <c r="O3408" i="45"/>
  <c r="O3409" i="45"/>
  <c r="O3410" i="45"/>
  <c r="O3411" i="45"/>
  <c r="O3412" i="45"/>
  <c r="O3413" i="45"/>
  <c r="O3414" i="45"/>
  <c r="O3415" i="45"/>
  <c r="O3416" i="45"/>
  <c r="O3417" i="45"/>
  <c r="O3418" i="45"/>
  <c r="O3419" i="45"/>
  <c r="O3420" i="45"/>
  <c r="O3421" i="45"/>
  <c r="O3422" i="45"/>
  <c r="O3423" i="45"/>
  <c r="O3424" i="45"/>
  <c r="O3425" i="45"/>
  <c r="O3426" i="45"/>
  <c r="O3427" i="45"/>
  <c r="O3428" i="45"/>
  <c r="O3429" i="45"/>
  <c r="O3430" i="45"/>
  <c r="O3431" i="45"/>
  <c r="O3432" i="45"/>
  <c r="O3433" i="45"/>
  <c r="O3434" i="45"/>
  <c r="O3435" i="45"/>
  <c r="O3436" i="45"/>
  <c r="O3437" i="45"/>
  <c r="O3438" i="45"/>
  <c r="O3439" i="45"/>
  <c r="O3440" i="45"/>
  <c r="O3441" i="45"/>
  <c r="O3442" i="45"/>
  <c r="O3443" i="45"/>
  <c r="O3444" i="45"/>
  <c r="O3445" i="45"/>
  <c r="O3446" i="45"/>
  <c r="O3447" i="45"/>
  <c r="O3448" i="45"/>
  <c r="O3449" i="45"/>
  <c r="O3450" i="45"/>
  <c r="O3451" i="45"/>
  <c r="O3452" i="45"/>
  <c r="O3453" i="45"/>
  <c r="O3454" i="45"/>
  <c r="O3455" i="45"/>
  <c r="O3456" i="45"/>
  <c r="O3457" i="45"/>
  <c r="O3458" i="45"/>
  <c r="O3459" i="45"/>
  <c r="O3460" i="45"/>
  <c r="O3461" i="45"/>
  <c r="O3462" i="45"/>
  <c r="O3463" i="45"/>
  <c r="O3464" i="45"/>
  <c r="O3465" i="45"/>
  <c r="O3466" i="45"/>
  <c r="O3467" i="45"/>
  <c r="O3468" i="45"/>
  <c r="O3469" i="45"/>
  <c r="O3470" i="45"/>
  <c r="O3471" i="45"/>
  <c r="O3472" i="45"/>
  <c r="O3473" i="45"/>
  <c r="O3474" i="45"/>
  <c r="O3475" i="45"/>
  <c r="O3476" i="45"/>
  <c r="O3477" i="45"/>
  <c r="O3478" i="45"/>
  <c r="O2829" i="45"/>
  <c r="O626" i="57" l="1"/>
  <c r="O625" i="57"/>
  <c r="O624" i="57"/>
  <c r="O623" i="57"/>
  <c r="O622" i="57"/>
  <c r="O621" i="57"/>
  <c r="O620" i="57"/>
  <c r="O619" i="57"/>
  <c r="O618" i="57"/>
  <c r="O617" i="57"/>
  <c r="O616" i="57"/>
  <c r="O615" i="57"/>
  <c r="O614" i="57"/>
  <c r="O613" i="57"/>
  <c r="O612" i="57"/>
  <c r="L612" i="57"/>
  <c r="L613" i="57"/>
  <c r="L614" i="57"/>
  <c r="L615" i="57"/>
  <c r="L616" i="57"/>
  <c r="L617" i="57"/>
  <c r="L618" i="57"/>
  <c r="L619" i="57"/>
  <c r="L620" i="57"/>
  <c r="L621" i="57"/>
  <c r="L622" i="57"/>
  <c r="L623" i="57"/>
  <c r="L624" i="57"/>
  <c r="L625" i="57"/>
  <c r="L626" i="57"/>
  <c r="J612" i="57"/>
  <c r="J613" i="57"/>
  <c r="J614" i="57"/>
  <c r="J615" i="57"/>
  <c r="J616" i="57"/>
  <c r="J617" i="57"/>
  <c r="J618" i="57"/>
  <c r="J619" i="57"/>
  <c r="J620" i="57"/>
  <c r="J621" i="57"/>
  <c r="J622" i="57"/>
  <c r="J623" i="57"/>
  <c r="J624" i="57"/>
  <c r="J625" i="57"/>
  <c r="J626" i="57"/>
  <c r="C626" i="57"/>
  <c r="C625" i="57"/>
  <c r="C624" i="57"/>
  <c r="C623" i="57"/>
  <c r="C622" i="57"/>
  <c r="C621" i="57"/>
  <c r="C620" i="57"/>
  <c r="C619" i="57"/>
  <c r="C618" i="57"/>
  <c r="C617" i="57"/>
  <c r="C616" i="57"/>
  <c r="C615" i="57"/>
  <c r="C614" i="57"/>
  <c r="C613" i="57"/>
  <c r="C612" i="57"/>
  <c r="C476" i="58"/>
  <c r="C475" i="58"/>
  <c r="C474" i="58"/>
  <c r="C473" i="58"/>
  <c r="C37" i="52"/>
  <c r="C117" i="50"/>
  <c r="C116" i="50"/>
  <c r="K46" i="48"/>
  <c r="K45" i="48"/>
  <c r="K44" i="48"/>
  <c r="C46" i="48"/>
  <c r="C45" i="48"/>
  <c r="C44" i="48"/>
  <c r="I109" i="46"/>
  <c r="I108" i="46"/>
  <c r="N109" i="46"/>
  <c r="N110" i="46"/>
  <c r="N111" i="46"/>
  <c r="C111" i="46"/>
  <c r="C110" i="46"/>
  <c r="C109" i="46"/>
  <c r="C108" i="46"/>
  <c r="O592" i="57" l="1"/>
  <c r="O591" i="57"/>
  <c r="O611" i="57"/>
  <c r="O610" i="57"/>
  <c r="O609" i="57"/>
  <c r="O608" i="57"/>
  <c r="O607" i="57"/>
  <c r="O606" i="57"/>
  <c r="O605" i="57"/>
  <c r="O604" i="57"/>
  <c r="O603" i="57"/>
  <c r="O602" i="57"/>
  <c r="O601" i="57"/>
  <c r="O600" i="57"/>
  <c r="O599" i="57"/>
  <c r="O598" i="57"/>
  <c r="O597" i="57"/>
  <c r="O596" i="57"/>
  <c r="O595" i="57"/>
  <c r="O594" i="57"/>
  <c r="O593" i="57"/>
  <c r="O590" i="57"/>
  <c r="J590" i="57"/>
  <c r="J591" i="57"/>
  <c r="J592" i="57"/>
  <c r="J593" i="57"/>
  <c r="J594" i="57"/>
  <c r="J595" i="57"/>
  <c r="J596" i="57"/>
  <c r="J597" i="57"/>
  <c r="J598" i="57"/>
  <c r="J599" i="57"/>
  <c r="J600" i="57"/>
  <c r="J601" i="57"/>
  <c r="J602" i="57"/>
  <c r="J603" i="57"/>
  <c r="J604" i="57"/>
  <c r="J605" i="57"/>
  <c r="J606" i="57"/>
  <c r="J607" i="57"/>
  <c r="J608" i="57"/>
  <c r="J609" i="57"/>
  <c r="J610" i="57"/>
  <c r="J611" i="57"/>
  <c r="L590" i="57"/>
  <c r="L591" i="57"/>
  <c r="L592" i="57"/>
  <c r="L593" i="57"/>
  <c r="L594" i="57"/>
  <c r="L595" i="57"/>
  <c r="L596" i="57"/>
  <c r="L597" i="57"/>
  <c r="L598" i="57"/>
  <c r="L599" i="57"/>
  <c r="L600" i="57"/>
  <c r="L601" i="57"/>
  <c r="L602" i="57"/>
  <c r="L603" i="57"/>
  <c r="L604" i="57"/>
  <c r="L605" i="57"/>
  <c r="L606" i="57"/>
  <c r="L607" i="57"/>
  <c r="L608" i="57"/>
  <c r="L609" i="57"/>
  <c r="L610" i="57"/>
  <c r="L611" i="57"/>
  <c r="M50" i="56"/>
  <c r="M49" i="56"/>
  <c r="M52" i="56"/>
  <c r="M51" i="56"/>
  <c r="C52" i="56"/>
  <c r="C51" i="56"/>
  <c r="C50" i="56"/>
  <c r="C49" i="56"/>
  <c r="V26" i="55"/>
  <c r="P26" i="55"/>
  <c r="C26" i="55"/>
  <c r="C466" i="58" l="1"/>
  <c r="C467" i="58"/>
  <c r="C468" i="58"/>
  <c r="C469" i="58"/>
  <c r="C470" i="58"/>
  <c r="C471" i="58"/>
  <c r="C472" i="58"/>
  <c r="C36" i="52"/>
  <c r="P87" i="49"/>
  <c r="O87" i="49"/>
  <c r="N87" i="49"/>
  <c r="C87" i="49"/>
  <c r="C86" i="49"/>
  <c r="P86" i="49"/>
  <c r="O86" i="49"/>
  <c r="N86" i="49"/>
  <c r="C115" i="50"/>
  <c r="C114" i="50"/>
  <c r="C113" i="50"/>
  <c r="C112" i="50"/>
  <c r="C111" i="50"/>
  <c r="K39" i="48"/>
  <c r="K40" i="48"/>
  <c r="K41" i="48"/>
  <c r="K42" i="48"/>
  <c r="K43" i="48"/>
  <c r="C38" i="48"/>
  <c r="C39" i="48"/>
  <c r="C40" i="48"/>
  <c r="C41" i="48"/>
  <c r="C42" i="48"/>
  <c r="C43" i="48"/>
  <c r="N106" i="46"/>
  <c r="N107" i="46"/>
  <c r="I107" i="46"/>
  <c r="I106" i="46"/>
  <c r="C107" i="46"/>
  <c r="C106" i="46"/>
  <c r="C465" i="58" l="1"/>
  <c r="C464" i="58"/>
  <c r="C463" i="58"/>
  <c r="C462" i="58"/>
  <c r="C461" i="58"/>
  <c r="C460" i="58"/>
  <c r="C459" i="58"/>
  <c r="C458" i="58"/>
  <c r="M48" i="56"/>
  <c r="M47" i="56"/>
  <c r="M46" i="56"/>
  <c r="C48" i="56"/>
  <c r="C47" i="56"/>
  <c r="C46" i="56"/>
  <c r="C35" i="52"/>
  <c r="P82" i="49"/>
  <c r="O82" i="49"/>
  <c r="N82" i="49"/>
  <c r="C82" i="49"/>
  <c r="C81" i="49"/>
  <c r="P81" i="49"/>
  <c r="P80" i="49"/>
  <c r="O81" i="49"/>
  <c r="N81" i="49"/>
  <c r="O80" i="49"/>
  <c r="N80" i="49"/>
  <c r="C85" i="49"/>
  <c r="P85" i="49"/>
  <c r="O85" i="49"/>
  <c r="P84" i="49"/>
  <c r="O84" i="49"/>
  <c r="P83" i="49"/>
  <c r="O83" i="49"/>
  <c r="N85" i="49"/>
  <c r="N84" i="49"/>
  <c r="N83" i="49"/>
  <c r="C84" i="49"/>
  <c r="C83" i="49"/>
  <c r="C80" i="49"/>
  <c r="C36" i="51"/>
  <c r="C35" i="51"/>
  <c r="K110" i="50" l="1"/>
  <c r="K109" i="50"/>
  <c r="K108" i="50"/>
  <c r="C110" i="50"/>
  <c r="C109" i="50"/>
  <c r="C108" i="50"/>
  <c r="K38" i="48"/>
  <c r="K37" i="48"/>
  <c r="C37" i="48"/>
  <c r="G19" i="47"/>
  <c r="C19" i="47"/>
  <c r="N105" i="46"/>
  <c r="N104" i="46"/>
  <c r="I4" i="46" l="1"/>
  <c r="I5" i="46"/>
  <c r="I6" i="46"/>
  <c r="I7" i="46"/>
  <c r="I8" i="46"/>
  <c r="I9" i="46"/>
  <c r="I10" i="46"/>
  <c r="I11" i="46"/>
  <c r="I12" i="46"/>
  <c r="I13" i="46"/>
  <c r="I14" i="46"/>
  <c r="I15" i="46"/>
  <c r="I16" i="46"/>
  <c r="I17" i="46"/>
  <c r="I18" i="46"/>
  <c r="I19" i="46"/>
  <c r="I20" i="46"/>
  <c r="I21" i="46"/>
  <c r="I22" i="46"/>
  <c r="I23" i="46"/>
  <c r="I24" i="46"/>
  <c r="I25" i="46"/>
  <c r="I26" i="46"/>
  <c r="I27" i="46"/>
  <c r="I28" i="46"/>
  <c r="I29" i="46"/>
  <c r="I30" i="46"/>
  <c r="I31" i="46"/>
  <c r="I32" i="46"/>
  <c r="I33" i="46"/>
  <c r="I34" i="46"/>
  <c r="I35" i="46"/>
  <c r="I36" i="46"/>
  <c r="I37" i="46"/>
  <c r="I38" i="46"/>
  <c r="I39" i="46"/>
  <c r="I40" i="46"/>
  <c r="I41" i="46"/>
  <c r="I42" i="46"/>
  <c r="I43" i="46"/>
  <c r="I44" i="46"/>
  <c r="I45" i="46"/>
  <c r="I46" i="46"/>
  <c r="I47" i="46"/>
  <c r="I48" i="46"/>
  <c r="I49" i="46"/>
  <c r="I50" i="46"/>
  <c r="I51" i="46"/>
  <c r="I52" i="46"/>
  <c r="I53" i="46"/>
  <c r="I54" i="46"/>
  <c r="I55" i="46"/>
  <c r="I56" i="46"/>
  <c r="I57" i="46"/>
  <c r="I58" i="46"/>
  <c r="I59" i="46"/>
  <c r="I60" i="46"/>
  <c r="I61" i="46"/>
  <c r="I62" i="46"/>
  <c r="I63" i="46"/>
  <c r="I64" i="46"/>
  <c r="I65" i="46"/>
  <c r="I66" i="46"/>
  <c r="I67" i="46"/>
  <c r="I68" i="46"/>
  <c r="I69" i="46"/>
  <c r="I70" i="46"/>
  <c r="I71" i="46"/>
  <c r="I72" i="46"/>
  <c r="I73" i="46"/>
  <c r="I74" i="46"/>
  <c r="I75" i="46"/>
  <c r="I76" i="46"/>
  <c r="I77" i="46"/>
  <c r="I78" i="46"/>
  <c r="I79" i="46"/>
  <c r="I80" i="46"/>
  <c r="I81" i="46"/>
  <c r="I82" i="46"/>
  <c r="I83" i="46"/>
  <c r="I84" i="46"/>
  <c r="I85" i="46"/>
  <c r="I86" i="46"/>
  <c r="I87" i="46"/>
  <c r="I88" i="46"/>
  <c r="I89" i="46"/>
  <c r="I90" i="46"/>
  <c r="I91" i="46"/>
  <c r="I92" i="46"/>
  <c r="I93" i="46"/>
  <c r="I94" i="46"/>
  <c r="I95" i="46"/>
  <c r="I96" i="46"/>
  <c r="I97" i="46"/>
  <c r="I98" i="46"/>
  <c r="I99" i="46"/>
  <c r="I100" i="46"/>
  <c r="I101" i="46"/>
  <c r="I102" i="46"/>
  <c r="I103" i="46"/>
  <c r="I104" i="46"/>
  <c r="I105" i="46"/>
  <c r="I3" i="46"/>
  <c r="C105" i="46" l="1"/>
  <c r="C104" i="46"/>
  <c r="O2674" i="45"/>
  <c r="O2675" i="45"/>
  <c r="O2676" i="45"/>
  <c r="O2677" i="45"/>
  <c r="O2678" i="45"/>
  <c r="O2679" i="45"/>
  <c r="O2680" i="45"/>
  <c r="O2681" i="45"/>
  <c r="O2682" i="45"/>
  <c r="O2683" i="45"/>
  <c r="O2684" i="45"/>
  <c r="O2685" i="45"/>
  <c r="O2686" i="45"/>
  <c r="O2687" i="45"/>
  <c r="O2688" i="45"/>
  <c r="O2689" i="45"/>
  <c r="O2690" i="45"/>
  <c r="O2691" i="45"/>
  <c r="O2692" i="45"/>
  <c r="O2693" i="45"/>
  <c r="O2694" i="45"/>
  <c r="O2695" i="45"/>
  <c r="O2696" i="45"/>
  <c r="O2697" i="45"/>
  <c r="O2698" i="45"/>
  <c r="O2699" i="45"/>
  <c r="O2700" i="45"/>
  <c r="O2701" i="45"/>
  <c r="O2702" i="45"/>
  <c r="O2703" i="45"/>
  <c r="O2704" i="45"/>
  <c r="O2705" i="45"/>
  <c r="O2706" i="45"/>
  <c r="O2707" i="45"/>
  <c r="O2708" i="45"/>
  <c r="O2709" i="45"/>
  <c r="O2710" i="45"/>
  <c r="O2711" i="45"/>
  <c r="O2712" i="45"/>
  <c r="O2713" i="45"/>
  <c r="O2714" i="45"/>
  <c r="O2715" i="45"/>
  <c r="O2716" i="45"/>
  <c r="O2717" i="45"/>
  <c r="O2718" i="45"/>
  <c r="O2719" i="45"/>
  <c r="O2720" i="45"/>
  <c r="O2721" i="45"/>
  <c r="O2722" i="45"/>
  <c r="O2723" i="45"/>
  <c r="O2724" i="45"/>
  <c r="O2725" i="45"/>
  <c r="O2726" i="45"/>
  <c r="O2727" i="45"/>
  <c r="O2728" i="45"/>
  <c r="O2729" i="45"/>
  <c r="O2730" i="45"/>
  <c r="O2731" i="45"/>
  <c r="O2732" i="45"/>
  <c r="O2733" i="45"/>
  <c r="O2734" i="45"/>
  <c r="O2735" i="45"/>
  <c r="O2736" i="45"/>
  <c r="O2737" i="45"/>
  <c r="O2738" i="45"/>
  <c r="O2739" i="45"/>
  <c r="O2740" i="45"/>
  <c r="O2741" i="45"/>
  <c r="O2742" i="45"/>
  <c r="O2743" i="45"/>
  <c r="O2744" i="45"/>
  <c r="O2745" i="45"/>
  <c r="O2746" i="45"/>
  <c r="O2747" i="45"/>
  <c r="O2748" i="45"/>
  <c r="O2749" i="45"/>
  <c r="O2750" i="45"/>
  <c r="O2751" i="45"/>
  <c r="O2752" i="45"/>
  <c r="O2753" i="45"/>
  <c r="O2754" i="45"/>
  <c r="O2755" i="45"/>
  <c r="O2756" i="45"/>
  <c r="O2757" i="45"/>
  <c r="O2758" i="45"/>
  <c r="O2759" i="45"/>
  <c r="O2760" i="45"/>
  <c r="O2761" i="45"/>
  <c r="O2762" i="45"/>
  <c r="O2763" i="45"/>
  <c r="O2764" i="45"/>
  <c r="O2765" i="45"/>
  <c r="O2766" i="45"/>
  <c r="O2767" i="45"/>
  <c r="O2768" i="45"/>
  <c r="O2769" i="45"/>
  <c r="O2770" i="45"/>
  <c r="O2771" i="45"/>
  <c r="O2772" i="45"/>
  <c r="O2773" i="45"/>
  <c r="O2774" i="45"/>
  <c r="O2775" i="45"/>
  <c r="O2776" i="45"/>
  <c r="O2777" i="45"/>
  <c r="O2778" i="45"/>
  <c r="O2779" i="45"/>
  <c r="O2780" i="45"/>
  <c r="O2781" i="45"/>
  <c r="O2782" i="45"/>
  <c r="O2783" i="45"/>
  <c r="O2784" i="45"/>
  <c r="O2785" i="45"/>
  <c r="O2786" i="45"/>
  <c r="O2787" i="45"/>
  <c r="O2788" i="45"/>
  <c r="O2789" i="45"/>
  <c r="O2790" i="45"/>
  <c r="O2791" i="45"/>
  <c r="O2792" i="45"/>
  <c r="O2793" i="45"/>
  <c r="O2794" i="45"/>
  <c r="O2795" i="45"/>
  <c r="O2796" i="45"/>
  <c r="O2797" i="45"/>
  <c r="O2798" i="45"/>
  <c r="O2799" i="45"/>
  <c r="O2800" i="45"/>
  <c r="O2801" i="45"/>
  <c r="O2802" i="45"/>
  <c r="O2803" i="45"/>
  <c r="O2804" i="45"/>
  <c r="O2805" i="45"/>
  <c r="O2806" i="45"/>
  <c r="O2807" i="45"/>
  <c r="O2808" i="45"/>
  <c r="O2809" i="45"/>
  <c r="O2810" i="45"/>
  <c r="O2811" i="45"/>
  <c r="O2812" i="45"/>
  <c r="O2813" i="45"/>
  <c r="O2814" i="45"/>
  <c r="O2815" i="45"/>
  <c r="O2816" i="45"/>
  <c r="O2817" i="45"/>
  <c r="O2818" i="45"/>
  <c r="O2819" i="45"/>
  <c r="O2820" i="45"/>
  <c r="O2821" i="45"/>
  <c r="O2822" i="45"/>
  <c r="O2823" i="45"/>
  <c r="O2824" i="45"/>
  <c r="O2825" i="45"/>
  <c r="O2826" i="45"/>
  <c r="O2827" i="45"/>
  <c r="O2828" i="45"/>
  <c r="O2673" i="45"/>
  <c r="I2673" i="45"/>
  <c r="I2674" i="45"/>
  <c r="I2675" i="45"/>
  <c r="I2676" i="45"/>
  <c r="I2677" i="45"/>
  <c r="I2678" i="45"/>
  <c r="I2679" i="45"/>
  <c r="I2680" i="45"/>
  <c r="I2681" i="45"/>
  <c r="I2682" i="45"/>
  <c r="I2683" i="45"/>
  <c r="I2684" i="45"/>
  <c r="I2685" i="45"/>
  <c r="I2686" i="45"/>
  <c r="I2687" i="45"/>
  <c r="I2688" i="45"/>
  <c r="I2689" i="45"/>
  <c r="I2690" i="45"/>
  <c r="I2691" i="45"/>
  <c r="I2692" i="45"/>
  <c r="I2693" i="45"/>
  <c r="I2694" i="45"/>
  <c r="I2695" i="45"/>
  <c r="I2696" i="45"/>
  <c r="I2697" i="45"/>
  <c r="I2698" i="45"/>
  <c r="I2699" i="45"/>
  <c r="I2700" i="45"/>
  <c r="I2701" i="45"/>
  <c r="I2702" i="45"/>
  <c r="I2703" i="45"/>
  <c r="I2704" i="45"/>
  <c r="I2705" i="45"/>
  <c r="I2706" i="45"/>
  <c r="I2707" i="45"/>
  <c r="I2708" i="45"/>
  <c r="I2709" i="45"/>
  <c r="I2710" i="45"/>
  <c r="I2711" i="45"/>
  <c r="I2712" i="45"/>
  <c r="I2713" i="45"/>
  <c r="I2714" i="45"/>
  <c r="I2715" i="45"/>
  <c r="I2716" i="45"/>
  <c r="I2717" i="45"/>
  <c r="I2718" i="45"/>
  <c r="I2719" i="45"/>
  <c r="I2720" i="45"/>
  <c r="I2721" i="45"/>
  <c r="I2722" i="45"/>
  <c r="I2723" i="45"/>
  <c r="I2724" i="45"/>
  <c r="I2725" i="45"/>
  <c r="I2726" i="45"/>
  <c r="I2727" i="45"/>
  <c r="I2728" i="45"/>
  <c r="I2729" i="45"/>
  <c r="I2730" i="45"/>
  <c r="I2731" i="45"/>
  <c r="I2732" i="45"/>
  <c r="I2733" i="45"/>
  <c r="I2734" i="45"/>
  <c r="I2735" i="45"/>
  <c r="I2736" i="45"/>
  <c r="I2737" i="45"/>
  <c r="I2738" i="45"/>
  <c r="I2739" i="45"/>
  <c r="I2740" i="45"/>
  <c r="I2741" i="45"/>
  <c r="I2742" i="45"/>
  <c r="I2743" i="45"/>
  <c r="I2744" i="45"/>
  <c r="I2745" i="45"/>
  <c r="I2746" i="45"/>
  <c r="I2747" i="45"/>
  <c r="I2748" i="45"/>
  <c r="I2749" i="45"/>
  <c r="I2750" i="45"/>
  <c r="I2751" i="45"/>
  <c r="I2752" i="45"/>
  <c r="I2753" i="45"/>
  <c r="I2754" i="45"/>
  <c r="I2755" i="45"/>
  <c r="I2756" i="45"/>
  <c r="I2757" i="45"/>
  <c r="I2758" i="45"/>
  <c r="I2759" i="45"/>
  <c r="I2760" i="45"/>
  <c r="I2761" i="45"/>
  <c r="I2762" i="45"/>
  <c r="I2763" i="45"/>
  <c r="I2764" i="45"/>
  <c r="I2765" i="45"/>
  <c r="I2766" i="45"/>
  <c r="I2767" i="45"/>
  <c r="I2768" i="45"/>
  <c r="I2769" i="45"/>
  <c r="I2770" i="45"/>
  <c r="I2771" i="45"/>
  <c r="I2772" i="45"/>
  <c r="I2773" i="45"/>
  <c r="I2774" i="45"/>
  <c r="I2775" i="45"/>
  <c r="I2776" i="45"/>
  <c r="I2777" i="45"/>
  <c r="I2778" i="45"/>
  <c r="I2779" i="45"/>
  <c r="I2780" i="45"/>
  <c r="I2781" i="45"/>
  <c r="I2782" i="45"/>
  <c r="I2783" i="45"/>
  <c r="I2784" i="45"/>
  <c r="I2785" i="45"/>
  <c r="I2786" i="45"/>
  <c r="I2787" i="45"/>
  <c r="I2788" i="45"/>
  <c r="I2789" i="45"/>
  <c r="I2790" i="45"/>
  <c r="I2791" i="45"/>
  <c r="I2792" i="45"/>
  <c r="I2793" i="45"/>
  <c r="I2794" i="45"/>
  <c r="I2795" i="45"/>
  <c r="I2796" i="45"/>
  <c r="I2797" i="45"/>
  <c r="I2798" i="45"/>
  <c r="I2799" i="45"/>
  <c r="I2800" i="45"/>
  <c r="I2801" i="45"/>
  <c r="I2802" i="45"/>
  <c r="I2803" i="45"/>
  <c r="I2804" i="45"/>
  <c r="I2805" i="45"/>
  <c r="I2806" i="45"/>
  <c r="I2807" i="45"/>
  <c r="I2808" i="45"/>
  <c r="I2809" i="45"/>
  <c r="I2810" i="45"/>
  <c r="I2811" i="45"/>
  <c r="I2812" i="45"/>
  <c r="I2813" i="45"/>
  <c r="I2814" i="45"/>
  <c r="I2815" i="45"/>
  <c r="I2816" i="45"/>
  <c r="I2817" i="45"/>
  <c r="I2818" i="45"/>
  <c r="I2819" i="45"/>
  <c r="I2820" i="45"/>
  <c r="I2821" i="45"/>
  <c r="I2822" i="45"/>
  <c r="I2823" i="45"/>
  <c r="I2824" i="45"/>
  <c r="I2825" i="45"/>
  <c r="I2826" i="45"/>
  <c r="I2827" i="45"/>
  <c r="I2828" i="45"/>
  <c r="B9" i="36" l="1"/>
  <c r="B9" i="35"/>
  <c r="B9" i="20"/>
  <c r="B9" i="37"/>
  <c r="B9" i="43"/>
  <c r="M45" i="56"/>
  <c r="C45" i="56"/>
  <c r="M44" i="56"/>
  <c r="C44" i="56"/>
  <c r="M43" i="56"/>
  <c r="C43" i="56"/>
  <c r="M42" i="56"/>
  <c r="C42" i="56"/>
  <c r="M41" i="56"/>
  <c r="C41" i="56"/>
  <c r="M40" i="56"/>
  <c r="C40" i="56"/>
  <c r="M39" i="56"/>
  <c r="C39" i="56"/>
  <c r="M38" i="56"/>
  <c r="C38" i="56"/>
  <c r="M37" i="56"/>
  <c r="C37" i="56"/>
  <c r="M36" i="56"/>
  <c r="C36" i="56"/>
  <c r="M35" i="56"/>
  <c r="C35" i="56"/>
  <c r="M34" i="56"/>
  <c r="C34" i="56"/>
  <c r="M33" i="56"/>
  <c r="C33" i="56"/>
  <c r="M32" i="56"/>
  <c r="C32" i="56"/>
  <c r="M31" i="56"/>
  <c r="C31" i="56"/>
  <c r="M30" i="56"/>
  <c r="C30" i="56"/>
  <c r="M29" i="56"/>
  <c r="C29" i="56"/>
  <c r="M28" i="56"/>
  <c r="C28" i="56"/>
  <c r="M27" i="56"/>
  <c r="C27" i="56"/>
  <c r="M26" i="56"/>
  <c r="C26" i="56"/>
  <c r="M25" i="56"/>
  <c r="C25" i="56"/>
  <c r="M24" i="56"/>
  <c r="C24" i="56"/>
  <c r="M23" i="56"/>
  <c r="C23" i="56"/>
  <c r="M22" i="56"/>
  <c r="C22" i="56"/>
  <c r="M21" i="56"/>
  <c r="C21" i="56"/>
  <c r="M20" i="56"/>
  <c r="C20" i="56"/>
  <c r="B20" i="56"/>
  <c r="M19" i="56"/>
  <c r="C19" i="56"/>
  <c r="B19" i="56"/>
  <c r="M18" i="56"/>
  <c r="C18" i="56"/>
  <c r="B18" i="56"/>
  <c r="M17" i="56"/>
  <c r="C17" i="56"/>
  <c r="B17" i="56"/>
  <c r="M16" i="56"/>
  <c r="C16" i="56"/>
  <c r="B16" i="56"/>
  <c r="M15" i="56"/>
  <c r="C15" i="56"/>
  <c r="B15" i="56"/>
  <c r="M14" i="56"/>
  <c r="I14" i="56" a="1"/>
  <c r="I14" i="56" s="1"/>
  <c r="F14" i="56" a="1"/>
  <c r="F14" i="56" s="1"/>
  <c r="C14" i="56"/>
  <c r="B14" i="56"/>
  <c r="M13" i="56"/>
  <c r="I13" i="56" a="1"/>
  <c r="I13" i="56" s="1"/>
  <c r="F13" i="56" a="1"/>
  <c r="F13" i="56" s="1"/>
  <c r="C13" i="56"/>
  <c r="B13" i="56"/>
  <c r="M12" i="56"/>
  <c r="I12" i="56" a="1"/>
  <c r="I12" i="56" s="1"/>
  <c r="F12" i="56" a="1"/>
  <c r="F12" i="56" s="1"/>
  <c r="C12" i="56"/>
  <c r="B12" i="56"/>
  <c r="M11" i="56"/>
  <c r="I11" i="56" a="1"/>
  <c r="I11" i="56" s="1"/>
  <c r="F11" i="56" a="1"/>
  <c r="F11" i="56" s="1"/>
  <c r="C11" i="56"/>
  <c r="B11" i="56"/>
  <c r="M10" i="56"/>
  <c r="I10" i="56" a="1"/>
  <c r="I10" i="56" s="1"/>
  <c r="F10" i="56" a="1"/>
  <c r="F10" i="56" s="1"/>
  <c r="C10" i="56"/>
  <c r="B10" i="56"/>
  <c r="M9" i="56"/>
  <c r="I9" i="56" a="1"/>
  <c r="I9" i="56" s="1"/>
  <c r="F9" i="56" a="1"/>
  <c r="F9" i="56" s="1"/>
  <c r="C9" i="56"/>
  <c r="B9" i="56"/>
  <c r="M8" i="56"/>
  <c r="I8" i="56" a="1"/>
  <c r="I8" i="56" s="1"/>
  <c r="I6" i="56" s="1"/>
  <c r="F8" i="56" a="1"/>
  <c r="F8" i="56" s="1"/>
  <c r="F6" i="56" s="1"/>
  <c r="C8" i="56"/>
  <c r="B8" i="56"/>
  <c r="M7" i="56"/>
  <c r="I7" i="56" a="1"/>
  <c r="I7" i="56" s="1"/>
  <c r="F7" i="56" a="1"/>
  <c r="F7" i="56" s="1"/>
  <c r="C7" i="56"/>
  <c r="B7" i="56"/>
  <c r="M6" i="56"/>
  <c r="C6" i="56"/>
  <c r="B6" i="56"/>
  <c r="M5" i="56"/>
  <c r="C5" i="56"/>
  <c r="B5" i="56"/>
  <c r="M4" i="56"/>
  <c r="C4" i="56"/>
  <c r="B4" i="56"/>
  <c r="M3" i="56"/>
  <c r="I3" i="56" a="1"/>
  <c r="I3" i="56" s="1"/>
  <c r="F3" i="56" a="1"/>
  <c r="F3" i="56" s="1"/>
  <c r="C3" i="56"/>
  <c r="E47" i="41"/>
  <c r="D47" i="41"/>
  <c r="E46" i="41"/>
  <c r="D46" i="41"/>
  <c r="E45" i="41"/>
  <c r="D45" i="41"/>
  <c r="E44" i="41"/>
  <c r="D44" i="41"/>
  <c r="E43" i="41"/>
  <c r="D43" i="41"/>
  <c r="E42" i="41"/>
  <c r="E42" i="41" a="1"/>
  <c r="D42" i="41"/>
  <c r="E41" i="41"/>
  <c r="E41" i="41" a="1"/>
  <c r="D41" i="41"/>
  <c r="D41" i="41" a="1"/>
  <c r="E40" i="41"/>
  <c r="E40" i="41" a="1"/>
  <c r="D40" i="41"/>
  <c r="D40" i="41" a="1"/>
  <c r="E39" i="41"/>
  <c r="E39" i="41" a="1"/>
  <c r="D39" i="41"/>
  <c r="D39" i="41" a="1"/>
  <c r="E38" i="41"/>
  <c r="E38" i="41" a="1"/>
  <c r="D38" i="41"/>
  <c r="D38" i="41" a="1"/>
  <c r="E37" i="41"/>
  <c r="E37" i="41" a="1"/>
  <c r="D37" i="41"/>
  <c r="D37" i="41" a="1"/>
  <c r="E36" i="41"/>
  <c r="E36" i="41" a="1"/>
  <c r="D36" i="41"/>
  <c r="D36" i="41" a="1"/>
  <c r="E35" i="41"/>
  <c r="E35" i="41" a="1"/>
  <c r="D35" i="41"/>
  <c r="D35" i="41" a="1"/>
  <c r="E34" i="41"/>
  <c r="E34" i="41" a="1"/>
  <c r="D34" i="41"/>
  <c r="D34" i="41" a="1"/>
  <c r="E33" i="41"/>
  <c r="D33" i="41"/>
  <c r="E32" i="41"/>
  <c r="D32" i="41"/>
  <c r="E31" i="41"/>
  <c r="D31" i="41"/>
  <c r="E30" i="41"/>
  <c r="E30" i="41" a="1"/>
  <c r="D30" i="41"/>
  <c r="D30" i="41" a="1"/>
  <c r="B9" i="41"/>
  <c r="L589" i="57"/>
  <c r="J589" i="57"/>
  <c r="C589" i="57"/>
  <c r="L588" i="57"/>
  <c r="J588" i="57"/>
  <c r="C588" i="57"/>
  <c r="L587" i="57"/>
  <c r="J587" i="57"/>
  <c r="C587" i="57"/>
  <c r="L586" i="57"/>
  <c r="J586" i="57"/>
  <c r="C586" i="57"/>
  <c r="L585" i="57"/>
  <c r="J585" i="57"/>
  <c r="C585" i="57"/>
  <c r="L584" i="57"/>
  <c r="J584" i="57"/>
  <c r="C584" i="57"/>
  <c r="L583" i="57"/>
  <c r="J583" i="57"/>
  <c r="C583" i="57"/>
  <c r="L582" i="57"/>
  <c r="J582" i="57"/>
  <c r="C582" i="57"/>
  <c r="L581" i="57"/>
  <c r="J581" i="57"/>
  <c r="C581" i="57"/>
  <c r="L580" i="57"/>
  <c r="J580" i="57"/>
  <c r="C580" i="57"/>
  <c r="L579" i="57"/>
  <c r="J579" i="57"/>
  <c r="C579" i="57"/>
  <c r="L578" i="57"/>
  <c r="J578" i="57"/>
  <c r="C578" i="57"/>
  <c r="L577" i="57"/>
  <c r="J577" i="57"/>
  <c r="C577" i="57"/>
  <c r="L576" i="57"/>
  <c r="J576" i="57"/>
  <c r="C576" i="57"/>
  <c r="L575" i="57"/>
  <c r="J575" i="57"/>
  <c r="C575" i="57"/>
  <c r="L574" i="57"/>
  <c r="J574" i="57"/>
  <c r="C574" i="57"/>
  <c r="L573" i="57"/>
  <c r="J573" i="57"/>
  <c r="C573" i="57"/>
  <c r="L572" i="57"/>
  <c r="J572" i="57"/>
  <c r="C572" i="57"/>
  <c r="L571" i="57"/>
  <c r="J571" i="57"/>
  <c r="C571" i="57"/>
  <c r="L570" i="57"/>
  <c r="J570" i="57"/>
  <c r="C570" i="57"/>
  <c r="L569" i="57"/>
  <c r="J569" i="57"/>
  <c r="C569" i="57"/>
  <c r="L568" i="57"/>
  <c r="J568" i="57"/>
  <c r="C568" i="57"/>
  <c r="L567" i="57"/>
  <c r="J567" i="57"/>
  <c r="C567" i="57"/>
  <c r="L566" i="57"/>
  <c r="J566" i="57"/>
  <c r="C566" i="57"/>
  <c r="L565" i="57"/>
  <c r="J565" i="57"/>
  <c r="C565" i="57"/>
  <c r="L564" i="57"/>
  <c r="J564" i="57"/>
  <c r="C564" i="57"/>
  <c r="L563" i="57"/>
  <c r="J563" i="57"/>
  <c r="C563" i="57"/>
  <c r="L562" i="57"/>
  <c r="J562" i="57"/>
  <c r="C562" i="57"/>
  <c r="L561" i="57"/>
  <c r="J561" i="57"/>
  <c r="C561" i="57"/>
  <c r="L560" i="57"/>
  <c r="J560" i="57"/>
  <c r="C560" i="57"/>
  <c r="L559" i="57"/>
  <c r="J559" i="57"/>
  <c r="C559" i="57"/>
  <c r="L558" i="57"/>
  <c r="J558" i="57"/>
  <c r="C558" i="57"/>
  <c r="L557" i="57"/>
  <c r="J557" i="57"/>
  <c r="C557" i="57"/>
  <c r="L556" i="57"/>
  <c r="J556" i="57"/>
  <c r="C556" i="57"/>
  <c r="L555" i="57"/>
  <c r="J555" i="57"/>
  <c r="C555" i="57"/>
  <c r="L554" i="57"/>
  <c r="J554" i="57"/>
  <c r="C554" i="57"/>
  <c r="L553" i="57"/>
  <c r="J553" i="57"/>
  <c r="C553" i="57"/>
  <c r="L552" i="57"/>
  <c r="J552" i="57"/>
  <c r="C552" i="57"/>
  <c r="L551" i="57"/>
  <c r="J551" i="57"/>
  <c r="C551" i="57"/>
  <c r="L550" i="57"/>
  <c r="J550" i="57"/>
  <c r="C550" i="57"/>
  <c r="L549" i="57"/>
  <c r="J549" i="57"/>
  <c r="C549" i="57"/>
  <c r="L548" i="57"/>
  <c r="J548" i="57"/>
  <c r="C548" i="57"/>
  <c r="L547" i="57"/>
  <c r="J547" i="57"/>
  <c r="C547" i="57"/>
  <c r="L546" i="57"/>
  <c r="J546" i="57"/>
  <c r="C546" i="57"/>
  <c r="L545" i="57"/>
  <c r="J545" i="57"/>
  <c r="C545" i="57"/>
  <c r="L544" i="57"/>
  <c r="J544" i="57"/>
  <c r="C544" i="57"/>
  <c r="L543" i="57"/>
  <c r="J543" i="57"/>
  <c r="C543" i="57"/>
  <c r="L542" i="57"/>
  <c r="J542" i="57"/>
  <c r="C542" i="57"/>
  <c r="L541" i="57"/>
  <c r="J541" i="57"/>
  <c r="C541" i="57"/>
  <c r="L540" i="57"/>
  <c r="J540" i="57"/>
  <c r="C540" i="57"/>
  <c r="L539" i="57"/>
  <c r="J539" i="57"/>
  <c r="C539" i="57"/>
  <c r="L538" i="57"/>
  <c r="J538" i="57"/>
  <c r="C538" i="57"/>
  <c r="L537" i="57"/>
  <c r="J537" i="57"/>
  <c r="C537" i="57"/>
  <c r="L536" i="57"/>
  <c r="J536" i="57"/>
  <c r="C536" i="57"/>
  <c r="L535" i="57"/>
  <c r="J535" i="57"/>
  <c r="C535" i="57"/>
  <c r="L534" i="57"/>
  <c r="J534" i="57"/>
  <c r="C534" i="57"/>
  <c r="L533" i="57"/>
  <c r="J533" i="57"/>
  <c r="C533" i="57"/>
  <c r="L532" i="57"/>
  <c r="J532" i="57"/>
  <c r="C532" i="57"/>
  <c r="L531" i="57"/>
  <c r="J531" i="57"/>
  <c r="C531" i="57"/>
  <c r="L530" i="57"/>
  <c r="J530" i="57"/>
  <c r="C530" i="57"/>
  <c r="L529" i="57"/>
  <c r="J529" i="57"/>
  <c r="C529" i="57"/>
  <c r="L528" i="57"/>
  <c r="J528" i="57"/>
  <c r="C528" i="57"/>
  <c r="O527" i="57"/>
  <c r="L527" i="57"/>
  <c r="J527" i="57"/>
  <c r="C527" i="57"/>
  <c r="O526" i="57"/>
  <c r="L526" i="57"/>
  <c r="J526" i="57"/>
  <c r="C526" i="57"/>
  <c r="O525" i="57"/>
  <c r="L525" i="57"/>
  <c r="J525" i="57"/>
  <c r="C525" i="57"/>
  <c r="O524" i="57"/>
  <c r="L524" i="57"/>
  <c r="J524" i="57"/>
  <c r="C524" i="57"/>
  <c r="O523" i="57"/>
  <c r="L523" i="57"/>
  <c r="J523" i="57"/>
  <c r="C523" i="57"/>
  <c r="O522" i="57"/>
  <c r="L522" i="57"/>
  <c r="J522" i="57"/>
  <c r="C522" i="57"/>
  <c r="O521" i="57"/>
  <c r="L521" i="57"/>
  <c r="J521" i="57"/>
  <c r="C521" i="57"/>
  <c r="O520" i="57"/>
  <c r="L520" i="57"/>
  <c r="J520" i="57"/>
  <c r="C520" i="57"/>
  <c r="O519" i="57"/>
  <c r="L519" i="57"/>
  <c r="J519" i="57"/>
  <c r="C519" i="57"/>
  <c r="O518" i="57"/>
  <c r="L518" i="57"/>
  <c r="J518" i="57"/>
  <c r="C518" i="57"/>
  <c r="O517" i="57"/>
  <c r="L517" i="57"/>
  <c r="J517" i="57"/>
  <c r="C517" i="57"/>
  <c r="O516" i="57"/>
  <c r="L516" i="57"/>
  <c r="J516" i="57"/>
  <c r="C516" i="57"/>
  <c r="O515" i="57"/>
  <c r="L515" i="57"/>
  <c r="J515" i="57"/>
  <c r="C515" i="57"/>
  <c r="O514" i="57"/>
  <c r="L514" i="57"/>
  <c r="J514" i="57"/>
  <c r="C514" i="57"/>
  <c r="O513" i="57"/>
  <c r="L513" i="57"/>
  <c r="J513" i="57"/>
  <c r="C513" i="57"/>
  <c r="O512" i="57"/>
  <c r="L512" i="57"/>
  <c r="J512" i="57"/>
  <c r="C512" i="57"/>
  <c r="O511" i="57"/>
  <c r="L511" i="57"/>
  <c r="J511" i="57"/>
  <c r="C511" i="57"/>
  <c r="O510" i="57"/>
  <c r="L510" i="57"/>
  <c r="J510" i="57"/>
  <c r="C510" i="57"/>
  <c r="O509" i="57"/>
  <c r="L509" i="57"/>
  <c r="J509" i="57"/>
  <c r="C509" i="57"/>
  <c r="O508" i="57"/>
  <c r="L508" i="57"/>
  <c r="J508" i="57"/>
  <c r="C508" i="57"/>
  <c r="O507" i="57"/>
  <c r="L507" i="57"/>
  <c r="J507" i="57"/>
  <c r="C507" i="57"/>
  <c r="O506" i="57"/>
  <c r="L506" i="57"/>
  <c r="J506" i="57"/>
  <c r="C506" i="57"/>
  <c r="O505" i="57"/>
  <c r="L505" i="57"/>
  <c r="J505" i="57"/>
  <c r="C505" i="57"/>
  <c r="O504" i="57"/>
  <c r="L504" i="57"/>
  <c r="J504" i="57"/>
  <c r="C504" i="57"/>
  <c r="O503" i="57"/>
  <c r="L503" i="57"/>
  <c r="J503" i="57"/>
  <c r="C503" i="57"/>
  <c r="O502" i="57"/>
  <c r="L502" i="57"/>
  <c r="J502" i="57"/>
  <c r="C502" i="57"/>
  <c r="O501" i="57"/>
  <c r="L501" i="57"/>
  <c r="J501" i="57"/>
  <c r="C501" i="57"/>
  <c r="O500" i="57"/>
  <c r="L500" i="57"/>
  <c r="J500" i="57"/>
  <c r="C500" i="57"/>
  <c r="O499" i="57"/>
  <c r="L499" i="57"/>
  <c r="J499" i="57"/>
  <c r="C499" i="57"/>
  <c r="O498" i="57"/>
  <c r="L498" i="57"/>
  <c r="J498" i="57"/>
  <c r="C498" i="57"/>
  <c r="O497" i="57"/>
  <c r="L497" i="57"/>
  <c r="J497" i="57"/>
  <c r="C497" i="57"/>
  <c r="O496" i="57"/>
  <c r="L496" i="57"/>
  <c r="J496" i="57"/>
  <c r="C496" i="57"/>
  <c r="O495" i="57"/>
  <c r="L495" i="57"/>
  <c r="J495" i="57"/>
  <c r="C495" i="57"/>
  <c r="O494" i="57"/>
  <c r="L494" i="57"/>
  <c r="J494" i="57"/>
  <c r="C494" i="57"/>
  <c r="O493" i="57"/>
  <c r="L493" i="57"/>
  <c r="J493" i="57"/>
  <c r="C493" i="57"/>
  <c r="O492" i="57"/>
  <c r="L492" i="57"/>
  <c r="J492" i="57"/>
  <c r="C492" i="57"/>
  <c r="O491" i="57"/>
  <c r="L491" i="57"/>
  <c r="J491" i="57"/>
  <c r="C491" i="57"/>
  <c r="O490" i="57"/>
  <c r="L490" i="57"/>
  <c r="J490" i="57"/>
  <c r="C490" i="57"/>
  <c r="O489" i="57"/>
  <c r="L489" i="57"/>
  <c r="J489" i="57"/>
  <c r="C489" i="57"/>
  <c r="O488" i="57"/>
  <c r="L488" i="57"/>
  <c r="J488" i="57"/>
  <c r="C488" i="57"/>
  <c r="O487" i="57"/>
  <c r="L487" i="57"/>
  <c r="J487" i="57"/>
  <c r="C487" i="57"/>
  <c r="O486" i="57"/>
  <c r="L486" i="57"/>
  <c r="J486" i="57"/>
  <c r="C486" i="57"/>
  <c r="O485" i="57"/>
  <c r="L485" i="57"/>
  <c r="J485" i="57"/>
  <c r="C485" i="57"/>
  <c r="O484" i="57"/>
  <c r="L484" i="57"/>
  <c r="J484" i="57"/>
  <c r="C484" i="57"/>
  <c r="O483" i="57"/>
  <c r="L483" i="57"/>
  <c r="J483" i="57"/>
  <c r="C483" i="57"/>
  <c r="O482" i="57"/>
  <c r="L482" i="57"/>
  <c r="J482" i="57"/>
  <c r="C482" i="57"/>
  <c r="O481" i="57"/>
  <c r="L481" i="57"/>
  <c r="J481" i="57"/>
  <c r="C481" i="57"/>
  <c r="O480" i="57"/>
  <c r="L480" i="57"/>
  <c r="J480" i="57"/>
  <c r="C480" i="57"/>
  <c r="O479" i="57"/>
  <c r="L479" i="57"/>
  <c r="J479" i="57"/>
  <c r="C479" i="57"/>
  <c r="O478" i="57"/>
  <c r="L478" i="57"/>
  <c r="J478" i="57"/>
  <c r="C478" i="57"/>
  <c r="O477" i="57"/>
  <c r="L477" i="57"/>
  <c r="J477" i="57"/>
  <c r="C477" i="57"/>
  <c r="O476" i="57"/>
  <c r="L476" i="57"/>
  <c r="J476" i="57"/>
  <c r="C476" i="57"/>
  <c r="O475" i="57"/>
  <c r="L475" i="57"/>
  <c r="J475" i="57"/>
  <c r="C475" i="57"/>
  <c r="O474" i="57"/>
  <c r="L474" i="57"/>
  <c r="J474" i="57"/>
  <c r="C474" i="57"/>
  <c r="O473" i="57"/>
  <c r="L473" i="57"/>
  <c r="J473" i="57"/>
  <c r="C473" i="57"/>
  <c r="O472" i="57"/>
  <c r="L472" i="57"/>
  <c r="J472" i="57"/>
  <c r="C472" i="57"/>
  <c r="O471" i="57"/>
  <c r="L471" i="57"/>
  <c r="J471" i="57"/>
  <c r="C471" i="57"/>
  <c r="O470" i="57"/>
  <c r="L470" i="57"/>
  <c r="J470" i="57"/>
  <c r="C470" i="57"/>
  <c r="O469" i="57"/>
  <c r="L469" i="57"/>
  <c r="J469" i="57"/>
  <c r="C469" i="57"/>
  <c r="O468" i="57"/>
  <c r="L468" i="57"/>
  <c r="J468" i="57"/>
  <c r="C468" i="57"/>
  <c r="O467" i="57"/>
  <c r="L467" i="57"/>
  <c r="J467" i="57"/>
  <c r="C467" i="57"/>
  <c r="O466" i="57"/>
  <c r="L466" i="57"/>
  <c r="J466" i="57"/>
  <c r="C466" i="57"/>
  <c r="O465" i="57"/>
  <c r="L465" i="57"/>
  <c r="J465" i="57"/>
  <c r="C465" i="57"/>
  <c r="O464" i="57"/>
  <c r="L464" i="57"/>
  <c r="J464" i="57"/>
  <c r="C464" i="57"/>
  <c r="O463" i="57"/>
  <c r="L463" i="57"/>
  <c r="J463" i="57"/>
  <c r="C463" i="57"/>
  <c r="O462" i="57"/>
  <c r="L462" i="57"/>
  <c r="J462" i="57"/>
  <c r="C462" i="57"/>
  <c r="O461" i="57"/>
  <c r="L461" i="57"/>
  <c r="J461" i="57"/>
  <c r="C461" i="57"/>
  <c r="O460" i="57"/>
  <c r="L460" i="57"/>
  <c r="J460" i="57"/>
  <c r="C460" i="57"/>
  <c r="O459" i="57"/>
  <c r="L459" i="57"/>
  <c r="J459" i="57"/>
  <c r="C459" i="57"/>
  <c r="O458" i="57"/>
  <c r="L458" i="57"/>
  <c r="J458" i="57"/>
  <c r="C458" i="57"/>
  <c r="O457" i="57"/>
  <c r="L457" i="57"/>
  <c r="J457" i="57"/>
  <c r="C457" i="57"/>
  <c r="O456" i="57"/>
  <c r="L456" i="57"/>
  <c r="J456" i="57"/>
  <c r="C456" i="57"/>
  <c r="O455" i="57"/>
  <c r="L455" i="57"/>
  <c r="J455" i="57"/>
  <c r="C455" i="57"/>
  <c r="O454" i="57"/>
  <c r="L454" i="57"/>
  <c r="J454" i="57"/>
  <c r="C454" i="57"/>
  <c r="O453" i="57"/>
  <c r="L453" i="57"/>
  <c r="J453" i="57"/>
  <c r="C453" i="57"/>
  <c r="O452" i="57"/>
  <c r="L452" i="57"/>
  <c r="J452" i="57"/>
  <c r="C452" i="57"/>
  <c r="O451" i="57"/>
  <c r="L451" i="57"/>
  <c r="J451" i="57"/>
  <c r="C451" i="57"/>
  <c r="O450" i="57"/>
  <c r="L450" i="57"/>
  <c r="J450" i="57"/>
  <c r="C450" i="57"/>
  <c r="O449" i="57"/>
  <c r="L449" i="57"/>
  <c r="J449" i="57"/>
  <c r="C449" i="57"/>
  <c r="O448" i="57"/>
  <c r="L448" i="57"/>
  <c r="J448" i="57"/>
  <c r="C448" i="57"/>
  <c r="O447" i="57"/>
  <c r="L447" i="57"/>
  <c r="J447" i="57"/>
  <c r="C447" i="57"/>
  <c r="O446" i="57"/>
  <c r="L446" i="57"/>
  <c r="J446" i="57"/>
  <c r="C446" i="57"/>
  <c r="O445" i="57"/>
  <c r="L445" i="57"/>
  <c r="J445" i="57"/>
  <c r="C445" i="57"/>
  <c r="O444" i="57"/>
  <c r="L444" i="57"/>
  <c r="J444" i="57"/>
  <c r="C444" i="57"/>
  <c r="O443" i="57"/>
  <c r="L443" i="57"/>
  <c r="J443" i="57"/>
  <c r="C443" i="57"/>
  <c r="O442" i="57"/>
  <c r="L442" i="57"/>
  <c r="J442" i="57"/>
  <c r="C442" i="57"/>
  <c r="O441" i="57"/>
  <c r="L441" i="57"/>
  <c r="J441" i="57"/>
  <c r="H441" i="57"/>
  <c r="C441" i="57"/>
  <c r="O440" i="57"/>
  <c r="L440" i="57"/>
  <c r="J440" i="57"/>
  <c r="H440" i="57"/>
  <c r="C440" i="57"/>
  <c r="O439" i="57"/>
  <c r="L439" i="57"/>
  <c r="J439" i="57"/>
  <c r="C439" i="57"/>
  <c r="O438" i="57"/>
  <c r="L438" i="57"/>
  <c r="J438" i="57"/>
  <c r="C438" i="57"/>
  <c r="O437" i="57"/>
  <c r="L437" i="57"/>
  <c r="J437" i="57"/>
  <c r="C437" i="57"/>
  <c r="O436" i="57"/>
  <c r="L436" i="57"/>
  <c r="J436" i="57"/>
  <c r="C436" i="57"/>
  <c r="O435" i="57"/>
  <c r="L435" i="57"/>
  <c r="J435" i="57"/>
  <c r="C435" i="57"/>
  <c r="O434" i="57"/>
  <c r="L434" i="57"/>
  <c r="J434" i="57"/>
  <c r="C434" i="57"/>
  <c r="O433" i="57"/>
  <c r="L433" i="57"/>
  <c r="J433" i="57"/>
  <c r="C433" i="57"/>
  <c r="O432" i="57"/>
  <c r="L432" i="57"/>
  <c r="J432" i="57"/>
  <c r="C432" i="57"/>
  <c r="O431" i="57"/>
  <c r="L431" i="57"/>
  <c r="J431" i="57"/>
  <c r="C431" i="57"/>
  <c r="O430" i="57"/>
  <c r="L430" i="57"/>
  <c r="J430" i="57"/>
  <c r="C430" i="57"/>
  <c r="O429" i="57"/>
  <c r="L429" i="57"/>
  <c r="J429" i="57"/>
  <c r="C429" i="57"/>
  <c r="O428" i="57"/>
  <c r="L428" i="57"/>
  <c r="J428" i="57"/>
  <c r="C428" i="57"/>
  <c r="O427" i="57"/>
  <c r="L427" i="57"/>
  <c r="J427" i="57"/>
  <c r="C427" i="57"/>
  <c r="O426" i="57"/>
  <c r="L426" i="57"/>
  <c r="J426" i="57"/>
  <c r="C426" i="57"/>
  <c r="O425" i="57"/>
  <c r="L425" i="57"/>
  <c r="J425" i="57"/>
  <c r="C425" i="57"/>
  <c r="O424" i="57"/>
  <c r="L424" i="57"/>
  <c r="J424" i="57"/>
  <c r="C424" i="57"/>
  <c r="O423" i="57"/>
  <c r="L423" i="57"/>
  <c r="J423" i="57"/>
  <c r="C423" i="57"/>
  <c r="O422" i="57"/>
  <c r="L422" i="57"/>
  <c r="J422" i="57"/>
  <c r="C422" i="57"/>
  <c r="O421" i="57"/>
  <c r="L421" i="57"/>
  <c r="J421" i="57"/>
  <c r="C421" i="57"/>
  <c r="O420" i="57"/>
  <c r="L420" i="57"/>
  <c r="J420" i="57"/>
  <c r="C420" i="57"/>
  <c r="O419" i="57"/>
  <c r="L419" i="57"/>
  <c r="J419" i="57"/>
  <c r="C419" i="57"/>
  <c r="O418" i="57"/>
  <c r="L418" i="57"/>
  <c r="J418" i="57"/>
  <c r="C418" i="57"/>
  <c r="O417" i="57"/>
  <c r="L417" i="57"/>
  <c r="J417" i="57"/>
  <c r="C417" i="57"/>
  <c r="O416" i="57"/>
  <c r="L416" i="57"/>
  <c r="J416" i="57"/>
  <c r="C416" i="57"/>
  <c r="O415" i="57"/>
  <c r="L415" i="57"/>
  <c r="J415" i="57"/>
  <c r="C415" i="57"/>
  <c r="O414" i="57"/>
  <c r="L414" i="57"/>
  <c r="J414" i="57"/>
  <c r="C414" i="57"/>
  <c r="O413" i="57"/>
  <c r="L413" i="57"/>
  <c r="J413" i="57"/>
  <c r="C413" i="57"/>
  <c r="O412" i="57"/>
  <c r="L412" i="57"/>
  <c r="J412" i="57"/>
  <c r="C412" i="57"/>
  <c r="O411" i="57"/>
  <c r="L411" i="57"/>
  <c r="J411" i="57"/>
  <c r="C411" i="57"/>
  <c r="O410" i="57"/>
  <c r="L410" i="57"/>
  <c r="J410" i="57"/>
  <c r="C410" i="57"/>
  <c r="O409" i="57"/>
  <c r="L409" i="57"/>
  <c r="J409" i="57"/>
  <c r="C409" i="57"/>
  <c r="O408" i="57"/>
  <c r="L408" i="57"/>
  <c r="J408" i="57"/>
  <c r="C408" i="57"/>
  <c r="O407" i="57"/>
  <c r="L407" i="57"/>
  <c r="J407" i="57"/>
  <c r="C407" i="57"/>
  <c r="O406" i="57"/>
  <c r="L406" i="57"/>
  <c r="J406" i="57"/>
  <c r="C406" i="57"/>
  <c r="O405" i="57"/>
  <c r="L405" i="57"/>
  <c r="J405" i="57"/>
  <c r="C405" i="57"/>
  <c r="O404" i="57"/>
  <c r="L404" i="57"/>
  <c r="J404" i="57"/>
  <c r="C404" i="57"/>
  <c r="O403" i="57"/>
  <c r="L403" i="57"/>
  <c r="J403" i="57"/>
  <c r="C403" i="57"/>
  <c r="O402" i="57"/>
  <c r="L402" i="57"/>
  <c r="J402" i="57"/>
  <c r="C402" i="57"/>
  <c r="O401" i="57"/>
  <c r="L401" i="57"/>
  <c r="J401" i="57"/>
  <c r="C401" i="57"/>
  <c r="O400" i="57"/>
  <c r="L400" i="57"/>
  <c r="J400" i="57"/>
  <c r="C400" i="57"/>
  <c r="O399" i="57"/>
  <c r="L399" i="57"/>
  <c r="J399" i="57"/>
  <c r="C399" i="57"/>
  <c r="O398" i="57"/>
  <c r="L398" i="57"/>
  <c r="J398" i="57"/>
  <c r="C398" i="57"/>
  <c r="O397" i="57"/>
  <c r="L397" i="57"/>
  <c r="J397" i="57"/>
  <c r="C397" i="57"/>
  <c r="O396" i="57"/>
  <c r="L396" i="57"/>
  <c r="J396" i="57"/>
  <c r="C396" i="57"/>
  <c r="O395" i="57"/>
  <c r="L395" i="57"/>
  <c r="J395" i="57"/>
  <c r="C395" i="57"/>
  <c r="O394" i="57"/>
  <c r="L394" i="57"/>
  <c r="J394" i="57"/>
  <c r="C394" i="57"/>
  <c r="O393" i="57"/>
  <c r="L393" i="57"/>
  <c r="J393" i="57"/>
  <c r="C393" i="57"/>
  <c r="O392" i="57"/>
  <c r="L392" i="57"/>
  <c r="J392" i="57"/>
  <c r="C392" i="57"/>
  <c r="O391" i="57"/>
  <c r="L391" i="57"/>
  <c r="J391" i="57"/>
  <c r="C391" i="57"/>
  <c r="O390" i="57"/>
  <c r="L390" i="57"/>
  <c r="J390" i="57"/>
  <c r="C390" i="57"/>
  <c r="O389" i="57"/>
  <c r="L389" i="57"/>
  <c r="J389" i="57"/>
  <c r="C389" i="57"/>
  <c r="O388" i="57"/>
  <c r="L388" i="57"/>
  <c r="J388" i="57"/>
  <c r="C388" i="57"/>
  <c r="O387" i="57"/>
  <c r="L387" i="57"/>
  <c r="J387" i="57"/>
  <c r="C387" i="57"/>
  <c r="O386" i="57"/>
  <c r="L386" i="57"/>
  <c r="J386" i="57"/>
  <c r="C386" i="57"/>
  <c r="O385" i="57"/>
  <c r="L385" i="57"/>
  <c r="J385" i="57"/>
  <c r="C385" i="57"/>
  <c r="O384" i="57"/>
  <c r="L384" i="57"/>
  <c r="J384" i="57"/>
  <c r="C384" i="57"/>
  <c r="O383" i="57"/>
  <c r="L383" i="57"/>
  <c r="J383" i="57"/>
  <c r="C383" i="57"/>
  <c r="O382" i="57"/>
  <c r="L382" i="57"/>
  <c r="J382" i="57"/>
  <c r="C382" i="57"/>
  <c r="O381" i="57"/>
  <c r="L381" i="57"/>
  <c r="J381" i="57"/>
  <c r="C381" i="57"/>
  <c r="O380" i="57"/>
  <c r="L380" i="57"/>
  <c r="J380" i="57"/>
  <c r="C380" i="57"/>
  <c r="O379" i="57"/>
  <c r="L379" i="57"/>
  <c r="J379" i="57"/>
  <c r="C379" i="57"/>
  <c r="O378" i="57"/>
  <c r="L378" i="57"/>
  <c r="J378" i="57"/>
  <c r="C378" i="57"/>
  <c r="O377" i="57"/>
  <c r="L377" i="57"/>
  <c r="J377" i="57"/>
  <c r="C377" i="57"/>
  <c r="O376" i="57"/>
  <c r="L376" i="57"/>
  <c r="J376" i="57"/>
  <c r="C376" i="57"/>
  <c r="O375" i="57"/>
  <c r="L375" i="57"/>
  <c r="J375" i="57"/>
  <c r="C375" i="57"/>
  <c r="O374" i="57"/>
  <c r="L374" i="57"/>
  <c r="J374" i="57"/>
  <c r="C374" i="57"/>
  <c r="O373" i="57"/>
  <c r="L373" i="57"/>
  <c r="J373" i="57"/>
  <c r="C373" i="57"/>
  <c r="O372" i="57"/>
  <c r="L372" i="57"/>
  <c r="J372" i="57"/>
  <c r="C372" i="57"/>
  <c r="O371" i="57"/>
  <c r="L371" i="57"/>
  <c r="J371" i="57"/>
  <c r="C371" i="57"/>
  <c r="O370" i="57"/>
  <c r="L370" i="57"/>
  <c r="J370" i="57"/>
  <c r="C370" i="57"/>
  <c r="O369" i="57"/>
  <c r="L369" i="57"/>
  <c r="J369" i="57"/>
  <c r="C369" i="57"/>
  <c r="O368" i="57"/>
  <c r="L368" i="57"/>
  <c r="J368" i="57"/>
  <c r="C368" i="57"/>
  <c r="O367" i="57"/>
  <c r="L367" i="57"/>
  <c r="J367" i="57"/>
  <c r="C367" i="57"/>
  <c r="O366" i="57"/>
  <c r="L366" i="57"/>
  <c r="J366" i="57"/>
  <c r="C366" i="57"/>
  <c r="O365" i="57"/>
  <c r="L365" i="57"/>
  <c r="J365" i="57"/>
  <c r="C365" i="57"/>
  <c r="O364" i="57"/>
  <c r="L364" i="57"/>
  <c r="J364" i="57"/>
  <c r="C364" i="57"/>
  <c r="O363" i="57"/>
  <c r="L363" i="57"/>
  <c r="J363" i="57"/>
  <c r="C363" i="57"/>
  <c r="O362" i="57"/>
  <c r="L362" i="57"/>
  <c r="J362" i="57"/>
  <c r="C362" i="57"/>
  <c r="O361" i="57"/>
  <c r="L361" i="57"/>
  <c r="J361" i="57"/>
  <c r="C361" i="57"/>
  <c r="O360" i="57"/>
  <c r="L360" i="57"/>
  <c r="J360" i="57"/>
  <c r="C360" i="57"/>
  <c r="O359" i="57"/>
  <c r="L359" i="57"/>
  <c r="J359" i="57"/>
  <c r="C359" i="57"/>
  <c r="O358" i="57"/>
  <c r="L358" i="57"/>
  <c r="J358" i="57"/>
  <c r="C358" i="57"/>
  <c r="O357" i="57"/>
  <c r="L357" i="57"/>
  <c r="J357" i="57"/>
  <c r="C357" i="57"/>
  <c r="O356" i="57"/>
  <c r="L356" i="57"/>
  <c r="J356" i="57"/>
  <c r="C356" i="57"/>
  <c r="O355" i="57"/>
  <c r="L355" i="57"/>
  <c r="J355" i="57"/>
  <c r="C355" i="57"/>
  <c r="O354" i="57"/>
  <c r="L354" i="57"/>
  <c r="J354" i="57"/>
  <c r="C354" i="57"/>
  <c r="O353" i="57"/>
  <c r="L353" i="57"/>
  <c r="J353" i="57"/>
  <c r="C353" i="57"/>
  <c r="O352" i="57"/>
  <c r="L352" i="57"/>
  <c r="J352" i="57"/>
  <c r="C352" i="57"/>
  <c r="O351" i="57"/>
  <c r="L351" i="57"/>
  <c r="J351" i="57"/>
  <c r="C351" i="57"/>
  <c r="O350" i="57"/>
  <c r="L350" i="57"/>
  <c r="J350" i="57"/>
  <c r="F350" i="57"/>
  <c r="C350" i="57"/>
  <c r="O349" i="57"/>
  <c r="L349" i="57"/>
  <c r="J349" i="57"/>
  <c r="C349" i="57"/>
  <c r="O348" i="57"/>
  <c r="L348" i="57"/>
  <c r="J348" i="57"/>
  <c r="C348" i="57"/>
  <c r="O347" i="57"/>
  <c r="L347" i="57"/>
  <c r="J347" i="57"/>
  <c r="C347" i="57"/>
  <c r="O346" i="57"/>
  <c r="L346" i="57"/>
  <c r="J346" i="57"/>
  <c r="C346" i="57"/>
  <c r="O345" i="57"/>
  <c r="L345" i="57"/>
  <c r="J345" i="57"/>
  <c r="C345" i="57"/>
  <c r="O344" i="57"/>
  <c r="L344" i="57"/>
  <c r="J344" i="57"/>
  <c r="C344" i="57"/>
  <c r="O343" i="57"/>
  <c r="L343" i="57"/>
  <c r="J343" i="57"/>
  <c r="C343" i="57"/>
  <c r="O342" i="57"/>
  <c r="L342" i="57"/>
  <c r="J342" i="57"/>
  <c r="C342" i="57"/>
  <c r="O341" i="57"/>
  <c r="L341" i="57"/>
  <c r="J341" i="57"/>
  <c r="C341" i="57"/>
  <c r="O340" i="57"/>
  <c r="L340" i="57"/>
  <c r="J340" i="57"/>
  <c r="C340" i="57"/>
  <c r="O339" i="57"/>
  <c r="L339" i="57"/>
  <c r="J339" i="57"/>
  <c r="C339" i="57"/>
  <c r="O338" i="57"/>
  <c r="L338" i="57"/>
  <c r="J338" i="57"/>
  <c r="C338" i="57"/>
  <c r="O337" i="57"/>
  <c r="L337" i="57"/>
  <c r="J337" i="57"/>
  <c r="C337" i="57"/>
  <c r="O336" i="57"/>
  <c r="L336" i="57"/>
  <c r="J336" i="57"/>
  <c r="C336" i="57"/>
  <c r="O335" i="57"/>
  <c r="L335" i="57"/>
  <c r="J335" i="57"/>
  <c r="C335" i="57"/>
  <c r="O334" i="57"/>
  <c r="L334" i="57"/>
  <c r="J334" i="57"/>
  <c r="C334" i="57"/>
  <c r="O333" i="57"/>
  <c r="L333" i="57"/>
  <c r="J333" i="57"/>
  <c r="C333" i="57"/>
  <c r="O332" i="57"/>
  <c r="L332" i="57"/>
  <c r="J332" i="57"/>
  <c r="C332" i="57"/>
  <c r="O331" i="57"/>
  <c r="L331" i="57"/>
  <c r="J331" i="57"/>
  <c r="C331" i="57"/>
  <c r="O330" i="57"/>
  <c r="L330" i="57"/>
  <c r="J330" i="57"/>
  <c r="C330" i="57"/>
  <c r="O329" i="57"/>
  <c r="L329" i="57"/>
  <c r="J329" i="57"/>
  <c r="C329" i="57"/>
  <c r="O328" i="57"/>
  <c r="L328" i="57"/>
  <c r="J328" i="57"/>
  <c r="C328" i="57"/>
  <c r="O327" i="57"/>
  <c r="L327" i="57"/>
  <c r="J327" i="57"/>
  <c r="C327" i="57"/>
  <c r="O326" i="57"/>
  <c r="L326" i="57"/>
  <c r="J326" i="57"/>
  <c r="C326" i="57"/>
  <c r="O325" i="57"/>
  <c r="L325" i="57"/>
  <c r="J325" i="57"/>
  <c r="C325" i="57"/>
  <c r="O324" i="57"/>
  <c r="L324" i="57"/>
  <c r="J324" i="57"/>
  <c r="C324" i="57"/>
  <c r="O323" i="57"/>
  <c r="L323" i="57"/>
  <c r="J323" i="57"/>
  <c r="C323" i="57"/>
  <c r="O322" i="57"/>
  <c r="L322" i="57"/>
  <c r="J322" i="57"/>
  <c r="C322" i="57"/>
  <c r="O321" i="57"/>
  <c r="L321" i="57"/>
  <c r="J321" i="57"/>
  <c r="C321" i="57"/>
  <c r="O320" i="57"/>
  <c r="L320" i="57"/>
  <c r="J320" i="57"/>
  <c r="C320" i="57"/>
  <c r="O319" i="57"/>
  <c r="L319" i="57"/>
  <c r="J319" i="57"/>
  <c r="C319" i="57"/>
  <c r="O318" i="57"/>
  <c r="L318" i="57"/>
  <c r="J318" i="57"/>
  <c r="C318" i="57"/>
  <c r="O317" i="57"/>
  <c r="L317" i="57"/>
  <c r="J317" i="57"/>
  <c r="C317" i="57"/>
  <c r="O316" i="57"/>
  <c r="L316" i="57"/>
  <c r="J316" i="57"/>
  <c r="C316" i="57"/>
  <c r="O315" i="57"/>
  <c r="L315" i="57"/>
  <c r="J315" i="57"/>
  <c r="C315" i="57"/>
  <c r="O314" i="57"/>
  <c r="L314" i="57"/>
  <c r="J314" i="57"/>
  <c r="C314" i="57"/>
  <c r="O313" i="57"/>
  <c r="L313" i="57"/>
  <c r="J313" i="57"/>
  <c r="C313" i="57"/>
  <c r="O312" i="57"/>
  <c r="L312" i="57"/>
  <c r="J312" i="57"/>
  <c r="C312" i="57"/>
  <c r="O311" i="57"/>
  <c r="L311" i="57"/>
  <c r="J311" i="57"/>
  <c r="C311" i="57"/>
  <c r="O310" i="57"/>
  <c r="L310" i="57"/>
  <c r="J310" i="57"/>
  <c r="C310" i="57"/>
  <c r="O309" i="57"/>
  <c r="L309" i="57"/>
  <c r="J309" i="57"/>
  <c r="C309" i="57"/>
  <c r="O308" i="57"/>
  <c r="L308" i="57"/>
  <c r="J308" i="57"/>
  <c r="C308" i="57"/>
  <c r="O307" i="57"/>
  <c r="L307" i="57"/>
  <c r="J307" i="57"/>
  <c r="C307" i="57"/>
  <c r="O306" i="57"/>
  <c r="L306" i="57"/>
  <c r="J306" i="57"/>
  <c r="C306" i="57"/>
  <c r="O305" i="57"/>
  <c r="L305" i="57"/>
  <c r="J305" i="57"/>
  <c r="C305" i="57"/>
  <c r="O304" i="57"/>
  <c r="L304" i="57"/>
  <c r="J304" i="57"/>
  <c r="C304" i="57"/>
  <c r="O303" i="57"/>
  <c r="L303" i="57"/>
  <c r="J303" i="57"/>
  <c r="C303" i="57"/>
  <c r="O302" i="57"/>
  <c r="L302" i="57"/>
  <c r="J302" i="57"/>
  <c r="C302" i="57"/>
  <c r="O301" i="57"/>
  <c r="L301" i="57"/>
  <c r="J301" i="57"/>
  <c r="C301" i="57"/>
  <c r="O300" i="57"/>
  <c r="L300" i="57"/>
  <c r="J300" i="57"/>
  <c r="C300" i="57"/>
  <c r="O299" i="57"/>
  <c r="L299" i="57"/>
  <c r="J299" i="57"/>
  <c r="C299" i="57"/>
  <c r="O298" i="57"/>
  <c r="L298" i="57"/>
  <c r="J298" i="57"/>
  <c r="C298" i="57"/>
  <c r="O297" i="57"/>
  <c r="L297" i="57"/>
  <c r="J297" i="57"/>
  <c r="C297" i="57"/>
  <c r="O296" i="57"/>
  <c r="L296" i="57"/>
  <c r="J296" i="57"/>
  <c r="C296" i="57"/>
  <c r="O295" i="57"/>
  <c r="L295" i="57"/>
  <c r="J295" i="57"/>
  <c r="C295" i="57"/>
  <c r="O294" i="57"/>
  <c r="L294" i="57"/>
  <c r="J294" i="57"/>
  <c r="C294" i="57"/>
  <c r="O293" i="57"/>
  <c r="L293" i="57"/>
  <c r="J293" i="57"/>
  <c r="C293" i="57"/>
  <c r="O292" i="57"/>
  <c r="L292" i="57"/>
  <c r="J292" i="57"/>
  <c r="C292" i="57"/>
  <c r="O291" i="57"/>
  <c r="L291" i="57"/>
  <c r="J291" i="57"/>
  <c r="C291" i="57"/>
  <c r="O290" i="57"/>
  <c r="L290" i="57"/>
  <c r="J290" i="57"/>
  <c r="C290" i="57"/>
  <c r="O289" i="57"/>
  <c r="L289" i="57"/>
  <c r="J289" i="57"/>
  <c r="C289" i="57"/>
  <c r="O288" i="57"/>
  <c r="L288" i="57"/>
  <c r="J288" i="57"/>
  <c r="C288" i="57"/>
  <c r="O287" i="57"/>
  <c r="L287" i="57"/>
  <c r="J287" i="57"/>
  <c r="C287" i="57"/>
  <c r="O286" i="57"/>
  <c r="L286" i="57"/>
  <c r="J286" i="57"/>
  <c r="C286" i="57"/>
  <c r="O285" i="57"/>
  <c r="L285" i="57"/>
  <c r="J285" i="57"/>
  <c r="C285" i="57"/>
  <c r="O284" i="57"/>
  <c r="L284" i="57"/>
  <c r="J284" i="57"/>
  <c r="C284" i="57"/>
  <c r="O283" i="57"/>
  <c r="L283" i="57"/>
  <c r="J283" i="57"/>
  <c r="C283" i="57"/>
  <c r="O282" i="57"/>
  <c r="L282" i="57"/>
  <c r="J282" i="57"/>
  <c r="C282" i="57"/>
  <c r="O281" i="57"/>
  <c r="L281" i="57"/>
  <c r="J281" i="57"/>
  <c r="C281" i="57"/>
  <c r="O280" i="57"/>
  <c r="L280" i="57"/>
  <c r="J280" i="57"/>
  <c r="C280" i="57"/>
  <c r="O279" i="57"/>
  <c r="L279" i="57"/>
  <c r="J279" i="57"/>
  <c r="C279" i="57"/>
  <c r="O278" i="57"/>
  <c r="L278" i="57"/>
  <c r="J278" i="57"/>
  <c r="C278" i="57"/>
  <c r="O277" i="57"/>
  <c r="L277" i="57"/>
  <c r="J277" i="57"/>
  <c r="C277" i="57"/>
  <c r="O276" i="57"/>
  <c r="L276" i="57"/>
  <c r="J276" i="57"/>
  <c r="C276" i="57"/>
  <c r="O275" i="57"/>
  <c r="L275" i="57"/>
  <c r="J275" i="57"/>
  <c r="C275" i="57"/>
  <c r="O274" i="57"/>
  <c r="L274" i="57"/>
  <c r="J274" i="57"/>
  <c r="C274" i="57"/>
  <c r="O273" i="57"/>
  <c r="L273" i="57"/>
  <c r="J273" i="57"/>
  <c r="C273" i="57"/>
  <c r="O272" i="57"/>
  <c r="L272" i="57"/>
  <c r="J272" i="57"/>
  <c r="C272" i="57"/>
  <c r="O271" i="57"/>
  <c r="L271" i="57"/>
  <c r="J271" i="57"/>
  <c r="C271" i="57"/>
  <c r="O270" i="57"/>
  <c r="L270" i="57"/>
  <c r="J270" i="57"/>
  <c r="C270" i="57"/>
  <c r="O269" i="57"/>
  <c r="L269" i="57"/>
  <c r="J269" i="57"/>
  <c r="C269" i="57"/>
  <c r="O268" i="57"/>
  <c r="L268" i="57"/>
  <c r="J268" i="57"/>
  <c r="C268" i="57"/>
  <c r="O267" i="57"/>
  <c r="L267" i="57"/>
  <c r="J267" i="57"/>
  <c r="C267" i="57"/>
  <c r="O266" i="57"/>
  <c r="L266" i="57"/>
  <c r="J266" i="57"/>
  <c r="C266" i="57"/>
  <c r="O265" i="57"/>
  <c r="L265" i="57"/>
  <c r="J265" i="57"/>
  <c r="C265" i="57"/>
  <c r="O264" i="57"/>
  <c r="L264" i="57"/>
  <c r="J264" i="57"/>
  <c r="C264" i="57"/>
  <c r="O263" i="57"/>
  <c r="L263" i="57"/>
  <c r="J263" i="57"/>
  <c r="C263" i="57"/>
  <c r="O262" i="57"/>
  <c r="L262" i="57"/>
  <c r="J262" i="57"/>
  <c r="C262" i="57"/>
  <c r="O261" i="57"/>
  <c r="L261" i="57"/>
  <c r="J261" i="57"/>
  <c r="C261" i="57"/>
  <c r="O260" i="57"/>
  <c r="L260" i="57"/>
  <c r="J260" i="57"/>
  <c r="F260" i="57"/>
  <c r="C260" i="57"/>
  <c r="O259" i="57"/>
  <c r="L259" i="57"/>
  <c r="J259" i="57"/>
  <c r="F259" i="57"/>
  <c r="C259" i="57"/>
  <c r="O258" i="57"/>
  <c r="L258" i="57"/>
  <c r="J258" i="57"/>
  <c r="F258" i="57"/>
  <c r="C258" i="57"/>
  <c r="O257" i="57"/>
  <c r="L257" i="57"/>
  <c r="J257" i="57"/>
  <c r="F257" i="57"/>
  <c r="C257" i="57"/>
  <c r="O256" i="57"/>
  <c r="L256" i="57"/>
  <c r="J256" i="57"/>
  <c r="F256" i="57"/>
  <c r="C256" i="57"/>
  <c r="O255" i="57"/>
  <c r="L255" i="57"/>
  <c r="J255" i="57"/>
  <c r="F255" i="57"/>
  <c r="C255" i="57"/>
  <c r="O254" i="57"/>
  <c r="L254" i="57"/>
  <c r="J254" i="57"/>
  <c r="F254" i="57"/>
  <c r="C254" i="57"/>
  <c r="O253" i="57"/>
  <c r="L253" i="57"/>
  <c r="J253" i="57"/>
  <c r="F253" i="57"/>
  <c r="C253" i="57"/>
  <c r="O252" i="57"/>
  <c r="L252" i="57"/>
  <c r="J252" i="57"/>
  <c r="F252" i="57"/>
  <c r="C252" i="57"/>
  <c r="O251" i="57"/>
  <c r="L251" i="57"/>
  <c r="J251" i="57"/>
  <c r="F251" i="57"/>
  <c r="C251" i="57"/>
  <c r="O250" i="57"/>
  <c r="L250" i="57"/>
  <c r="J250" i="57"/>
  <c r="F250" i="57"/>
  <c r="C250" i="57"/>
  <c r="O249" i="57"/>
  <c r="L249" i="57"/>
  <c r="J249" i="57"/>
  <c r="F249" i="57"/>
  <c r="C249" i="57"/>
  <c r="O248" i="57"/>
  <c r="L248" i="57"/>
  <c r="J248" i="57"/>
  <c r="C248" i="57"/>
  <c r="O247" i="57"/>
  <c r="L247" i="57"/>
  <c r="J247" i="57"/>
  <c r="F247" i="57"/>
  <c r="C247" i="57"/>
  <c r="O246" i="57"/>
  <c r="L246" i="57"/>
  <c r="J246" i="57"/>
  <c r="F246" i="57"/>
  <c r="C246" i="57"/>
  <c r="O245" i="57"/>
  <c r="L245" i="57"/>
  <c r="J245" i="57"/>
  <c r="F245" i="57"/>
  <c r="C245" i="57"/>
  <c r="O244" i="57"/>
  <c r="L244" i="57"/>
  <c r="J244" i="57"/>
  <c r="F244" i="57"/>
  <c r="C244" i="57"/>
  <c r="O243" i="57"/>
  <c r="L243" i="57"/>
  <c r="J243" i="57"/>
  <c r="F243" i="57"/>
  <c r="C243" i="57"/>
  <c r="O242" i="57"/>
  <c r="L242" i="57"/>
  <c r="J242" i="57"/>
  <c r="F242" i="57"/>
  <c r="C242" i="57"/>
  <c r="O241" i="57"/>
  <c r="L241" i="57"/>
  <c r="J241" i="57"/>
  <c r="F241" i="57"/>
  <c r="C241" i="57"/>
  <c r="O240" i="57"/>
  <c r="L240" i="57"/>
  <c r="J240" i="57"/>
  <c r="F240" i="57"/>
  <c r="C240" i="57"/>
  <c r="O239" i="57"/>
  <c r="L239" i="57"/>
  <c r="J239" i="57"/>
  <c r="C239" i="57"/>
  <c r="O238" i="57"/>
  <c r="L238" i="57"/>
  <c r="J238" i="57"/>
  <c r="C238" i="57"/>
  <c r="O237" i="57"/>
  <c r="L237" i="57"/>
  <c r="J237" i="57"/>
  <c r="C237" i="57"/>
  <c r="O236" i="57"/>
  <c r="L236" i="57"/>
  <c r="J236" i="57"/>
  <c r="F236" i="57"/>
  <c r="C236" i="57"/>
  <c r="O235" i="57"/>
  <c r="L235" i="57"/>
  <c r="J235" i="57"/>
  <c r="F235" i="57"/>
  <c r="C235" i="57"/>
  <c r="O234" i="57"/>
  <c r="L234" i="57"/>
  <c r="J234" i="57"/>
  <c r="F234" i="57"/>
  <c r="C234" i="57"/>
  <c r="O233" i="57"/>
  <c r="L233" i="57"/>
  <c r="J233" i="57"/>
  <c r="F233" i="57"/>
  <c r="C233" i="57"/>
  <c r="O232" i="57"/>
  <c r="L232" i="57"/>
  <c r="J232" i="57"/>
  <c r="F232" i="57"/>
  <c r="C232" i="57"/>
  <c r="O231" i="57"/>
  <c r="L231" i="57"/>
  <c r="J231" i="57"/>
  <c r="C231" i="57"/>
  <c r="O230" i="57"/>
  <c r="L230" i="57"/>
  <c r="J230" i="57"/>
  <c r="C230" i="57"/>
  <c r="O229" i="57"/>
  <c r="L229" i="57"/>
  <c r="J229" i="57"/>
  <c r="F229" i="57"/>
  <c r="C229" i="57"/>
  <c r="O228" i="57"/>
  <c r="L228" i="57"/>
  <c r="J228" i="57"/>
  <c r="F228" i="57"/>
  <c r="C228" i="57"/>
  <c r="O227" i="57"/>
  <c r="L227" i="57"/>
  <c r="J227" i="57"/>
  <c r="C227" i="57"/>
  <c r="O226" i="57"/>
  <c r="L226" i="57"/>
  <c r="J226" i="57"/>
  <c r="C226" i="57"/>
  <c r="O225" i="57"/>
  <c r="L225" i="57"/>
  <c r="J225" i="57"/>
  <c r="C225" i="57"/>
  <c r="O224" i="57"/>
  <c r="L224" i="57"/>
  <c r="J224" i="57"/>
  <c r="C224" i="57"/>
  <c r="O223" i="57"/>
  <c r="L223" i="57"/>
  <c r="J223" i="57"/>
  <c r="C223" i="57"/>
  <c r="O222" i="57"/>
  <c r="L222" i="57"/>
  <c r="J222" i="57"/>
  <c r="C222" i="57"/>
  <c r="O221" i="57"/>
  <c r="L221" i="57"/>
  <c r="J221" i="57"/>
  <c r="C221" i="57"/>
  <c r="O220" i="57"/>
  <c r="L220" i="57"/>
  <c r="J220" i="57"/>
  <c r="C220" i="57"/>
  <c r="O219" i="57"/>
  <c r="L219" i="57"/>
  <c r="J219" i="57"/>
  <c r="C219" i="57"/>
  <c r="O218" i="57"/>
  <c r="L218" i="57"/>
  <c r="J218" i="57"/>
  <c r="C218" i="57"/>
  <c r="O217" i="57"/>
  <c r="L217" i="57"/>
  <c r="J217" i="57"/>
  <c r="C217" i="57"/>
  <c r="O216" i="57"/>
  <c r="L216" i="57"/>
  <c r="J216" i="57"/>
  <c r="C216" i="57"/>
  <c r="O215" i="57"/>
  <c r="L215" i="57"/>
  <c r="J215" i="57"/>
  <c r="C215" i="57"/>
  <c r="O214" i="57"/>
  <c r="L214" i="57"/>
  <c r="J214" i="57"/>
  <c r="C214" i="57"/>
  <c r="O213" i="57"/>
  <c r="L213" i="57"/>
  <c r="J213" i="57"/>
  <c r="C213" i="57"/>
  <c r="O212" i="57"/>
  <c r="L212" i="57"/>
  <c r="J212" i="57"/>
  <c r="C212" i="57"/>
  <c r="O211" i="57"/>
  <c r="L211" i="57"/>
  <c r="J211" i="57"/>
  <c r="C211" i="57"/>
  <c r="O210" i="57"/>
  <c r="L210" i="57"/>
  <c r="J210" i="57"/>
  <c r="C210" i="57"/>
  <c r="O209" i="57"/>
  <c r="L209" i="57"/>
  <c r="J209" i="57"/>
  <c r="C209" i="57"/>
  <c r="O208" i="57"/>
  <c r="L208" i="57"/>
  <c r="J208" i="57"/>
  <c r="C208" i="57"/>
  <c r="O207" i="57"/>
  <c r="L207" i="57"/>
  <c r="J207" i="57"/>
  <c r="C207" i="57"/>
  <c r="O206" i="57"/>
  <c r="L206" i="57"/>
  <c r="J206" i="57"/>
  <c r="C206" i="57"/>
  <c r="O205" i="57"/>
  <c r="L205" i="57"/>
  <c r="J205" i="57"/>
  <c r="C205" i="57"/>
  <c r="O204" i="57"/>
  <c r="L204" i="57"/>
  <c r="J204" i="57"/>
  <c r="C204" i="57"/>
  <c r="O203" i="57"/>
  <c r="L203" i="57"/>
  <c r="J203" i="57"/>
  <c r="C203" i="57"/>
  <c r="O202" i="57"/>
  <c r="L202" i="57"/>
  <c r="J202" i="57"/>
  <c r="C202" i="57"/>
  <c r="O201" i="57"/>
  <c r="L201" i="57"/>
  <c r="J201" i="57"/>
  <c r="C201" i="57"/>
  <c r="O200" i="57"/>
  <c r="L200" i="57"/>
  <c r="J200" i="57"/>
  <c r="C200" i="57"/>
  <c r="O199" i="57"/>
  <c r="L199" i="57"/>
  <c r="J199" i="57"/>
  <c r="C199" i="57"/>
  <c r="O198" i="57"/>
  <c r="L198" i="57"/>
  <c r="J198" i="57"/>
  <c r="C198" i="57"/>
  <c r="O197" i="57"/>
  <c r="L197" i="57"/>
  <c r="J197" i="57"/>
  <c r="C197" i="57"/>
  <c r="O196" i="57"/>
  <c r="L196" i="57"/>
  <c r="J196" i="57"/>
  <c r="C196" i="57"/>
  <c r="O195" i="57"/>
  <c r="L195" i="57"/>
  <c r="J195" i="57"/>
  <c r="C195" i="57"/>
  <c r="B195" i="57"/>
  <c r="O194" i="57"/>
  <c r="L194" i="57"/>
  <c r="J194" i="57"/>
  <c r="C194" i="57"/>
  <c r="B194" i="57"/>
  <c r="O193" i="57"/>
  <c r="L193" i="57"/>
  <c r="J193" i="57"/>
  <c r="C193" i="57"/>
  <c r="B193" i="57"/>
  <c r="O192" i="57"/>
  <c r="L192" i="57"/>
  <c r="J192" i="57"/>
  <c r="C192" i="57"/>
  <c r="B192" i="57"/>
  <c r="O191" i="57"/>
  <c r="L191" i="57"/>
  <c r="J191" i="57"/>
  <c r="C191" i="57"/>
  <c r="B191" i="57"/>
  <c r="O190" i="57"/>
  <c r="L190" i="57"/>
  <c r="J190" i="57"/>
  <c r="C190" i="57"/>
  <c r="B190" i="57"/>
  <c r="O189" i="57"/>
  <c r="L189" i="57"/>
  <c r="J189" i="57"/>
  <c r="C189" i="57"/>
  <c r="B189" i="57"/>
  <c r="O188" i="57"/>
  <c r="L188" i="57"/>
  <c r="J188" i="57"/>
  <c r="C188" i="57"/>
  <c r="B188" i="57"/>
  <c r="O187" i="57"/>
  <c r="L187" i="57"/>
  <c r="J187" i="57"/>
  <c r="C187" i="57"/>
  <c r="B187" i="57"/>
  <c r="O186" i="57"/>
  <c r="L186" i="57"/>
  <c r="J186" i="57"/>
  <c r="C186" i="57"/>
  <c r="B186" i="57"/>
  <c r="O185" i="57"/>
  <c r="L185" i="57"/>
  <c r="J185" i="57"/>
  <c r="C185" i="57"/>
  <c r="B185" i="57"/>
  <c r="O184" i="57"/>
  <c r="L184" i="57"/>
  <c r="J184" i="57"/>
  <c r="C184" i="57"/>
  <c r="B184" i="57"/>
  <c r="O183" i="57"/>
  <c r="L183" i="57"/>
  <c r="J183" i="57"/>
  <c r="C183" i="57"/>
  <c r="B183" i="57"/>
  <c r="O182" i="57"/>
  <c r="L182" i="57"/>
  <c r="J182" i="57"/>
  <c r="C182" i="57"/>
  <c r="B182" i="57"/>
  <c r="O181" i="57"/>
  <c r="L181" i="57"/>
  <c r="J181" i="57"/>
  <c r="C181" i="57"/>
  <c r="B181" i="57"/>
  <c r="O180" i="57"/>
  <c r="L180" i="57"/>
  <c r="J180" i="57"/>
  <c r="C180" i="57"/>
  <c r="B180" i="57"/>
  <c r="O179" i="57"/>
  <c r="L179" i="57"/>
  <c r="J179" i="57"/>
  <c r="C179" i="57"/>
  <c r="B179" i="57"/>
  <c r="O178" i="57"/>
  <c r="L178" i="57"/>
  <c r="J178" i="57"/>
  <c r="C178" i="57"/>
  <c r="B178" i="57"/>
  <c r="O177" i="57"/>
  <c r="L177" i="57"/>
  <c r="J177" i="57"/>
  <c r="C177" i="57"/>
  <c r="B177" i="57"/>
  <c r="O176" i="57"/>
  <c r="L176" i="57"/>
  <c r="J176" i="57"/>
  <c r="C176" i="57"/>
  <c r="B176" i="57"/>
  <c r="O175" i="57"/>
  <c r="L175" i="57"/>
  <c r="J175" i="57"/>
  <c r="C175" i="57"/>
  <c r="B175" i="57"/>
  <c r="O174" i="57"/>
  <c r="L174" i="57"/>
  <c r="J174" i="57"/>
  <c r="C174" i="57"/>
  <c r="B174" i="57"/>
  <c r="O173" i="57"/>
  <c r="L173" i="57"/>
  <c r="J173" i="57"/>
  <c r="C173" i="57"/>
  <c r="B173" i="57"/>
  <c r="O172" i="57"/>
  <c r="L172" i="57"/>
  <c r="J172" i="57"/>
  <c r="C172" i="57"/>
  <c r="B172" i="57"/>
  <c r="O171" i="57"/>
  <c r="L171" i="57"/>
  <c r="J171" i="57"/>
  <c r="C171" i="57"/>
  <c r="B171" i="57"/>
  <c r="O170" i="57"/>
  <c r="L170" i="57"/>
  <c r="J170" i="57"/>
  <c r="C170" i="57"/>
  <c r="B170" i="57"/>
  <c r="O169" i="57"/>
  <c r="L169" i="57"/>
  <c r="J169" i="57"/>
  <c r="C169" i="57"/>
  <c r="B169" i="57"/>
  <c r="O168" i="57"/>
  <c r="L168" i="57"/>
  <c r="J168" i="57"/>
  <c r="C168" i="57"/>
  <c r="B168" i="57"/>
  <c r="O167" i="57"/>
  <c r="L167" i="57"/>
  <c r="J167" i="57"/>
  <c r="C167" i="57"/>
  <c r="B167" i="57"/>
  <c r="O166" i="57"/>
  <c r="L166" i="57"/>
  <c r="J166" i="57"/>
  <c r="C166" i="57"/>
  <c r="B166" i="57"/>
  <c r="O165" i="57"/>
  <c r="L165" i="57"/>
  <c r="J165" i="57"/>
  <c r="C165" i="57"/>
  <c r="B165" i="57"/>
  <c r="O164" i="57"/>
  <c r="L164" i="57"/>
  <c r="J164" i="57"/>
  <c r="C164" i="57"/>
  <c r="B164" i="57"/>
  <c r="O163" i="57"/>
  <c r="L163" i="57"/>
  <c r="J163" i="57"/>
  <c r="C163" i="57"/>
  <c r="B163" i="57"/>
  <c r="O162" i="57"/>
  <c r="L162" i="57"/>
  <c r="J162" i="57"/>
  <c r="C162" i="57"/>
  <c r="B162" i="57"/>
  <c r="O161" i="57"/>
  <c r="L161" i="57"/>
  <c r="J161" i="57"/>
  <c r="C161" i="57"/>
  <c r="B161" i="57"/>
  <c r="O160" i="57"/>
  <c r="L160" i="57"/>
  <c r="J160" i="57"/>
  <c r="C160" i="57"/>
  <c r="B160" i="57"/>
  <c r="O159" i="57"/>
  <c r="L159" i="57"/>
  <c r="J159" i="57"/>
  <c r="C159" i="57"/>
  <c r="B159" i="57"/>
  <c r="O158" i="57"/>
  <c r="L158" i="57"/>
  <c r="J158" i="57"/>
  <c r="C158" i="57"/>
  <c r="B158" i="57"/>
  <c r="O157" i="57"/>
  <c r="L157" i="57"/>
  <c r="J157" i="57"/>
  <c r="C157" i="57"/>
  <c r="B157" i="57"/>
  <c r="O156" i="57"/>
  <c r="L156" i="57"/>
  <c r="J156" i="57"/>
  <c r="C156" i="57"/>
  <c r="B156" i="57"/>
  <c r="O155" i="57"/>
  <c r="L155" i="57"/>
  <c r="J155" i="57"/>
  <c r="C155" i="57"/>
  <c r="B155" i="57"/>
  <c r="O154" i="57"/>
  <c r="L154" i="57"/>
  <c r="J154" i="57"/>
  <c r="C154" i="57"/>
  <c r="B154" i="57"/>
  <c r="O153" i="57"/>
  <c r="L153" i="57"/>
  <c r="J153" i="57"/>
  <c r="C153" i="57"/>
  <c r="B153" i="57"/>
  <c r="O152" i="57"/>
  <c r="L152" i="57"/>
  <c r="J152" i="57"/>
  <c r="C152" i="57"/>
  <c r="B152" i="57"/>
  <c r="O151" i="57"/>
  <c r="L151" i="57"/>
  <c r="J151" i="57"/>
  <c r="C151" i="57"/>
  <c r="B151" i="57"/>
  <c r="O150" i="57"/>
  <c r="L150" i="57"/>
  <c r="J150" i="57"/>
  <c r="C150" i="57"/>
  <c r="B150" i="57"/>
  <c r="O149" i="57"/>
  <c r="L149" i="57"/>
  <c r="J149" i="57"/>
  <c r="C149" i="57"/>
  <c r="B149" i="57"/>
  <c r="O148" i="57"/>
  <c r="L148" i="57"/>
  <c r="J148" i="57"/>
  <c r="C148" i="57"/>
  <c r="B148" i="57"/>
  <c r="O147" i="57"/>
  <c r="L147" i="57"/>
  <c r="J147" i="57"/>
  <c r="C147" i="57"/>
  <c r="B147" i="57"/>
  <c r="O146" i="57"/>
  <c r="L146" i="57"/>
  <c r="J146" i="57"/>
  <c r="C146" i="57"/>
  <c r="B146" i="57"/>
  <c r="O145" i="57"/>
  <c r="L145" i="57"/>
  <c r="J145" i="57"/>
  <c r="C145" i="57"/>
  <c r="B145" i="57"/>
  <c r="O144" i="57"/>
  <c r="L144" i="57"/>
  <c r="J144" i="57"/>
  <c r="C144" i="57"/>
  <c r="B144" i="57"/>
  <c r="O143" i="57"/>
  <c r="L143" i="57"/>
  <c r="J143" i="57"/>
  <c r="C143" i="57"/>
  <c r="B143" i="57"/>
  <c r="O142" i="57"/>
  <c r="L142" i="57"/>
  <c r="J142" i="57"/>
  <c r="C142" i="57"/>
  <c r="B142" i="57"/>
  <c r="O141" i="57"/>
  <c r="L141" i="57"/>
  <c r="J141" i="57"/>
  <c r="C141" i="57"/>
  <c r="B141" i="57"/>
  <c r="O140" i="57"/>
  <c r="L140" i="57"/>
  <c r="J140" i="57"/>
  <c r="C140" i="57"/>
  <c r="B140" i="57"/>
  <c r="O139" i="57"/>
  <c r="L139" i="57"/>
  <c r="J139" i="57"/>
  <c r="C139" i="57"/>
  <c r="B139" i="57"/>
  <c r="O138" i="57"/>
  <c r="L138" i="57"/>
  <c r="J138" i="57"/>
  <c r="C138" i="57"/>
  <c r="B138" i="57"/>
  <c r="O137" i="57"/>
  <c r="L137" i="57"/>
  <c r="J137" i="57"/>
  <c r="C137" i="57"/>
  <c r="B137" i="57"/>
  <c r="O136" i="57"/>
  <c r="L136" i="57"/>
  <c r="J136" i="57"/>
  <c r="C136" i="57"/>
  <c r="B136" i="57"/>
  <c r="O135" i="57"/>
  <c r="L135" i="57"/>
  <c r="J135" i="57"/>
  <c r="C135" i="57"/>
  <c r="B135" i="57"/>
  <c r="O134" i="57"/>
  <c r="L134" i="57"/>
  <c r="J134" i="57"/>
  <c r="C134" i="57"/>
  <c r="B134" i="57"/>
  <c r="O133" i="57"/>
  <c r="L133" i="57"/>
  <c r="J133" i="57"/>
  <c r="C133" i="57"/>
  <c r="B133" i="57"/>
  <c r="O132" i="57"/>
  <c r="L132" i="57"/>
  <c r="J132" i="57"/>
  <c r="C132" i="57"/>
  <c r="B132" i="57"/>
  <c r="O131" i="57"/>
  <c r="L131" i="57"/>
  <c r="J131" i="57"/>
  <c r="C131" i="57"/>
  <c r="B131" i="57"/>
  <c r="O130" i="57"/>
  <c r="L130" i="57"/>
  <c r="J130" i="57"/>
  <c r="C130" i="57"/>
  <c r="B130" i="57"/>
  <c r="O129" i="57"/>
  <c r="L129" i="57"/>
  <c r="J129" i="57"/>
  <c r="C129" i="57"/>
  <c r="B129" i="57"/>
  <c r="O128" i="57"/>
  <c r="L128" i="57"/>
  <c r="J128" i="57"/>
  <c r="C128" i="57"/>
  <c r="B128" i="57"/>
  <c r="O127" i="57"/>
  <c r="L127" i="57"/>
  <c r="J127" i="57"/>
  <c r="C127" i="57"/>
  <c r="B127" i="57"/>
  <c r="O126" i="57"/>
  <c r="L126" i="57"/>
  <c r="J126" i="57"/>
  <c r="C126" i="57"/>
  <c r="B126" i="57"/>
  <c r="O125" i="57"/>
  <c r="L125" i="57"/>
  <c r="J125" i="57"/>
  <c r="C125" i="57"/>
  <c r="B125" i="57"/>
  <c r="O124" i="57"/>
  <c r="L124" i="57"/>
  <c r="J124" i="57"/>
  <c r="C124" i="57"/>
  <c r="B124" i="57"/>
  <c r="O123" i="57"/>
  <c r="L123" i="57"/>
  <c r="J123" i="57"/>
  <c r="C123" i="57"/>
  <c r="B123" i="57"/>
  <c r="O122" i="57"/>
  <c r="L122" i="57"/>
  <c r="J122" i="57"/>
  <c r="C122" i="57"/>
  <c r="B122" i="57"/>
  <c r="O121" i="57"/>
  <c r="L121" i="57"/>
  <c r="J121" i="57"/>
  <c r="C121" i="57"/>
  <c r="B121" i="57"/>
  <c r="O120" i="57"/>
  <c r="L120" i="57"/>
  <c r="J120" i="57"/>
  <c r="C120" i="57"/>
  <c r="B120" i="57"/>
  <c r="O119" i="57"/>
  <c r="L119" i="57"/>
  <c r="J119" i="57"/>
  <c r="C119" i="57"/>
  <c r="B119" i="57"/>
  <c r="O118" i="57"/>
  <c r="L118" i="57"/>
  <c r="J118" i="57"/>
  <c r="C118" i="57"/>
  <c r="B118" i="57"/>
  <c r="O117" i="57"/>
  <c r="L117" i="57"/>
  <c r="J117" i="57"/>
  <c r="C117" i="57"/>
  <c r="B117" i="57"/>
  <c r="O116" i="57"/>
  <c r="L116" i="57"/>
  <c r="J116" i="57"/>
  <c r="C116" i="57"/>
  <c r="B116" i="57"/>
  <c r="O115" i="57"/>
  <c r="L115" i="57"/>
  <c r="J115" i="57"/>
  <c r="C115" i="57"/>
  <c r="B115" i="57"/>
  <c r="O114" i="57"/>
  <c r="L114" i="57"/>
  <c r="J114" i="57"/>
  <c r="C114" i="57"/>
  <c r="B114" i="57"/>
  <c r="O113" i="57"/>
  <c r="L113" i="57"/>
  <c r="J113" i="57"/>
  <c r="C113" i="57"/>
  <c r="B113" i="57"/>
  <c r="O112" i="57"/>
  <c r="L112" i="57"/>
  <c r="J112" i="57"/>
  <c r="C112" i="57"/>
  <c r="B112" i="57"/>
  <c r="O111" i="57"/>
  <c r="L111" i="57"/>
  <c r="J111" i="57"/>
  <c r="C111" i="57"/>
  <c r="B111" i="57"/>
  <c r="O110" i="57"/>
  <c r="L110" i="57"/>
  <c r="J110" i="57"/>
  <c r="C110" i="57"/>
  <c r="B110" i="57"/>
  <c r="O109" i="57"/>
  <c r="L109" i="57"/>
  <c r="J109" i="57"/>
  <c r="C109" i="57"/>
  <c r="B109" i="57"/>
  <c r="O108" i="57"/>
  <c r="L108" i="57"/>
  <c r="J108" i="57"/>
  <c r="C108" i="57"/>
  <c r="B108" i="57"/>
  <c r="O107" i="57"/>
  <c r="L107" i="57"/>
  <c r="J107" i="57"/>
  <c r="C107" i="57"/>
  <c r="B107" i="57"/>
  <c r="O106" i="57"/>
  <c r="L106" i="57"/>
  <c r="J106" i="57"/>
  <c r="C106" i="57"/>
  <c r="B106" i="57"/>
  <c r="O105" i="57"/>
  <c r="L105" i="57"/>
  <c r="J105" i="57"/>
  <c r="C105" i="57"/>
  <c r="B105" i="57"/>
  <c r="O104" i="57"/>
  <c r="L104" i="57"/>
  <c r="J104" i="57"/>
  <c r="C104" i="57"/>
  <c r="B104" i="57"/>
  <c r="O103" i="57"/>
  <c r="L103" i="57"/>
  <c r="J103" i="57"/>
  <c r="C103" i="57"/>
  <c r="B103" i="57"/>
  <c r="O102" i="57"/>
  <c r="L102" i="57"/>
  <c r="J102" i="57"/>
  <c r="C102" i="57"/>
  <c r="B102" i="57"/>
  <c r="O101" i="57"/>
  <c r="L101" i="57"/>
  <c r="J101" i="57"/>
  <c r="C101" i="57"/>
  <c r="B101" i="57"/>
  <c r="O100" i="57"/>
  <c r="L100" i="57"/>
  <c r="J100" i="57"/>
  <c r="C100" i="57"/>
  <c r="B100" i="57"/>
  <c r="O99" i="57"/>
  <c r="L99" i="57"/>
  <c r="J99" i="57"/>
  <c r="C99" i="57"/>
  <c r="B99" i="57"/>
  <c r="O98" i="57"/>
  <c r="L98" i="57"/>
  <c r="J98" i="57"/>
  <c r="C98" i="57"/>
  <c r="B98" i="57"/>
  <c r="O97" i="57"/>
  <c r="L97" i="57"/>
  <c r="J97" i="57"/>
  <c r="H97" i="57"/>
  <c r="C97" i="57"/>
  <c r="B97" i="57"/>
  <c r="O96" i="57"/>
  <c r="L96" i="57"/>
  <c r="J96" i="57"/>
  <c r="H96" i="57"/>
  <c r="C96" i="57"/>
  <c r="B96" i="57"/>
  <c r="O95" i="57"/>
  <c r="L95" i="57"/>
  <c r="J95" i="57"/>
  <c r="H95" i="57"/>
  <c r="C95" i="57"/>
  <c r="B95" i="57"/>
  <c r="O94" i="57"/>
  <c r="L94" i="57"/>
  <c r="J94" i="57"/>
  <c r="H94" i="57"/>
  <c r="C94" i="57"/>
  <c r="B94" i="57"/>
  <c r="O93" i="57"/>
  <c r="L93" i="57"/>
  <c r="J93" i="57"/>
  <c r="H93" i="57"/>
  <c r="C93" i="57"/>
  <c r="B93" i="57"/>
  <c r="O92" i="57"/>
  <c r="L92" i="57"/>
  <c r="J92" i="57"/>
  <c r="H92" i="57"/>
  <c r="C92" i="57"/>
  <c r="B92" i="57"/>
  <c r="O91" i="57"/>
  <c r="L91" i="57"/>
  <c r="J91" i="57"/>
  <c r="H91" i="57"/>
  <c r="C91" i="57"/>
  <c r="B91" i="57"/>
  <c r="O90" i="57"/>
  <c r="L90" i="57"/>
  <c r="J90" i="57"/>
  <c r="H90" i="57"/>
  <c r="C90" i="57"/>
  <c r="B90" i="57"/>
  <c r="O89" i="57"/>
  <c r="L89" i="57"/>
  <c r="J89" i="57"/>
  <c r="H89" i="57"/>
  <c r="C89" i="57"/>
  <c r="B89" i="57"/>
  <c r="O88" i="57"/>
  <c r="L88" i="57"/>
  <c r="J88" i="57"/>
  <c r="H88" i="57"/>
  <c r="C88" i="57"/>
  <c r="B88" i="57"/>
  <c r="O87" i="57"/>
  <c r="L87" i="57"/>
  <c r="J87" i="57"/>
  <c r="H87" i="57"/>
  <c r="C87" i="57"/>
  <c r="B87" i="57"/>
  <c r="O86" i="57"/>
  <c r="L86" i="57"/>
  <c r="J86" i="57"/>
  <c r="C86" i="57"/>
  <c r="B86" i="57"/>
  <c r="O85" i="57"/>
  <c r="L85" i="57"/>
  <c r="J85" i="57"/>
  <c r="H85" i="57"/>
  <c r="C85" i="57"/>
  <c r="B85" i="57"/>
  <c r="O84" i="57"/>
  <c r="L84" i="57"/>
  <c r="J84" i="57"/>
  <c r="H84" i="57"/>
  <c r="C84" i="57"/>
  <c r="B84" i="57"/>
  <c r="O83" i="57"/>
  <c r="L83" i="57"/>
  <c r="J83" i="57"/>
  <c r="H83" i="57"/>
  <c r="C83" i="57"/>
  <c r="B83" i="57"/>
  <c r="O82" i="57"/>
  <c r="L82" i="57"/>
  <c r="J82" i="57"/>
  <c r="H82" i="57"/>
  <c r="C82" i="57"/>
  <c r="B82" i="57"/>
  <c r="O81" i="57"/>
  <c r="L81" i="57"/>
  <c r="J81" i="57"/>
  <c r="H81" i="57"/>
  <c r="C81" i="57"/>
  <c r="B81" i="57"/>
  <c r="O80" i="57"/>
  <c r="L80" i="57"/>
  <c r="J80" i="57"/>
  <c r="H80" i="57"/>
  <c r="C80" i="57"/>
  <c r="B80" i="57"/>
  <c r="O79" i="57"/>
  <c r="L79" i="57"/>
  <c r="J79" i="57"/>
  <c r="C79" i="57"/>
  <c r="B79" i="57"/>
  <c r="O78" i="57"/>
  <c r="L78" i="57"/>
  <c r="J78" i="57"/>
  <c r="C78" i="57"/>
  <c r="B78" i="57"/>
  <c r="O77" i="57"/>
  <c r="L77" i="57"/>
  <c r="J77" i="57"/>
  <c r="H77" i="57"/>
  <c r="C77" i="57"/>
  <c r="B77" i="57"/>
  <c r="O76" i="57"/>
  <c r="L76" i="57"/>
  <c r="J76" i="57"/>
  <c r="C76" i="57"/>
  <c r="B76" i="57"/>
  <c r="O75" i="57"/>
  <c r="L75" i="57"/>
  <c r="J75" i="57"/>
  <c r="H75" i="57"/>
  <c r="C75" i="57"/>
  <c r="B75" i="57"/>
  <c r="O74" i="57"/>
  <c r="L74" i="57"/>
  <c r="J74" i="57"/>
  <c r="C74" i="57"/>
  <c r="B74" i="57"/>
  <c r="O73" i="57"/>
  <c r="L73" i="57"/>
  <c r="J73" i="57"/>
  <c r="H73" i="57"/>
  <c r="C73" i="57"/>
  <c r="B73" i="57"/>
  <c r="O72" i="57"/>
  <c r="L72" i="57"/>
  <c r="J72" i="57"/>
  <c r="H72" i="57"/>
  <c r="C72" i="57"/>
  <c r="B72" i="57"/>
  <c r="O71" i="57"/>
  <c r="L71" i="57"/>
  <c r="J71" i="57"/>
  <c r="H71" i="57"/>
  <c r="C71" i="57"/>
  <c r="B71" i="57"/>
  <c r="O70" i="57"/>
  <c r="L70" i="57"/>
  <c r="J70" i="57"/>
  <c r="H70" i="57"/>
  <c r="C70" i="57"/>
  <c r="B70" i="57"/>
  <c r="O69" i="57"/>
  <c r="L69" i="57"/>
  <c r="J69" i="57"/>
  <c r="H69" i="57"/>
  <c r="C69" i="57"/>
  <c r="B69" i="57"/>
  <c r="O68" i="57"/>
  <c r="L68" i="57"/>
  <c r="J68" i="57"/>
  <c r="H68" i="57"/>
  <c r="C68" i="57"/>
  <c r="B68" i="57"/>
  <c r="O67" i="57"/>
  <c r="L67" i="57"/>
  <c r="J67" i="57"/>
  <c r="H67" i="57"/>
  <c r="C67" i="57"/>
  <c r="B67" i="57"/>
  <c r="O66" i="57"/>
  <c r="L66" i="57"/>
  <c r="J66" i="57"/>
  <c r="C66" i="57"/>
  <c r="B66" i="57"/>
  <c r="O65" i="57"/>
  <c r="L65" i="57"/>
  <c r="J65" i="57"/>
  <c r="H65" i="57"/>
  <c r="C65" i="57"/>
  <c r="B65" i="57"/>
  <c r="O64" i="57"/>
  <c r="L64" i="57"/>
  <c r="J64" i="57"/>
  <c r="H64" i="57"/>
  <c r="C64" i="57"/>
  <c r="B64" i="57"/>
  <c r="O63" i="57"/>
  <c r="L63" i="57"/>
  <c r="J63" i="57"/>
  <c r="H63" i="57"/>
  <c r="C63" i="57"/>
  <c r="B63" i="57"/>
  <c r="O62" i="57"/>
  <c r="L62" i="57"/>
  <c r="J62" i="57"/>
  <c r="H62" i="57"/>
  <c r="C62" i="57"/>
  <c r="B62" i="57"/>
  <c r="O61" i="57"/>
  <c r="L61" i="57"/>
  <c r="J61" i="57"/>
  <c r="H61" i="57"/>
  <c r="C61" i="57"/>
  <c r="B61" i="57"/>
  <c r="O60" i="57"/>
  <c r="L60" i="57"/>
  <c r="J60" i="57"/>
  <c r="C60" i="57"/>
  <c r="B60" i="57"/>
  <c r="L59" i="57"/>
  <c r="J59" i="57"/>
  <c r="C59" i="57"/>
  <c r="L58" i="57"/>
  <c r="J58" i="57"/>
  <c r="C58" i="57"/>
  <c r="L57" i="57"/>
  <c r="J57" i="57"/>
  <c r="C57" i="57"/>
  <c r="L56" i="57"/>
  <c r="J56" i="57"/>
  <c r="C56" i="57"/>
  <c r="L55" i="57"/>
  <c r="J55" i="57"/>
  <c r="C55" i="57"/>
  <c r="L54" i="57"/>
  <c r="J54" i="57"/>
  <c r="C54" i="57"/>
  <c r="L53" i="57"/>
  <c r="J53" i="57"/>
  <c r="C53" i="57"/>
  <c r="L52" i="57"/>
  <c r="J52" i="57"/>
  <c r="C52" i="57"/>
  <c r="L51" i="57"/>
  <c r="J51" i="57"/>
  <c r="C51" i="57"/>
  <c r="L50" i="57"/>
  <c r="J50" i="57"/>
  <c r="C50" i="57"/>
  <c r="L49" i="57"/>
  <c r="J49" i="57"/>
  <c r="C49" i="57"/>
  <c r="O48" i="57"/>
  <c r="L48" i="57"/>
  <c r="J48" i="57"/>
  <c r="C48" i="57"/>
  <c r="O47" i="57"/>
  <c r="L47" i="57"/>
  <c r="J47" i="57"/>
  <c r="H47" i="57"/>
  <c r="H47" i="57" a="1"/>
  <c r="C47" i="57"/>
  <c r="B47" i="57"/>
  <c r="O46" i="57"/>
  <c r="L46" i="57"/>
  <c r="J46" i="57"/>
  <c r="H46" i="57"/>
  <c r="H46" i="57" a="1"/>
  <c r="C46" i="57"/>
  <c r="B46" i="57"/>
  <c r="O45" i="57"/>
  <c r="L45" i="57"/>
  <c r="J45" i="57"/>
  <c r="H45" i="57"/>
  <c r="H45" i="57" a="1"/>
  <c r="C45" i="57"/>
  <c r="B45" i="57"/>
  <c r="O44" i="57"/>
  <c r="L44" i="57"/>
  <c r="J44" i="57"/>
  <c r="H44" i="57"/>
  <c r="H44" i="57" a="1"/>
  <c r="C44" i="57"/>
  <c r="B44" i="57"/>
  <c r="O43" i="57"/>
  <c r="L43" i="57"/>
  <c r="J43" i="57"/>
  <c r="H43" i="57"/>
  <c r="H43" i="57" a="1"/>
  <c r="C43" i="57"/>
  <c r="B43" i="57"/>
  <c r="O42" i="57"/>
  <c r="L42" i="57"/>
  <c r="J42" i="57"/>
  <c r="H42" i="57"/>
  <c r="H42" i="57" a="1"/>
  <c r="C42" i="57"/>
  <c r="B42" i="57"/>
  <c r="O41" i="57"/>
  <c r="L41" i="57"/>
  <c r="J41" i="57"/>
  <c r="H41" i="57"/>
  <c r="H41" i="57" a="1"/>
  <c r="C41" i="57"/>
  <c r="B41" i="57"/>
  <c r="O40" i="57"/>
  <c r="L40" i="57"/>
  <c r="J40" i="57"/>
  <c r="H40" i="57"/>
  <c r="H40" i="57" a="1"/>
  <c r="C40" i="57"/>
  <c r="B40" i="57"/>
  <c r="O39" i="57"/>
  <c r="L39" i="57"/>
  <c r="J39" i="57"/>
  <c r="H39" i="57"/>
  <c r="H39" i="57" a="1"/>
  <c r="C39" i="57"/>
  <c r="B39" i="57"/>
  <c r="O38" i="57"/>
  <c r="L38" i="57"/>
  <c r="J38" i="57"/>
  <c r="H38" i="57"/>
  <c r="H38" i="57" a="1"/>
  <c r="C38" i="57"/>
  <c r="B38" i="57"/>
  <c r="O37" i="57"/>
  <c r="L37" i="57"/>
  <c r="J37" i="57"/>
  <c r="H37" i="57"/>
  <c r="H37" i="57" a="1"/>
  <c r="C37" i="57"/>
  <c r="B37" i="57"/>
  <c r="O36" i="57"/>
  <c r="L36" i="57"/>
  <c r="J36" i="57"/>
  <c r="H36" i="57"/>
  <c r="H36" i="57" a="1"/>
  <c r="C36" i="57"/>
  <c r="B36" i="57"/>
  <c r="O35" i="57"/>
  <c r="L35" i="57"/>
  <c r="J35" i="57"/>
  <c r="H35" i="57"/>
  <c r="H35" i="57" a="1"/>
  <c r="C35" i="57"/>
  <c r="B35" i="57"/>
  <c r="O34" i="57"/>
  <c r="L34" i="57"/>
  <c r="J34" i="57"/>
  <c r="H34" i="57"/>
  <c r="H34" i="57" a="1"/>
  <c r="C34" i="57"/>
  <c r="B34" i="57"/>
  <c r="O33" i="57"/>
  <c r="L33" i="57"/>
  <c r="J33" i="57"/>
  <c r="H33" i="57"/>
  <c r="H33" i="57" a="1"/>
  <c r="C33" i="57"/>
  <c r="B33" i="57"/>
  <c r="O32" i="57"/>
  <c r="L32" i="57"/>
  <c r="J32" i="57"/>
  <c r="H32" i="57"/>
  <c r="H32" i="57" a="1"/>
  <c r="C32" i="57"/>
  <c r="B32" i="57"/>
  <c r="O31" i="57"/>
  <c r="L31" i="57"/>
  <c r="J31" i="57"/>
  <c r="H31" i="57"/>
  <c r="H31" i="57" a="1"/>
  <c r="C31" i="57"/>
  <c r="B31" i="57"/>
  <c r="O30" i="57"/>
  <c r="L30" i="57"/>
  <c r="J30" i="57"/>
  <c r="H30" i="57"/>
  <c r="H30" i="57" a="1"/>
  <c r="C30" i="57"/>
  <c r="B30" i="57"/>
  <c r="O29" i="57"/>
  <c r="L29" i="57"/>
  <c r="J29" i="57"/>
  <c r="H29" i="57"/>
  <c r="H29" i="57" a="1"/>
  <c r="C29" i="57"/>
  <c r="B29" i="57"/>
  <c r="O28" i="57"/>
  <c r="L28" i="57"/>
  <c r="J28" i="57"/>
  <c r="H28" i="57"/>
  <c r="H28" i="57" a="1"/>
  <c r="C28" i="57"/>
  <c r="B28" i="57"/>
  <c r="O27" i="57"/>
  <c r="L27" i="57"/>
  <c r="J27" i="57"/>
  <c r="H27" i="57"/>
  <c r="H27" i="57" a="1"/>
  <c r="C27" i="57"/>
  <c r="B27" i="57"/>
  <c r="O26" i="57"/>
  <c r="L26" i="57"/>
  <c r="J26" i="57"/>
  <c r="H26" i="57"/>
  <c r="H26" i="57" a="1"/>
  <c r="C26" i="57"/>
  <c r="B26" i="57"/>
  <c r="O25" i="57"/>
  <c r="L25" i="57"/>
  <c r="J25" i="57"/>
  <c r="H25" i="57"/>
  <c r="H25" i="57" a="1"/>
  <c r="C25" i="57"/>
  <c r="B25" i="57"/>
  <c r="O24" i="57"/>
  <c r="L24" i="57"/>
  <c r="J24" i="57"/>
  <c r="H24" i="57"/>
  <c r="H24" i="57" a="1"/>
  <c r="C24" i="57"/>
  <c r="B24" i="57"/>
  <c r="O23" i="57"/>
  <c r="L23" i="57"/>
  <c r="J23" i="57"/>
  <c r="H23" i="57"/>
  <c r="H23" i="57" a="1"/>
  <c r="C23" i="57"/>
  <c r="B23" i="57"/>
  <c r="O22" i="57"/>
  <c r="L22" i="57"/>
  <c r="J22" i="57"/>
  <c r="H22" i="57"/>
  <c r="H22" i="57" a="1"/>
  <c r="C22" i="57"/>
  <c r="B22" i="57"/>
  <c r="O21" i="57"/>
  <c r="L21" i="57"/>
  <c r="J21" i="57"/>
  <c r="H21" i="57"/>
  <c r="H21" i="57" a="1"/>
  <c r="C21" i="57"/>
  <c r="B21" i="57"/>
  <c r="O20" i="57"/>
  <c r="L20" i="57"/>
  <c r="J20" i="57"/>
  <c r="H20" i="57"/>
  <c r="H20" i="57" a="1"/>
  <c r="C20" i="57"/>
  <c r="B20" i="57"/>
  <c r="O19" i="57"/>
  <c r="L19" i="57"/>
  <c r="J19" i="57"/>
  <c r="H19" i="57"/>
  <c r="H19" i="57" a="1"/>
  <c r="C19" i="57"/>
  <c r="B19" i="57"/>
  <c r="O18" i="57"/>
  <c r="L18" i="57"/>
  <c r="J18" i="57"/>
  <c r="H18" i="57"/>
  <c r="H18" i="57" a="1"/>
  <c r="C18" i="57"/>
  <c r="B18" i="57"/>
  <c r="O17" i="57"/>
  <c r="L17" i="57"/>
  <c r="J17" i="57"/>
  <c r="H17" i="57"/>
  <c r="H17" i="57" a="1"/>
  <c r="C17" i="57"/>
  <c r="B17" i="57"/>
  <c r="O16" i="57"/>
  <c r="L16" i="57"/>
  <c r="J16" i="57"/>
  <c r="H16" i="57"/>
  <c r="H16" i="57" a="1"/>
  <c r="C16" i="57"/>
  <c r="B16" i="57"/>
  <c r="O15" i="57"/>
  <c r="L15" i="57"/>
  <c r="J15" i="57"/>
  <c r="H15" i="57"/>
  <c r="H15" i="57" a="1"/>
  <c r="C15" i="57"/>
  <c r="B15" i="57"/>
  <c r="O14" i="57"/>
  <c r="L14" i="57"/>
  <c r="J14" i="57"/>
  <c r="H14" i="57"/>
  <c r="H14" i="57" a="1"/>
  <c r="C14" i="57"/>
  <c r="B14" i="57"/>
  <c r="O13" i="57"/>
  <c r="L13" i="57"/>
  <c r="J13" i="57"/>
  <c r="H13" i="57"/>
  <c r="H13" i="57" a="1"/>
  <c r="C13" i="57"/>
  <c r="B13" i="57"/>
  <c r="O12" i="57"/>
  <c r="L12" i="57"/>
  <c r="J12" i="57"/>
  <c r="H12" i="57"/>
  <c r="H12" i="57" a="1"/>
  <c r="C12" i="57"/>
  <c r="B12" i="57"/>
  <c r="O11" i="57"/>
  <c r="L11" i="57"/>
  <c r="J11" i="57"/>
  <c r="H11" i="57"/>
  <c r="H11" i="57" a="1"/>
  <c r="C11" i="57"/>
  <c r="B11" i="57"/>
  <c r="O10" i="57"/>
  <c r="L10" i="57"/>
  <c r="J10" i="57"/>
  <c r="H10" i="57"/>
  <c r="H10" i="57" a="1"/>
  <c r="C10" i="57"/>
  <c r="B10" i="57"/>
  <c r="O9" i="57"/>
  <c r="L9" i="57"/>
  <c r="J9" i="57"/>
  <c r="H9" i="57"/>
  <c r="H9" i="57" a="1"/>
  <c r="C9" i="57"/>
  <c r="B9" i="57"/>
  <c r="O8" i="57"/>
  <c r="L8" i="57"/>
  <c r="J8" i="57"/>
  <c r="H8" i="57"/>
  <c r="H8" i="57" a="1"/>
  <c r="C8" i="57"/>
  <c r="B8" i="57"/>
  <c r="O7" i="57"/>
  <c r="L7" i="57"/>
  <c r="J7" i="57"/>
  <c r="H7" i="57"/>
  <c r="H7" i="57" a="1"/>
  <c r="C7" i="57"/>
  <c r="B7" i="57"/>
  <c r="O6" i="57"/>
  <c r="L6" i="57"/>
  <c r="J6" i="57"/>
  <c r="H6" i="57"/>
  <c r="H6" i="57" a="1"/>
  <c r="C6" i="57"/>
  <c r="B6" i="57"/>
  <c r="O5" i="57"/>
  <c r="L5" i="57"/>
  <c r="J5" i="57"/>
  <c r="H5" i="57"/>
  <c r="H5" i="57" a="1"/>
  <c r="C5" i="57"/>
  <c r="B5" i="57"/>
  <c r="O4" i="57"/>
  <c r="L4" i="57"/>
  <c r="J4" i="57"/>
  <c r="H4" i="57"/>
  <c r="H4" i="57" a="1"/>
  <c r="C4" i="57"/>
  <c r="B4" i="57"/>
  <c r="O3" i="57"/>
  <c r="L3" i="57"/>
  <c r="J3" i="57"/>
  <c r="H3" i="57"/>
  <c r="H3" i="57" a="1"/>
  <c r="C3" i="57"/>
  <c r="B3" i="57"/>
  <c r="I224" i="17"/>
  <c r="I223" i="17"/>
  <c r="I222" i="17"/>
  <c r="I221" i="17"/>
  <c r="I220" i="17"/>
  <c r="I219" i="17"/>
  <c r="I218" i="17"/>
  <c r="I217" i="17"/>
  <c r="I216" i="17"/>
  <c r="I215" i="17"/>
  <c r="I214" i="17"/>
  <c r="I213" i="17"/>
  <c r="I212" i="17"/>
  <c r="I211" i="17"/>
  <c r="I210" i="17"/>
  <c r="I209" i="17"/>
  <c r="I208" i="17"/>
  <c r="I207" i="17"/>
  <c r="I206" i="17"/>
  <c r="I205" i="17"/>
  <c r="I204" i="17"/>
  <c r="I203" i="17"/>
  <c r="I202" i="17"/>
  <c r="I201" i="17"/>
  <c r="I200" i="17"/>
  <c r="I199" i="17"/>
  <c r="I198" i="17"/>
  <c r="I197" i="17"/>
  <c r="I196" i="17"/>
  <c r="I195" i="17"/>
  <c r="I194" i="17"/>
  <c r="I193" i="17"/>
  <c r="I192" i="17"/>
  <c r="I191" i="17"/>
  <c r="I190" i="17"/>
  <c r="I189" i="17"/>
  <c r="I188" i="17"/>
  <c r="I187" i="17"/>
  <c r="I186" i="17"/>
  <c r="I185" i="17"/>
  <c r="I184" i="17"/>
  <c r="I183" i="17"/>
  <c r="I182" i="17"/>
  <c r="I181" i="17"/>
  <c r="I180" i="17"/>
  <c r="I179" i="17"/>
  <c r="I178" i="17"/>
  <c r="I177" i="17"/>
  <c r="I176" i="17"/>
  <c r="I175" i="17"/>
  <c r="I174" i="17"/>
  <c r="I173" i="17"/>
  <c r="I172" i="17"/>
  <c r="I171" i="17"/>
  <c r="I170" i="17"/>
  <c r="I169" i="17"/>
  <c r="I168" i="17"/>
  <c r="I167" i="17"/>
  <c r="I166" i="17"/>
  <c r="I165" i="17"/>
  <c r="I164" i="17"/>
  <c r="I163" i="17"/>
  <c r="I162" i="17"/>
  <c r="I161" i="17"/>
  <c r="I160" i="17"/>
  <c r="I159" i="17"/>
  <c r="I158" i="17"/>
  <c r="I157" i="17"/>
  <c r="I156" i="17"/>
  <c r="I155" i="17"/>
  <c r="I154" i="17"/>
  <c r="I153" i="17"/>
  <c r="I152" i="17"/>
  <c r="I151" i="17"/>
  <c r="I150" i="17"/>
  <c r="I149" i="17"/>
  <c r="I148" i="17"/>
  <c r="I147" i="17"/>
  <c r="I146" i="17"/>
  <c r="I145" i="17"/>
  <c r="I144" i="17"/>
  <c r="I143" i="17"/>
  <c r="I142" i="17"/>
  <c r="I141" i="17"/>
  <c r="I140" i="17"/>
  <c r="I139" i="17"/>
  <c r="I138" i="17"/>
  <c r="I137" i="17"/>
  <c r="I136" i="17"/>
  <c r="I135" i="17"/>
  <c r="I134" i="17"/>
  <c r="I133" i="17"/>
  <c r="I132" i="17"/>
  <c r="I131" i="17"/>
  <c r="I130" i="17"/>
  <c r="I129" i="17"/>
  <c r="I128" i="17"/>
  <c r="I127" i="17"/>
  <c r="I126" i="17"/>
  <c r="I125" i="17"/>
  <c r="I124" i="17"/>
  <c r="F124" i="17"/>
  <c r="I123" i="17"/>
  <c r="F123" i="17"/>
  <c r="I122" i="17"/>
  <c r="F122" i="17"/>
  <c r="I121" i="17"/>
  <c r="F121" i="17"/>
  <c r="I120" i="17"/>
  <c r="F120" i="17"/>
  <c r="I119" i="17"/>
  <c r="F119" i="17"/>
  <c r="I118" i="17"/>
  <c r="F118" i="17"/>
  <c r="I117" i="17"/>
  <c r="F117" i="17"/>
  <c r="I116" i="17"/>
  <c r="F116" i="17"/>
  <c r="I115" i="17"/>
  <c r="F115" i="17"/>
  <c r="I114" i="17"/>
  <c r="F114" i="17"/>
  <c r="I113" i="17"/>
  <c r="I112" i="17"/>
  <c r="F112" i="17"/>
  <c r="I111" i="17"/>
  <c r="F111" i="17"/>
  <c r="I110" i="17"/>
  <c r="F110" i="17"/>
  <c r="I109" i="17"/>
  <c r="F109" i="17"/>
  <c r="I108" i="17"/>
  <c r="F108" i="17"/>
  <c r="I107" i="17"/>
  <c r="F107" i="17"/>
  <c r="I106" i="17"/>
  <c r="I105" i="17"/>
  <c r="I104" i="17"/>
  <c r="F104" i="17"/>
  <c r="I103" i="17"/>
  <c r="I102" i="17"/>
  <c r="F102" i="17"/>
  <c r="I101" i="17"/>
  <c r="I100" i="17"/>
  <c r="F100" i="17"/>
  <c r="I99" i="17"/>
  <c r="F99" i="17"/>
  <c r="I98" i="17"/>
  <c r="F98" i="17"/>
  <c r="I97" i="17"/>
  <c r="F97" i="17"/>
  <c r="I96" i="17"/>
  <c r="F96" i="17"/>
  <c r="I95" i="17"/>
  <c r="F95" i="17"/>
  <c r="I94" i="17"/>
  <c r="F94" i="17"/>
  <c r="I93" i="17"/>
  <c r="I92" i="17"/>
  <c r="F92" i="17"/>
  <c r="I91" i="17"/>
  <c r="F91" i="17"/>
  <c r="I90" i="17"/>
  <c r="F90" i="17"/>
  <c r="I89" i="17"/>
  <c r="F89" i="17"/>
  <c r="I88" i="17"/>
  <c r="F88" i="17"/>
  <c r="I87" i="17"/>
  <c r="I75" i="17"/>
  <c r="I74" i="17"/>
  <c r="F74" i="17"/>
  <c r="F74" i="17" a="1"/>
  <c r="I73" i="17"/>
  <c r="F73" i="17"/>
  <c r="F73" i="17" a="1"/>
  <c r="I72" i="17"/>
  <c r="F72" i="17"/>
  <c r="F72" i="17" a="1"/>
  <c r="I71" i="17"/>
  <c r="F71" i="17"/>
  <c r="F71" i="17" a="1"/>
  <c r="I70" i="17"/>
  <c r="F70" i="17"/>
  <c r="F70" i="17" a="1"/>
  <c r="I69" i="17"/>
  <c r="F69" i="17"/>
  <c r="F69" i="17" a="1"/>
  <c r="I68" i="17"/>
  <c r="F68" i="17"/>
  <c r="F68" i="17" a="1"/>
  <c r="I67" i="17"/>
  <c r="F67" i="17"/>
  <c r="F67" i="17" a="1"/>
  <c r="I66" i="17"/>
  <c r="F66" i="17"/>
  <c r="F66" i="17" a="1"/>
  <c r="I65" i="17"/>
  <c r="F65" i="17"/>
  <c r="F65" i="17" a="1"/>
  <c r="I64" i="17"/>
  <c r="F64" i="17"/>
  <c r="F64" i="17" a="1"/>
  <c r="I63" i="17"/>
  <c r="F63" i="17"/>
  <c r="F63" i="17" a="1"/>
  <c r="I62" i="17"/>
  <c r="F62" i="17"/>
  <c r="F62" i="17" a="1"/>
  <c r="I61" i="17"/>
  <c r="F61" i="17"/>
  <c r="F61" i="17" a="1"/>
  <c r="I60" i="17"/>
  <c r="F60" i="17"/>
  <c r="F60" i="17" a="1"/>
  <c r="I59" i="17"/>
  <c r="F59" i="17"/>
  <c r="F59" i="17" a="1"/>
  <c r="I58" i="17"/>
  <c r="F58" i="17"/>
  <c r="F58" i="17" a="1"/>
  <c r="I57" i="17"/>
  <c r="F57" i="17"/>
  <c r="F57" i="17" a="1"/>
  <c r="I56" i="17"/>
  <c r="F56" i="17"/>
  <c r="F56" i="17" a="1"/>
  <c r="I55" i="17"/>
  <c r="F55" i="17"/>
  <c r="F55" i="17" a="1"/>
  <c r="I54" i="17"/>
  <c r="F54" i="17"/>
  <c r="F54" i="17" a="1"/>
  <c r="I53" i="17"/>
  <c r="F53" i="17"/>
  <c r="F53" i="17" a="1"/>
  <c r="I52" i="17"/>
  <c r="F52" i="17"/>
  <c r="F52" i="17" a="1"/>
  <c r="I51" i="17"/>
  <c r="F51" i="17"/>
  <c r="F51" i="17" a="1"/>
  <c r="I50" i="17"/>
  <c r="F50" i="17"/>
  <c r="F50" i="17" a="1"/>
  <c r="I49" i="17"/>
  <c r="F49" i="17"/>
  <c r="F49" i="17" a="1"/>
  <c r="I48" i="17"/>
  <c r="F48" i="17"/>
  <c r="F48" i="17" a="1"/>
  <c r="I47" i="17"/>
  <c r="F47" i="17"/>
  <c r="F47" i="17" a="1"/>
  <c r="I46" i="17"/>
  <c r="F46" i="17"/>
  <c r="F46" i="17" a="1"/>
  <c r="I45" i="17"/>
  <c r="F45" i="17"/>
  <c r="F45" i="17" a="1"/>
  <c r="I44" i="17"/>
  <c r="F44" i="17"/>
  <c r="F44" i="17" a="1"/>
  <c r="I43" i="17"/>
  <c r="F43" i="17"/>
  <c r="F43" i="17" a="1"/>
  <c r="I42" i="17"/>
  <c r="F42" i="17"/>
  <c r="F42" i="17" a="1"/>
  <c r="I41" i="17"/>
  <c r="F41" i="17"/>
  <c r="F41" i="17" a="1"/>
  <c r="I40" i="17"/>
  <c r="F40" i="17"/>
  <c r="F40" i="17" a="1"/>
  <c r="I39" i="17"/>
  <c r="F39" i="17"/>
  <c r="F39" i="17" a="1"/>
  <c r="I38" i="17"/>
  <c r="F38" i="17"/>
  <c r="F38" i="17" a="1"/>
  <c r="I37" i="17"/>
  <c r="F37" i="17"/>
  <c r="F37" i="17" a="1"/>
  <c r="I36" i="17"/>
  <c r="F36" i="17"/>
  <c r="F36" i="17" a="1"/>
  <c r="I35" i="17"/>
  <c r="F35" i="17"/>
  <c r="F35" i="17" a="1"/>
  <c r="I34" i="17"/>
  <c r="F34" i="17"/>
  <c r="F34" i="17" a="1"/>
  <c r="I33" i="17"/>
  <c r="F33" i="17"/>
  <c r="F33" i="17" a="1"/>
  <c r="I32" i="17"/>
  <c r="F32" i="17"/>
  <c r="F32" i="17" a="1"/>
  <c r="I31" i="17"/>
  <c r="F31" i="17"/>
  <c r="F31" i="17" a="1"/>
  <c r="I30" i="17"/>
  <c r="F30" i="17"/>
  <c r="F30" i="17" a="1"/>
  <c r="B9" i="17"/>
  <c r="V25" i="55"/>
  <c r="P25" i="55"/>
  <c r="C25" i="55"/>
  <c r="V24" i="55"/>
  <c r="P24" i="55"/>
  <c r="C24" i="55"/>
  <c r="V23" i="55"/>
  <c r="P23" i="55"/>
  <c r="C23" i="55"/>
  <c r="V22" i="55"/>
  <c r="P22" i="55"/>
  <c r="C22" i="55"/>
  <c r="V21" i="55"/>
  <c r="L21" i="55"/>
  <c r="C21" i="55"/>
  <c r="V20" i="55"/>
  <c r="L20" i="55"/>
  <c r="C20" i="55"/>
  <c r="V19" i="55"/>
  <c r="L19" i="55"/>
  <c r="C19" i="55"/>
  <c r="V18" i="55"/>
  <c r="L18" i="55"/>
  <c r="C18" i="55"/>
  <c r="V17" i="55"/>
  <c r="L17" i="55"/>
  <c r="C17" i="55"/>
  <c r="V16" i="55"/>
  <c r="L16" i="55"/>
  <c r="C16" i="55"/>
  <c r="V15" i="55"/>
  <c r="L15" i="55"/>
  <c r="C15" i="55"/>
  <c r="V14" i="55"/>
  <c r="L14" i="55"/>
  <c r="C14" i="55"/>
  <c r="V13" i="55"/>
  <c r="L13" i="55"/>
  <c r="C13" i="55"/>
  <c r="V12" i="55"/>
  <c r="P12" i="55"/>
  <c r="C12" i="55"/>
  <c r="V11" i="55"/>
  <c r="P11" i="55"/>
  <c r="C11" i="55"/>
  <c r="V10" i="55"/>
  <c r="P10" i="55"/>
  <c r="C10" i="55"/>
  <c r="V9" i="55"/>
  <c r="P9" i="55"/>
  <c r="C9" i="55"/>
  <c r="B9" i="55"/>
  <c r="V8" i="55"/>
  <c r="P8" i="55"/>
  <c r="C8" i="55"/>
  <c r="B8" i="55"/>
  <c r="V7" i="55"/>
  <c r="P7" i="55"/>
  <c r="C7" i="55"/>
  <c r="B7" i="55"/>
  <c r="V6" i="55"/>
  <c r="P6" i="55"/>
  <c r="C6" i="55"/>
  <c r="B6" i="55"/>
  <c r="V5" i="55"/>
  <c r="P5" i="55"/>
  <c r="L5" i="55"/>
  <c r="C5" i="55"/>
  <c r="B5" i="55"/>
  <c r="V4" i="55"/>
  <c r="P4" i="55"/>
  <c r="C4" i="55"/>
  <c r="B4" i="55"/>
  <c r="V3" i="55"/>
  <c r="P3" i="55"/>
  <c r="L3" i="55"/>
  <c r="C3" i="55"/>
  <c r="B3" i="55"/>
  <c r="I32" i="40"/>
  <c r="I30" i="40"/>
  <c r="B9" i="40"/>
  <c r="U78" i="54"/>
  <c r="I78" i="54"/>
  <c r="H78" i="54"/>
  <c r="C78" i="54"/>
  <c r="U77" i="54"/>
  <c r="I77" i="54"/>
  <c r="H77" i="54"/>
  <c r="C77" i="54"/>
  <c r="U76" i="54"/>
  <c r="I76" i="54"/>
  <c r="H76" i="54"/>
  <c r="C76" i="54"/>
  <c r="U75" i="54"/>
  <c r="I75" i="54"/>
  <c r="H75" i="54"/>
  <c r="C75" i="54"/>
  <c r="U74" i="54"/>
  <c r="I74" i="54"/>
  <c r="H74" i="54"/>
  <c r="C74" i="54"/>
  <c r="U73" i="54"/>
  <c r="I73" i="54"/>
  <c r="H73" i="54"/>
  <c r="C73" i="54"/>
  <c r="U72" i="54"/>
  <c r="I72" i="54"/>
  <c r="H72" i="54"/>
  <c r="C72" i="54"/>
  <c r="U71" i="54"/>
  <c r="I71" i="54"/>
  <c r="H71" i="54"/>
  <c r="C71" i="54"/>
  <c r="U70" i="54"/>
  <c r="I70" i="54"/>
  <c r="H70" i="54"/>
  <c r="C70" i="54"/>
  <c r="U69" i="54"/>
  <c r="I69" i="54"/>
  <c r="H69" i="54"/>
  <c r="C69" i="54"/>
  <c r="U68" i="54"/>
  <c r="I68" i="54"/>
  <c r="H68" i="54"/>
  <c r="C68" i="54"/>
  <c r="U67" i="54"/>
  <c r="I67" i="54"/>
  <c r="H67" i="54"/>
  <c r="C67" i="54"/>
  <c r="U66" i="54"/>
  <c r="I66" i="54"/>
  <c r="H66" i="54"/>
  <c r="C66" i="54"/>
  <c r="U65" i="54"/>
  <c r="I65" i="54"/>
  <c r="H65" i="54"/>
  <c r="C65" i="54"/>
  <c r="U64" i="54"/>
  <c r="I64" i="54"/>
  <c r="H64" i="54"/>
  <c r="C64" i="54"/>
  <c r="U63" i="54"/>
  <c r="I63" i="54"/>
  <c r="H63" i="54"/>
  <c r="C63" i="54"/>
  <c r="U62" i="54"/>
  <c r="I62" i="54"/>
  <c r="H62" i="54"/>
  <c r="C62" i="54"/>
  <c r="U61" i="54"/>
  <c r="I61" i="54"/>
  <c r="H61" i="54"/>
  <c r="C61" i="54"/>
  <c r="U60" i="54"/>
  <c r="I60" i="54"/>
  <c r="H60" i="54"/>
  <c r="C60" i="54"/>
  <c r="U59" i="54"/>
  <c r="I59" i="54"/>
  <c r="H59" i="54"/>
  <c r="C59" i="54"/>
  <c r="U58" i="54"/>
  <c r="I58" i="54"/>
  <c r="H58" i="54"/>
  <c r="C58" i="54"/>
  <c r="U57" i="54"/>
  <c r="I57" i="54"/>
  <c r="H57" i="54"/>
  <c r="C57" i="54"/>
  <c r="U56" i="54"/>
  <c r="I56" i="54"/>
  <c r="H56" i="54"/>
  <c r="C56" i="54"/>
  <c r="U55" i="54"/>
  <c r="I55" i="54"/>
  <c r="H55" i="54"/>
  <c r="C55" i="54"/>
  <c r="U54" i="54"/>
  <c r="I54" i="54"/>
  <c r="H54" i="54"/>
  <c r="C54" i="54"/>
  <c r="U53" i="54"/>
  <c r="I53" i="54"/>
  <c r="H53" i="54"/>
  <c r="C53" i="54"/>
  <c r="U52" i="54"/>
  <c r="I52" i="54"/>
  <c r="H52" i="54"/>
  <c r="C52" i="54"/>
  <c r="U51" i="54"/>
  <c r="I51" i="54"/>
  <c r="H51" i="54"/>
  <c r="C51" i="54"/>
  <c r="U50" i="54"/>
  <c r="I50" i="54"/>
  <c r="H50" i="54"/>
  <c r="C50" i="54"/>
  <c r="U49" i="54"/>
  <c r="I49" i="54"/>
  <c r="H49" i="54"/>
  <c r="C49" i="54"/>
  <c r="B49" i="54"/>
  <c r="U48" i="54"/>
  <c r="I48" i="54"/>
  <c r="H48" i="54"/>
  <c r="C48" i="54"/>
  <c r="B48" i="54"/>
  <c r="U47" i="54"/>
  <c r="I47" i="54"/>
  <c r="H47" i="54"/>
  <c r="C47" i="54"/>
  <c r="B47" i="54"/>
  <c r="U46" i="54"/>
  <c r="I46" i="54"/>
  <c r="H46" i="54"/>
  <c r="C46" i="54"/>
  <c r="B46" i="54"/>
  <c r="U45" i="54"/>
  <c r="I45" i="54"/>
  <c r="H45" i="54"/>
  <c r="C45" i="54"/>
  <c r="B45" i="54"/>
  <c r="U44" i="54"/>
  <c r="I44" i="54"/>
  <c r="H44" i="54"/>
  <c r="C44" i="54"/>
  <c r="B44" i="54"/>
  <c r="U43" i="54"/>
  <c r="I43" i="54"/>
  <c r="H43" i="54"/>
  <c r="C43" i="54"/>
  <c r="B43" i="54"/>
  <c r="U42" i="54"/>
  <c r="I42" i="54"/>
  <c r="H42" i="54"/>
  <c r="C42" i="54"/>
  <c r="B42" i="54"/>
  <c r="U41" i="54"/>
  <c r="I41" i="54"/>
  <c r="H41" i="54"/>
  <c r="C41" i="54"/>
  <c r="B41" i="54"/>
  <c r="U40" i="54"/>
  <c r="I40" i="54"/>
  <c r="H40" i="54"/>
  <c r="C40" i="54"/>
  <c r="B40" i="54"/>
  <c r="U39" i="54"/>
  <c r="I39" i="54"/>
  <c r="H39" i="54"/>
  <c r="C39" i="54"/>
  <c r="B39" i="54"/>
  <c r="U38" i="54"/>
  <c r="I38" i="54"/>
  <c r="H38" i="54"/>
  <c r="C38" i="54"/>
  <c r="B38" i="54"/>
  <c r="U37" i="54"/>
  <c r="I37" i="54"/>
  <c r="H37" i="54"/>
  <c r="C37" i="54"/>
  <c r="B37" i="54"/>
  <c r="U36" i="54"/>
  <c r="N36" i="54"/>
  <c r="I36" i="54"/>
  <c r="H36" i="54"/>
  <c r="C36" i="54"/>
  <c r="B36" i="54"/>
  <c r="U35" i="54"/>
  <c r="I35" i="54"/>
  <c r="H35" i="54"/>
  <c r="C35" i="54"/>
  <c r="B35" i="54"/>
  <c r="U34" i="54"/>
  <c r="I34" i="54"/>
  <c r="H34" i="54"/>
  <c r="C34" i="54"/>
  <c r="B34" i="54"/>
  <c r="U33" i="54"/>
  <c r="I33" i="54"/>
  <c r="H33" i="54"/>
  <c r="C33" i="54"/>
  <c r="B33" i="54"/>
  <c r="U32" i="54"/>
  <c r="I32" i="54"/>
  <c r="H32" i="54"/>
  <c r="C32" i="54"/>
  <c r="B32" i="54"/>
  <c r="U31" i="54"/>
  <c r="I31" i="54"/>
  <c r="H31" i="54"/>
  <c r="C31" i="54"/>
  <c r="B31" i="54"/>
  <c r="U30" i="54"/>
  <c r="I30" i="54"/>
  <c r="H30" i="54"/>
  <c r="C30" i="54"/>
  <c r="B30" i="54"/>
  <c r="U29" i="54"/>
  <c r="I29" i="54"/>
  <c r="H29" i="54"/>
  <c r="C29" i="54"/>
  <c r="B29" i="54"/>
  <c r="U28" i="54"/>
  <c r="I28" i="54"/>
  <c r="H28" i="54"/>
  <c r="C28" i="54"/>
  <c r="B28" i="54"/>
  <c r="U27" i="54"/>
  <c r="I27" i="54"/>
  <c r="H27" i="54"/>
  <c r="C27" i="54"/>
  <c r="B27" i="54"/>
  <c r="U26" i="54"/>
  <c r="I26" i="54"/>
  <c r="H26" i="54"/>
  <c r="C26" i="54"/>
  <c r="B26" i="54"/>
  <c r="U25" i="54"/>
  <c r="I25" i="54"/>
  <c r="H25" i="54"/>
  <c r="C25" i="54"/>
  <c r="B25" i="54"/>
  <c r="U24" i="54"/>
  <c r="I24" i="54"/>
  <c r="H24" i="54"/>
  <c r="C24" i="54"/>
  <c r="B24" i="54"/>
  <c r="U23" i="54"/>
  <c r="I23" i="54"/>
  <c r="H23" i="54"/>
  <c r="C23" i="54"/>
  <c r="B23" i="54"/>
  <c r="U22" i="54"/>
  <c r="I22" i="54"/>
  <c r="H22" i="54"/>
  <c r="C22" i="54"/>
  <c r="B22" i="54"/>
  <c r="U21" i="54"/>
  <c r="I21" i="54"/>
  <c r="H21" i="54"/>
  <c r="C21" i="54"/>
  <c r="B21" i="54"/>
  <c r="U20" i="54"/>
  <c r="I20" i="54"/>
  <c r="H20" i="54"/>
  <c r="C20" i="54"/>
  <c r="B20" i="54"/>
  <c r="U19" i="54"/>
  <c r="I19" i="54"/>
  <c r="H19" i="54"/>
  <c r="C19" i="54"/>
  <c r="B19" i="54"/>
  <c r="U18" i="54"/>
  <c r="I18" i="54"/>
  <c r="H18" i="54"/>
  <c r="C18" i="54"/>
  <c r="B18" i="54"/>
  <c r="U17" i="54"/>
  <c r="I17" i="54"/>
  <c r="H17" i="54"/>
  <c r="C17" i="54"/>
  <c r="B17" i="54"/>
  <c r="U16" i="54"/>
  <c r="I16" i="54"/>
  <c r="H16" i="54"/>
  <c r="C16" i="54"/>
  <c r="B16" i="54"/>
  <c r="U15" i="54"/>
  <c r="I15" i="54"/>
  <c r="H15" i="54"/>
  <c r="C15" i="54"/>
  <c r="B15" i="54"/>
  <c r="U14" i="54"/>
  <c r="I14" i="54"/>
  <c r="H14" i="54"/>
  <c r="C14" i="54"/>
  <c r="B14" i="54"/>
  <c r="U13" i="54"/>
  <c r="I13" i="54"/>
  <c r="H13" i="54"/>
  <c r="C13" i="54"/>
  <c r="B13" i="54"/>
  <c r="U12" i="54"/>
  <c r="I12" i="54"/>
  <c r="H12" i="54"/>
  <c r="C12" i="54"/>
  <c r="B12" i="54"/>
  <c r="U11" i="54"/>
  <c r="I11" i="54"/>
  <c r="H11" i="54"/>
  <c r="C11" i="54"/>
  <c r="B11" i="54"/>
  <c r="U10" i="54"/>
  <c r="I10" i="54"/>
  <c r="H10" i="54"/>
  <c r="C10" i="54"/>
  <c r="B10" i="54"/>
  <c r="U9" i="54"/>
  <c r="I9" i="54"/>
  <c r="H9" i="54"/>
  <c r="C9" i="54"/>
  <c r="B9" i="54"/>
  <c r="U8" i="54"/>
  <c r="I8" i="54"/>
  <c r="H8" i="54"/>
  <c r="C8" i="54"/>
  <c r="B8" i="54"/>
  <c r="U7" i="54"/>
  <c r="I7" i="54"/>
  <c r="H7" i="54"/>
  <c r="C7" i="54"/>
  <c r="B7" i="54"/>
  <c r="U6" i="54"/>
  <c r="I6" i="54"/>
  <c r="H6" i="54"/>
  <c r="C6" i="54"/>
  <c r="B6" i="54"/>
  <c r="U5" i="54"/>
  <c r="I5" i="54"/>
  <c r="H5" i="54"/>
  <c r="C5" i="54"/>
  <c r="B5" i="54"/>
  <c r="U4" i="54"/>
  <c r="I4" i="54"/>
  <c r="H4" i="54"/>
  <c r="C4" i="54"/>
  <c r="B4" i="54"/>
  <c r="U3" i="54"/>
  <c r="I3" i="54"/>
  <c r="H3" i="54"/>
  <c r="C3" i="54"/>
  <c r="B3" i="54"/>
  <c r="I63" i="39"/>
  <c r="B9" i="39"/>
  <c r="B9" i="14"/>
  <c r="C199" i="53"/>
  <c r="C198" i="53"/>
  <c r="C197" i="53"/>
  <c r="C196" i="53"/>
  <c r="C195" i="53"/>
  <c r="R194" i="53"/>
  <c r="C194" i="53"/>
  <c r="R193" i="53"/>
  <c r="C193" i="53"/>
  <c r="R192" i="53"/>
  <c r="C192" i="53"/>
  <c r="R191" i="53"/>
  <c r="C191" i="53"/>
  <c r="R190" i="53"/>
  <c r="C190" i="53"/>
  <c r="R189" i="53"/>
  <c r="C189" i="53"/>
  <c r="R188" i="53"/>
  <c r="C188" i="53"/>
  <c r="R187" i="53"/>
  <c r="C187" i="53"/>
  <c r="R186" i="53"/>
  <c r="C186" i="53"/>
  <c r="R185" i="53"/>
  <c r="C185" i="53"/>
  <c r="R184" i="53"/>
  <c r="C184" i="53"/>
  <c r="R183" i="53"/>
  <c r="C183" i="53"/>
  <c r="R182" i="53"/>
  <c r="C182" i="53"/>
  <c r="R181" i="53"/>
  <c r="C181" i="53"/>
  <c r="R180" i="53"/>
  <c r="C180" i="53"/>
  <c r="R179" i="53"/>
  <c r="C179" i="53"/>
  <c r="R178" i="53"/>
  <c r="C178" i="53"/>
  <c r="R177" i="53"/>
  <c r="C177" i="53"/>
  <c r="R176" i="53"/>
  <c r="C176" i="53"/>
  <c r="R175" i="53"/>
  <c r="C175" i="53"/>
  <c r="R174" i="53"/>
  <c r="C174" i="53"/>
  <c r="R173" i="53"/>
  <c r="C173" i="53"/>
  <c r="R172" i="53"/>
  <c r="C172" i="53"/>
  <c r="R171" i="53"/>
  <c r="C171" i="53"/>
  <c r="R170" i="53"/>
  <c r="C170" i="53"/>
  <c r="R169" i="53"/>
  <c r="C169" i="53"/>
  <c r="R168" i="53"/>
  <c r="C168" i="53"/>
  <c r="R167" i="53"/>
  <c r="C167" i="53"/>
  <c r="R166" i="53"/>
  <c r="C166" i="53"/>
  <c r="R165" i="53"/>
  <c r="C165" i="53"/>
  <c r="R164" i="53"/>
  <c r="C164" i="53"/>
  <c r="R163" i="53"/>
  <c r="C163" i="53"/>
  <c r="R162" i="53"/>
  <c r="C162" i="53"/>
  <c r="R161" i="53"/>
  <c r="C161" i="53"/>
  <c r="R160" i="53"/>
  <c r="C160" i="53"/>
  <c r="R159" i="53"/>
  <c r="C159" i="53"/>
  <c r="R158" i="53"/>
  <c r="C158" i="53"/>
  <c r="R157" i="53"/>
  <c r="C157" i="53"/>
  <c r="R156" i="53"/>
  <c r="C156" i="53"/>
  <c r="R155" i="53"/>
  <c r="C155" i="53"/>
  <c r="R154" i="53"/>
  <c r="C154" i="53"/>
  <c r="R153" i="53"/>
  <c r="C153" i="53"/>
  <c r="R152" i="53"/>
  <c r="C152" i="53"/>
  <c r="R151" i="53"/>
  <c r="C151" i="53"/>
  <c r="R150" i="53"/>
  <c r="C150" i="53"/>
  <c r="R149" i="53"/>
  <c r="C149" i="53"/>
  <c r="R148" i="53"/>
  <c r="C148" i="53"/>
  <c r="R147" i="53"/>
  <c r="C147" i="53"/>
  <c r="R146" i="53"/>
  <c r="C146" i="53"/>
  <c r="R145" i="53"/>
  <c r="C145" i="53"/>
  <c r="R144" i="53"/>
  <c r="C144" i="53"/>
  <c r="R143" i="53"/>
  <c r="C143" i="53"/>
  <c r="R142" i="53"/>
  <c r="C142" i="53"/>
  <c r="R141" i="53"/>
  <c r="C141" i="53"/>
  <c r="R140" i="53"/>
  <c r="C140" i="53"/>
  <c r="R139" i="53"/>
  <c r="C139" i="53"/>
  <c r="R138" i="53"/>
  <c r="C138" i="53"/>
  <c r="R137" i="53"/>
  <c r="C137" i="53"/>
  <c r="R136" i="53"/>
  <c r="C136" i="53"/>
  <c r="R135" i="53"/>
  <c r="C135" i="53"/>
  <c r="R134" i="53"/>
  <c r="C134" i="53"/>
  <c r="R133" i="53"/>
  <c r="C133" i="53"/>
  <c r="R132" i="53"/>
  <c r="C132" i="53"/>
  <c r="R131" i="53"/>
  <c r="C131" i="53"/>
  <c r="R130" i="53"/>
  <c r="C130" i="53"/>
  <c r="R129" i="53"/>
  <c r="C129" i="53"/>
  <c r="R128" i="53"/>
  <c r="C128" i="53"/>
  <c r="R127" i="53"/>
  <c r="C127" i="53"/>
  <c r="R126" i="53"/>
  <c r="C126" i="53"/>
  <c r="R125" i="53"/>
  <c r="C125" i="53"/>
  <c r="R124" i="53"/>
  <c r="C124" i="53"/>
  <c r="R123" i="53"/>
  <c r="C123" i="53"/>
  <c r="R122" i="53"/>
  <c r="C122" i="53"/>
  <c r="R121" i="53"/>
  <c r="C121" i="53"/>
  <c r="R120" i="53"/>
  <c r="C120" i="53"/>
  <c r="R119" i="53"/>
  <c r="C119" i="53"/>
  <c r="R118" i="53"/>
  <c r="C118" i="53"/>
  <c r="R117" i="53"/>
  <c r="C117" i="53"/>
  <c r="R116" i="53"/>
  <c r="C116" i="53"/>
  <c r="R115" i="53"/>
  <c r="C115" i="53"/>
  <c r="R114" i="53"/>
  <c r="C114" i="53"/>
  <c r="R113" i="53"/>
  <c r="C113" i="53"/>
  <c r="R112" i="53"/>
  <c r="C112" i="53"/>
  <c r="R111" i="53"/>
  <c r="C111" i="53"/>
  <c r="R110" i="53"/>
  <c r="C110" i="53"/>
  <c r="R109" i="53"/>
  <c r="C109" i="53"/>
  <c r="R108" i="53"/>
  <c r="C108" i="53"/>
  <c r="R107" i="53"/>
  <c r="C107" i="53"/>
  <c r="R106" i="53"/>
  <c r="C106" i="53"/>
  <c r="R105" i="53"/>
  <c r="C105" i="53"/>
  <c r="R104" i="53"/>
  <c r="C104" i="53"/>
  <c r="R103" i="53"/>
  <c r="C103" i="53"/>
  <c r="R102" i="53"/>
  <c r="C102" i="53"/>
  <c r="R101" i="53"/>
  <c r="C101" i="53"/>
  <c r="R100" i="53"/>
  <c r="C100" i="53"/>
  <c r="R99" i="53"/>
  <c r="C99" i="53"/>
  <c r="R98" i="53"/>
  <c r="C98" i="53"/>
  <c r="R97" i="53"/>
  <c r="C97" i="53"/>
  <c r="R96" i="53"/>
  <c r="C96" i="53"/>
  <c r="R95" i="53"/>
  <c r="C95" i="53"/>
  <c r="R94" i="53"/>
  <c r="C94" i="53"/>
  <c r="R93" i="53"/>
  <c r="C93" i="53"/>
  <c r="R92" i="53"/>
  <c r="C92" i="53"/>
  <c r="R91" i="53"/>
  <c r="C91" i="53"/>
  <c r="R90" i="53"/>
  <c r="C90" i="53"/>
  <c r="R89" i="53"/>
  <c r="C89" i="53"/>
  <c r="R88" i="53"/>
  <c r="C88" i="53"/>
  <c r="R87" i="53"/>
  <c r="C87" i="53"/>
  <c r="R86" i="53"/>
  <c r="C86" i="53"/>
  <c r="R85" i="53"/>
  <c r="C85" i="53"/>
  <c r="R84" i="53"/>
  <c r="C84" i="53"/>
  <c r="R83" i="53"/>
  <c r="C83" i="53"/>
  <c r="R82" i="53"/>
  <c r="C82" i="53"/>
  <c r="R81" i="53"/>
  <c r="C81" i="53"/>
  <c r="R80" i="53"/>
  <c r="C80" i="53"/>
  <c r="R79" i="53"/>
  <c r="C79" i="53"/>
  <c r="R78" i="53"/>
  <c r="C78" i="53"/>
  <c r="R77" i="53"/>
  <c r="C77" i="53"/>
  <c r="R76" i="53"/>
  <c r="C76" i="53"/>
  <c r="R75" i="53"/>
  <c r="C75" i="53"/>
  <c r="R74" i="53"/>
  <c r="C74" i="53"/>
  <c r="C73" i="53"/>
  <c r="R72" i="53"/>
  <c r="C72" i="53"/>
  <c r="R71" i="53"/>
  <c r="C71" i="53"/>
  <c r="R70" i="53"/>
  <c r="C70" i="53"/>
  <c r="R69" i="53"/>
  <c r="C69" i="53"/>
  <c r="R68" i="53"/>
  <c r="C68" i="53"/>
  <c r="R67" i="53"/>
  <c r="C67" i="53"/>
  <c r="R66" i="53"/>
  <c r="C66" i="53"/>
  <c r="R65" i="53"/>
  <c r="C65" i="53"/>
  <c r="R64" i="53"/>
  <c r="C64" i="53"/>
  <c r="R63" i="53"/>
  <c r="C63" i="53"/>
  <c r="R62" i="53"/>
  <c r="C62" i="53"/>
  <c r="R61" i="53"/>
  <c r="C61" i="53"/>
  <c r="R60" i="53"/>
  <c r="C60" i="53"/>
  <c r="R59" i="53"/>
  <c r="C59" i="53"/>
  <c r="R58" i="53"/>
  <c r="C58" i="53"/>
  <c r="R57" i="53"/>
  <c r="Q57" i="53"/>
  <c r="Q57" i="53" a="1"/>
  <c r="N57" i="53"/>
  <c r="C57" i="53"/>
  <c r="B57" i="53"/>
  <c r="R56" i="53"/>
  <c r="Q56" i="53"/>
  <c r="Q56" i="53" a="1"/>
  <c r="N56" i="53"/>
  <c r="C56" i="53"/>
  <c r="B56" i="53"/>
  <c r="R55" i="53"/>
  <c r="Q55" i="53"/>
  <c r="Q55" i="53" a="1"/>
  <c r="N55" i="53"/>
  <c r="C55" i="53"/>
  <c r="B55" i="53"/>
  <c r="R54" i="53"/>
  <c r="Q54" i="53"/>
  <c r="Q54" i="53" a="1"/>
  <c r="N54" i="53"/>
  <c r="C54" i="53"/>
  <c r="B54" i="53"/>
  <c r="R53" i="53"/>
  <c r="Q53" i="53"/>
  <c r="Q53" i="53" a="1"/>
  <c r="N53" i="53"/>
  <c r="C53" i="53"/>
  <c r="B53" i="53"/>
  <c r="R52" i="53"/>
  <c r="Q52" i="53"/>
  <c r="Q52" i="53" a="1"/>
  <c r="N52" i="53"/>
  <c r="C52" i="53"/>
  <c r="B52" i="53"/>
  <c r="R51" i="53"/>
  <c r="Q51" i="53"/>
  <c r="Q51" i="53" a="1"/>
  <c r="N51" i="53"/>
  <c r="C51" i="53"/>
  <c r="B51" i="53"/>
  <c r="R50" i="53"/>
  <c r="Q50" i="53"/>
  <c r="Q50" i="53" a="1"/>
  <c r="N50" i="53"/>
  <c r="C50" i="53"/>
  <c r="B50" i="53"/>
  <c r="R49" i="53"/>
  <c r="Q49" i="53"/>
  <c r="Q49" i="53" a="1"/>
  <c r="N49" i="53"/>
  <c r="C49" i="53"/>
  <c r="B49" i="53"/>
  <c r="R48" i="53"/>
  <c r="Q48" i="53"/>
  <c r="Q48" i="53" a="1"/>
  <c r="N48" i="53"/>
  <c r="C48" i="53"/>
  <c r="B48" i="53"/>
  <c r="R47" i="53"/>
  <c r="Q47" i="53"/>
  <c r="Q47" i="53" a="1"/>
  <c r="N47" i="53"/>
  <c r="C47" i="53"/>
  <c r="B47" i="53"/>
  <c r="R46" i="53"/>
  <c r="Q46" i="53"/>
  <c r="Q46" i="53" a="1"/>
  <c r="N46" i="53"/>
  <c r="C46" i="53"/>
  <c r="B46" i="53"/>
  <c r="R45" i="53"/>
  <c r="Q45" i="53"/>
  <c r="Q45" i="53" a="1"/>
  <c r="N45" i="53"/>
  <c r="C45" i="53"/>
  <c r="B45" i="53"/>
  <c r="R44" i="53"/>
  <c r="Q44" i="53"/>
  <c r="Q44" i="53" a="1"/>
  <c r="N44" i="53"/>
  <c r="C44" i="53"/>
  <c r="B44" i="53"/>
  <c r="R43" i="53"/>
  <c r="Q43" i="53"/>
  <c r="Q43" i="53" a="1"/>
  <c r="N43" i="53"/>
  <c r="C43" i="53"/>
  <c r="B43" i="53"/>
  <c r="R42" i="53"/>
  <c r="Q42" i="53"/>
  <c r="Q42" i="53" a="1"/>
  <c r="N42" i="53"/>
  <c r="C42" i="53"/>
  <c r="B42" i="53"/>
  <c r="R41" i="53"/>
  <c r="Q41" i="53"/>
  <c r="Q41" i="53" a="1"/>
  <c r="N41" i="53"/>
  <c r="C41" i="53"/>
  <c r="B41" i="53"/>
  <c r="R40" i="53"/>
  <c r="Q40" i="53"/>
  <c r="Q40" i="53" a="1"/>
  <c r="N40" i="53"/>
  <c r="C40" i="53"/>
  <c r="B40" i="53"/>
  <c r="R39" i="53"/>
  <c r="Q39" i="53"/>
  <c r="Q39" i="53" a="1"/>
  <c r="N39" i="53"/>
  <c r="C39" i="53"/>
  <c r="B39" i="53"/>
  <c r="R38" i="53"/>
  <c r="Q38" i="53"/>
  <c r="Q38" i="53" a="1"/>
  <c r="N38" i="53"/>
  <c r="C38" i="53"/>
  <c r="B38" i="53"/>
  <c r="R37" i="53"/>
  <c r="Q37" i="53"/>
  <c r="Q37" i="53" a="1"/>
  <c r="N37" i="53"/>
  <c r="C37" i="53"/>
  <c r="B37" i="53"/>
  <c r="R36" i="53"/>
  <c r="Q36" i="53"/>
  <c r="Q36" i="53" a="1"/>
  <c r="N36" i="53"/>
  <c r="C36" i="53"/>
  <c r="B36" i="53"/>
  <c r="R35" i="53"/>
  <c r="Q35" i="53"/>
  <c r="Q35" i="53" a="1"/>
  <c r="N35" i="53"/>
  <c r="C35" i="53"/>
  <c r="B35" i="53"/>
  <c r="R34" i="53"/>
  <c r="Q34" i="53"/>
  <c r="Q34" i="53" a="1"/>
  <c r="N34" i="53"/>
  <c r="C34" i="53"/>
  <c r="B34" i="53"/>
  <c r="R33" i="53"/>
  <c r="Q33" i="53"/>
  <c r="Q33" i="53" a="1"/>
  <c r="N33" i="53"/>
  <c r="C33" i="53"/>
  <c r="B33" i="53"/>
  <c r="R32" i="53"/>
  <c r="Q32" i="53"/>
  <c r="Q32" i="53" a="1"/>
  <c r="N32" i="53"/>
  <c r="C32" i="53"/>
  <c r="B32" i="53"/>
  <c r="R31" i="53"/>
  <c r="Q31" i="53"/>
  <c r="Q31" i="53" a="1"/>
  <c r="N31" i="53"/>
  <c r="C31" i="53"/>
  <c r="B31" i="53"/>
  <c r="R30" i="53"/>
  <c r="Q30" i="53"/>
  <c r="Q30" i="53" a="1"/>
  <c r="N30" i="53"/>
  <c r="C30" i="53"/>
  <c r="B30" i="53"/>
  <c r="R29" i="53"/>
  <c r="Q29" i="53"/>
  <c r="Q29" i="53" a="1"/>
  <c r="N29" i="53"/>
  <c r="C29" i="53"/>
  <c r="B29" i="53"/>
  <c r="R28" i="53"/>
  <c r="Q28" i="53"/>
  <c r="Q28" i="53" a="1"/>
  <c r="N28" i="53"/>
  <c r="C28" i="53"/>
  <c r="B28" i="53"/>
  <c r="R27" i="53"/>
  <c r="Q27" i="53"/>
  <c r="Q27" i="53" a="1"/>
  <c r="N27" i="53"/>
  <c r="C27" i="53"/>
  <c r="B27" i="53"/>
  <c r="R26" i="53"/>
  <c r="Q26" i="53"/>
  <c r="Q26" i="53" a="1"/>
  <c r="N26" i="53"/>
  <c r="C26" i="53"/>
  <c r="B26" i="53"/>
  <c r="R25" i="53"/>
  <c r="Q25" i="53"/>
  <c r="Q25" i="53" a="1"/>
  <c r="N25" i="53"/>
  <c r="C25" i="53"/>
  <c r="B25" i="53"/>
  <c r="R24" i="53"/>
  <c r="Q24" i="53"/>
  <c r="Q24" i="53" a="1"/>
  <c r="N24" i="53"/>
  <c r="C24" i="53"/>
  <c r="B24" i="53"/>
  <c r="R23" i="53"/>
  <c r="Q23" i="53"/>
  <c r="N23" i="53"/>
  <c r="C23" i="53"/>
  <c r="B23" i="53"/>
  <c r="R22" i="53"/>
  <c r="Q22" i="53"/>
  <c r="N22" i="53"/>
  <c r="C22" i="53"/>
  <c r="B22" i="53"/>
  <c r="R21" i="53"/>
  <c r="Q21" i="53"/>
  <c r="N21" i="53"/>
  <c r="C21" i="53"/>
  <c r="B21" i="53"/>
  <c r="R20" i="53"/>
  <c r="Q20" i="53"/>
  <c r="N20" i="53"/>
  <c r="C20" i="53"/>
  <c r="B20" i="53"/>
  <c r="R19" i="53"/>
  <c r="Q19" i="53"/>
  <c r="N19" i="53"/>
  <c r="C19" i="53"/>
  <c r="B19" i="53"/>
  <c r="R18" i="53"/>
  <c r="Q18" i="53"/>
  <c r="N18" i="53"/>
  <c r="C18" i="53"/>
  <c r="B18" i="53"/>
  <c r="R17" i="53"/>
  <c r="Q17" i="53"/>
  <c r="N17" i="53"/>
  <c r="C17" i="53"/>
  <c r="B17" i="53"/>
  <c r="R16" i="53"/>
  <c r="Q16" i="53"/>
  <c r="N16" i="53"/>
  <c r="C16" i="53"/>
  <c r="B16" i="53"/>
  <c r="R15" i="53"/>
  <c r="Q15" i="53"/>
  <c r="N15" i="53"/>
  <c r="C15" i="53"/>
  <c r="B15" i="53"/>
  <c r="R14" i="53"/>
  <c r="Q14" i="53"/>
  <c r="N14" i="53"/>
  <c r="C14" i="53"/>
  <c r="B14" i="53"/>
  <c r="R13" i="53"/>
  <c r="Q13" i="53"/>
  <c r="N13" i="53"/>
  <c r="C13" i="53"/>
  <c r="B13" i="53"/>
  <c r="R12" i="53"/>
  <c r="Q12" i="53"/>
  <c r="N12" i="53"/>
  <c r="C12" i="53"/>
  <c r="B12" i="53"/>
  <c r="R11" i="53"/>
  <c r="Q11" i="53"/>
  <c r="N11" i="53"/>
  <c r="C11" i="53"/>
  <c r="B11" i="53"/>
  <c r="R10" i="53"/>
  <c r="Q10" i="53"/>
  <c r="N10" i="53"/>
  <c r="C10" i="53"/>
  <c r="B10" i="53"/>
  <c r="R9" i="53"/>
  <c r="Q9" i="53"/>
  <c r="N9" i="53"/>
  <c r="C9" i="53"/>
  <c r="B9" i="53"/>
  <c r="R8" i="53"/>
  <c r="Q8" i="53"/>
  <c r="N8" i="53"/>
  <c r="C8" i="53"/>
  <c r="B8" i="53"/>
  <c r="R7" i="53"/>
  <c r="Q7" i="53"/>
  <c r="N7" i="53"/>
  <c r="C7" i="53"/>
  <c r="B7" i="53"/>
  <c r="R6" i="53"/>
  <c r="Q6" i="53"/>
  <c r="N6" i="53"/>
  <c r="C6" i="53"/>
  <c r="B6" i="53"/>
  <c r="R5" i="53"/>
  <c r="Q5" i="53"/>
  <c r="N5" i="53"/>
  <c r="C5" i="53"/>
  <c r="B5" i="53"/>
  <c r="R4" i="53"/>
  <c r="Q4" i="53"/>
  <c r="N4" i="53"/>
  <c r="C4" i="53"/>
  <c r="B4" i="53"/>
  <c r="R3" i="53"/>
  <c r="Q3" i="53"/>
  <c r="N3" i="53"/>
  <c r="C3" i="53"/>
  <c r="B3" i="53"/>
  <c r="M84" i="34"/>
  <c r="L84" i="34"/>
  <c r="L84" i="34" a="1"/>
  <c r="I84" i="34"/>
  <c r="M83" i="34"/>
  <c r="L83" i="34"/>
  <c r="L83" i="34" a="1"/>
  <c r="I83" i="34"/>
  <c r="M82" i="34"/>
  <c r="L82" i="34"/>
  <c r="L82" i="34" a="1"/>
  <c r="I82" i="34"/>
  <c r="M81" i="34"/>
  <c r="L81" i="34"/>
  <c r="L81" i="34" a="1"/>
  <c r="I81" i="34"/>
  <c r="M80" i="34"/>
  <c r="L80" i="34"/>
  <c r="L80" i="34" a="1"/>
  <c r="I80" i="34"/>
  <c r="M79" i="34"/>
  <c r="L79" i="34"/>
  <c r="L79" i="34" a="1"/>
  <c r="I79" i="34"/>
  <c r="M78" i="34"/>
  <c r="L78" i="34"/>
  <c r="L78" i="34" a="1"/>
  <c r="I78" i="34"/>
  <c r="M77" i="34"/>
  <c r="L77" i="34"/>
  <c r="L77" i="34" a="1"/>
  <c r="I77" i="34"/>
  <c r="M76" i="34"/>
  <c r="L76" i="34"/>
  <c r="L76" i="34" a="1"/>
  <c r="I76" i="34"/>
  <c r="M75" i="34"/>
  <c r="L75" i="34"/>
  <c r="L75" i="34" a="1"/>
  <c r="I75" i="34"/>
  <c r="M74" i="34"/>
  <c r="L74" i="34"/>
  <c r="L74" i="34" a="1"/>
  <c r="I74" i="34"/>
  <c r="M73" i="34"/>
  <c r="L73" i="34"/>
  <c r="L73" i="34" a="1"/>
  <c r="I73" i="34"/>
  <c r="M72" i="34"/>
  <c r="L72" i="34"/>
  <c r="L72" i="34" a="1"/>
  <c r="I72" i="34"/>
  <c r="M71" i="34"/>
  <c r="L71" i="34"/>
  <c r="L71" i="34" a="1"/>
  <c r="I71" i="34"/>
  <c r="M70" i="34"/>
  <c r="L70" i="34"/>
  <c r="L70" i="34" a="1"/>
  <c r="I70" i="34"/>
  <c r="M69" i="34"/>
  <c r="L69" i="34"/>
  <c r="L69" i="34" a="1"/>
  <c r="I69" i="34"/>
  <c r="M68" i="34"/>
  <c r="L68" i="34"/>
  <c r="L68" i="34" a="1"/>
  <c r="I68" i="34"/>
  <c r="M67" i="34"/>
  <c r="L67" i="34"/>
  <c r="L67" i="34" a="1"/>
  <c r="I67" i="34"/>
  <c r="M66" i="34"/>
  <c r="L66" i="34"/>
  <c r="L66" i="34" a="1"/>
  <c r="I66" i="34"/>
  <c r="M65" i="34"/>
  <c r="L65" i="34"/>
  <c r="L65" i="34" a="1"/>
  <c r="I65" i="34"/>
  <c r="M64" i="34"/>
  <c r="L64" i="34"/>
  <c r="L64" i="34" a="1"/>
  <c r="I64" i="34"/>
  <c r="M63" i="34"/>
  <c r="L63" i="34"/>
  <c r="L63" i="34" a="1"/>
  <c r="I63" i="34"/>
  <c r="M62" i="34"/>
  <c r="L62" i="34"/>
  <c r="L62" i="34" a="1"/>
  <c r="I62" i="34"/>
  <c r="M61" i="34"/>
  <c r="L61" i="34"/>
  <c r="L61" i="34" a="1"/>
  <c r="I61" i="34"/>
  <c r="M60" i="34"/>
  <c r="L60" i="34"/>
  <c r="L60" i="34" a="1"/>
  <c r="I60" i="34"/>
  <c r="M59" i="34"/>
  <c r="L59" i="34"/>
  <c r="L59" i="34" a="1"/>
  <c r="I59" i="34"/>
  <c r="M58" i="34"/>
  <c r="L58" i="34"/>
  <c r="L58" i="34" a="1"/>
  <c r="I58" i="34"/>
  <c r="M57" i="34"/>
  <c r="L57" i="34"/>
  <c r="L57" i="34" a="1"/>
  <c r="I57" i="34"/>
  <c r="M56" i="34"/>
  <c r="L56" i="34"/>
  <c r="L56" i="34" a="1"/>
  <c r="I56" i="34"/>
  <c r="M55" i="34"/>
  <c r="L55" i="34"/>
  <c r="L55" i="34" a="1"/>
  <c r="I55" i="34"/>
  <c r="M54" i="34"/>
  <c r="L54" i="34"/>
  <c r="L54" i="34" a="1"/>
  <c r="I54" i="34"/>
  <c r="M53" i="34"/>
  <c r="L53" i="34"/>
  <c r="L53" i="34" a="1"/>
  <c r="I53" i="34"/>
  <c r="M52" i="34"/>
  <c r="L52" i="34"/>
  <c r="L52" i="34" a="1"/>
  <c r="I52" i="34"/>
  <c r="M51" i="34"/>
  <c r="L51" i="34"/>
  <c r="L51" i="34" a="1"/>
  <c r="I51" i="34"/>
  <c r="M50" i="34"/>
  <c r="L50" i="34"/>
  <c r="I50" i="34"/>
  <c r="M49" i="34"/>
  <c r="L49" i="34"/>
  <c r="I49" i="34"/>
  <c r="M48" i="34"/>
  <c r="L48" i="34"/>
  <c r="I48" i="34"/>
  <c r="M47" i="34"/>
  <c r="L47" i="34"/>
  <c r="I47" i="34"/>
  <c r="M46" i="34"/>
  <c r="L46" i="34"/>
  <c r="I46" i="34"/>
  <c r="M45" i="34"/>
  <c r="L45" i="34"/>
  <c r="I45" i="34"/>
  <c r="M44" i="34"/>
  <c r="L44" i="34"/>
  <c r="I44" i="34"/>
  <c r="M43" i="34"/>
  <c r="L43" i="34"/>
  <c r="I43" i="34"/>
  <c r="M42" i="34"/>
  <c r="L42" i="34"/>
  <c r="I42" i="34"/>
  <c r="M41" i="34"/>
  <c r="L41" i="34"/>
  <c r="I41" i="34"/>
  <c r="M40" i="34"/>
  <c r="L40" i="34"/>
  <c r="I40" i="34"/>
  <c r="M39" i="34"/>
  <c r="L39" i="34"/>
  <c r="I39" i="34"/>
  <c r="M38" i="34"/>
  <c r="L38" i="34"/>
  <c r="I38" i="34"/>
  <c r="M37" i="34"/>
  <c r="L37" i="34"/>
  <c r="I37" i="34"/>
  <c r="M36" i="34"/>
  <c r="L36" i="34"/>
  <c r="I36" i="34"/>
  <c r="M35" i="34"/>
  <c r="L35" i="34"/>
  <c r="I35" i="34"/>
  <c r="M34" i="34"/>
  <c r="L34" i="34"/>
  <c r="I34" i="34"/>
  <c r="M33" i="34"/>
  <c r="L33" i="34"/>
  <c r="I33" i="34"/>
  <c r="M32" i="34"/>
  <c r="L32" i="34"/>
  <c r="I32" i="34"/>
  <c r="M31" i="34"/>
  <c r="L31" i="34"/>
  <c r="I31" i="34"/>
  <c r="M30" i="34"/>
  <c r="L30" i="34"/>
  <c r="I30" i="34"/>
  <c r="B9" i="34"/>
  <c r="C457" i="58"/>
  <c r="C456" i="58"/>
  <c r="C455" i="58"/>
  <c r="C454" i="58"/>
  <c r="C453" i="58"/>
  <c r="C452" i="58"/>
  <c r="C451" i="58"/>
  <c r="C450" i="58"/>
  <c r="C449" i="58"/>
  <c r="C448" i="58"/>
  <c r="C447" i="58"/>
  <c r="C446" i="58"/>
  <c r="C445" i="58"/>
  <c r="C444" i="58"/>
  <c r="C443" i="58"/>
  <c r="C442" i="58"/>
  <c r="C441" i="58"/>
  <c r="C440" i="58"/>
  <c r="C439" i="58"/>
  <c r="C438" i="58"/>
  <c r="C437" i="58"/>
  <c r="C436" i="58"/>
  <c r="C435" i="58"/>
  <c r="C434" i="58"/>
  <c r="C433" i="58"/>
  <c r="C432" i="58"/>
  <c r="C431" i="58"/>
  <c r="C430" i="58"/>
  <c r="C429" i="58"/>
  <c r="C428" i="58"/>
  <c r="C427" i="58"/>
  <c r="C426" i="58"/>
  <c r="C425" i="58"/>
  <c r="C424" i="58"/>
  <c r="C423" i="58"/>
  <c r="C422" i="58"/>
  <c r="C421" i="58"/>
  <c r="C420" i="58"/>
  <c r="C419" i="58"/>
  <c r="C418" i="58"/>
  <c r="C417" i="58"/>
  <c r="C416" i="58"/>
  <c r="C415" i="58"/>
  <c r="C414" i="58"/>
  <c r="C413" i="58"/>
  <c r="C412" i="58"/>
  <c r="C411" i="58"/>
  <c r="C410" i="58"/>
  <c r="C409" i="58"/>
  <c r="C408" i="58"/>
  <c r="C407" i="58"/>
  <c r="C406" i="58"/>
  <c r="C405" i="58"/>
  <c r="C404" i="58"/>
  <c r="C403" i="58"/>
  <c r="C402" i="58"/>
  <c r="C401" i="58"/>
  <c r="C400" i="58"/>
  <c r="C399" i="58"/>
  <c r="C398" i="58"/>
  <c r="C397" i="58"/>
  <c r="C396" i="58"/>
  <c r="C395" i="58"/>
  <c r="C394" i="58"/>
  <c r="C393" i="58"/>
  <c r="C392" i="58"/>
  <c r="C391" i="58"/>
  <c r="C390" i="58"/>
  <c r="C389" i="58"/>
  <c r="C388" i="58"/>
  <c r="C387" i="58"/>
  <c r="C386" i="58"/>
  <c r="C385" i="58"/>
  <c r="C384" i="58"/>
  <c r="C383" i="58"/>
  <c r="C382" i="58"/>
  <c r="C381" i="58"/>
  <c r="C380" i="58"/>
  <c r="C379" i="58"/>
  <c r="C378" i="58"/>
  <c r="C377" i="58"/>
  <c r="C376" i="58"/>
  <c r="C375" i="58"/>
  <c r="C374" i="58"/>
  <c r="C373" i="58"/>
  <c r="C372" i="58"/>
  <c r="C371" i="58"/>
  <c r="C370" i="58"/>
  <c r="C369" i="58"/>
  <c r="C368" i="58"/>
  <c r="C367" i="58"/>
  <c r="C366" i="58"/>
  <c r="C365" i="58"/>
  <c r="C364" i="58"/>
  <c r="C363" i="58"/>
  <c r="C362" i="58"/>
  <c r="C361" i="58"/>
  <c r="C360" i="58"/>
  <c r="H359" i="58"/>
  <c r="C359" i="58"/>
  <c r="H358" i="58"/>
  <c r="C358" i="58"/>
  <c r="H357" i="58"/>
  <c r="C357" i="58"/>
  <c r="H356" i="58"/>
  <c r="C356" i="58"/>
  <c r="H355" i="58"/>
  <c r="C355" i="58"/>
  <c r="H354" i="58"/>
  <c r="C354" i="58"/>
  <c r="H353" i="58"/>
  <c r="C353" i="58"/>
  <c r="H352" i="58"/>
  <c r="C352" i="58"/>
  <c r="H351" i="58"/>
  <c r="C351" i="58"/>
  <c r="H350" i="58"/>
  <c r="C350" i="58"/>
  <c r="H349" i="58"/>
  <c r="C349" i="58"/>
  <c r="H348" i="58"/>
  <c r="C348" i="58"/>
  <c r="H347" i="58"/>
  <c r="C347" i="58"/>
  <c r="H346" i="58"/>
  <c r="C346" i="58"/>
  <c r="H345" i="58"/>
  <c r="C345" i="58"/>
  <c r="H344" i="58"/>
  <c r="C344" i="58"/>
  <c r="H343" i="58"/>
  <c r="C343" i="58"/>
  <c r="H342" i="58"/>
  <c r="C342" i="58"/>
  <c r="H341" i="58"/>
  <c r="C341" i="58"/>
  <c r="H340" i="58"/>
  <c r="C340" i="58"/>
  <c r="H339" i="58"/>
  <c r="C339" i="58"/>
  <c r="H338" i="58"/>
  <c r="C338" i="58"/>
  <c r="H337" i="58"/>
  <c r="C337" i="58"/>
  <c r="H336" i="58"/>
  <c r="C336" i="58"/>
  <c r="H335" i="58"/>
  <c r="C335" i="58"/>
  <c r="H334" i="58"/>
  <c r="C334" i="58"/>
  <c r="H333" i="58"/>
  <c r="C333" i="58"/>
  <c r="H332" i="58"/>
  <c r="C332" i="58"/>
  <c r="H331" i="58"/>
  <c r="C331" i="58"/>
  <c r="H330" i="58"/>
  <c r="C330" i="58"/>
  <c r="H329" i="58"/>
  <c r="C329" i="58"/>
  <c r="H328" i="58"/>
  <c r="C328" i="58"/>
  <c r="H327" i="58"/>
  <c r="C327" i="58"/>
  <c r="H326" i="58"/>
  <c r="C326" i="58"/>
  <c r="H325" i="58"/>
  <c r="C325" i="58"/>
  <c r="H324" i="58"/>
  <c r="C324" i="58"/>
  <c r="H323" i="58"/>
  <c r="C323" i="58"/>
  <c r="H322" i="58"/>
  <c r="C322" i="58"/>
  <c r="H321" i="58"/>
  <c r="C321" i="58"/>
  <c r="H320" i="58"/>
  <c r="C320" i="58"/>
  <c r="H319" i="58"/>
  <c r="C319" i="58"/>
  <c r="H318" i="58"/>
  <c r="C318" i="58"/>
  <c r="H317" i="58"/>
  <c r="C317" i="58"/>
  <c r="H316" i="58"/>
  <c r="C316" i="58"/>
  <c r="H315" i="58"/>
  <c r="C315" i="58"/>
  <c r="H314" i="58"/>
  <c r="C314" i="58"/>
  <c r="H313" i="58"/>
  <c r="C313" i="58"/>
  <c r="H312" i="58"/>
  <c r="C312" i="58"/>
  <c r="H311" i="58"/>
  <c r="C311" i="58"/>
  <c r="H310" i="58"/>
  <c r="C310" i="58"/>
  <c r="H309" i="58"/>
  <c r="C309" i="58"/>
  <c r="H308" i="58"/>
  <c r="C308" i="58"/>
  <c r="H307" i="58"/>
  <c r="C307" i="58"/>
  <c r="H306" i="58"/>
  <c r="C306" i="58"/>
  <c r="H305" i="58"/>
  <c r="C305" i="58"/>
  <c r="H304" i="58"/>
  <c r="C304" i="58"/>
  <c r="H303" i="58"/>
  <c r="C303" i="58"/>
  <c r="H302" i="58"/>
  <c r="C302" i="58"/>
  <c r="H301" i="58"/>
  <c r="C301" i="58"/>
  <c r="H300" i="58"/>
  <c r="C300" i="58"/>
  <c r="H299" i="58"/>
  <c r="C299" i="58"/>
  <c r="H298" i="58"/>
  <c r="C298" i="58"/>
  <c r="H297" i="58"/>
  <c r="C297" i="58"/>
  <c r="H296" i="58"/>
  <c r="C296" i="58"/>
  <c r="H295" i="58"/>
  <c r="C295" i="58"/>
  <c r="H294" i="58"/>
  <c r="C294" i="58"/>
  <c r="H293" i="58"/>
  <c r="C293" i="58"/>
  <c r="H292" i="58"/>
  <c r="C292" i="58"/>
  <c r="H291" i="58"/>
  <c r="C291" i="58"/>
  <c r="H290" i="58"/>
  <c r="C290" i="58"/>
  <c r="H289" i="58"/>
  <c r="C289" i="58"/>
  <c r="H288" i="58"/>
  <c r="C288" i="58"/>
  <c r="H287" i="58"/>
  <c r="C287" i="58"/>
  <c r="H286" i="58"/>
  <c r="C286" i="58"/>
  <c r="H285" i="58"/>
  <c r="C285" i="58"/>
  <c r="H284" i="58"/>
  <c r="C284" i="58"/>
  <c r="H283" i="58"/>
  <c r="C283" i="58"/>
  <c r="H282" i="58"/>
  <c r="C282" i="58"/>
  <c r="H281" i="58"/>
  <c r="C281" i="58"/>
  <c r="H280" i="58"/>
  <c r="C280" i="58"/>
  <c r="H279" i="58"/>
  <c r="C279" i="58"/>
  <c r="H278" i="58"/>
  <c r="C278" i="58"/>
  <c r="H277" i="58"/>
  <c r="C277" i="58"/>
  <c r="H276" i="58"/>
  <c r="C276" i="58"/>
  <c r="H275" i="58"/>
  <c r="C275" i="58"/>
  <c r="H274" i="58"/>
  <c r="C274" i="58"/>
  <c r="H273" i="58"/>
  <c r="C273" i="58"/>
  <c r="H272" i="58"/>
  <c r="C272" i="58"/>
  <c r="H271" i="58"/>
  <c r="C271" i="58"/>
  <c r="H270" i="58"/>
  <c r="C270" i="58"/>
  <c r="H269" i="58"/>
  <c r="C269" i="58"/>
  <c r="H268" i="58"/>
  <c r="C268" i="58"/>
  <c r="H267" i="58"/>
  <c r="C267" i="58"/>
  <c r="H266" i="58"/>
  <c r="C266" i="58"/>
  <c r="H265" i="58"/>
  <c r="C265" i="58"/>
  <c r="H264" i="58"/>
  <c r="C264" i="58"/>
  <c r="H263" i="58"/>
  <c r="C263" i="58"/>
  <c r="H262" i="58"/>
  <c r="C262" i="58"/>
  <c r="H261" i="58"/>
  <c r="C261" i="58"/>
  <c r="H260" i="58"/>
  <c r="C260" i="58"/>
  <c r="H259" i="58"/>
  <c r="C259" i="58"/>
  <c r="H258" i="58"/>
  <c r="C258" i="58"/>
  <c r="H257" i="58"/>
  <c r="C257" i="58"/>
  <c r="H256" i="58"/>
  <c r="C256" i="58"/>
  <c r="H255" i="58"/>
  <c r="C255" i="58"/>
  <c r="H254" i="58"/>
  <c r="C254" i="58"/>
  <c r="H253" i="58"/>
  <c r="C253" i="58"/>
  <c r="H252" i="58"/>
  <c r="C252" i="58"/>
  <c r="H251" i="58"/>
  <c r="C251" i="58"/>
  <c r="H250" i="58"/>
  <c r="C250" i="58"/>
  <c r="H249" i="58"/>
  <c r="C249" i="58"/>
  <c r="H248" i="58"/>
  <c r="C248" i="58"/>
  <c r="H247" i="58"/>
  <c r="C247" i="58"/>
  <c r="H246" i="58"/>
  <c r="C246" i="58"/>
  <c r="H245" i="58"/>
  <c r="C245" i="58"/>
  <c r="H244" i="58"/>
  <c r="C244" i="58"/>
  <c r="H243" i="58"/>
  <c r="C243" i="58"/>
  <c r="H242" i="58"/>
  <c r="C242" i="58"/>
  <c r="H241" i="58"/>
  <c r="C241" i="58"/>
  <c r="H240" i="58"/>
  <c r="C240" i="58"/>
  <c r="H239" i="58"/>
  <c r="C239" i="58"/>
  <c r="H238" i="58"/>
  <c r="C238" i="58"/>
  <c r="H237" i="58"/>
  <c r="C237" i="58"/>
  <c r="H236" i="58"/>
  <c r="C236" i="58"/>
  <c r="H235" i="58"/>
  <c r="C235" i="58"/>
  <c r="H234" i="58"/>
  <c r="C234" i="58"/>
  <c r="H233" i="58"/>
  <c r="C233" i="58"/>
  <c r="H232" i="58"/>
  <c r="C232" i="58"/>
  <c r="H231" i="58"/>
  <c r="C231" i="58"/>
  <c r="H230" i="58"/>
  <c r="C230" i="58"/>
  <c r="H229" i="58"/>
  <c r="C229" i="58"/>
  <c r="H228" i="58"/>
  <c r="C228" i="58"/>
  <c r="H227" i="58"/>
  <c r="C227" i="58"/>
  <c r="H226" i="58"/>
  <c r="C226" i="58"/>
  <c r="H225" i="58"/>
  <c r="C225" i="58"/>
  <c r="H224" i="58"/>
  <c r="C224" i="58"/>
  <c r="H223" i="58"/>
  <c r="C223" i="58"/>
  <c r="H222" i="58"/>
  <c r="C222" i="58"/>
  <c r="H221" i="58"/>
  <c r="C221" i="58"/>
  <c r="H220" i="58"/>
  <c r="C220" i="58"/>
  <c r="H219" i="58"/>
  <c r="C219" i="58"/>
  <c r="H218" i="58"/>
  <c r="C218" i="58"/>
  <c r="H217" i="58"/>
  <c r="C217" i="58"/>
  <c r="H216" i="58"/>
  <c r="C216" i="58"/>
  <c r="H215" i="58"/>
  <c r="C215" i="58"/>
  <c r="H214" i="58"/>
  <c r="C214" i="58"/>
  <c r="H213" i="58"/>
  <c r="C213" i="58"/>
  <c r="H212" i="58"/>
  <c r="C212" i="58"/>
  <c r="H211" i="58"/>
  <c r="C211" i="58"/>
  <c r="H210" i="58"/>
  <c r="C210" i="58"/>
  <c r="H209" i="58"/>
  <c r="C209" i="58"/>
  <c r="H208" i="58"/>
  <c r="C208" i="58"/>
  <c r="H207" i="58"/>
  <c r="E207" i="58"/>
  <c r="C207" i="58"/>
  <c r="H206" i="58"/>
  <c r="C206" i="58"/>
  <c r="H205" i="58"/>
  <c r="C205" i="58"/>
  <c r="H204" i="58"/>
  <c r="C204" i="58"/>
  <c r="H203" i="58"/>
  <c r="C203" i="58"/>
  <c r="H202" i="58"/>
  <c r="C202" i="58"/>
  <c r="H201" i="58"/>
  <c r="C201" i="58"/>
  <c r="H200" i="58"/>
  <c r="C200" i="58"/>
  <c r="H199" i="58"/>
  <c r="C199" i="58"/>
  <c r="H198" i="58"/>
  <c r="C198" i="58"/>
  <c r="H197" i="58"/>
  <c r="C197" i="58"/>
  <c r="H196" i="58"/>
  <c r="C196" i="58"/>
  <c r="H195" i="58"/>
  <c r="C195" i="58"/>
  <c r="H194" i="58"/>
  <c r="C194" i="58"/>
  <c r="H193" i="58"/>
  <c r="C193" i="58"/>
  <c r="H192" i="58"/>
  <c r="C192" i="58"/>
  <c r="H191" i="58"/>
  <c r="C191" i="58"/>
  <c r="H190" i="58"/>
  <c r="C190" i="58"/>
  <c r="H189" i="58"/>
  <c r="C189" i="58"/>
  <c r="H188" i="58"/>
  <c r="C188" i="58"/>
  <c r="H187" i="58"/>
  <c r="C187" i="58"/>
  <c r="H186" i="58"/>
  <c r="C186" i="58"/>
  <c r="H185" i="58"/>
  <c r="C185" i="58"/>
  <c r="H184" i="58"/>
  <c r="C184" i="58"/>
  <c r="H183" i="58"/>
  <c r="C183" i="58"/>
  <c r="H182" i="58"/>
  <c r="C182" i="58"/>
  <c r="H181" i="58"/>
  <c r="C181" i="58"/>
  <c r="H180" i="58"/>
  <c r="C180" i="58"/>
  <c r="H179" i="58"/>
  <c r="C179" i="58"/>
  <c r="H178" i="58"/>
  <c r="C178" i="58"/>
  <c r="H177" i="58"/>
  <c r="C177" i="58"/>
  <c r="H176" i="58"/>
  <c r="C176" i="58"/>
  <c r="H175" i="58"/>
  <c r="C175" i="58"/>
  <c r="H174" i="58"/>
  <c r="C174" i="58"/>
  <c r="H173" i="58"/>
  <c r="C173" i="58"/>
  <c r="H172" i="58"/>
  <c r="C172" i="58"/>
  <c r="H171" i="58"/>
  <c r="C171" i="58"/>
  <c r="H170" i="58"/>
  <c r="C170" i="58"/>
  <c r="H169" i="58"/>
  <c r="C169" i="58"/>
  <c r="H168" i="58"/>
  <c r="C168" i="58"/>
  <c r="H167" i="58"/>
  <c r="E167" i="58"/>
  <c r="C167" i="58"/>
  <c r="H166" i="58"/>
  <c r="E166" i="58"/>
  <c r="C166" i="58"/>
  <c r="H165" i="58"/>
  <c r="E165" i="58"/>
  <c r="C165" i="58"/>
  <c r="H164" i="58"/>
  <c r="E164" i="58"/>
  <c r="C164" i="58"/>
  <c r="H163" i="58"/>
  <c r="E163" i="58"/>
  <c r="C163" i="58"/>
  <c r="H162" i="58"/>
  <c r="E162" i="58"/>
  <c r="C162" i="58"/>
  <c r="H161" i="58"/>
  <c r="E161" i="58"/>
  <c r="C161" i="58"/>
  <c r="H160" i="58"/>
  <c r="E160" i="58"/>
  <c r="C160" i="58"/>
  <c r="H159" i="58"/>
  <c r="E159" i="58"/>
  <c r="C159" i="58"/>
  <c r="H158" i="58"/>
  <c r="E158" i="58"/>
  <c r="C158" i="58"/>
  <c r="H157" i="58"/>
  <c r="E157" i="58"/>
  <c r="C157" i="58"/>
  <c r="H156" i="58"/>
  <c r="E156" i="58"/>
  <c r="C156" i="58"/>
  <c r="H155" i="58"/>
  <c r="E155" i="58"/>
  <c r="C155" i="58"/>
  <c r="H154" i="58"/>
  <c r="E154" i="58"/>
  <c r="C154" i="58"/>
  <c r="H153" i="58"/>
  <c r="E153" i="58"/>
  <c r="C153" i="58"/>
  <c r="H152" i="58"/>
  <c r="E152" i="58"/>
  <c r="C152" i="58"/>
  <c r="H151" i="58"/>
  <c r="E151" i="58"/>
  <c r="C151" i="58"/>
  <c r="H150" i="58"/>
  <c r="C150" i="58"/>
  <c r="H149" i="58"/>
  <c r="C149" i="58"/>
  <c r="H148" i="58"/>
  <c r="C148" i="58"/>
  <c r="H147" i="58"/>
  <c r="C147" i="58"/>
  <c r="H146" i="58"/>
  <c r="C146" i="58"/>
  <c r="H145" i="58"/>
  <c r="C145" i="58"/>
  <c r="B145" i="58"/>
  <c r="H144" i="58"/>
  <c r="C144" i="58"/>
  <c r="B144" i="58"/>
  <c r="H143" i="58"/>
  <c r="C143" i="58"/>
  <c r="B143" i="58"/>
  <c r="H142" i="58"/>
  <c r="C142" i="58"/>
  <c r="B142" i="58"/>
  <c r="H141" i="58"/>
  <c r="C141" i="58"/>
  <c r="B141" i="58"/>
  <c r="H140" i="58"/>
  <c r="C140" i="58"/>
  <c r="B140" i="58"/>
  <c r="H139" i="58"/>
  <c r="C139" i="58"/>
  <c r="B139" i="58"/>
  <c r="H138" i="58"/>
  <c r="C138" i="58"/>
  <c r="B138" i="58"/>
  <c r="H137" i="58"/>
  <c r="C137" i="58"/>
  <c r="B137" i="58"/>
  <c r="H136" i="58"/>
  <c r="C136" i="58"/>
  <c r="B136" i="58"/>
  <c r="H135" i="58"/>
  <c r="E135" i="58"/>
  <c r="C135" i="58"/>
  <c r="B135" i="58"/>
  <c r="I134" i="58"/>
  <c r="H134" i="58"/>
  <c r="C134" i="58"/>
  <c r="B134" i="58"/>
  <c r="H133" i="58"/>
  <c r="C133" i="58"/>
  <c r="H132" i="58"/>
  <c r="C132" i="58"/>
  <c r="H131" i="58"/>
  <c r="C131" i="58"/>
  <c r="H130" i="58"/>
  <c r="C130" i="58"/>
  <c r="H129" i="58"/>
  <c r="C129" i="58"/>
  <c r="H128" i="58"/>
  <c r="C128" i="58"/>
  <c r="H127" i="58"/>
  <c r="C127" i="58"/>
  <c r="H126" i="58"/>
  <c r="C126" i="58"/>
  <c r="H125" i="58"/>
  <c r="C125" i="58"/>
  <c r="H124" i="58"/>
  <c r="C124" i="58"/>
  <c r="H123" i="58"/>
  <c r="C123" i="58"/>
  <c r="H122" i="58"/>
  <c r="C122" i="58"/>
  <c r="I121" i="58"/>
  <c r="H121" i="58"/>
  <c r="C121" i="58"/>
  <c r="H120" i="58"/>
  <c r="C120" i="58"/>
  <c r="H119" i="58"/>
  <c r="C119" i="58"/>
  <c r="H118" i="58"/>
  <c r="C118" i="58"/>
  <c r="H117" i="58"/>
  <c r="C117" i="58"/>
  <c r="H116" i="58"/>
  <c r="C116" i="58"/>
  <c r="H115" i="58"/>
  <c r="C115" i="58"/>
  <c r="H114" i="58"/>
  <c r="C114" i="58"/>
  <c r="H113" i="58"/>
  <c r="C113" i="58"/>
  <c r="H112" i="58"/>
  <c r="C112" i="58"/>
  <c r="H111" i="58"/>
  <c r="C111" i="58"/>
  <c r="H110" i="58"/>
  <c r="C110" i="58"/>
  <c r="H109" i="58"/>
  <c r="C109" i="58"/>
  <c r="I108" i="58"/>
  <c r="H108" i="58"/>
  <c r="C108" i="58"/>
  <c r="H107" i="58"/>
  <c r="C107" i="58"/>
  <c r="H106" i="58"/>
  <c r="C106" i="58"/>
  <c r="H105" i="58"/>
  <c r="C105" i="58"/>
  <c r="H104" i="58"/>
  <c r="C104" i="58"/>
  <c r="H103" i="58"/>
  <c r="C103" i="58"/>
  <c r="H102" i="58"/>
  <c r="C102" i="58"/>
  <c r="H101" i="58"/>
  <c r="C101" i="58"/>
  <c r="H100" i="58"/>
  <c r="C100" i="58"/>
  <c r="H99" i="58"/>
  <c r="C99" i="58"/>
  <c r="H98" i="58"/>
  <c r="C98" i="58"/>
  <c r="H97" i="58"/>
  <c r="C97" i="58"/>
  <c r="H96" i="58"/>
  <c r="C96" i="58"/>
  <c r="I95" i="58"/>
  <c r="H95" i="58"/>
  <c r="C95" i="58"/>
  <c r="H94" i="58"/>
  <c r="C94" i="58"/>
  <c r="B94" i="58"/>
  <c r="H93" i="58"/>
  <c r="C93" i="58"/>
  <c r="B93" i="58"/>
  <c r="H92" i="58"/>
  <c r="C92" i="58"/>
  <c r="B92" i="58"/>
  <c r="H91" i="58"/>
  <c r="C91" i="58"/>
  <c r="B91" i="58"/>
  <c r="H90" i="58"/>
  <c r="C90" i="58"/>
  <c r="B90" i="58"/>
  <c r="H89" i="58"/>
  <c r="C89" i="58"/>
  <c r="B89" i="58"/>
  <c r="H88" i="58"/>
  <c r="C88" i="58"/>
  <c r="B88" i="58"/>
  <c r="H87" i="58"/>
  <c r="C87" i="58"/>
  <c r="B87" i="58"/>
  <c r="H86" i="58"/>
  <c r="C86" i="58"/>
  <c r="B86" i="58"/>
  <c r="H85" i="58"/>
  <c r="C85" i="58"/>
  <c r="B85" i="58"/>
  <c r="H84" i="58"/>
  <c r="C84" i="58"/>
  <c r="B84" i="58"/>
  <c r="H83" i="58"/>
  <c r="C83" i="58"/>
  <c r="B83" i="58"/>
  <c r="I82" i="58"/>
  <c r="H82" i="58"/>
  <c r="C82" i="58"/>
  <c r="B82" i="58"/>
  <c r="H81" i="58"/>
  <c r="C81" i="58"/>
  <c r="B81" i="58"/>
  <c r="H80" i="58"/>
  <c r="C80" i="58"/>
  <c r="B80" i="58"/>
  <c r="H79" i="58"/>
  <c r="C79" i="58"/>
  <c r="B79" i="58"/>
  <c r="H78" i="58"/>
  <c r="C78" i="58"/>
  <c r="B78" i="58"/>
  <c r="H77" i="58"/>
  <c r="C77" i="58"/>
  <c r="B77" i="58"/>
  <c r="H76" i="58"/>
  <c r="C76" i="58"/>
  <c r="B76" i="58"/>
  <c r="H75" i="58"/>
  <c r="C75" i="58"/>
  <c r="B75" i="58"/>
  <c r="H74" i="58"/>
  <c r="C74" i="58"/>
  <c r="B74" i="58"/>
  <c r="H73" i="58"/>
  <c r="C73" i="58"/>
  <c r="B73" i="58"/>
  <c r="H72" i="58"/>
  <c r="C72" i="58"/>
  <c r="B72" i="58"/>
  <c r="H71" i="58"/>
  <c r="C71" i="58"/>
  <c r="B71" i="58"/>
  <c r="H70" i="58"/>
  <c r="C70" i="58"/>
  <c r="B70" i="58"/>
  <c r="I69" i="58"/>
  <c r="H69" i="58"/>
  <c r="C69" i="58"/>
  <c r="B69" i="58"/>
  <c r="H68" i="58"/>
  <c r="C68" i="58"/>
  <c r="B68" i="58"/>
  <c r="H67" i="58"/>
  <c r="C67" i="58"/>
  <c r="B67" i="58"/>
  <c r="H66" i="58"/>
  <c r="C66" i="58"/>
  <c r="B66" i="58"/>
  <c r="H65" i="58"/>
  <c r="C65" i="58"/>
  <c r="B65" i="58"/>
  <c r="H64" i="58"/>
  <c r="C64" i="58"/>
  <c r="B64" i="58"/>
  <c r="H63" i="58"/>
  <c r="C63" i="58"/>
  <c r="B63" i="58"/>
  <c r="H62" i="58"/>
  <c r="C62" i="58"/>
  <c r="B62" i="58"/>
  <c r="H61" i="58"/>
  <c r="C61" i="58"/>
  <c r="B61" i="58"/>
  <c r="H60" i="58"/>
  <c r="C60" i="58"/>
  <c r="B60" i="58"/>
  <c r="H59" i="58"/>
  <c r="C59" i="58"/>
  <c r="B59" i="58"/>
  <c r="H58" i="58"/>
  <c r="C58" i="58"/>
  <c r="B58" i="58"/>
  <c r="H57" i="58"/>
  <c r="C57" i="58"/>
  <c r="B57" i="58"/>
  <c r="H56" i="58"/>
  <c r="C56" i="58"/>
  <c r="B56" i="58"/>
  <c r="I55" i="58"/>
  <c r="H55" i="58"/>
  <c r="C55" i="58"/>
  <c r="B55" i="58"/>
  <c r="H54" i="58"/>
  <c r="C54" i="58"/>
  <c r="B54" i="58"/>
  <c r="H53" i="58"/>
  <c r="C53" i="58"/>
  <c r="B53" i="58"/>
  <c r="H52" i="58"/>
  <c r="C52" i="58"/>
  <c r="B52" i="58"/>
  <c r="H51" i="58"/>
  <c r="C51" i="58"/>
  <c r="B51" i="58"/>
  <c r="H50" i="58"/>
  <c r="C50" i="58"/>
  <c r="B50" i="58"/>
  <c r="H49" i="58"/>
  <c r="C49" i="58"/>
  <c r="B49" i="58"/>
  <c r="H48" i="58"/>
  <c r="C48" i="58"/>
  <c r="B48" i="58"/>
  <c r="H47" i="58"/>
  <c r="C47" i="58"/>
  <c r="B47" i="58"/>
  <c r="H46" i="58"/>
  <c r="C46" i="58"/>
  <c r="B46" i="58"/>
  <c r="H45" i="58"/>
  <c r="C45" i="58"/>
  <c r="B45" i="58"/>
  <c r="H44" i="58"/>
  <c r="C44" i="58"/>
  <c r="B44" i="58"/>
  <c r="H43" i="58"/>
  <c r="C43" i="58"/>
  <c r="B43" i="58"/>
  <c r="I42" i="58"/>
  <c r="H42" i="58"/>
  <c r="C42" i="58"/>
  <c r="B42" i="58"/>
  <c r="H41" i="58"/>
  <c r="C41" i="58"/>
  <c r="B41" i="58"/>
  <c r="H40" i="58"/>
  <c r="C40" i="58"/>
  <c r="B40" i="58"/>
  <c r="H39" i="58"/>
  <c r="C39" i="58"/>
  <c r="B39" i="58"/>
  <c r="H38" i="58"/>
  <c r="C38" i="58"/>
  <c r="B38" i="58"/>
  <c r="H37" i="58"/>
  <c r="C37" i="58"/>
  <c r="B37" i="58"/>
  <c r="H36" i="58"/>
  <c r="C36" i="58"/>
  <c r="B36" i="58"/>
  <c r="H35" i="58"/>
  <c r="C35" i="58"/>
  <c r="B35" i="58"/>
  <c r="H34" i="58"/>
  <c r="C34" i="58"/>
  <c r="B34" i="58"/>
  <c r="H33" i="58"/>
  <c r="C33" i="58"/>
  <c r="B33" i="58"/>
  <c r="H32" i="58"/>
  <c r="C32" i="58"/>
  <c r="B32" i="58"/>
  <c r="H31" i="58"/>
  <c r="C31" i="58"/>
  <c r="B31" i="58"/>
  <c r="H30" i="58"/>
  <c r="C30" i="58"/>
  <c r="B30" i="58"/>
  <c r="I29" i="58"/>
  <c r="H29" i="58"/>
  <c r="C29" i="58"/>
  <c r="B29" i="58"/>
  <c r="H28" i="58"/>
  <c r="C28" i="58"/>
  <c r="B28" i="58"/>
  <c r="H27" i="58"/>
  <c r="C27" i="58"/>
  <c r="B27" i="58"/>
  <c r="H26" i="58"/>
  <c r="C26" i="58"/>
  <c r="B26" i="58"/>
  <c r="H25" i="58"/>
  <c r="C25" i="58"/>
  <c r="B25" i="58"/>
  <c r="H24" i="58"/>
  <c r="C24" i="58"/>
  <c r="B24" i="58"/>
  <c r="H23" i="58"/>
  <c r="C23" i="58"/>
  <c r="B23" i="58"/>
  <c r="H22" i="58"/>
  <c r="C22" i="58"/>
  <c r="B22" i="58"/>
  <c r="H21" i="58"/>
  <c r="C21" i="58"/>
  <c r="B21" i="58"/>
  <c r="H20" i="58"/>
  <c r="C20" i="58"/>
  <c r="B20" i="58"/>
  <c r="H19" i="58"/>
  <c r="E19" i="58"/>
  <c r="C19" i="58"/>
  <c r="B19" i="58"/>
  <c r="H18" i="58"/>
  <c r="C18" i="58"/>
  <c r="B18" i="58"/>
  <c r="H17" i="58"/>
  <c r="C17" i="58"/>
  <c r="B17" i="58"/>
  <c r="I16" i="58"/>
  <c r="H16" i="58"/>
  <c r="C16" i="58"/>
  <c r="B16" i="58"/>
  <c r="I15" i="58"/>
  <c r="H15" i="58"/>
  <c r="C15" i="58"/>
  <c r="B15" i="58"/>
  <c r="I14" i="58"/>
  <c r="H14" i="58"/>
  <c r="C14" i="58"/>
  <c r="B14" i="58"/>
  <c r="I13" i="58"/>
  <c r="H13" i="58"/>
  <c r="C13" i="58"/>
  <c r="B13" i="58"/>
  <c r="I12" i="58"/>
  <c r="H12" i="58"/>
  <c r="C12" i="58"/>
  <c r="B12" i="58"/>
  <c r="I11" i="58"/>
  <c r="H11" i="58"/>
  <c r="C11" i="58"/>
  <c r="B11" i="58"/>
  <c r="I10" i="58"/>
  <c r="H10" i="58"/>
  <c r="C10" i="58"/>
  <c r="B10" i="58"/>
  <c r="I9" i="58"/>
  <c r="H9" i="58"/>
  <c r="C9" i="58"/>
  <c r="B9" i="58"/>
  <c r="I8" i="58"/>
  <c r="H8" i="58"/>
  <c r="C8" i="58"/>
  <c r="B8" i="58"/>
  <c r="I7" i="58"/>
  <c r="H7" i="58"/>
  <c r="C7" i="58"/>
  <c r="B7" i="58"/>
  <c r="I6" i="58"/>
  <c r="H6" i="58"/>
  <c r="E6" i="58"/>
  <c r="C6" i="58"/>
  <c r="B6" i="58"/>
  <c r="I5" i="58"/>
  <c r="H5" i="58"/>
  <c r="C5" i="58"/>
  <c r="B5" i="58"/>
  <c r="I4" i="58"/>
  <c r="H4" i="58"/>
  <c r="E4" i="58"/>
  <c r="C4" i="58"/>
  <c r="B4" i="58"/>
  <c r="I3" i="58"/>
  <c r="H3" i="58"/>
  <c r="C3" i="58"/>
  <c r="B3" i="58"/>
  <c r="D162" i="33"/>
  <c r="G161" i="33"/>
  <c r="G148" i="33"/>
  <c r="G135" i="33"/>
  <c r="G122" i="33"/>
  <c r="G109" i="33"/>
  <c r="G96" i="33"/>
  <c r="G82" i="33"/>
  <c r="G69" i="33"/>
  <c r="G56" i="33"/>
  <c r="D46" i="33"/>
  <c r="G43" i="33"/>
  <c r="G42" i="33"/>
  <c r="G41" i="33"/>
  <c r="G40" i="33"/>
  <c r="G39" i="33"/>
  <c r="G38" i="33"/>
  <c r="G37" i="33"/>
  <c r="G36" i="33"/>
  <c r="G35" i="33"/>
  <c r="G34" i="33"/>
  <c r="G33" i="33"/>
  <c r="D33" i="33"/>
  <c r="G32" i="33"/>
  <c r="G31" i="33"/>
  <c r="D31" i="33"/>
  <c r="G30" i="33"/>
  <c r="B9" i="33"/>
  <c r="C34" i="52"/>
  <c r="C33" i="52"/>
  <c r="C32" i="52"/>
  <c r="C31" i="52"/>
  <c r="C30" i="52"/>
  <c r="C29" i="52"/>
  <c r="C28" i="52"/>
  <c r="C27" i="52"/>
  <c r="C26" i="52"/>
  <c r="C25" i="52"/>
  <c r="C24" i="52"/>
  <c r="C23" i="52"/>
  <c r="C22" i="52"/>
  <c r="C21" i="52"/>
  <c r="C20" i="52"/>
  <c r="C19" i="52"/>
  <c r="C18" i="52"/>
  <c r="C17" i="52"/>
  <c r="C16" i="52"/>
  <c r="C15" i="52"/>
  <c r="C14" i="52"/>
  <c r="C13" i="52"/>
  <c r="C12" i="52"/>
  <c r="C11" i="52"/>
  <c r="C10" i="52"/>
  <c r="C9" i="52"/>
  <c r="C8" i="52"/>
  <c r="C7" i="52"/>
  <c r="I6" i="52"/>
  <c r="C6" i="52"/>
  <c r="I5" i="52"/>
  <c r="C5" i="52"/>
  <c r="I4" i="52"/>
  <c r="C4" i="52"/>
  <c r="I3" i="52"/>
  <c r="C3" i="52"/>
  <c r="B3" i="52"/>
  <c r="B9" i="32"/>
  <c r="C34" i="51"/>
  <c r="C33" i="51"/>
  <c r="C32" i="51"/>
  <c r="C31" i="51"/>
  <c r="C30" i="51"/>
  <c r="C29" i="51"/>
  <c r="C28" i="51"/>
  <c r="C27" i="51"/>
  <c r="H26" i="51"/>
  <c r="C26" i="51"/>
  <c r="H25" i="51"/>
  <c r="C25" i="51"/>
  <c r="C24" i="51"/>
  <c r="C23" i="51"/>
  <c r="C22" i="51"/>
  <c r="C21" i="51"/>
  <c r="C20" i="51"/>
  <c r="C19" i="51"/>
  <c r="B19" i="51"/>
  <c r="C18" i="51"/>
  <c r="B18" i="51"/>
  <c r="C17" i="51"/>
  <c r="B17" i="51"/>
  <c r="C16" i="51"/>
  <c r="B16" i="51"/>
  <c r="C15" i="51"/>
  <c r="B15" i="51"/>
  <c r="F14" i="51"/>
  <c r="C14" i="51"/>
  <c r="B14" i="51"/>
  <c r="C13" i="51"/>
  <c r="B13" i="51"/>
  <c r="F12" i="51"/>
  <c r="C12" i="51"/>
  <c r="B12" i="51"/>
  <c r="C11" i="51"/>
  <c r="B11" i="51"/>
  <c r="C10" i="51"/>
  <c r="B10" i="51"/>
  <c r="F9" i="51"/>
  <c r="C9" i="51"/>
  <c r="B9" i="51"/>
  <c r="F8" i="51"/>
  <c r="C8" i="51"/>
  <c r="B8" i="51"/>
  <c r="F7" i="51"/>
  <c r="C7" i="51"/>
  <c r="B7" i="51"/>
  <c r="F6" i="51"/>
  <c r="C6" i="51"/>
  <c r="B6" i="51"/>
  <c r="F5" i="51"/>
  <c r="C5" i="51"/>
  <c r="B5" i="51"/>
  <c r="F4" i="51"/>
  <c r="C4" i="51"/>
  <c r="B4" i="51"/>
  <c r="C3" i="51"/>
  <c r="B3" i="51"/>
  <c r="D41" i="31"/>
  <c r="D39" i="31"/>
  <c r="D36" i="31"/>
  <c r="D35" i="31"/>
  <c r="D34" i="31"/>
  <c r="D33" i="31"/>
  <c r="D32" i="31"/>
  <c r="D31" i="31"/>
  <c r="B9" i="31"/>
  <c r="P79" i="49"/>
  <c r="O79" i="49"/>
  <c r="N79" i="49"/>
  <c r="C79" i="49"/>
  <c r="P78" i="49"/>
  <c r="O78" i="49"/>
  <c r="N78" i="49"/>
  <c r="C78" i="49"/>
  <c r="P77" i="49"/>
  <c r="O77" i="49"/>
  <c r="N77" i="49"/>
  <c r="C77" i="49"/>
  <c r="P76" i="49"/>
  <c r="O76" i="49"/>
  <c r="N76" i="49"/>
  <c r="C76" i="49"/>
  <c r="P75" i="49"/>
  <c r="O75" i="49"/>
  <c r="N75" i="49"/>
  <c r="C75" i="49"/>
  <c r="P74" i="49"/>
  <c r="O74" i="49"/>
  <c r="N74" i="49"/>
  <c r="G74" i="49" a="1"/>
  <c r="G74" i="49" s="1"/>
  <c r="C74" i="49"/>
  <c r="P73" i="49"/>
  <c r="O73" i="49"/>
  <c r="N73" i="49"/>
  <c r="G73" i="49" a="1"/>
  <c r="G73" i="49" s="1"/>
  <c r="C73" i="49"/>
  <c r="P72" i="49"/>
  <c r="O72" i="49"/>
  <c r="N72" i="49"/>
  <c r="G72" i="49" a="1"/>
  <c r="G72" i="49" s="1"/>
  <c r="C72" i="49"/>
  <c r="P71" i="49"/>
  <c r="O71" i="49"/>
  <c r="N71" i="49"/>
  <c r="G71" i="49" a="1"/>
  <c r="G71" i="49" s="1"/>
  <c r="C71" i="49"/>
  <c r="O70" i="49"/>
  <c r="N70" i="49"/>
  <c r="G70" i="49" a="1"/>
  <c r="G70" i="49" s="1"/>
  <c r="C70" i="49"/>
  <c r="O69" i="49"/>
  <c r="N69" i="49"/>
  <c r="G69" i="49" a="1"/>
  <c r="G69" i="49" s="1"/>
  <c r="C69" i="49"/>
  <c r="O68" i="49"/>
  <c r="N68" i="49"/>
  <c r="G68" i="49" a="1"/>
  <c r="G68" i="49" s="1"/>
  <c r="C68" i="49"/>
  <c r="P67" i="49"/>
  <c r="O67" i="49"/>
  <c r="N67" i="49"/>
  <c r="G67" i="49" a="1"/>
  <c r="G67" i="49" s="1"/>
  <c r="C67" i="49"/>
  <c r="O66" i="49"/>
  <c r="N66" i="49"/>
  <c r="G66" i="49" a="1"/>
  <c r="G66" i="49" s="1"/>
  <c r="C66" i="49"/>
  <c r="O65" i="49"/>
  <c r="N65" i="49"/>
  <c r="G65" i="49" a="1"/>
  <c r="G65" i="49" s="1"/>
  <c r="C65" i="49"/>
  <c r="P64" i="49"/>
  <c r="O64" i="49"/>
  <c r="N64" i="49"/>
  <c r="G64" i="49" a="1"/>
  <c r="G64" i="49" s="1"/>
  <c r="C64" i="49"/>
  <c r="O63" i="49"/>
  <c r="N63" i="49"/>
  <c r="G63" i="49" a="1"/>
  <c r="G63" i="49" s="1"/>
  <c r="C63" i="49"/>
  <c r="P62" i="49"/>
  <c r="O62" i="49"/>
  <c r="N62" i="49"/>
  <c r="G62" i="49" a="1"/>
  <c r="G62" i="49" s="1"/>
  <c r="C62" i="49"/>
  <c r="P61" i="49"/>
  <c r="O61" i="49"/>
  <c r="N61" i="49"/>
  <c r="G61" i="49" a="1"/>
  <c r="G61" i="49" s="1"/>
  <c r="C61" i="49"/>
  <c r="P60" i="49"/>
  <c r="O60" i="49"/>
  <c r="N60" i="49"/>
  <c r="G60" i="49" a="1"/>
  <c r="G60" i="49" s="1"/>
  <c r="C60" i="49"/>
  <c r="P59" i="49"/>
  <c r="O59" i="49"/>
  <c r="N59" i="49"/>
  <c r="G59" i="49" a="1"/>
  <c r="G59" i="49" s="1"/>
  <c r="C59" i="49"/>
  <c r="P58" i="49"/>
  <c r="O58" i="49"/>
  <c r="N58" i="49"/>
  <c r="G58" i="49" a="1"/>
  <c r="G58" i="49" s="1"/>
  <c r="C58" i="49"/>
  <c r="P57" i="49"/>
  <c r="O57" i="49"/>
  <c r="N57" i="49"/>
  <c r="G57" i="49" a="1"/>
  <c r="G57" i="49" s="1"/>
  <c r="C57" i="49"/>
  <c r="P56" i="49"/>
  <c r="O56" i="49"/>
  <c r="N56" i="49"/>
  <c r="G56" i="49" a="1"/>
  <c r="G56" i="49" s="1"/>
  <c r="C56" i="49"/>
  <c r="P55" i="49"/>
  <c r="O55" i="49"/>
  <c r="N55" i="49"/>
  <c r="G55" i="49" a="1"/>
  <c r="G55" i="49" s="1"/>
  <c r="C55" i="49"/>
  <c r="P54" i="49"/>
  <c r="O54" i="49"/>
  <c r="N54" i="49"/>
  <c r="G54" i="49" a="1"/>
  <c r="G54" i="49" s="1"/>
  <c r="C54" i="49"/>
  <c r="P53" i="49"/>
  <c r="O53" i="49"/>
  <c r="N53" i="49"/>
  <c r="C53" i="49"/>
  <c r="B53" i="49"/>
  <c r="P52" i="49"/>
  <c r="O52" i="49"/>
  <c r="N52" i="49"/>
  <c r="P51" i="49"/>
  <c r="O51" i="49"/>
  <c r="N51" i="49"/>
  <c r="C51" i="49"/>
  <c r="P50" i="49"/>
  <c r="O50" i="49"/>
  <c r="N50" i="49"/>
  <c r="C50" i="49"/>
  <c r="P49" i="49"/>
  <c r="O49" i="49"/>
  <c r="N49" i="49"/>
  <c r="C49" i="49"/>
  <c r="P48" i="49"/>
  <c r="O48" i="49"/>
  <c r="N48" i="49"/>
  <c r="C48" i="49"/>
  <c r="P47" i="49"/>
  <c r="O47" i="49"/>
  <c r="N47" i="49"/>
  <c r="C47" i="49"/>
  <c r="P46" i="49"/>
  <c r="O46" i="49"/>
  <c r="N46" i="49"/>
  <c r="C46" i="49"/>
  <c r="P45" i="49"/>
  <c r="O45" i="49"/>
  <c r="N45" i="49"/>
  <c r="C45" i="49"/>
  <c r="B45" i="49"/>
  <c r="P44" i="49"/>
  <c r="O44" i="49"/>
  <c r="N44" i="49"/>
  <c r="C44" i="49"/>
  <c r="P43" i="49"/>
  <c r="O43" i="49"/>
  <c r="N43" i="49"/>
  <c r="P42" i="49"/>
  <c r="O42" i="49"/>
  <c r="N42" i="49"/>
  <c r="C42" i="49"/>
  <c r="P41" i="49"/>
  <c r="O41" i="49"/>
  <c r="N41" i="49"/>
  <c r="P40" i="49"/>
  <c r="O40" i="49"/>
  <c r="N40" i="49"/>
  <c r="C40" i="49"/>
  <c r="P39" i="49"/>
  <c r="O39" i="49"/>
  <c r="N39" i="49"/>
  <c r="C39" i="49"/>
  <c r="P38" i="49"/>
  <c r="O38" i="49"/>
  <c r="N38" i="49"/>
  <c r="P37" i="49"/>
  <c r="O37" i="49"/>
  <c r="N37" i="49"/>
  <c r="C37" i="49"/>
  <c r="P36" i="49"/>
  <c r="O36" i="49"/>
  <c r="N36" i="49"/>
  <c r="C36" i="49"/>
  <c r="P35" i="49"/>
  <c r="O35" i="49"/>
  <c r="N35" i="49"/>
  <c r="C35" i="49"/>
  <c r="P34" i="49"/>
  <c r="O34" i="49"/>
  <c r="N34" i="49"/>
  <c r="C34" i="49"/>
  <c r="P33" i="49"/>
  <c r="O33" i="49"/>
  <c r="N33" i="49"/>
  <c r="C33" i="49"/>
  <c r="P32" i="49"/>
  <c r="O32" i="49"/>
  <c r="N32" i="49"/>
  <c r="C32" i="49"/>
  <c r="P31" i="49"/>
  <c r="O31" i="49"/>
  <c r="N31" i="49"/>
  <c r="C31" i="49"/>
  <c r="B31" i="49"/>
  <c r="P30" i="49"/>
  <c r="O30" i="49"/>
  <c r="N30" i="49"/>
  <c r="C30" i="49"/>
  <c r="B30" i="49"/>
  <c r="P29" i="49"/>
  <c r="O29" i="49"/>
  <c r="N29" i="49"/>
  <c r="C29" i="49"/>
  <c r="B29" i="49"/>
  <c r="P28" i="49"/>
  <c r="N28" i="49"/>
  <c r="C28" i="49"/>
  <c r="B28" i="49"/>
  <c r="P27" i="49"/>
  <c r="O27" i="49"/>
  <c r="N27" i="49"/>
  <c r="C27" i="49"/>
  <c r="B27" i="49"/>
  <c r="P26" i="49"/>
  <c r="O26" i="49"/>
  <c r="N26" i="49"/>
  <c r="G26" i="49"/>
  <c r="C26" i="49"/>
  <c r="B26" i="49"/>
  <c r="P25" i="49"/>
  <c r="O25" i="49"/>
  <c r="N25" i="49"/>
  <c r="G25" i="49"/>
  <c r="C25" i="49"/>
  <c r="B25" i="49"/>
  <c r="P24" i="49"/>
  <c r="O24" i="49"/>
  <c r="N24" i="49"/>
  <c r="G24" i="49"/>
  <c r="C24" i="49"/>
  <c r="B24" i="49"/>
  <c r="P23" i="49"/>
  <c r="O23" i="49"/>
  <c r="N23" i="49"/>
  <c r="G23" i="49"/>
  <c r="C23" i="49"/>
  <c r="B23" i="49"/>
  <c r="P22" i="49"/>
  <c r="O22" i="49"/>
  <c r="N22" i="49"/>
  <c r="G22" i="49"/>
  <c r="C22" i="49"/>
  <c r="B22" i="49"/>
  <c r="P21" i="49"/>
  <c r="O21" i="49"/>
  <c r="N21" i="49"/>
  <c r="G21" i="49"/>
  <c r="C21" i="49"/>
  <c r="B21" i="49"/>
  <c r="P20" i="49"/>
  <c r="O20" i="49"/>
  <c r="N20" i="49"/>
  <c r="G20" i="49"/>
  <c r="C20" i="49"/>
  <c r="B20" i="49"/>
  <c r="P19" i="49"/>
  <c r="O19" i="49"/>
  <c r="N19" i="49"/>
  <c r="G19" i="49"/>
  <c r="C19" i="49"/>
  <c r="B19" i="49"/>
  <c r="P18" i="49"/>
  <c r="O18" i="49"/>
  <c r="N18" i="49"/>
  <c r="G18" i="49"/>
  <c r="C18" i="49"/>
  <c r="P17" i="49"/>
  <c r="O17" i="49"/>
  <c r="N17" i="49"/>
  <c r="G17" i="49"/>
  <c r="C17" i="49"/>
  <c r="P16" i="49"/>
  <c r="O16" i="49"/>
  <c r="N16" i="49"/>
  <c r="G16" i="49"/>
  <c r="C16" i="49"/>
  <c r="P15" i="49"/>
  <c r="O15" i="49"/>
  <c r="N15" i="49"/>
  <c r="G15" i="49"/>
  <c r="C15" i="49"/>
  <c r="B15" i="49"/>
  <c r="P14" i="49"/>
  <c r="O14" i="49"/>
  <c r="N14" i="49"/>
  <c r="C14" i="49"/>
  <c r="B14" i="49"/>
  <c r="P13" i="49"/>
  <c r="O13" i="49"/>
  <c r="N13" i="49"/>
  <c r="C13" i="49"/>
  <c r="B13" i="49"/>
  <c r="P12" i="49"/>
  <c r="O12" i="49"/>
  <c r="N12" i="49"/>
  <c r="C12" i="49"/>
  <c r="B12" i="49"/>
  <c r="P11" i="49"/>
  <c r="O11" i="49"/>
  <c r="N11" i="49"/>
  <c r="C11" i="49"/>
  <c r="B11" i="49"/>
  <c r="P10" i="49"/>
  <c r="O10" i="49"/>
  <c r="N10" i="49"/>
  <c r="C10" i="49"/>
  <c r="B10" i="49"/>
  <c r="P9" i="49"/>
  <c r="O9" i="49"/>
  <c r="N9" i="49"/>
  <c r="C9" i="49"/>
  <c r="B9" i="49"/>
  <c r="P8" i="49"/>
  <c r="O8" i="49"/>
  <c r="N8" i="49"/>
  <c r="C8" i="49"/>
  <c r="B8" i="49"/>
  <c r="P7" i="49"/>
  <c r="O7" i="49"/>
  <c r="N7" i="49"/>
  <c r="C7" i="49"/>
  <c r="B7" i="49"/>
  <c r="P6" i="49"/>
  <c r="O6" i="49"/>
  <c r="N6" i="49"/>
  <c r="C6" i="49"/>
  <c r="P5" i="49"/>
  <c r="O5" i="49"/>
  <c r="N5" i="49"/>
  <c r="C5" i="49"/>
  <c r="P4" i="49"/>
  <c r="O4" i="49"/>
  <c r="N4" i="49"/>
  <c r="C4" i="49"/>
  <c r="P3" i="49"/>
  <c r="O3" i="49"/>
  <c r="N3" i="49"/>
  <c r="C3" i="49"/>
  <c r="B3" i="49"/>
  <c r="C107" i="50"/>
  <c r="K106" i="50"/>
  <c r="C106" i="50"/>
  <c r="C105" i="50"/>
  <c r="C104" i="50"/>
  <c r="C103" i="50"/>
  <c r="K102" i="50"/>
  <c r="C102" i="50"/>
  <c r="K101" i="50"/>
  <c r="C101" i="50"/>
  <c r="K100" i="50"/>
  <c r="C100" i="50"/>
  <c r="K99" i="50"/>
  <c r="C99" i="50"/>
  <c r="K98" i="50"/>
  <c r="C98" i="50"/>
  <c r="K97" i="50"/>
  <c r="C97" i="50"/>
  <c r="K96" i="50"/>
  <c r="C96" i="50"/>
  <c r="K95" i="50"/>
  <c r="C95" i="50"/>
  <c r="K94" i="50"/>
  <c r="C94" i="50"/>
  <c r="K93" i="50"/>
  <c r="C93" i="50"/>
  <c r="K92" i="50"/>
  <c r="C92" i="50"/>
  <c r="K91" i="50"/>
  <c r="C91" i="50"/>
  <c r="K90" i="50"/>
  <c r="C90" i="50"/>
  <c r="K89" i="50"/>
  <c r="C89" i="50"/>
  <c r="K88" i="50"/>
  <c r="C88" i="50"/>
  <c r="K87" i="50"/>
  <c r="C87" i="50"/>
  <c r="K86" i="50"/>
  <c r="C86" i="50"/>
  <c r="K85" i="50"/>
  <c r="C85" i="50"/>
  <c r="K84" i="50"/>
  <c r="C84" i="50"/>
  <c r="K83" i="50"/>
  <c r="C83" i="50"/>
  <c r="K82" i="50"/>
  <c r="C82" i="50"/>
  <c r="K81" i="50"/>
  <c r="C81" i="50"/>
  <c r="K80" i="50"/>
  <c r="C80" i="50"/>
  <c r="K79" i="50"/>
  <c r="C79" i="50"/>
  <c r="K78" i="50"/>
  <c r="C78" i="50"/>
  <c r="K77" i="50"/>
  <c r="C77" i="50"/>
  <c r="K76" i="50"/>
  <c r="C76" i="50"/>
  <c r="K75" i="50"/>
  <c r="C75" i="50"/>
  <c r="K74" i="50"/>
  <c r="C74" i="50"/>
  <c r="K73" i="50"/>
  <c r="C73" i="50"/>
  <c r="K72" i="50"/>
  <c r="C72" i="50"/>
  <c r="K71" i="50"/>
  <c r="C71" i="50"/>
  <c r="K70" i="50"/>
  <c r="C70" i="50"/>
  <c r="K69" i="50"/>
  <c r="C69" i="50"/>
  <c r="K68" i="50"/>
  <c r="C68" i="50"/>
  <c r="K67" i="50"/>
  <c r="C67" i="50"/>
  <c r="K66" i="50"/>
  <c r="C66" i="50"/>
  <c r="F65" i="50"/>
  <c r="C65" i="50"/>
  <c r="F64" i="50"/>
  <c r="C64" i="50"/>
  <c r="F63" i="50"/>
  <c r="C63" i="50"/>
  <c r="K62" i="50"/>
  <c r="C62" i="50"/>
  <c r="F61" i="50"/>
  <c r="C61" i="50"/>
  <c r="F60" i="50"/>
  <c r="C60" i="50"/>
  <c r="K59" i="50"/>
  <c r="C59" i="50"/>
  <c r="C58" i="50"/>
  <c r="C57" i="50"/>
  <c r="C56" i="50"/>
  <c r="C55" i="50"/>
  <c r="C54" i="50"/>
  <c r="C53" i="50"/>
  <c r="C52" i="50"/>
  <c r="C51" i="50"/>
  <c r="C50" i="50"/>
  <c r="C49" i="50"/>
  <c r="C48" i="50"/>
  <c r="C47" i="50"/>
  <c r="C46" i="50"/>
  <c r="K45" i="50"/>
  <c r="C45" i="50"/>
  <c r="K44" i="50"/>
  <c r="C44" i="50"/>
  <c r="K43" i="50"/>
  <c r="C43" i="50"/>
  <c r="K42" i="50"/>
  <c r="C42" i="50"/>
  <c r="K41" i="50"/>
  <c r="C41" i="50"/>
  <c r="K40" i="50"/>
  <c r="C40" i="50"/>
  <c r="K39" i="50"/>
  <c r="C39" i="50"/>
  <c r="K38" i="50"/>
  <c r="C38" i="50"/>
  <c r="K37" i="50"/>
  <c r="C37" i="50"/>
  <c r="K36" i="50"/>
  <c r="C36" i="50"/>
  <c r="K35" i="50"/>
  <c r="C35" i="50"/>
  <c r="K34" i="50"/>
  <c r="C34" i="50"/>
  <c r="K33" i="50"/>
  <c r="C33" i="50"/>
  <c r="K32" i="50"/>
  <c r="C32" i="50"/>
  <c r="K31" i="50"/>
  <c r="C31" i="50"/>
  <c r="K30" i="50"/>
  <c r="C30" i="50"/>
  <c r="K29" i="50"/>
  <c r="F29" i="50"/>
  <c r="C29" i="50"/>
  <c r="K28" i="50"/>
  <c r="C28" i="50"/>
  <c r="K27" i="50"/>
  <c r="F27" i="50"/>
  <c r="C27" i="50"/>
  <c r="K26" i="50"/>
  <c r="C26" i="50"/>
  <c r="K25" i="50"/>
  <c r="C25" i="50"/>
  <c r="K24" i="50"/>
  <c r="C24" i="50"/>
  <c r="K23" i="50"/>
  <c r="C23" i="50"/>
  <c r="K22" i="50"/>
  <c r="C22" i="50"/>
  <c r="K21" i="50"/>
  <c r="C21" i="50"/>
  <c r="K20" i="50"/>
  <c r="C20" i="50"/>
  <c r="K19" i="50"/>
  <c r="C19" i="50"/>
  <c r="K18" i="50"/>
  <c r="C18" i="50"/>
  <c r="K17" i="50"/>
  <c r="C17" i="50"/>
  <c r="K16" i="50"/>
  <c r="C16" i="50"/>
  <c r="K15" i="50"/>
  <c r="C15" i="50"/>
  <c r="K14" i="50"/>
  <c r="C14" i="50"/>
  <c r="B14" i="50"/>
  <c r="K13" i="50"/>
  <c r="F13" i="50"/>
  <c r="C13" i="50"/>
  <c r="B13" i="50"/>
  <c r="K12" i="50"/>
  <c r="F12" i="50"/>
  <c r="C12" i="50"/>
  <c r="B12" i="50"/>
  <c r="K11" i="50"/>
  <c r="F11" i="50"/>
  <c r="C11" i="50"/>
  <c r="B11" i="50"/>
  <c r="K10" i="50"/>
  <c r="F10" i="50"/>
  <c r="C10" i="50"/>
  <c r="B10" i="50"/>
  <c r="K9" i="50"/>
  <c r="F9" i="50"/>
  <c r="C9" i="50"/>
  <c r="B9" i="50"/>
  <c r="K8" i="50"/>
  <c r="F8" i="50"/>
  <c r="C8" i="50"/>
  <c r="B8" i="50"/>
  <c r="K7" i="50"/>
  <c r="F7" i="50"/>
  <c r="C7" i="50"/>
  <c r="B7" i="50"/>
  <c r="K6" i="50"/>
  <c r="F6" i="50"/>
  <c r="C6" i="50"/>
  <c r="K5" i="50"/>
  <c r="F5" i="50"/>
  <c r="C5" i="50"/>
  <c r="K4" i="50"/>
  <c r="F4" i="50"/>
  <c r="C4" i="50"/>
  <c r="K3" i="50"/>
  <c r="F3" i="50"/>
  <c r="C3" i="50"/>
  <c r="B3" i="50"/>
  <c r="D53" i="9"/>
  <c r="D52" i="9"/>
  <c r="D51" i="9"/>
  <c r="D50" i="9"/>
  <c r="D49" i="9"/>
  <c r="D48" i="9"/>
  <c r="D47" i="9"/>
  <c r="D46" i="9"/>
  <c r="D45" i="9"/>
  <c r="D44" i="9"/>
  <c r="D43" i="9"/>
  <c r="D42" i="9"/>
  <c r="B9" i="9"/>
  <c r="D40" i="5"/>
  <c r="D39" i="5"/>
  <c r="D38" i="5"/>
  <c r="D37" i="5"/>
  <c r="D36" i="5"/>
  <c r="D35" i="5"/>
  <c r="D34" i="5"/>
  <c r="D33" i="5"/>
  <c r="D32" i="5"/>
  <c r="D31" i="5"/>
  <c r="D30" i="5"/>
  <c r="B9" i="5"/>
  <c r="C36" i="48"/>
  <c r="C35" i="48"/>
  <c r="C34" i="48"/>
  <c r="C33" i="48"/>
  <c r="C32" i="48"/>
  <c r="C31" i="48"/>
  <c r="K30" i="48"/>
  <c r="C30" i="48"/>
  <c r="K29" i="48"/>
  <c r="C29" i="48"/>
  <c r="K28" i="48"/>
  <c r="C28" i="48"/>
  <c r="K27" i="48"/>
  <c r="C27" i="48"/>
  <c r="K26" i="48"/>
  <c r="C26" i="48"/>
  <c r="K25" i="48"/>
  <c r="I25" i="48"/>
  <c r="C25" i="48"/>
  <c r="K24" i="48"/>
  <c r="C24" i="48"/>
  <c r="K23" i="48"/>
  <c r="C23" i="48"/>
  <c r="K22" i="48"/>
  <c r="C22" i="48"/>
  <c r="K21" i="48"/>
  <c r="C21" i="48"/>
  <c r="K20" i="48"/>
  <c r="C20" i="48"/>
  <c r="K19" i="48"/>
  <c r="C19" i="48"/>
  <c r="K18" i="48"/>
  <c r="C18" i="48"/>
  <c r="K17" i="48"/>
  <c r="C17" i="48"/>
  <c r="K16" i="48"/>
  <c r="C16" i="48"/>
  <c r="K15" i="48"/>
  <c r="C15" i="48"/>
  <c r="K14" i="48"/>
  <c r="C14" i="48"/>
  <c r="K13" i="48"/>
  <c r="C13" i="48"/>
  <c r="K12" i="48"/>
  <c r="C12" i="48"/>
  <c r="K11" i="48"/>
  <c r="C11" i="48"/>
  <c r="K10" i="48"/>
  <c r="C10" i="48"/>
  <c r="K9" i="48"/>
  <c r="C9" i="48"/>
  <c r="K8" i="48"/>
  <c r="I8" i="48"/>
  <c r="C8" i="48"/>
  <c r="B8" i="48"/>
  <c r="K7" i="48"/>
  <c r="C7" i="48"/>
  <c r="B7" i="48"/>
  <c r="M6" i="48"/>
  <c r="K6" i="48"/>
  <c r="C6" i="48"/>
  <c r="B6" i="48"/>
  <c r="K5" i="48"/>
  <c r="C5" i="48"/>
  <c r="B5" i="48"/>
  <c r="K4" i="48"/>
  <c r="I4" i="48"/>
  <c r="C4" i="48"/>
  <c r="B4" i="48"/>
  <c r="K3" i="48"/>
  <c r="I3" i="48"/>
  <c r="C3" i="48"/>
  <c r="B3" i="48"/>
  <c r="I36" i="27"/>
  <c r="I35" i="27"/>
  <c r="G35" i="27"/>
  <c r="I34" i="27"/>
  <c r="J33" i="27"/>
  <c r="I33" i="27"/>
  <c r="I32" i="27"/>
  <c r="I31" i="27"/>
  <c r="G31" i="27"/>
  <c r="I30" i="27"/>
  <c r="G30" i="27"/>
  <c r="D15" i="27"/>
  <c r="D14" i="27"/>
  <c r="D13" i="27"/>
  <c r="B9" i="27"/>
  <c r="I31" i="28"/>
  <c r="I30" i="28"/>
  <c r="G30" i="28"/>
  <c r="B9" i="28"/>
  <c r="E31" i="29"/>
  <c r="E30" i="29"/>
  <c r="D15" i="29"/>
  <c r="D14" i="29"/>
  <c r="D13" i="29"/>
  <c r="B9" i="29"/>
  <c r="G18" i="47"/>
  <c r="C18" i="47"/>
  <c r="G17" i="47"/>
  <c r="C17" i="47"/>
  <c r="G16" i="47"/>
  <c r="C16" i="47"/>
  <c r="G15" i="47"/>
  <c r="C15" i="47"/>
  <c r="G14" i="47"/>
  <c r="C14" i="47"/>
  <c r="G13" i="47"/>
  <c r="C13" i="47"/>
  <c r="G12" i="47"/>
  <c r="C12" i="47"/>
  <c r="G11" i="47"/>
  <c r="C11" i="47"/>
  <c r="G10" i="47"/>
  <c r="C10" i="47"/>
  <c r="G9" i="47"/>
  <c r="C9" i="47"/>
  <c r="G8" i="47"/>
  <c r="C8" i="47"/>
  <c r="G7" i="47"/>
  <c r="C7" i="47"/>
  <c r="H6" i="47"/>
  <c r="G6" i="47"/>
  <c r="C6" i="47"/>
  <c r="G5" i="47"/>
  <c r="C5" i="47"/>
  <c r="H4" i="47"/>
  <c r="G4" i="47"/>
  <c r="C4" i="47"/>
  <c r="B4" i="47"/>
  <c r="H3" i="47"/>
  <c r="G3" i="47"/>
  <c r="C3" i="47"/>
  <c r="B3" i="47"/>
  <c r="E31" i="26"/>
  <c r="E30" i="26"/>
  <c r="B9" i="26"/>
  <c r="D15" i="25"/>
  <c r="D14" i="25"/>
  <c r="D13" i="25"/>
  <c r="B9" i="25"/>
  <c r="N103" i="46"/>
  <c r="C103" i="46"/>
  <c r="N102" i="46"/>
  <c r="C102" i="46"/>
  <c r="N101" i="46"/>
  <c r="C101" i="46"/>
  <c r="N100" i="46"/>
  <c r="C100" i="46"/>
  <c r="N99" i="46"/>
  <c r="C99" i="46"/>
  <c r="N98" i="46"/>
  <c r="C98" i="46"/>
  <c r="N97" i="46"/>
  <c r="C97" i="46"/>
  <c r="N96" i="46"/>
  <c r="C96" i="46"/>
  <c r="N95" i="46"/>
  <c r="C95" i="46"/>
  <c r="N94" i="46"/>
  <c r="C94" i="46"/>
  <c r="N93" i="46"/>
  <c r="C93" i="46"/>
  <c r="N92" i="46"/>
  <c r="C92" i="46"/>
  <c r="N91" i="46"/>
  <c r="C91" i="46"/>
  <c r="N90" i="46"/>
  <c r="C90" i="46"/>
  <c r="N89" i="46"/>
  <c r="C89" i="46"/>
  <c r="N88" i="46"/>
  <c r="C88" i="46"/>
  <c r="N87" i="46"/>
  <c r="C87" i="46"/>
  <c r="N86" i="46"/>
  <c r="C86" i="46"/>
  <c r="N85" i="46"/>
  <c r="C85" i="46"/>
  <c r="N84" i="46"/>
  <c r="C84" i="46"/>
  <c r="N83" i="46"/>
  <c r="C83" i="46"/>
  <c r="N82" i="46"/>
  <c r="C82" i="46"/>
  <c r="N81" i="46"/>
  <c r="C81" i="46"/>
  <c r="N80" i="46"/>
  <c r="C80" i="46"/>
  <c r="N79" i="46"/>
  <c r="C79" i="46"/>
  <c r="N78" i="46"/>
  <c r="C78" i="46"/>
  <c r="N77" i="46"/>
  <c r="C77" i="46"/>
  <c r="N76" i="46"/>
  <c r="C76" i="46"/>
  <c r="N75" i="46"/>
  <c r="C75" i="46"/>
  <c r="N74" i="46"/>
  <c r="C74" i="46"/>
  <c r="N73" i="46"/>
  <c r="C73" i="46"/>
  <c r="N72" i="46"/>
  <c r="C72" i="46"/>
  <c r="N71" i="46"/>
  <c r="C71" i="46"/>
  <c r="N70" i="46"/>
  <c r="C70" i="46"/>
  <c r="N69" i="46"/>
  <c r="C69" i="46"/>
  <c r="N68" i="46"/>
  <c r="C68" i="46"/>
  <c r="N67" i="46"/>
  <c r="C67" i="46"/>
  <c r="N66" i="46"/>
  <c r="C66" i="46"/>
  <c r="N65" i="46"/>
  <c r="C65" i="46"/>
  <c r="N64" i="46"/>
  <c r="C64" i="46"/>
  <c r="N63" i="46"/>
  <c r="C63" i="46"/>
  <c r="N62" i="46"/>
  <c r="C62" i="46"/>
  <c r="N61" i="46"/>
  <c r="C61" i="46"/>
  <c r="N60" i="46"/>
  <c r="C60" i="46"/>
  <c r="N59" i="46"/>
  <c r="C59" i="46"/>
  <c r="N58" i="46"/>
  <c r="C58" i="46"/>
  <c r="N57" i="46"/>
  <c r="C57" i="46"/>
  <c r="N56" i="46"/>
  <c r="C56" i="46"/>
  <c r="N55" i="46"/>
  <c r="C55" i="46"/>
  <c r="N54" i="46"/>
  <c r="C54" i="46"/>
  <c r="N53" i="46"/>
  <c r="C53" i="46"/>
  <c r="N52" i="46"/>
  <c r="C52" i="46"/>
  <c r="N51" i="46"/>
  <c r="C51" i="46"/>
  <c r="N50" i="46"/>
  <c r="C50" i="46"/>
  <c r="N49" i="46"/>
  <c r="C49" i="46"/>
  <c r="N48" i="46"/>
  <c r="C48" i="46"/>
  <c r="N47" i="46"/>
  <c r="C47" i="46"/>
  <c r="N46" i="46"/>
  <c r="C46" i="46"/>
  <c r="N45" i="46"/>
  <c r="C45" i="46"/>
  <c r="N44" i="46"/>
  <c r="C44" i="46"/>
  <c r="N43" i="46"/>
  <c r="C43" i="46"/>
  <c r="N42" i="46"/>
  <c r="C42" i="46"/>
  <c r="N41" i="46"/>
  <c r="C41" i="46"/>
  <c r="N40" i="46"/>
  <c r="C40" i="46"/>
  <c r="N39" i="46"/>
  <c r="C39" i="46"/>
  <c r="N38" i="46"/>
  <c r="C38" i="46"/>
  <c r="N37" i="46"/>
  <c r="C37" i="46"/>
  <c r="N36" i="46"/>
  <c r="C36" i="46"/>
  <c r="N35" i="46"/>
  <c r="C35" i="46"/>
  <c r="N34" i="46"/>
  <c r="C34" i="46"/>
  <c r="N33" i="46"/>
  <c r="C33" i="46"/>
  <c r="N32" i="46"/>
  <c r="C32" i="46"/>
  <c r="N31" i="46"/>
  <c r="C31" i="46"/>
  <c r="N30" i="46"/>
  <c r="C30" i="46"/>
  <c r="N29" i="46"/>
  <c r="C29" i="46"/>
  <c r="N28" i="46"/>
  <c r="C28" i="46"/>
  <c r="N27" i="46"/>
  <c r="C27" i="46"/>
  <c r="N26" i="46"/>
  <c r="C26" i="46"/>
  <c r="N25" i="46"/>
  <c r="C25" i="46"/>
  <c r="N24" i="46"/>
  <c r="C24" i="46"/>
  <c r="N23" i="46"/>
  <c r="C23" i="46"/>
  <c r="N22" i="46"/>
  <c r="C22" i="46"/>
  <c r="N21" i="46"/>
  <c r="C21" i="46"/>
  <c r="N20" i="46"/>
  <c r="C20" i="46"/>
  <c r="B20" i="46"/>
  <c r="N19" i="46"/>
  <c r="C19" i="46"/>
  <c r="B19" i="46"/>
  <c r="N18" i="46"/>
  <c r="C18" i="46"/>
  <c r="B18" i="46"/>
  <c r="N17" i="46"/>
  <c r="L17" i="46"/>
  <c r="J17" i="46"/>
  <c r="C17" i="46"/>
  <c r="B17" i="46"/>
  <c r="N16" i="46"/>
  <c r="C16" i="46"/>
  <c r="B16" i="46"/>
  <c r="N15" i="46"/>
  <c r="C15" i="46"/>
  <c r="B15" i="46"/>
  <c r="N14" i="46"/>
  <c r="C14" i="46"/>
  <c r="B14" i="46"/>
  <c r="N13" i="46"/>
  <c r="C13" i="46"/>
  <c r="B13" i="46"/>
  <c r="N12" i="46"/>
  <c r="C12" i="46"/>
  <c r="B12" i="46"/>
  <c r="N11" i="46"/>
  <c r="C11" i="46"/>
  <c r="B11" i="46"/>
  <c r="N10" i="46"/>
  <c r="C10" i="46"/>
  <c r="B10" i="46"/>
  <c r="N9" i="46"/>
  <c r="C9" i="46"/>
  <c r="B9" i="46"/>
  <c r="N8" i="46"/>
  <c r="C8" i="46"/>
  <c r="N7" i="46"/>
  <c r="C7" i="46"/>
  <c r="N6" i="46"/>
  <c r="C6" i="46"/>
  <c r="N5" i="46"/>
  <c r="L5" i="46"/>
  <c r="J5" i="46"/>
  <c r="C5" i="46"/>
  <c r="B5" i="46"/>
  <c r="C4" i="46"/>
  <c r="C3" i="46"/>
  <c r="I48" i="24"/>
  <c r="I47" i="24"/>
  <c r="I46" i="24"/>
  <c r="I45" i="24"/>
  <c r="I44" i="24"/>
  <c r="G44" i="24"/>
  <c r="E44" i="24"/>
  <c r="I43" i="24"/>
  <c r="I42" i="24"/>
  <c r="I41" i="24"/>
  <c r="I40" i="24"/>
  <c r="I39" i="24"/>
  <c r="I38" i="24"/>
  <c r="I37" i="24"/>
  <c r="I36" i="24"/>
  <c r="I35" i="24"/>
  <c r="I34" i="24"/>
  <c r="I33" i="24"/>
  <c r="I32" i="24"/>
  <c r="G32" i="24"/>
  <c r="E32" i="24"/>
  <c r="B9" i="24"/>
  <c r="O2672" i="45"/>
  <c r="I2672" i="45"/>
  <c r="O2671" i="45"/>
  <c r="I2671" i="45"/>
  <c r="O2670" i="45"/>
  <c r="I2670" i="45"/>
  <c r="O2669" i="45"/>
  <c r="I2669" i="45"/>
  <c r="O2668" i="45"/>
  <c r="I2668" i="45"/>
  <c r="O2667" i="45"/>
  <c r="I2667" i="45"/>
  <c r="O2666" i="45"/>
  <c r="I2666" i="45"/>
  <c r="O2665" i="45"/>
  <c r="I2665" i="45"/>
  <c r="O2664" i="45"/>
  <c r="I2664" i="45"/>
  <c r="O2663" i="45"/>
  <c r="I2663" i="45"/>
  <c r="O2662" i="45"/>
  <c r="I2662" i="45"/>
  <c r="O2661" i="45"/>
  <c r="I2661" i="45"/>
  <c r="O2660" i="45"/>
  <c r="I2660" i="45"/>
  <c r="O2659" i="45"/>
  <c r="I2659" i="45"/>
  <c r="O2658" i="45"/>
  <c r="I2658" i="45"/>
  <c r="O2657" i="45"/>
  <c r="I2657" i="45"/>
  <c r="O2656" i="45"/>
  <c r="I2656" i="45"/>
  <c r="O2655" i="45"/>
  <c r="I2655" i="45"/>
  <c r="O2654" i="45"/>
  <c r="I2654" i="45"/>
  <c r="O2653" i="45"/>
  <c r="I2653" i="45"/>
  <c r="O2652" i="45"/>
  <c r="I2652" i="45"/>
  <c r="O2651" i="45"/>
  <c r="I2651" i="45"/>
  <c r="O2650" i="45"/>
  <c r="I2650" i="45"/>
  <c r="O2649" i="45"/>
  <c r="I2649" i="45"/>
  <c r="O2648" i="45"/>
  <c r="I2648" i="45"/>
  <c r="O2647" i="45"/>
  <c r="I2647" i="45"/>
  <c r="O2646" i="45"/>
  <c r="I2646" i="45"/>
  <c r="O2645" i="45"/>
  <c r="I2645" i="45"/>
  <c r="O2644" i="45"/>
  <c r="I2644" i="45"/>
  <c r="O2643" i="45"/>
  <c r="I2643" i="45"/>
  <c r="O2642" i="45"/>
  <c r="I2642" i="45"/>
  <c r="O2641" i="45"/>
  <c r="I2641" i="45"/>
  <c r="O2640" i="45"/>
  <c r="I2640" i="45"/>
  <c r="O2639" i="45"/>
  <c r="I2639" i="45"/>
  <c r="O2638" i="45"/>
  <c r="I2638" i="45"/>
  <c r="O2637" i="45"/>
  <c r="I2637" i="45"/>
  <c r="O2636" i="45"/>
  <c r="I2636" i="45"/>
  <c r="O2635" i="45"/>
  <c r="I2635" i="45"/>
  <c r="O2634" i="45"/>
  <c r="I2634" i="45"/>
  <c r="O2633" i="45"/>
  <c r="I2633" i="45"/>
  <c r="O2632" i="45"/>
  <c r="I2632" i="45"/>
  <c r="O2631" i="45"/>
  <c r="I2631" i="45"/>
  <c r="O2630" i="45"/>
  <c r="I2630" i="45"/>
  <c r="O2629" i="45"/>
  <c r="I2629" i="45"/>
  <c r="O2628" i="45"/>
  <c r="I2628" i="45"/>
  <c r="O2627" i="45"/>
  <c r="I2627" i="45"/>
  <c r="O2626" i="45"/>
  <c r="I2626" i="45"/>
  <c r="O2625" i="45"/>
  <c r="I2625" i="45"/>
  <c r="O2624" i="45"/>
  <c r="I2624" i="45"/>
  <c r="O2623" i="45"/>
  <c r="I2623" i="45"/>
  <c r="O2622" i="45"/>
  <c r="I2622" i="45"/>
  <c r="O2621" i="45"/>
  <c r="I2621" i="45"/>
  <c r="O2620" i="45"/>
  <c r="I2620" i="45"/>
  <c r="O2619" i="45"/>
  <c r="I2619" i="45"/>
  <c r="O2618" i="45"/>
  <c r="I2618" i="45"/>
  <c r="O2617" i="45"/>
  <c r="I2617" i="45"/>
  <c r="O2616" i="45"/>
  <c r="I2616" i="45"/>
  <c r="O2615" i="45"/>
  <c r="I2615" i="45"/>
  <c r="O2614" i="45"/>
  <c r="I2614" i="45"/>
  <c r="O2613" i="45"/>
  <c r="I2613" i="45"/>
  <c r="O2612" i="45"/>
  <c r="I2612" i="45"/>
  <c r="O2611" i="45"/>
  <c r="I2611" i="45"/>
  <c r="O2610" i="45"/>
  <c r="I2610" i="45"/>
  <c r="O2609" i="45"/>
  <c r="I2609" i="45"/>
  <c r="O2608" i="45"/>
  <c r="I2608" i="45"/>
  <c r="O2607" i="45"/>
  <c r="I2607" i="45"/>
  <c r="O2606" i="45"/>
  <c r="I2606" i="45"/>
  <c r="O2605" i="45"/>
  <c r="I2605" i="45"/>
  <c r="O2604" i="45"/>
  <c r="I2604" i="45"/>
  <c r="O2603" i="45"/>
  <c r="I2603" i="45"/>
  <c r="O2602" i="45"/>
  <c r="I2602" i="45"/>
  <c r="O2601" i="45"/>
  <c r="I2601" i="45"/>
  <c r="O2600" i="45"/>
  <c r="I2600" i="45"/>
  <c r="O2599" i="45"/>
  <c r="I2599" i="45"/>
  <c r="O2598" i="45"/>
  <c r="I2598" i="45"/>
  <c r="O2597" i="45"/>
  <c r="I2597" i="45"/>
  <c r="O2596" i="45"/>
  <c r="I2596" i="45"/>
  <c r="O2595" i="45"/>
  <c r="I2595" i="45"/>
  <c r="O2594" i="45"/>
  <c r="I2594" i="45"/>
  <c r="O2593" i="45"/>
  <c r="I2593" i="45"/>
  <c r="O2592" i="45"/>
  <c r="I2592" i="45"/>
  <c r="O2591" i="45"/>
  <c r="I2591" i="45"/>
  <c r="O2590" i="45"/>
  <c r="I2590" i="45"/>
  <c r="O2589" i="45"/>
  <c r="I2589" i="45"/>
  <c r="O2588" i="45"/>
  <c r="I2588" i="45"/>
  <c r="O2587" i="45"/>
  <c r="I2587" i="45"/>
  <c r="O2586" i="45"/>
  <c r="I2586" i="45"/>
  <c r="O2585" i="45"/>
  <c r="I2585" i="45"/>
  <c r="O2584" i="45"/>
  <c r="I2584" i="45"/>
  <c r="O2583" i="45"/>
  <c r="I2583" i="45"/>
  <c r="O2582" i="45"/>
  <c r="I2582" i="45"/>
  <c r="O2581" i="45"/>
  <c r="I2581" i="45"/>
  <c r="O2580" i="45"/>
  <c r="I2580" i="45"/>
  <c r="O2579" i="45"/>
  <c r="I2579" i="45"/>
  <c r="O2578" i="45"/>
  <c r="I2578" i="45"/>
  <c r="O2577" i="45"/>
  <c r="I2577" i="45"/>
  <c r="O2576" i="45"/>
  <c r="I2576" i="45"/>
  <c r="O2575" i="45"/>
  <c r="I2575" i="45"/>
  <c r="O2574" i="45"/>
  <c r="I2574" i="45"/>
  <c r="O2573" i="45"/>
  <c r="I2573" i="45"/>
  <c r="O2572" i="45"/>
  <c r="I2572" i="45"/>
  <c r="O2571" i="45"/>
  <c r="I2571" i="45"/>
  <c r="O2570" i="45"/>
  <c r="I2570" i="45"/>
  <c r="O2569" i="45"/>
  <c r="I2569" i="45"/>
  <c r="O2568" i="45"/>
  <c r="I2568" i="45"/>
  <c r="O2567" i="45"/>
  <c r="I2567" i="45"/>
  <c r="O2566" i="45"/>
  <c r="I2566" i="45"/>
  <c r="O2565" i="45"/>
  <c r="I2565" i="45"/>
  <c r="O2564" i="45"/>
  <c r="I2564" i="45"/>
  <c r="O2563" i="45"/>
  <c r="I2563" i="45"/>
  <c r="O2562" i="45"/>
  <c r="I2562" i="45"/>
  <c r="O2561" i="45"/>
  <c r="I2561" i="45"/>
  <c r="O2560" i="45"/>
  <c r="I2560" i="45"/>
  <c r="O2559" i="45"/>
  <c r="I2559" i="45"/>
  <c r="O2558" i="45"/>
  <c r="I2558" i="45"/>
  <c r="O2557" i="45"/>
  <c r="I2557" i="45"/>
  <c r="O2556" i="45"/>
  <c r="I2556" i="45"/>
  <c r="O2555" i="45"/>
  <c r="I2555" i="45"/>
  <c r="O2554" i="45"/>
  <c r="I2554" i="45"/>
  <c r="O2553" i="45"/>
  <c r="I2553" i="45"/>
  <c r="O2552" i="45"/>
  <c r="I2552" i="45"/>
  <c r="O2551" i="45"/>
  <c r="I2551" i="45"/>
  <c r="O2550" i="45"/>
  <c r="I2550" i="45"/>
  <c r="O2549" i="45"/>
  <c r="I2549" i="45"/>
  <c r="O2548" i="45"/>
  <c r="I2548" i="45"/>
  <c r="O2547" i="45"/>
  <c r="I2547" i="45"/>
  <c r="O2546" i="45"/>
  <c r="I2546" i="45"/>
  <c r="O2545" i="45"/>
  <c r="I2545" i="45"/>
  <c r="O2544" i="45"/>
  <c r="I2544" i="45"/>
  <c r="O2543" i="45"/>
  <c r="I2543" i="45"/>
  <c r="O2542" i="45"/>
  <c r="I2542" i="45"/>
  <c r="O2541" i="45"/>
  <c r="I2541" i="45"/>
  <c r="O2540" i="45"/>
  <c r="I2540" i="45"/>
  <c r="O2539" i="45"/>
  <c r="I2539" i="45"/>
  <c r="O2538" i="45"/>
  <c r="I2538" i="45"/>
  <c r="O2537" i="45"/>
  <c r="I2537" i="45"/>
  <c r="O2536" i="45"/>
  <c r="I2536" i="45"/>
  <c r="O2535" i="45"/>
  <c r="I2535" i="45"/>
  <c r="O2534" i="45"/>
  <c r="I2534" i="45"/>
  <c r="O2533" i="45"/>
  <c r="I2533" i="45"/>
  <c r="O2532" i="45"/>
  <c r="I2532" i="45"/>
  <c r="O2531" i="45"/>
  <c r="I2531" i="45"/>
  <c r="O2530" i="45"/>
  <c r="I2530" i="45"/>
  <c r="O2529" i="45"/>
  <c r="I2529" i="45"/>
  <c r="O2528" i="45"/>
  <c r="I2528" i="45"/>
  <c r="O2527" i="45"/>
  <c r="I2527" i="45"/>
  <c r="O2526" i="45"/>
  <c r="I2526" i="45"/>
  <c r="O2525" i="45"/>
  <c r="I2525" i="45"/>
  <c r="O2524" i="45"/>
  <c r="I2524" i="45"/>
  <c r="O2523" i="45"/>
  <c r="I2523" i="45"/>
  <c r="O2522" i="45"/>
  <c r="I2522" i="45"/>
  <c r="O2521" i="45"/>
  <c r="I2521" i="45"/>
  <c r="O2520" i="45"/>
  <c r="I2520" i="45"/>
  <c r="O2519" i="45"/>
  <c r="I2519" i="45"/>
  <c r="O2518" i="45"/>
  <c r="I2518" i="45"/>
  <c r="O2517" i="45"/>
  <c r="I2517" i="45"/>
  <c r="O2516" i="45"/>
  <c r="I2516" i="45"/>
  <c r="O2515" i="45"/>
  <c r="I2515" i="45"/>
  <c r="O2514" i="45"/>
  <c r="I2514" i="45"/>
  <c r="O2513" i="45"/>
  <c r="I2513" i="45"/>
  <c r="O2512" i="45"/>
  <c r="I2512" i="45"/>
  <c r="O2511" i="45"/>
  <c r="I2511" i="45"/>
  <c r="O2510" i="45"/>
  <c r="I2510" i="45"/>
  <c r="O2509" i="45"/>
  <c r="I2509" i="45"/>
  <c r="O2508" i="45"/>
  <c r="I2508" i="45"/>
  <c r="O2507" i="45"/>
  <c r="I2507" i="45"/>
  <c r="O2506" i="45"/>
  <c r="I2506" i="45"/>
  <c r="O2505" i="45"/>
  <c r="I2505" i="45"/>
  <c r="O2504" i="45"/>
  <c r="I2504" i="45"/>
  <c r="O2503" i="45"/>
  <c r="I2503" i="45"/>
  <c r="O2502" i="45"/>
  <c r="I2502" i="45"/>
  <c r="O2501" i="45"/>
  <c r="I2501" i="45"/>
  <c r="O2500" i="45"/>
  <c r="I2500" i="45"/>
  <c r="O2499" i="45"/>
  <c r="I2499" i="45"/>
  <c r="O2498" i="45"/>
  <c r="I2498" i="45"/>
  <c r="O2497" i="45"/>
  <c r="I2497" i="45"/>
  <c r="O2496" i="45"/>
  <c r="I2496" i="45"/>
  <c r="O2495" i="45"/>
  <c r="I2495" i="45"/>
  <c r="O2494" i="45"/>
  <c r="I2494" i="45"/>
  <c r="O2493" i="45"/>
  <c r="I2493" i="45"/>
  <c r="O2492" i="45"/>
  <c r="I2492" i="45"/>
  <c r="O2491" i="45"/>
  <c r="I2491" i="45"/>
  <c r="O2490" i="45"/>
  <c r="I2490" i="45"/>
  <c r="O2489" i="45"/>
  <c r="I2489" i="45"/>
  <c r="O2488" i="45"/>
  <c r="I2488" i="45"/>
  <c r="O2487" i="45"/>
  <c r="I2487" i="45"/>
  <c r="O2486" i="45"/>
  <c r="I2486" i="45"/>
  <c r="O2485" i="45"/>
  <c r="I2485" i="45"/>
  <c r="O2484" i="45"/>
  <c r="I2484" i="45"/>
  <c r="O2483" i="45"/>
  <c r="I2483" i="45"/>
  <c r="O2482" i="45"/>
  <c r="I2482" i="45"/>
  <c r="O2481" i="45"/>
  <c r="I2481" i="45"/>
  <c r="O2480" i="45"/>
  <c r="I2480" i="45"/>
  <c r="O2479" i="45"/>
  <c r="I2479" i="45"/>
  <c r="O2478" i="45"/>
  <c r="I2478" i="45"/>
  <c r="O2477" i="45"/>
  <c r="I2477" i="45"/>
  <c r="O2476" i="45"/>
  <c r="I2476" i="45"/>
  <c r="O2475" i="45"/>
  <c r="I2475" i="45"/>
  <c r="O2474" i="45"/>
  <c r="I2474" i="45"/>
  <c r="O2473" i="45"/>
  <c r="I2473" i="45"/>
  <c r="O2472" i="45"/>
  <c r="I2472" i="45"/>
  <c r="O2471" i="45"/>
  <c r="I2471" i="45"/>
  <c r="O2470" i="45"/>
  <c r="I2470" i="45"/>
  <c r="O2469" i="45"/>
  <c r="I2469" i="45"/>
  <c r="O2468" i="45"/>
  <c r="I2468" i="45"/>
  <c r="O2467" i="45"/>
  <c r="I2467" i="45"/>
  <c r="O2466" i="45"/>
  <c r="I2466" i="45"/>
  <c r="O2465" i="45"/>
  <c r="I2465" i="45"/>
  <c r="O2464" i="45"/>
  <c r="I2464" i="45"/>
  <c r="O2463" i="45"/>
  <c r="I2463" i="45"/>
  <c r="O2462" i="45"/>
  <c r="I2462" i="45"/>
  <c r="O2461" i="45"/>
  <c r="I2461" i="45"/>
  <c r="O2460" i="45"/>
  <c r="I2460" i="45"/>
  <c r="O2459" i="45"/>
  <c r="I2459" i="45"/>
  <c r="O2458" i="45"/>
  <c r="I2458" i="45"/>
  <c r="O2457" i="45"/>
  <c r="I2457" i="45"/>
  <c r="O2456" i="45"/>
  <c r="I2456" i="45"/>
  <c r="O2455" i="45"/>
  <c r="I2455" i="45"/>
  <c r="O2454" i="45"/>
  <c r="I2454" i="45"/>
  <c r="O2453" i="45"/>
  <c r="I2453" i="45"/>
  <c r="O2452" i="45"/>
  <c r="I2452" i="45"/>
  <c r="O2451" i="45"/>
  <c r="I2451" i="45"/>
  <c r="O2450" i="45"/>
  <c r="I2450" i="45"/>
  <c r="O2449" i="45"/>
  <c r="I2449" i="45"/>
  <c r="O2448" i="45"/>
  <c r="I2448" i="45"/>
  <c r="O2447" i="45"/>
  <c r="I2447" i="45"/>
  <c r="O2446" i="45"/>
  <c r="I2446" i="45"/>
  <c r="O2445" i="45"/>
  <c r="I2445" i="45"/>
  <c r="O2444" i="45"/>
  <c r="I2444" i="45"/>
  <c r="O2443" i="45"/>
  <c r="I2443" i="45"/>
  <c r="O2442" i="45"/>
  <c r="I2442" i="45"/>
  <c r="O2441" i="45"/>
  <c r="I2441" i="45"/>
  <c r="O2440" i="45"/>
  <c r="I2440" i="45"/>
  <c r="O2439" i="45"/>
  <c r="I2439" i="45"/>
  <c r="O2438" i="45"/>
  <c r="I2438" i="45"/>
  <c r="O2437" i="45"/>
  <c r="I2437" i="45"/>
  <c r="O2436" i="45"/>
  <c r="I2436" i="45"/>
  <c r="O2435" i="45"/>
  <c r="I2435" i="45"/>
  <c r="O2434" i="45"/>
  <c r="I2434" i="45"/>
  <c r="O2433" i="45"/>
  <c r="I2433" i="45"/>
  <c r="O2432" i="45"/>
  <c r="I2432" i="45"/>
  <c r="O2431" i="45"/>
  <c r="I2431" i="45"/>
  <c r="O2430" i="45"/>
  <c r="I2430" i="45"/>
  <c r="O2429" i="45"/>
  <c r="I2429" i="45"/>
  <c r="O2428" i="45"/>
  <c r="I2428" i="45"/>
  <c r="O2427" i="45"/>
  <c r="I2427" i="45"/>
  <c r="O2426" i="45"/>
  <c r="I2426" i="45"/>
  <c r="O2425" i="45"/>
  <c r="I2425" i="45"/>
  <c r="O2424" i="45"/>
  <c r="I2424" i="45"/>
  <c r="O2423" i="45"/>
  <c r="I2423" i="45"/>
  <c r="O2422" i="45"/>
  <c r="I2422" i="45"/>
  <c r="O2421" i="45"/>
  <c r="I2421" i="45"/>
  <c r="O2420" i="45"/>
  <c r="I2420" i="45"/>
  <c r="O2419" i="45"/>
  <c r="I2419" i="45"/>
  <c r="O2418" i="45"/>
  <c r="I2418" i="45"/>
  <c r="O2417" i="45"/>
  <c r="I2417" i="45"/>
  <c r="O2416" i="45"/>
  <c r="I2416" i="45"/>
  <c r="O2415" i="45"/>
  <c r="I2415" i="45"/>
  <c r="O2414" i="45"/>
  <c r="I2414" i="45"/>
  <c r="O2413" i="45"/>
  <c r="I2413" i="45"/>
  <c r="O2412" i="45"/>
  <c r="I2412" i="45"/>
  <c r="O2411" i="45"/>
  <c r="I2411" i="45"/>
  <c r="O2410" i="45"/>
  <c r="I2410" i="45"/>
  <c r="O2409" i="45"/>
  <c r="I2409" i="45"/>
  <c r="O2408" i="45"/>
  <c r="I2408" i="45"/>
  <c r="O2407" i="45"/>
  <c r="I2407" i="45"/>
  <c r="O2406" i="45"/>
  <c r="I2406" i="45"/>
  <c r="O2405" i="45"/>
  <c r="I2405" i="45"/>
  <c r="O2404" i="45"/>
  <c r="I2404" i="45"/>
  <c r="O2403" i="45"/>
  <c r="I2403" i="45"/>
  <c r="O2402" i="45"/>
  <c r="I2402" i="45"/>
  <c r="O2401" i="45"/>
  <c r="I2401" i="45"/>
  <c r="O2400" i="45"/>
  <c r="I2400" i="45"/>
  <c r="O2399" i="45"/>
  <c r="I2399" i="45"/>
  <c r="O2398" i="45"/>
  <c r="I2398" i="45"/>
  <c r="O2397" i="45"/>
  <c r="I2397" i="45"/>
  <c r="O2396" i="45"/>
  <c r="I2396" i="45"/>
  <c r="O2395" i="45"/>
  <c r="I2395" i="45"/>
  <c r="O2394" i="45"/>
  <c r="I2394" i="45"/>
  <c r="O2393" i="45"/>
  <c r="I2393" i="45"/>
  <c r="O2392" i="45"/>
  <c r="I2392" i="45"/>
  <c r="O2391" i="45"/>
  <c r="I2391" i="45"/>
  <c r="O2390" i="45"/>
  <c r="I2390" i="45"/>
  <c r="O2389" i="45"/>
  <c r="I2389" i="45"/>
  <c r="O2388" i="45"/>
  <c r="I2388" i="45"/>
  <c r="O2387" i="45"/>
  <c r="I2387" i="45"/>
  <c r="O2386" i="45"/>
  <c r="I2386" i="45"/>
  <c r="O2385" i="45"/>
  <c r="I2385" i="45"/>
  <c r="O2384" i="45"/>
  <c r="I2384" i="45"/>
  <c r="O2383" i="45"/>
  <c r="I2383" i="45"/>
  <c r="O2382" i="45"/>
  <c r="I2382" i="45"/>
  <c r="O2381" i="45"/>
  <c r="I2381" i="45"/>
  <c r="O2380" i="45"/>
  <c r="I2380" i="45"/>
  <c r="O2379" i="45"/>
  <c r="I2379" i="45"/>
  <c r="O2378" i="45"/>
  <c r="I2378" i="45"/>
  <c r="O2377" i="45"/>
  <c r="I2377" i="45"/>
  <c r="O2376" i="45"/>
  <c r="I2376" i="45"/>
  <c r="O2375" i="45"/>
  <c r="I2375" i="45"/>
  <c r="O2374" i="45"/>
  <c r="I2374" i="45"/>
  <c r="O2373" i="45"/>
  <c r="I2373" i="45"/>
  <c r="O2372" i="45"/>
  <c r="I2372" i="45"/>
  <c r="O2371" i="45"/>
  <c r="I2371" i="45"/>
  <c r="O2370" i="45"/>
  <c r="I2370" i="45"/>
  <c r="O2369" i="45"/>
  <c r="I2369" i="45"/>
  <c r="O2368" i="45"/>
  <c r="I2368" i="45"/>
  <c r="O2367" i="45"/>
  <c r="I2367" i="45"/>
  <c r="O2366" i="45"/>
  <c r="I2366" i="45"/>
  <c r="O2365" i="45"/>
  <c r="I2365" i="45"/>
  <c r="O2364" i="45"/>
  <c r="I2364" i="45"/>
  <c r="O2363" i="45"/>
  <c r="I2363" i="45"/>
  <c r="O2362" i="45"/>
  <c r="I2362" i="45"/>
  <c r="O2361" i="45"/>
  <c r="I2361" i="45"/>
  <c r="O2360" i="45"/>
  <c r="I2360" i="45"/>
  <c r="O2359" i="45"/>
  <c r="I2359" i="45"/>
  <c r="O2358" i="45"/>
  <c r="I2358" i="45"/>
  <c r="O2357" i="45"/>
  <c r="I2357" i="45"/>
  <c r="O2356" i="45"/>
  <c r="I2356" i="45"/>
  <c r="O2355" i="45"/>
  <c r="I2355" i="45"/>
  <c r="O2354" i="45"/>
  <c r="I2354" i="45"/>
  <c r="O2353" i="45"/>
  <c r="I2353" i="45"/>
  <c r="O2352" i="45"/>
  <c r="I2352" i="45"/>
  <c r="O2351" i="45"/>
  <c r="I2351" i="45"/>
  <c r="O2350" i="45"/>
  <c r="I2350" i="45"/>
  <c r="O2349" i="45"/>
  <c r="I2349" i="45"/>
  <c r="O2348" i="45"/>
  <c r="I2348" i="45"/>
  <c r="O2347" i="45"/>
  <c r="I2347" i="45"/>
  <c r="O2346" i="45"/>
  <c r="I2346" i="45"/>
  <c r="O2345" i="45"/>
  <c r="I2345" i="45"/>
  <c r="O2344" i="45"/>
  <c r="I2344" i="45"/>
  <c r="O2343" i="45"/>
  <c r="I2343" i="45"/>
  <c r="O2342" i="45"/>
  <c r="I2342" i="45"/>
  <c r="O2341" i="45"/>
  <c r="I2341" i="45"/>
  <c r="O2340" i="45"/>
  <c r="I2340" i="45"/>
  <c r="O2339" i="45"/>
  <c r="I2339" i="45"/>
  <c r="O2338" i="45"/>
  <c r="I2338" i="45"/>
  <c r="O2337" i="45"/>
  <c r="I2337" i="45"/>
  <c r="O2336" i="45"/>
  <c r="I2336" i="45"/>
  <c r="O2335" i="45"/>
  <c r="I2335" i="45"/>
  <c r="O2334" i="45"/>
  <c r="I2334" i="45"/>
  <c r="O2333" i="45"/>
  <c r="I2333" i="45"/>
  <c r="O2332" i="45"/>
  <c r="I2332" i="45"/>
  <c r="O2331" i="45"/>
  <c r="I2331" i="45"/>
  <c r="O2330" i="45"/>
  <c r="I2330" i="45"/>
  <c r="O2329" i="45"/>
  <c r="I2329" i="45"/>
  <c r="O2328" i="45"/>
  <c r="I2328" i="45"/>
  <c r="O2327" i="45"/>
  <c r="I2327" i="45"/>
  <c r="O2326" i="45"/>
  <c r="I2326" i="45"/>
  <c r="O2325" i="45"/>
  <c r="I2325" i="45"/>
  <c r="O2324" i="45"/>
  <c r="I2324" i="45"/>
  <c r="O2323" i="45"/>
  <c r="I2323" i="45"/>
  <c r="O2322" i="45"/>
  <c r="I2322" i="45"/>
  <c r="O2321" i="45"/>
  <c r="I2321" i="45"/>
  <c r="O2320" i="45"/>
  <c r="I2320" i="45"/>
  <c r="O2319" i="45"/>
  <c r="I2319" i="45"/>
  <c r="O2318" i="45"/>
  <c r="I2318" i="45"/>
  <c r="O2317" i="45"/>
  <c r="I2317" i="45"/>
  <c r="O2316" i="45"/>
  <c r="I2316" i="45"/>
  <c r="O2315" i="45"/>
  <c r="I2315" i="45"/>
  <c r="O2314" i="45"/>
  <c r="I2314" i="45"/>
  <c r="O2313" i="45"/>
  <c r="I2313" i="45"/>
  <c r="O2312" i="45"/>
  <c r="I2312" i="45"/>
  <c r="O2311" i="45"/>
  <c r="I2311" i="45"/>
  <c r="O2310" i="45"/>
  <c r="I2310" i="45"/>
  <c r="O2309" i="45"/>
  <c r="I2309" i="45"/>
  <c r="O2308" i="45"/>
  <c r="I2308" i="45"/>
  <c r="O2307" i="45"/>
  <c r="I2307" i="45"/>
  <c r="O2306" i="45"/>
  <c r="I2306" i="45"/>
  <c r="O2305" i="45"/>
  <c r="I2305" i="45"/>
  <c r="O2304" i="45"/>
  <c r="I2304" i="45"/>
  <c r="O2303" i="45"/>
  <c r="I2303" i="45"/>
  <c r="O2302" i="45"/>
  <c r="I2302" i="45"/>
  <c r="O2301" i="45"/>
  <c r="I2301" i="45"/>
  <c r="O2300" i="45"/>
  <c r="I2300" i="45"/>
  <c r="O2299" i="45"/>
  <c r="I2299" i="45"/>
  <c r="O2298" i="45"/>
  <c r="I2298" i="45"/>
  <c r="O2297" i="45"/>
  <c r="I2297" i="45"/>
  <c r="O2296" i="45"/>
  <c r="I2296" i="45"/>
  <c r="O2295" i="45"/>
  <c r="I2295" i="45"/>
  <c r="O2294" i="45"/>
  <c r="I2294" i="45"/>
  <c r="O2293" i="45"/>
  <c r="I2293" i="45"/>
  <c r="O2292" i="45"/>
  <c r="I2292" i="45"/>
  <c r="O2291" i="45"/>
  <c r="I2291" i="45"/>
  <c r="O2290" i="45"/>
  <c r="I2290" i="45"/>
  <c r="O2289" i="45"/>
  <c r="I2289" i="45"/>
  <c r="O2288" i="45"/>
  <c r="I2288" i="45"/>
  <c r="O2287" i="45"/>
  <c r="I2287" i="45"/>
  <c r="O2286" i="45"/>
  <c r="I2286" i="45"/>
  <c r="O2285" i="45"/>
  <c r="I2285" i="45"/>
  <c r="O2284" i="45"/>
  <c r="I2284" i="45"/>
  <c r="O2283" i="45"/>
  <c r="I2283" i="45"/>
  <c r="O2282" i="45"/>
  <c r="I2282" i="45"/>
  <c r="O2281" i="45"/>
  <c r="I2281" i="45"/>
  <c r="O2280" i="45"/>
  <c r="I2280" i="45"/>
  <c r="O2279" i="45"/>
  <c r="I2279" i="45"/>
  <c r="O2278" i="45"/>
  <c r="I2278" i="45"/>
  <c r="O2277" i="45"/>
  <c r="I2277" i="45"/>
  <c r="O2276" i="45"/>
  <c r="I2276" i="45"/>
  <c r="O2275" i="45"/>
  <c r="I2275" i="45"/>
  <c r="O2274" i="45"/>
  <c r="I2274" i="45"/>
  <c r="O2273" i="45"/>
  <c r="I2273" i="45"/>
  <c r="O2272" i="45"/>
  <c r="I2272" i="45"/>
  <c r="O2271" i="45"/>
  <c r="I2271" i="45"/>
  <c r="O2270" i="45"/>
  <c r="I2270" i="45"/>
  <c r="O2269" i="45"/>
  <c r="I2269" i="45"/>
  <c r="O2268" i="45"/>
  <c r="I2268" i="45"/>
  <c r="O2267" i="45"/>
  <c r="I2267" i="45"/>
  <c r="O2266" i="45"/>
  <c r="I2266" i="45"/>
  <c r="O2265" i="45"/>
  <c r="I2265" i="45"/>
  <c r="O2264" i="45"/>
  <c r="I2264" i="45"/>
  <c r="O2263" i="45"/>
  <c r="I2263" i="45"/>
  <c r="O2262" i="45"/>
  <c r="I2262" i="45"/>
  <c r="O2261" i="45"/>
  <c r="I2261" i="45"/>
  <c r="O2260" i="45"/>
  <c r="I2260" i="45"/>
  <c r="O2259" i="45"/>
  <c r="I2259" i="45"/>
  <c r="O2258" i="45"/>
  <c r="I2258" i="45"/>
  <c r="O2257" i="45"/>
  <c r="I2257" i="45"/>
  <c r="O2256" i="45"/>
  <c r="I2256" i="45"/>
  <c r="O2255" i="45"/>
  <c r="I2255" i="45"/>
  <c r="O2254" i="45"/>
  <c r="I2254" i="45"/>
  <c r="O2253" i="45"/>
  <c r="I2253" i="45"/>
  <c r="O2252" i="45"/>
  <c r="I2252" i="45"/>
  <c r="O2251" i="45"/>
  <c r="I2251" i="45"/>
  <c r="O2250" i="45"/>
  <c r="I2250" i="45"/>
  <c r="O2249" i="45"/>
  <c r="I2249" i="45"/>
  <c r="O2248" i="45"/>
  <c r="I2248" i="45"/>
  <c r="O2247" i="45"/>
  <c r="I2247" i="45"/>
  <c r="O2246" i="45"/>
  <c r="I2246" i="45"/>
  <c r="O2245" i="45"/>
  <c r="I2245" i="45"/>
  <c r="O2244" i="45"/>
  <c r="I2244" i="45"/>
  <c r="O2243" i="45"/>
  <c r="I2243" i="45"/>
  <c r="O2242" i="45"/>
  <c r="I2242" i="45"/>
  <c r="O2241" i="45"/>
  <c r="I2241" i="45"/>
  <c r="O2240" i="45"/>
  <c r="I2240" i="45"/>
  <c r="O2239" i="45"/>
  <c r="I2239" i="45"/>
  <c r="O2238" i="45"/>
  <c r="I2238" i="45"/>
  <c r="O2237" i="45"/>
  <c r="I2237" i="45"/>
  <c r="O2236" i="45"/>
  <c r="I2236" i="45"/>
  <c r="O2235" i="45"/>
  <c r="I2235" i="45"/>
  <c r="O2234" i="45"/>
  <c r="I2234" i="45"/>
  <c r="O2233" i="45"/>
  <c r="I2233" i="45"/>
  <c r="O2232" i="45"/>
  <c r="I2232" i="45"/>
  <c r="O2231" i="45"/>
  <c r="I2231" i="45"/>
  <c r="O2230" i="45"/>
  <c r="I2230" i="45"/>
  <c r="O2229" i="45"/>
  <c r="I2229" i="45"/>
  <c r="O2228" i="45"/>
  <c r="I2228" i="45"/>
  <c r="O2227" i="45"/>
  <c r="I2227" i="45"/>
  <c r="O2226" i="45"/>
  <c r="I2226" i="45"/>
  <c r="O2225" i="45"/>
  <c r="I2225" i="45"/>
  <c r="O2224" i="45"/>
  <c r="I2224" i="45"/>
  <c r="O2223" i="45"/>
  <c r="I2223" i="45"/>
  <c r="O2222" i="45"/>
  <c r="I2222" i="45"/>
  <c r="O2221" i="45"/>
  <c r="I2221" i="45"/>
  <c r="O2220" i="45"/>
  <c r="I2220" i="45"/>
  <c r="O2219" i="45"/>
  <c r="I2219" i="45"/>
  <c r="O2218" i="45"/>
  <c r="I2218" i="45"/>
  <c r="O2217" i="45"/>
  <c r="I2217" i="45"/>
  <c r="O2216" i="45"/>
  <c r="I2216" i="45"/>
  <c r="O2215" i="45"/>
  <c r="I2215" i="45"/>
  <c r="O2214" i="45"/>
  <c r="I2214" i="45"/>
  <c r="O2213" i="45"/>
  <c r="I2213" i="45"/>
  <c r="O2212" i="45"/>
  <c r="I2212" i="45"/>
  <c r="O2211" i="45"/>
  <c r="I2211" i="45"/>
  <c r="O2210" i="45"/>
  <c r="I2210" i="45"/>
  <c r="O2209" i="45"/>
  <c r="I2209" i="45"/>
  <c r="O2208" i="45"/>
  <c r="I2208" i="45"/>
  <c r="O2207" i="45"/>
  <c r="I2207" i="45"/>
  <c r="O2206" i="45"/>
  <c r="I2206" i="45"/>
  <c r="O2205" i="45"/>
  <c r="I2205" i="45"/>
  <c r="O2204" i="45"/>
  <c r="I2204" i="45"/>
  <c r="O2203" i="45"/>
  <c r="I2203" i="45"/>
  <c r="O2202" i="45"/>
  <c r="I2202" i="45"/>
  <c r="O2201" i="45"/>
  <c r="I2201" i="45"/>
  <c r="O2200" i="45"/>
  <c r="I2200" i="45"/>
  <c r="O2199" i="45"/>
  <c r="I2199" i="45"/>
  <c r="O2198" i="45"/>
  <c r="I2198" i="45"/>
  <c r="O2197" i="45"/>
  <c r="I2197" i="45"/>
  <c r="O2196" i="45"/>
  <c r="I2196" i="45"/>
  <c r="O2195" i="45"/>
  <c r="I2195" i="45"/>
  <c r="O2194" i="45"/>
  <c r="I2194" i="45"/>
  <c r="O2193" i="45"/>
  <c r="I2193" i="45"/>
  <c r="O2192" i="45"/>
  <c r="I2192" i="45"/>
  <c r="O2191" i="45"/>
  <c r="I2191" i="45"/>
  <c r="O2190" i="45"/>
  <c r="I2190" i="45"/>
  <c r="O2189" i="45"/>
  <c r="I2189" i="45"/>
  <c r="O2188" i="45"/>
  <c r="I2188" i="45"/>
  <c r="O2187" i="45"/>
  <c r="I2187" i="45"/>
  <c r="O2186" i="45"/>
  <c r="I2186" i="45"/>
  <c r="O2185" i="45"/>
  <c r="I2185" i="45"/>
  <c r="O2184" i="45"/>
  <c r="I2184" i="45"/>
  <c r="O2183" i="45"/>
  <c r="I2183" i="45"/>
  <c r="O2182" i="45"/>
  <c r="I2182" i="45"/>
  <c r="O2181" i="45"/>
  <c r="I2181" i="45"/>
  <c r="O2180" i="45"/>
  <c r="I2180" i="45"/>
  <c r="O2179" i="45"/>
  <c r="I2179" i="45"/>
  <c r="O2178" i="45"/>
  <c r="I2178" i="45"/>
  <c r="O2177" i="45"/>
  <c r="I2177" i="45"/>
  <c r="O2176" i="45"/>
  <c r="I2176" i="45"/>
  <c r="O2175" i="45"/>
  <c r="I2175" i="45"/>
  <c r="O2174" i="45"/>
  <c r="I2174" i="45"/>
  <c r="O2173" i="45"/>
  <c r="I2173" i="45"/>
  <c r="O2172" i="45"/>
  <c r="I2172" i="45"/>
  <c r="O2171" i="45"/>
  <c r="I2171" i="45"/>
  <c r="O2170" i="45"/>
  <c r="I2170" i="45"/>
  <c r="O2169" i="45"/>
  <c r="I2169" i="45"/>
  <c r="O2168" i="45"/>
  <c r="I2168" i="45"/>
  <c r="O2167" i="45"/>
  <c r="I2167" i="45"/>
  <c r="O2166" i="45"/>
  <c r="I2166" i="45"/>
  <c r="O2165" i="45"/>
  <c r="I2165" i="45"/>
  <c r="O2164" i="45"/>
  <c r="I2164" i="45"/>
  <c r="O2163" i="45"/>
  <c r="I2163" i="45"/>
  <c r="O2162" i="45"/>
  <c r="I2162" i="45"/>
  <c r="O2161" i="45"/>
  <c r="I2161" i="45"/>
  <c r="O2160" i="45"/>
  <c r="I2160" i="45"/>
  <c r="O2159" i="45"/>
  <c r="I2159" i="45"/>
  <c r="O2158" i="45"/>
  <c r="I2158" i="45"/>
  <c r="O2157" i="45"/>
  <c r="I2157" i="45"/>
  <c r="O2156" i="45"/>
  <c r="I2156" i="45"/>
  <c r="O2155" i="45"/>
  <c r="I2155" i="45"/>
  <c r="O2154" i="45"/>
  <c r="I2154" i="45"/>
  <c r="O2153" i="45"/>
  <c r="I2153" i="45"/>
  <c r="O2152" i="45"/>
  <c r="I2152" i="45"/>
  <c r="O2151" i="45"/>
  <c r="I2151" i="45"/>
  <c r="O2150" i="45"/>
  <c r="I2150" i="45"/>
  <c r="O2149" i="45"/>
  <c r="I2149" i="45"/>
  <c r="O2148" i="45"/>
  <c r="I2148" i="45"/>
  <c r="O2147" i="45"/>
  <c r="I2147" i="45"/>
  <c r="O2146" i="45"/>
  <c r="I2146" i="45"/>
  <c r="O2145" i="45"/>
  <c r="I2145" i="45"/>
  <c r="O2144" i="45"/>
  <c r="I2144" i="45"/>
  <c r="O2143" i="45"/>
  <c r="I2143" i="45"/>
  <c r="O2142" i="45"/>
  <c r="I2142" i="45"/>
  <c r="O2141" i="45"/>
  <c r="I2141" i="45"/>
  <c r="O2140" i="45"/>
  <c r="I2140" i="45"/>
  <c r="O2139" i="45"/>
  <c r="I2139" i="45"/>
  <c r="O2138" i="45"/>
  <c r="I2138" i="45"/>
  <c r="O2137" i="45"/>
  <c r="I2137" i="45"/>
  <c r="O2136" i="45"/>
  <c r="I2136" i="45"/>
  <c r="O2135" i="45"/>
  <c r="I2135" i="45"/>
  <c r="O2134" i="45"/>
  <c r="I2134" i="45"/>
  <c r="O2133" i="45"/>
  <c r="I2133" i="45"/>
  <c r="O2132" i="45"/>
  <c r="I2132" i="45"/>
  <c r="O2131" i="45"/>
  <c r="I2131" i="45"/>
  <c r="O2130" i="45"/>
  <c r="I2130" i="45"/>
  <c r="O2129" i="45"/>
  <c r="I2129" i="45"/>
  <c r="O2128" i="45"/>
  <c r="I2128" i="45"/>
  <c r="O2127" i="45"/>
  <c r="I2127" i="45"/>
  <c r="O2126" i="45"/>
  <c r="I2126" i="45"/>
  <c r="O2125" i="45"/>
  <c r="I2125" i="45"/>
  <c r="O2124" i="45"/>
  <c r="I2124" i="45"/>
  <c r="O2123" i="45"/>
  <c r="I2123" i="45"/>
  <c r="O2122" i="45"/>
  <c r="I2122" i="45"/>
  <c r="O2121" i="45"/>
  <c r="I2121" i="45"/>
  <c r="O2120" i="45"/>
  <c r="I2120" i="45"/>
  <c r="O2119" i="45"/>
  <c r="I2119" i="45"/>
  <c r="O2118" i="45"/>
  <c r="I2118" i="45"/>
  <c r="O2117" i="45"/>
  <c r="I2117" i="45"/>
  <c r="O2116" i="45"/>
  <c r="I2116" i="45"/>
  <c r="O2115" i="45"/>
  <c r="I2115" i="45"/>
  <c r="O2114" i="45"/>
  <c r="I2114" i="45"/>
  <c r="O2113" i="45"/>
  <c r="I2113" i="45"/>
  <c r="O2112" i="45"/>
  <c r="I2112" i="45"/>
  <c r="O2111" i="45"/>
  <c r="I2111" i="45"/>
  <c r="O2110" i="45"/>
  <c r="I2110" i="45"/>
  <c r="O2109" i="45"/>
  <c r="I2109" i="45"/>
  <c r="O2108" i="45"/>
  <c r="I2108" i="45"/>
  <c r="O2107" i="45"/>
  <c r="I2107" i="45"/>
  <c r="O2106" i="45"/>
  <c r="I2106" i="45"/>
  <c r="O2105" i="45"/>
  <c r="I2105" i="45"/>
  <c r="O2104" i="45"/>
  <c r="I2104" i="45"/>
  <c r="O2103" i="45"/>
  <c r="I2103" i="45"/>
  <c r="O2102" i="45"/>
  <c r="I2102" i="45"/>
  <c r="O2101" i="45"/>
  <c r="I2101" i="45"/>
  <c r="O2100" i="45"/>
  <c r="I2100" i="45"/>
  <c r="O2099" i="45"/>
  <c r="I2099" i="45"/>
  <c r="O2098" i="45"/>
  <c r="I2098" i="45"/>
  <c r="O2097" i="45"/>
  <c r="I2097" i="45"/>
  <c r="O2096" i="45"/>
  <c r="I2096" i="45"/>
  <c r="O2095" i="45"/>
  <c r="I2095" i="45"/>
  <c r="O2094" i="45"/>
  <c r="I2094" i="45"/>
  <c r="O2093" i="45"/>
  <c r="I2093" i="45"/>
  <c r="O2092" i="45"/>
  <c r="I2092" i="45"/>
  <c r="O2091" i="45"/>
  <c r="I2091" i="45"/>
  <c r="O2090" i="45"/>
  <c r="I2090" i="45"/>
  <c r="O2089" i="45"/>
  <c r="I2089" i="45"/>
  <c r="O2088" i="45"/>
  <c r="I2088" i="45"/>
  <c r="O2087" i="45"/>
  <c r="I2087" i="45"/>
  <c r="O2086" i="45"/>
  <c r="I2086" i="45"/>
  <c r="O2085" i="45"/>
  <c r="I2085" i="45"/>
  <c r="O2084" i="45"/>
  <c r="I2084" i="45"/>
  <c r="O2083" i="45"/>
  <c r="I2083" i="45"/>
  <c r="O2082" i="45"/>
  <c r="I2082" i="45"/>
  <c r="O2081" i="45"/>
  <c r="I2081" i="45"/>
  <c r="O2080" i="45"/>
  <c r="I2080" i="45"/>
  <c r="O2079" i="45"/>
  <c r="I2079" i="45"/>
  <c r="O2078" i="45"/>
  <c r="I2078" i="45"/>
  <c r="O2077" i="45"/>
  <c r="I2077" i="45"/>
  <c r="O2076" i="45"/>
  <c r="I2076" i="45"/>
  <c r="O2075" i="45"/>
  <c r="I2075" i="45"/>
  <c r="O2074" i="45"/>
  <c r="I2074" i="45"/>
  <c r="O2073" i="45"/>
  <c r="I2073" i="45"/>
  <c r="O2072" i="45"/>
  <c r="I2072" i="45"/>
  <c r="O2071" i="45"/>
  <c r="I2071" i="45"/>
  <c r="O2070" i="45"/>
  <c r="I2070" i="45"/>
  <c r="O2069" i="45"/>
  <c r="I2069" i="45"/>
  <c r="O2068" i="45"/>
  <c r="I2068" i="45"/>
  <c r="O2067" i="45"/>
  <c r="I2067" i="45"/>
  <c r="O2066" i="45"/>
  <c r="I2066" i="45"/>
  <c r="O2065" i="45"/>
  <c r="I2065" i="45"/>
  <c r="O2064" i="45"/>
  <c r="I2064" i="45"/>
  <c r="O2063" i="45"/>
  <c r="I2063" i="45"/>
  <c r="O2062" i="45"/>
  <c r="I2062" i="45"/>
  <c r="O2061" i="45"/>
  <c r="I2061" i="45"/>
  <c r="O2060" i="45"/>
  <c r="I2060" i="45"/>
  <c r="O2059" i="45"/>
  <c r="I2059" i="45"/>
  <c r="O2058" i="45"/>
  <c r="I2058" i="45"/>
  <c r="O2057" i="45"/>
  <c r="I2057" i="45"/>
  <c r="O2056" i="45"/>
  <c r="I2056" i="45"/>
  <c r="O2055" i="45"/>
  <c r="I2055" i="45"/>
  <c r="O2054" i="45"/>
  <c r="I2054" i="45"/>
  <c r="O2053" i="45"/>
  <c r="I2053" i="45"/>
  <c r="O2052" i="45"/>
  <c r="I2052" i="45"/>
  <c r="O2051" i="45"/>
  <c r="I2051" i="45"/>
  <c r="O2050" i="45"/>
  <c r="I2050" i="45"/>
  <c r="O2049" i="45"/>
  <c r="I2049" i="45"/>
  <c r="O2048" i="45"/>
  <c r="I2048" i="45"/>
  <c r="O2047" i="45"/>
  <c r="I2047" i="45"/>
  <c r="O2046" i="45"/>
  <c r="I2046" i="45"/>
  <c r="O2045" i="45"/>
  <c r="I2045" i="45"/>
  <c r="O2044" i="45"/>
  <c r="I2044" i="45"/>
  <c r="O2043" i="45"/>
  <c r="I2043" i="45"/>
  <c r="O2042" i="45"/>
  <c r="I2042" i="45"/>
  <c r="O2041" i="45"/>
  <c r="I2041" i="45"/>
  <c r="O2040" i="45"/>
  <c r="I2040" i="45"/>
  <c r="O2039" i="45"/>
  <c r="I2039" i="45"/>
  <c r="O2038" i="45"/>
  <c r="I2038" i="45"/>
  <c r="O2037" i="45"/>
  <c r="I2037" i="45"/>
  <c r="O2036" i="45"/>
  <c r="I2036" i="45"/>
  <c r="O2035" i="45"/>
  <c r="I2035" i="45"/>
  <c r="O2034" i="45"/>
  <c r="I2034" i="45"/>
  <c r="O2033" i="45"/>
  <c r="I2033" i="45"/>
  <c r="O2032" i="45"/>
  <c r="I2032" i="45"/>
  <c r="O2031" i="45"/>
  <c r="I2031" i="45"/>
  <c r="O2030" i="45"/>
  <c r="I2030" i="45"/>
  <c r="O2029" i="45"/>
  <c r="I2029" i="45"/>
  <c r="O2028" i="45"/>
  <c r="I2028" i="45"/>
  <c r="O2027" i="45"/>
  <c r="I2027" i="45"/>
  <c r="O2026" i="45"/>
  <c r="I2026" i="45"/>
  <c r="O2025" i="45"/>
  <c r="I2025" i="45"/>
  <c r="O2024" i="45"/>
  <c r="I2024" i="45"/>
  <c r="O2023" i="45"/>
  <c r="I2023" i="45"/>
  <c r="O2022" i="45"/>
  <c r="I2022" i="45"/>
  <c r="O2021" i="45"/>
  <c r="I2021" i="45"/>
  <c r="O2020" i="45"/>
  <c r="I2020" i="45"/>
  <c r="O2019" i="45"/>
  <c r="I2019" i="45"/>
  <c r="O2018" i="45"/>
  <c r="I2018" i="45"/>
  <c r="O2017" i="45"/>
  <c r="I2017" i="45"/>
  <c r="O2016" i="45"/>
  <c r="I2016" i="45"/>
  <c r="O2015" i="45"/>
  <c r="I2015" i="45"/>
  <c r="O2014" i="45"/>
  <c r="I2014" i="45"/>
  <c r="O2013" i="45"/>
  <c r="I2013" i="45"/>
  <c r="O2012" i="45"/>
  <c r="I2012" i="45"/>
  <c r="O2011" i="45"/>
  <c r="I2011" i="45"/>
  <c r="O2010" i="45"/>
  <c r="I2010" i="45"/>
  <c r="O2009" i="45"/>
  <c r="I2009" i="45"/>
  <c r="O2008" i="45"/>
  <c r="I2008" i="45"/>
  <c r="O2007" i="45"/>
  <c r="I2007" i="45"/>
  <c r="O2006" i="45"/>
  <c r="I2006" i="45"/>
  <c r="O2005" i="45"/>
  <c r="I2005" i="45"/>
  <c r="O2004" i="45"/>
  <c r="I2004" i="45"/>
  <c r="O2003" i="45"/>
  <c r="I2003" i="45"/>
  <c r="O2002" i="45"/>
  <c r="I2002" i="45"/>
  <c r="O2001" i="45"/>
  <c r="I2001" i="45"/>
  <c r="O2000" i="45"/>
  <c r="I2000" i="45"/>
  <c r="O1999" i="45"/>
  <c r="I1999" i="45"/>
  <c r="O1998" i="45"/>
  <c r="I1998" i="45"/>
  <c r="O1997" i="45"/>
  <c r="I1997" i="45"/>
  <c r="O1996" i="45"/>
  <c r="I1996" i="45"/>
  <c r="O1995" i="45"/>
  <c r="I1995" i="45"/>
  <c r="O1994" i="45"/>
  <c r="I1994" i="45"/>
  <c r="O1993" i="45"/>
  <c r="I1993" i="45"/>
  <c r="O1992" i="45"/>
  <c r="I1992" i="45"/>
  <c r="O1991" i="45"/>
  <c r="I1991" i="45"/>
  <c r="O1990" i="45"/>
  <c r="I1990" i="45"/>
  <c r="O1989" i="45"/>
  <c r="I1989" i="45"/>
  <c r="O1988" i="45"/>
  <c r="I1988" i="45"/>
  <c r="O1987" i="45"/>
  <c r="I1987" i="45"/>
  <c r="O1986" i="45"/>
  <c r="I1986" i="45"/>
  <c r="O1985" i="45"/>
  <c r="I1985" i="45"/>
  <c r="O1984" i="45"/>
  <c r="I1984" i="45"/>
  <c r="O1983" i="45"/>
  <c r="I1983" i="45"/>
  <c r="O1982" i="45"/>
  <c r="I1982" i="45"/>
  <c r="O1981" i="45"/>
  <c r="I1981" i="45"/>
  <c r="O1980" i="45"/>
  <c r="I1980" i="45"/>
  <c r="O1979" i="45"/>
  <c r="I1979" i="45"/>
  <c r="O1978" i="45"/>
  <c r="I1978" i="45"/>
  <c r="O1977" i="45"/>
  <c r="I1977" i="45"/>
  <c r="O1976" i="45"/>
  <c r="I1976" i="45"/>
  <c r="O1975" i="45"/>
  <c r="I1975" i="45"/>
  <c r="O1974" i="45"/>
  <c r="I1974" i="45"/>
  <c r="O1973" i="45"/>
  <c r="I1973" i="45"/>
  <c r="O1972" i="45"/>
  <c r="I1972" i="45"/>
  <c r="O1971" i="45"/>
  <c r="I1971" i="45"/>
  <c r="O1970" i="45"/>
  <c r="I1970" i="45"/>
  <c r="O1969" i="45"/>
  <c r="I1969" i="45"/>
  <c r="O1968" i="45"/>
  <c r="I1968" i="45"/>
  <c r="O1967" i="45"/>
  <c r="I1967" i="45"/>
  <c r="O1966" i="45"/>
  <c r="I1966" i="45"/>
  <c r="O1965" i="45"/>
  <c r="I1965" i="45"/>
  <c r="O1964" i="45"/>
  <c r="I1964" i="45"/>
  <c r="O1963" i="45"/>
  <c r="I1963" i="45"/>
  <c r="O1962" i="45"/>
  <c r="I1962" i="45"/>
  <c r="O1961" i="45"/>
  <c r="I1961" i="45"/>
  <c r="O1960" i="45"/>
  <c r="I1960" i="45"/>
  <c r="O1959" i="45"/>
  <c r="I1959" i="45"/>
  <c r="O1958" i="45"/>
  <c r="I1958" i="45"/>
  <c r="O1957" i="45"/>
  <c r="I1957" i="45"/>
  <c r="O1956" i="45"/>
  <c r="I1956" i="45"/>
  <c r="O1955" i="45"/>
  <c r="I1955" i="45"/>
  <c r="O1954" i="45"/>
  <c r="I1954" i="45"/>
  <c r="O1953" i="45"/>
  <c r="I1953" i="45"/>
  <c r="O1952" i="45"/>
  <c r="I1952" i="45"/>
  <c r="O1951" i="45"/>
  <c r="I1951" i="45"/>
  <c r="O1950" i="45"/>
  <c r="I1950" i="45"/>
  <c r="O1949" i="45"/>
  <c r="I1949" i="45"/>
  <c r="O1948" i="45"/>
  <c r="I1948" i="45"/>
  <c r="O1947" i="45"/>
  <c r="I1947" i="45"/>
  <c r="O1946" i="45"/>
  <c r="I1946" i="45"/>
  <c r="O1945" i="45"/>
  <c r="I1945" i="45"/>
  <c r="O1944" i="45"/>
  <c r="I1944" i="45"/>
  <c r="O1943" i="45"/>
  <c r="I1943" i="45"/>
  <c r="O1942" i="45"/>
  <c r="I1942" i="45"/>
  <c r="O1941" i="45"/>
  <c r="I1941" i="45"/>
  <c r="O1940" i="45"/>
  <c r="I1940" i="45"/>
  <c r="O1939" i="45"/>
  <c r="I1939" i="45"/>
  <c r="O1938" i="45"/>
  <c r="I1938" i="45"/>
  <c r="O1937" i="45"/>
  <c r="I1937" i="45"/>
  <c r="O1936" i="45"/>
  <c r="I1936" i="45"/>
  <c r="O1935" i="45"/>
  <c r="I1935" i="45"/>
  <c r="O1934" i="45"/>
  <c r="I1934" i="45"/>
  <c r="O1933" i="45"/>
  <c r="I1933" i="45"/>
  <c r="O1932" i="45"/>
  <c r="I1932" i="45"/>
  <c r="O1931" i="45"/>
  <c r="I1931" i="45"/>
  <c r="O1930" i="45"/>
  <c r="I1930" i="45"/>
  <c r="O1929" i="45"/>
  <c r="I1929" i="45"/>
  <c r="O1928" i="45"/>
  <c r="I1928" i="45"/>
  <c r="O1927" i="45"/>
  <c r="I1927" i="45"/>
  <c r="O1926" i="45"/>
  <c r="I1926" i="45"/>
  <c r="O1925" i="45"/>
  <c r="I1925" i="45"/>
  <c r="O1924" i="45"/>
  <c r="I1924" i="45"/>
  <c r="O1923" i="45"/>
  <c r="I1923" i="45"/>
  <c r="O1922" i="45"/>
  <c r="I1922" i="45"/>
  <c r="O1921" i="45"/>
  <c r="I1921" i="45"/>
  <c r="O1920" i="45"/>
  <c r="I1920" i="45"/>
  <c r="O1919" i="45"/>
  <c r="I1919" i="45"/>
  <c r="O1918" i="45"/>
  <c r="I1918" i="45"/>
  <c r="O1917" i="45"/>
  <c r="I1917" i="45"/>
  <c r="O1916" i="45"/>
  <c r="I1916" i="45"/>
  <c r="O1915" i="45"/>
  <c r="I1915" i="45"/>
  <c r="O1914" i="45"/>
  <c r="I1914" i="45"/>
  <c r="O1913" i="45"/>
  <c r="I1913" i="45"/>
  <c r="O1912" i="45"/>
  <c r="I1912" i="45"/>
  <c r="O1911" i="45"/>
  <c r="I1911" i="45"/>
  <c r="O1910" i="45"/>
  <c r="I1910" i="45"/>
  <c r="O1909" i="45"/>
  <c r="I1909" i="45"/>
  <c r="O1908" i="45"/>
  <c r="I1908" i="45"/>
  <c r="O1907" i="45"/>
  <c r="I1907" i="45"/>
  <c r="O1906" i="45"/>
  <c r="I1906" i="45"/>
  <c r="O1905" i="45"/>
  <c r="I1905" i="45"/>
  <c r="O1904" i="45"/>
  <c r="I1904" i="45"/>
  <c r="O1903" i="45"/>
  <c r="I1903" i="45"/>
  <c r="O1902" i="45"/>
  <c r="I1902" i="45"/>
  <c r="O1901" i="45"/>
  <c r="I1901" i="45"/>
  <c r="O1900" i="45"/>
  <c r="I1900" i="45"/>
  <c r="O1899" i="45"/>
  <c r="I1899" i="45"/>
  <c r="O1898" i="45"/>
  <c r="I1898" i="45"/>
  <c r="O1897" i="45"/>
  <c r="I1897" i="45"/>
  <c r="O1896" i="45"/>
  <c r="I1896" i="45"/>
  <c r="O1895" i="45"/>
  <c r="I1895" i="45"/>
  <c r="O1894" i="45"/>
  <c r="I1894" i="45"/>
  <c r="O1893" i="45"/>
  <c r="I1893" i="45"/>
  <c r="O1892" i="45"/>
  <c r="I1892" i="45"/>
  <c r="O1891" i="45"/>
  <c r="I1891" i="45"/>
  <c r="O1890" i="45"/>
  <c r="I1890" i="45"/>
  <c r="O1889" i="45"/>
  <c r="I1889" i="45"/>
  <c r="O1888" i="45"/>
  <c r="I1888" i="45"/>
  <c r="O1887" i="45"/>
  <c r="I1887" i="45"/>
  <c r="O1886" i="45"/>
  <c r="I1886" i="45"/>
  <c r="O1885" i="45"/>
  <c r="I1885" i="45"/>
  <c r="O1884" i="45"/>
  <c r="I1884" i="45"/>
  <c r="O1883" i="45"/>
  <c r="I1883" i="45"/>
  <c r="O1882" i="45"/>
  <c r="I1882" i="45"/>
  <c r="O1881" i="45"/>
  <c r="I1881" i="45"/>
  <c r="O1880" i="45"/>
  <c r="I1880" i="45"/>
  <c r="O1879" i="45"/>
  <c r="I1879" i="45"/>
  <c r="O1878" i="45"/>
  <c r="I1878" i="45"/>
  <c r="O1877" i="45"/>
  <c r="I1877" i="45"/>
  <c r="O1876" i="45"/>
  <c r="I1876" i="45"/>
  <c r="O1875" i="45"/>
  <c r="I1875" i="45"/>
  <c r="O1874" i="45"/>
  <c r="I1874" i="45"/>
  <c r="O1873" i="45"/>
  <c r="I1873" i="45"/>
  <c r="O1872" i="45"/>
  <c r="I1872" i="45"/>
  <c r="O1871" i="45"/>
  <c r="I1871" i="45"/>
  <c r="O1870" i="45"/>
  <c r="I1870" i="45"/>
  <c r="O1869" i="45"/>
  <c r="I1869" i="45"/>
  <c r="O1868" i="45"/>
  <c r="I1868" i="45"/>
  <c r="O1867" i="45"/>
  <c r="I1867" i="45"/>
  <c r="O1866" i="45"/>
  <c r="I1866" i="45"/>
  <c r="O1865" i="45"/>
  <c r="I1865" i="45"/>
  <c r="O1864" i="45"/>
  <c r="I1864" i="45"/>
  <c r="O1863" i="45"/>
  <c r="I1863" i="45"/>
  <c r="O1862" i="45"/>
  <c r="I1862" i="45"/>
  <c r="O1861" i="45"/>
  <c r="I1861" i="45"/>
  <c r="O1860" i="45"/>
  <c r="I1860" i="45"/>
  <c r="O1859" i="45"/>
  <c r="I1859" i="45"/>
  <c r="O1858" i="45"/>
  <c r="I1858" i="45"/>
  <c r="O1857" i="45"/>
  <c r="I1857" i="45"/>
  <c r="O1856" i="45"/>
  <c r="I1856" i="45"/>
  <c r="O1855" i="45"/>
  <c r="I1855" i="45"/>
  <c r="O1854" i="45"/>
  <c r="I1854" i="45"/>
  <c r="O1853" i="45"/>
  <c r="I1853" i="45"/>
  <c r="O1852" i="45"/>
  <c r="I1852" i="45"/>
  <c r="O1851" i="45"/>
  <c r="I1851" i="45"/>
  <c r="O1850" i="45"/>
  <c r="I1850" i="45"/>
  <c r="O1849" i="45"/>
  <c r="I1849" i="45"/>
  <c r="O1848" i="45"/>
  <c r="I1848" i="45"/>
  <c r="O1847" i="45"/>
  <c r="I1847" i="45"/>
  <c r="O1846" i="45"/>
  <c r="I1846" i="45"/>
  <c r="O1845" i="45"/>
  <c r="I1845" i="45"/>
  <c r="O1844" i="45"/>
  <c r="I1844" i="45"/>
  <c r="O1843" i="45"/>
  <c r="I1843" i="45"/>
  <c r="O1842" i="45"/>
  <c r="I1842" i="45"/>
  <c r="O1841" i="45"/>
  <c r="I1841" i="45"/>
  <c r="O1840" i="45"/>
  <c r="I1840" i="45"/>
  <c r="O1839" i="45"/>
  <c r="I1839" i="45"/>
  <c r="O1838" i="45"/>
  <c r="I1838" i="45"/>
  <c r="O1837" i="45"/>
  <c r="I1837" i="45"/>
  <c r="O1836" i="45"/>
  <c r="I1836" i="45"/>
  <c r="O1835" i="45"/>
  <c r="I1835" i="45"/>
  <c r="O1834" i="45"/>
  <c r="I1834" i="45"/>
  <c r="O1833" i="45"/>
  <c r="I1833" i="45"/>
  <c r="O1832" i="45"/>
  <c r="I1832" i="45"/>
  <c r="O1831" i="45"/>
  <c r="I1831" i="45"/>
  <c r="O1830" i="45"/>
  <c r="I1830" i="45"/>
  <c r="O1829" i="45"/>
  <c r="I1829" i="45"/>
  <c r="O1828" i="45"/>
  <c r="I1828" i="45"/>
  <c r="O1827" i="45"/>
  <c r="I1827" i="45"/>
  <c r="O1826" i="45"/>
  <c r="I1826" i="45"/>
  <c r="O1825" i="45"/>
  <c r="I1825" i="45"/>
  <c r="O1824" i="45"/>
  <c r="I1824" i="45"/>
  <c r="O1823" i="45"/>
  <c r="I1823" i="45"/>
  <c r="O1822" i="45"/>
  <c r="I1822" i="45"/>
  <c r="O1821" i="45"/>
  <c r="I1821" i="45"/>
  <c r="O1820" i="45"/>
  <c r="I1820" i="45"/>
  <c r="O1819" i="45"/>
  <c r="I1819" i="45"/>
  <c r="O1818" i="45"/>
  <c r="I1818" i="45"/>
  <c r="O1817" i="45"/>
  <c r="I1817" i="45"/>
  <c r="O1816" i="45"/>
  <c r="I1816" i="45"/>
  <c r="O1815" i="45"/>
  <c r="O1814" i="45"/>
  <c r="O1813" i="45"/>
  <c r="O1812" i="45"/>
  <c r="O1811" i="45"/>
  <c r="O1810" i="45"/>
  <c r="O1809" i="45"/>
  <c r="O1808" i="45"/>
  <c r="O1807" i="45"/>
  <c r="O1806" i="45"/>
  <c r="O1805" i="45"/>
  <c r="O1804" i="45"/>
  <c r="O1803" i="45"/>
  <c r="O1802" i="45"/>
  <c r="O1801" i="45"/>
  <c r="O1800" i="45"/>
  <c r="O1799" i="45"/>
  <c r="O1798" i="45"/>
  <c r="O1797" i="45"/>
  <c r="O1796" i="45"/>
  <c r="O1795" i="45"/>
  <c r="I1795" i="45"/>
  <c r="O1794" i="45"/>
  <c r="I1794" i="45"/>
  <c r="O1793" i="45"/>
  <c r="I1793" i="45"/>
  <c r="O1792" i="45"/>
  <c r="I1792" i="45"/>
  <c r="O1791" i="45"/>
  <c r="I1791" i="45"/>
  <c r="O1790" i="45"/>
  <c r="I1790" i="45"/>
  <c r="O1789" i="45"/>
  <c r="I1789" i="45"/>
  <c r="O1788" i="45"/>
  <c r="I1788" i="45"/>
  <c r="O1787" i="45"/>
  <c r="I1787" i="45"/>
  <c r="O1786" i="45"/>
  <c r="I1786" i="45"/>
  <c r="O1785" i="45"/>
  <c r="I1785" i="45"/>
  <c r="O1784" i="45"/>
  <c r="I1784" i="45"/>
  <c r="O1783" i="45"/>
  <c r="I1783" i="45"/>
  <c r="O1782" i="45"/>
  <c r="I1782" i="45"/>
  <c r="O1781" i="45"/>
  <c r="I1781" i="45"/>
  <c r="O1780" i="45"/>
  <c r="I1780" i="45"/>
  <c r="O1779" i="45"/>
  <c r="I1779" i="45"/>
  <c r="O1778" i="45"/>
  <c r="I1778" i="45"/>
  <c r="O1777" i="45"/>
  <c r="I1777" i="45"/>
  <c r="O1776" i="45"/>
  <c r="I1776" i="45"/>
  <c r="O1775" i="45"/>
  <c r="I1775" i="45"/>
  <c r="O1774" i="45"/>
  <c r="I1774" i="45"/>
  <c r="O1773" i="45"/>
  <c r="I1773" i="45"/>
  <c r="O1772" i="45"/>
  <c r="I1772" i="45"/>
  <c r="O1771" i="45"/>
  <c r="I1771" i="45"/>
  <c r="O1770" i="45"/>
  <c r="I1770" i="45"/>
  <c r="O1769" i="45"/>
  <c r="I1769" i="45"/>
  <c r="O1768" i="45"/>
  <c r="I1768" i="45"/>
  <c r="O1767" i="45"/>
  <c r="I1767" i="45"/>
  <c r="O1766" i="45"/>
  <c r="I1766" i="45"/>
  <c r="O1765" i="45"/>
  <c r="I1765" i="45"/>
  <c r="O1764" i="45"/>
  <c r="I1764" i="45"/>
  <c r="O1763" i="45"/>
  <c r="I1763" i="45"/>
  <c r="O1762" i="45"/>
  <c r="I1762" i="45"/>
  <c r="O1761" i="45"/>
  <c r="I1761" i="45"/>
  <c r="O1760" i="45"/>
  <c r="I1760" i="45"/>
  <c r="O1759" i="45"/>
  <c r="I1759" i="45"/>
  <c r="O1758" i="45"/>
  <c r="I1758" i="45"/>
  <c r="O1757" i="45"/>
  <c r="I1757" i="45"/>
  <c r="O1756" i="45"/>
  <c r="I1756" i="45"/>
  <c r="O1755" i="45"/>
  <c r="I1755" i="45"/>
  <c r="O1754" i="45"/>
  <c r="I1754" i="45"/>
  <c r="O1753" i="45"/>
  <c r="I1753" i="45"/>
  <c r="O1752" i="45"/>
  <c r="I1752" i="45"/>
  <c r="O1751" i="45"/>
  <c r="I1751" i="45"/>
  <c r="O1750" i="45"/>
  <c r="I1750" i="45"/>
  <c r="O1749" i="45"/>
  <c r="I1749" i="45"/>
  <c r="O1748" i="45"/>
  <c r="I1748" i="45"/>
  <c r="O1747" i="45"/>
  <c r="I1747" i="45"/>
  <c r="O1746" i="45"/>
  <c r="I1746" i="45"/>
  <c r="O1745" i="45"/>
  <c r="I1745" i="45"/>
  <c r="O1744" i="45"/>
  <c r="I1744" i="45"/>
  <c r="O1743" i="45"/>
  <c r="I1743" i="45"/>
  <c r="O1742" i="45"/>
  <c r="I1742" i="45"/>
  <c r="O1741" i="45"/>
  <c r="I1741" i="45"/>
  <c r="O1740" i="45"/>
  <c r="I1740" i="45"/>
  <c r="O1739" i="45"/>
  <c r="I1739" i="45"/>
  <c r="O1738" i="45"/>
  <c r="I1738" i="45"/>
  <c r="O1737" i="45"/>
  <c r="O1736" i="45"/>
  <c r="O1735" i="45"/>
  <c r="I1735" i="45"/>
  <c r="O1734" i="45"/>
  <c r="I1734" i="45"/>
  <c r="O1733" i="45"/>
  <c r="I1733" i="45"/>
  <c r="O1732" i="45"/>
  <c r="I1732" i="45"/>
  <c r="O1731" i="45"/>
  <c r="I1731" i="45"/>
  <c r="O1730" i="45"/>
  <c r="I1730" i="45"/>
  <c r="O1729" i="45"/>
  <c r="I1729" i="45"/>
  <c r="O1728" i="45"/>
  <c r="I1728" i="45"/>
  <c r="O1727" i="45"/>
  <c r="I1727" i="45"/>
  <c r="O1726" i="45"/>
  <c r="I1726" i="45"/>
  <c r="O1725" i="45"/>
  <c r="I1725" i="45"/>
  <c r="O1724" i="45"/>
  <c r="I1724" i="45"/>
  <c r="O1723" i="45"/>
  <c r="I1723" i="45"/>
  <c r="O1722" i="45"/>
  <c r="I1722" i="45"/>
  <c r="O1721" i="45"/>
  <c r="I1721" i="45"/>
  <c r="O1720" i="45"/>
  <c r="I1720" i="45"/>
  <c r="O1719" i="45"/>
  <c r="I1719" i="45"/>
  <c r="O1718" i="45"/>
  <c r="I1718" i="45"/>
  <c r="O1717" i="45"/>
  <c r="I1717" i="45"/>
  <c r="O1716" i="45"/>
  <c r="I1716" i="45"/>
  <c r="O1715" i="45"/>
  <c r="I1715" i="45"/>
  <c r="O1714" i="45"/>
  <c r="I1714" i="45"/>
  <c r="O1713" i="45"/>
  <c r="I1713" i="45"/>
  <c r="O1712" i="45"/>
  <c r="I1712" i="45"/>
  <c r="O1711" i="45"/>
  <c r="I1711" i="45"/>
  <c r="O1710" i="45"/>
  <c r="I1710" i="45"/>
  <c r="O1709" i="45"/>
  <c r="I1709" i="45"/>
  <c r="O1708" i="45"/>
  <c r="I1708" i="45"/>
  <c r="O1707" i="45"/>
  <c r="I1707" i="45"/>
  <c r="O1706" i="45"/>
  <c r="I1706" i="45"/>
  <c r="O1705" i="45"/>
  <c r="I1705" i="45"/>
  <c r="O1704" i="45"/>
  <c r="I1704" i="45"/>
  <c r="O1703" i="45"/>
  <c r="I1703" i="45"/>
  <c r="O1702" i="45"/>
  <c r="I1702" i="45"/>
  <c r="O1701" i="45"/>
  <c r="I1701" i="45"/>
  <c r="O1700" i="45"/>
  <c r="I1700" i="45"/>
  <c r="O1699" i="45"/>
  <c r="I1699" i="45"/>
  <c r="O1698" i="45"/>
  <c r="I1698" i="45"/>
  <c r="O1697" i="45"/>
  <c r="I1697" i="45"/>
  <c r="O1696" i="45"/>
  <c r="I1696" i="45"/>
  <c r="O1695" i="45"/>
  <c r="I1695" i="45"/>
  <c r="O1694" i="45"/>
  <c r="I1694" i="45"/>
  <c r="O1693" i="45"/>
  <c r="I1693" i="45"/>
  <c r="O1692" i="45"/>
  <c r="I1692" i="45"/>
  <c r="O1691" i="45"/>
  <c r="I1691" i="45"/>
  <c r="O1690" i="45"/>
  <c r="I1690" i="45"/>
  <c r="O1689" i="45"/>
  <c r="I1689" i="45"/>
  <c r="O1688" i="45"/>
  <c r="I1688" i="45"/>
  <c r="O1687" i="45"/>
  <c r="I1687" i="45"/>
  <c r="O1686" i="45"/>
  <c r="I1686" i="45"/>
  <c r="O1685" i="45"/>
  <c r="I1685" i="45"/>
  <c r="O1684" i="45"/>
  <c r="I1684" i="45"/>
  <c r="O1683" i="45"/>
  <c r="I1683" i="45"/>
  <c r="O1682" i="45"/>
  <c r="I1682" i="45"/>
  <c r="O1681" i="45"/>
  <c r="I1681" i="45"/>
  <c r="O1680" i="45"/>
  <c r="I1680" i="45"/>
  <c r="O1679" i="45"/>
  <c r="I1679" i="45"/>
  <c r="O1678" i="45"/>
  <c r="I1678" i="45"/>
  <c r="O1677" i="45"/>
  <c r="I1677" i="45"/>
  <c r="O1676" i="45"/>
  <c r="I1676" i="45"/>
  <c r="O1675" i="45"/>
  <c r="I1675" i="45"/>
  <c r="O1674" i="45"/>
  <c r="I1674" i="45"/>
  <c r="O1673" i="45"/>
  <c r="I1673" i="45"/>
  <c r="O1672" i="45"/>
  <c r="I1672" i="45"/>
  <c r="O1671" i="45"/>
  <c r="I1671" i="45"/>
  <c r="O1670" i="45"/>
  <c r="I1670" i="45"/>
  <c r="O1669" i="45"/>
  <c r="I1669" i="45"/>
  <c r="O1668" i="45"/>
  <c r="I1668" i="45"/>
  <c r="O1667" i="45"/>
  <c r="I1667" i="45"/>
  <c r="O1666" i="45"/>
  <c r="I1666" i="45"/>
  <c r="O1665" i="45"/>
  <c r="I1665" i="45"/>
  <c r="O1664" i="45"/>
  <c r="I1664" i="45"/>
  <c r="O1663" i="45"/>
  <c r="I1663" i="45"/>
  <c r="O1662" i="45"/>
  <c r="I1662" i="45"/>
  <c r="O1661" i="45"/>
  <c r="I1661" i="45"/>
  <c r="O1660" i="45"/>
  <c r="I1660" i="45"/>
  <c r="O1659" i="45"/>
  <c r="I1659" i="45"/>
  <c r="O1658" i="45"/>
  <c r="I1658" i="45"/>
  <c r="O1657" i="45"/>
  <c r="I1657" i="45"/>
  <c r="O1656" i="45"/>
  <c r="I1656" i="45"/>
  <c r="O1655" i="45"/>
  <c r="I1655" i="45"/>
  <c r="O1654" i="45"/>
  <c r="I1654" i="45"/>
  <c r="O1653" i="45"/>
  <c r="I1653" i="45"/>
  <c r="O1652" i="45"/>
  <c r="I1652" i="45"/>
  <c r="O1651" i="45"/>
  <c r="I1651" i="45"/>
  <c r="O1650" i="45"/>
  <c r="I1650" i="45"/>
  <c r="O1649" i="45"/>
  <c r="I1649" i="45"/>
  <c r="O1648" i="45"/>
  <c r="I1648" i="45"/>
  <c r="O1647" i="45"/>
  <c r="I1647" i="45"/>
  <c r="O1646" i="45"/>
  <c r="I1646" i="45"/>
  <c r="O1645" i="45"/>
  <c r="I1645" i="45"/>
  <c r="O1644" i="45"/>
  <c r="I1644" i="45"/>
  <c r="O1643" i="45"/>
  <c r="I1643" i="45"/>
  <c r="O1642" i="45"/>
  <c r="I1642" i="45"/>
  <c r="O1641" i="45"/>
  <c r="I1641" i="45"/>
  <c r="O1640" i="45"/>
  <c r="I1640" i="45"/>
  <c r="O1639" i="45"/>
  <c r="I1639" i="45"/>
  <c r="O1638" i="45"/>
  <c r="I1638" i="45"/>
  <c r="O1637" i="45"/>
  <c r="I1637" i="45"/>
  <c r="O1636" i="45"/>
  <c r="I1636" i="45"/>
  <c r="O1635" i="45"/>
  <c r="I1635" i="45"/>
  <c r="O1634" i="45"/>
  <c r="I1634" i="45"/>
  <c r="O1633" i="45"/>
  <c r="I1633" i="45"/>
  <c r="O1632" i="45"/>
  <c r="I1632" i="45"/>
  <c r="O1631" i="45"/>
  <c r="I1631" i="45"/>
  <c r="O1630" i="45"/>
  <c r="I1630" i="45"/>
  <c r="O1629" i="45"/>
  <c r="I1629" i="45"/>
  <c r="O1628" i="45"/>
  <c r="I1628" i="45"/>
  <c r="O1627" i="45"/>
  <c r="I1627" i="45"/>
  <c r="O1626" i="45"/>
  <c r="I1626" i="45"/>
  <c r="O1625" i="45"/>
  <c r="I1625" i="45"/>
  <c r="O1624" i="45"/>
  <c r="I1624" i="45"/>
  <c r="O1623" i="45"/>
  <c r="I1623" i="45"/>
  <c r="O1622" i="45"/>
  <c r="I1622" i="45"/>
  <c r="O1621" i="45"/>
  <c r="I1621" i="45"/>
  <c r="O1620" i="45"/>
  <c r="I1620" i="45"/>
  <c r="O1619" i="45"/>
  <c r="I1619" i="45"/>
  <c r="O1618" i="45"/>
  <c r="I1618" i="45"/>
  <c r="O1617" i="45"/>
  <c r="I1617" i="45"/>
  <c r="O1616" i="45"/>
  <c r="I1616" i="45"/>
  <c r="O1615" i="45"/>
  <c r="I1615" i="45"/>
  <c r="O1614" i="45"/>
  <c r="I1614" i="45"/>
  <c r="O1613" i="45"/>
  <c r="I1613" i="45"/>
  <c r="O1612" i="45"/>
  <c r="I1612" i="45"/>
  <c r="O1611" i="45"/>
  <c r="I1611" i="45"/>
  <c r="O1610" i="45"/>
  <c r="I1610" i="45"/>
  <c r="O1609" i="45"/>
  <c r="I1609" i="45"/>
  <c r="O1608" i="45"/>
  <c r="I1608" i="45"/>
  <c r="O1607" i="45"/>
  <c r="I1607" i="45"/>
  <c r="O1606" i="45"/>
  <c r="I1606" i="45"/>
  <c r="O1605" i="45"/>
  <c r="I1605" i="45"/>
  <c r="O1604" i="45"/>
  <c r="I1604" i="45"/>
  <c r="O1603" i="45"/>
  <c r="I1603" i="45"/>
  <c r="O1602" i="45"/>
  <c r="I1602" i="45"/>
  <c r="O1601" i="45"/>
  <c r="I1601" i="45"/>
  <c r="O1600" i="45"/>
  <c r="I1600" i="45"/>
  <c r="O1599" i="45"/>
  <c r="I1599" i="45"/>
  <c r="O1598" i="45"/>
  <c r="I1598" i="45"/>
  <c r="O1597" i="45"/>
  <c r="I1597" i="45"/>
  <c r="O1596" i="45"/>
  <c r="I1596" i="45"/>
  <c r="O1595" i="45"/>
  <c r="I1595" i="45"/>
  <c r="O1594" i="45"/>
  <c r="I1594" i="45"/>
  <c r="O1593" i="45"/>
  <c r="I1593" i="45"/>
  <c r="O1592" i="45"/>
  <c r="I1592" i="45"/>
  <c r="O1591" i="45"/>
  <c r="I1591" i="45"/>
  <c r="O1590" i="45"/>
  <c r="I1590" i="45"/>
  <c r="O1589" i="45"/>
  <c r="I1589" i="45"/>
  <c r="O1588" i="45"/>
  <c r="I1588" i="45"/>
  <c r="O1587" i="45"/>
  <c r="I1587" i="45"/>
  <c r="O1586" i="45"/>
  <c r="I1586" i="45"/>
  <c r="O1585" i="45"/>
  <c r="I1585" i="45"/>
  <c r="O1584" i="45"/>
  <c r="I1584" i="45"/>
  <c r="O1583" i="45"/>
  <c r="I1583" i="45"/>
  <c r="O1582" i="45"/>
  <c r="I1582" i="45"/>
  <c r="O1581" i="45"/>
  <c r="I1581" i="45"/>
  <c r="O1580" i="45"/>
  <c r="I1580" i="45"/>
  <c r="O1579" i="45"/>
  <c r="I1579" i="45"/>
  <c r="O1578" i="45"/>
  <c r="I1578" i="45"/>
  <c r="O1577" i="45"/>
  <c r="I1577" i="45"/>
  <c r="O1576" i="45"/>
  <c r="I1576" i="45"/>
  <c r="O1575" i="45"/>
  <c r="I1575" i="45"/>
  <c r="O1574" i="45"/>
  <c r="I1574" i="45"/>
  <c r="O1573" i="45"/>
  <c r="I1573" i="45"/>
  <c r="O1572" i="45"/>
  <c r="I1572" i="45"/>
  <c r="O1571" i="45"/>
  <c r="I1571" i="45"/>
  <c r="O1570" i="45"/>
  <c r="I1570" i="45"/>
  <c r="O1569" i="45"/>
  <c r="I1569" i="45"/>
  <c r="O1568" i="45"/>
  <c r="I1568" i="45"/>
  <c r="O1567" i="45"/>
  <c r="I1567" i="45"/>
  <c r="O1566" i="45"/>
  <c r="I1566" i="45"/>
  <c r="O1565" i="45"/>
  <c r="I1565" i="45"/>
  <c r="O1564" i="45"/>
  <c r="I1564" i="45"/>
  <c r="O1563" i="45"/>
  <c r="I1563" i="45"/>
  <c r="O1562" i="45"/>
  <c r="I1562" i="45"/>
  <c r="O1561" i="45"/>
  <c r="I1561" i="45"/>
  <c r="O1560" i="45"/>
  <c r="I1560" i="45"/>
  <c r="O1559" i="45"/>
  <c r="I1559" i="45"/>
  <c r="O1558" i="45"/>
  <c r="I1558" i="45"/>
  <c r="O1557" i="45"/>
  <c r="I1557" i="45"/>
  <c r="O1556" i="45"/>
  <c r="I1556" i="45"/>
  <c r="O1555" i="45"/>
  <c r="I1555" i="45"/>
  <c r="O1554" i="45"/>
  <c r="I1554" i="45"/>
  <c r="O1553" i="45"/>
  <c r="I1553" i="45"/>
  <c r="O1552" i="45"/>
  <c r="I1552" i="45"/>
  <c r="O1551" i="45"/>
  <c r="I1551" i="45"/>
  <c r="O1550" i="45"/>
  <c r="I1550" i="45"/>
  <c r="O1549" i="45"/>
  <c r="I1549" i="45"/>
  <c r="O1548" i="45"/>
  <c r="I1548" i="45"/>
  <c r="O1547" i="45"/>
  <c r="I1547" i="45"/>
  <c r="O1546" i="45"/>
  <c r="I1546" i="45"/>
  <c r="O1545" i="45"/>
  <c r="I1545" i="45"/>
  <c r="O1544" i="45"/>
  <c r="I1544" i="45"/>
  <c r="O1543" i="45"/>
  <c r="I1543" i="45"/>
  <c r="O1542" i="45"/>
  <c r="I1542" i="45"/>
  <c r="O1541" i="45"/>
  <c r="I1541" i="45"/>
  <c r="O1540" i="45"/>
  <c r="I1540" i="45"/>
  <c r="O1539" i="45"/>
  <c r="I1539" i="45"/>
  <c r="O1538" i="45"/>
  <c r="I1538" i="45"/>
  <c r="O1537" i="45"/>
  <c r="I1537" i="45"/>
  <c r="O1536" i="45"/>
  <c r="I1536" i="45"/>
  <c r="O1535" i="45"/>
  <c r="I1535" i="45"/>
  <c r="O1534" i="45"/>
  <c r="I1534" i="45"/>
  <c r="O1533" i="45"/>
  <c r="I1533" i="45"/>
  <c r="O1532" i="45"/>
  <c r="I1532" i="45"/>
  <c r="O1531" i="45"/>
  <c r="I1531" i="45"/>
  <c r="O1530" i="45"/>
  <c r="I1530" i="45"/>
  <c r="O1529" i="45"/>
  <c r="I1529" i="45"/>
  <c r="O1528" i="45"/>
  <c r="I1528" i="45"/>
  <c r="O1527" i="45"/>
  <c r="I1527" i="45"/>
  <c r="O1526" i="45"/>
  <c r="I1526" i="45"/>
  <c r="O1525" i="45"/>
  <c r="I1525" i="45"/>
  <c r="O1524" i="45"/>
  <c r="I1524" i="45"/>
  <c r="O1523" i="45"/>
  <c r="I1523" i="45"/>
  <c r="J1522" i="45"/>
  <c r="O1522" i="45" s="1"/>
  <c r="I1522" i="45"/>
  <c r="J1521" i="45"/>
  <c r="O1521" i="45" s="1"/>
  <c r="I1521" i="45"/>
  <c r="O1520" i="45"/>
  <c r="I1520" i="45"/>
  <c r="O1519" i="45"/>
  <c r="I1519" i="45"/>
  <c r="O1518" i="45"/>
  <c r="I1518" i="45"/>
  <c r="O1517" i="45"/>
  <c r="I1517" i="45"/>
  <c r="O1516" i="45"/>
  <c r="I1516" i="45"/>
  <c r="O1515" i="45"/>
  <c r="I1515" i="45"/>
  <c r="O1514" i="45"/>
  <c r="I1514" i="45"/>
  <c r="O1513" i="45"/>
  <c r="I1513" i="45"/>
  <c r="O1512" i="45"/>
  <c r="I1512" i="45"/>
  <c r="O1511" i="45"/>
  <c r="I1511" i="45"/>
  <c r="O1510" i="45"/>
  <c r="I1510" i="45"/>
  <c r="O1509" i="45"/>
  <c r="I1509" i="45"/>
  <c r="O1508" i="45"/>
  <c r="I1508" i="45"/>
  <c r="O1507" i="45"/>
  <c r="I1507" i="45"/>
  <c r="O1506" i="45"/>
  <c r="I1506" i="45"/>
  <c r="O1505" i="45"/>
  <c r="I1505" i="45"/>
  <c r="O1504" i="45"/>
  <c r="I1504" i="45"/>
  <c r="O1503" i="45"/>
  <c r="I1503" i="45"/>
  <c r="O1502" i="45"/>
  <c r="I1502" i="45"/>
  <c r="O1501" i="45"/>
  <c r="I1501" i="45"/>
  <c r="O1500" i="45"/>
  <c r="I1500" i="45"/>
  <c r="O1499" i="45"/>
  <c r="I1499" i="45"/>
  <c r="O1498" i="45"/>
  <c r="I1498" i="45"/>
  <c r="O1497" i="45"/>
  <c r="I1497" i="45"/>
  <c r="O1496" i="45"/>
  <c r="I1496" i="45"/>
  <c r="O1495" i="45"/>
  <c r="I1495" i="45"/>
  <c r="O1494" i="45"/>
  <c r="I1494" i="45"/>
  <c r="O1493" i="45"/>
  <c r="I1493" i="45"/>
  <c r="O1492" i="45"/>
  <c r="I1492" i="45"/>
  <c r="O1491" i="45"/>
  <c r="I1491" i="45"/>
  <c r="O1490" i="45"/>
  <c r="I1490" i="45"/>
  <c r="O1489" i="45"/>
  <c r="I1489" i="45"/>
  <c r="O1488" i="45"/>
  <c r="I1488" i="45"/>
  <c r="O1487" i="45"/>
  <c r="I1487" i="45"/>
  <c r="O1486" i="45"/>
  <c r="I1486" i="45"/>
  <c r="O1485" i="45"/>
  <c r="I1485" i="45"/>
  <c r="O1484" i="45"/>
  <c r="I1484" i="45"/>
  <c r="O1483" i="45"/>
  <c r="I1483" i="45"/>
  <c r="O1482" i="45"/>
  <c r="I1482" i="45"/>
  <c r="O1481" i="45"/>
  <c r="I1481" i="45"/>
  <c r="O1480" i="45"/>
  <c r="I1480" i="45"/>
  <c r="O1479" i="45"/>
  <c r="I1479" i="45"/>
  <c r="O1478" i="45"/>
  <c r="I1478" i="45"/>
  <c r="O1477" i="45"/>
  <c r="I1477" i="45"/>
  <c r="O1476" i="45"/>
  <c r="I1476" i="45"/>
  <c r="O1475" i="45"/>
  <c r="I1475" i="45"/>
  <c r="O1474" i="45"/>
  <c r="I1474" i="45"/>
  <c r="O1473" i="45"/>
  <c r="I1473" i="45"/>
  <c r="O1472" i="45"/>
  <c r="I1472" i="45"/>
  <c r="O1471" i="45"/>
  <c r="I1471" i="45"/>
  <c r="O1470" i="45"/>
  <c r="I1470" i="45"/>
  <c r="O1469" i="45"/>
  <c r="I1469" i="45"/>
  <c r="O1468" i="45"/>
  <c r="I1468" i="45"/>
  <c r="O1467" i="45"/>
  <c r="I1467" i="45"/>
  <c r="O1466" i="45"/>
  <c r="I1466" i="45"/>
  <c r="O1465" i="45"/>
  <c r="I1465" i="45"/>
  <c r="O1464" i="45"/>
  <c r="I1464" i="45"/>
  <c r="O1463" i="45"/>
  <c r="I1463" i="45"/>
  <c r="O1462" i="45"/>
  <c r="I1462" i="45"/>
  <c r="O1461" i="45"/>
  <c r="I1461" i="45"/>
  <c r="O1460" i="45"/>
  <c r="I1460" i="45"/>
  <c r="O1459" i="45"/>
  <c r="I1459" i="45"/>
  <c r="O1458" i="45"/>
  <c r="I1458" i="45"/>
  <c r="O1457" i="45"/>
  <c r="I1457" i="45"/>
  <c r="O1456" i="45"/>
  <c r="I1456" i="45"/>
  <c r="O1455" i="45"/>
  <c r="I1455" i="45"/>
  <c r="O1454" i="45"/>
  <c r="I1454" i="45"/>
  <c r="O1453" i="45"/>
  <c r="I1453" i="45"/>
  <c r="O1452" i="45"/>
  <c r="I1452" i="45"/>
  <c r="O1451" i="45"/>
  <c r="I1451" i="45"/>
  <c r="O1450" i="45"/>
  <c r="I1450" i="45"/>
  <c r="O1449" i="45"/>
  <c r="I1449" i="45"/>
  <c r="O1448" i="45"/>
  <c r="I1448" i="45"/>
  <c r="O1447" i="45"/>
  <c r="I1447" i="45"/>
  <c r="O1446" i="45"/>
  <c r="I1446" i="45"/>
  <c r="O1445" i="45"/>
  <c r="I1445" i="45"/>
  <c r="O1444" i="45"/>
  <c r="I1444" i="45"/>
  <c r="O1443" i="45"/>
  <c r="I1443" i="45"/>
  <c r="O1442" i="45"/>
  <c r="I1442" i="45"/>
  <c r="O1441" i="45"/>
  <c r="I1441" i="45"/>
  <c r="O1440" i="45"/>
  <c r="I1440" i="45"/>
  <c r="O1439" i="45"/>
  <c r="I1439" i="45"/>
  <c r="O1438" i="45"/>
  <c r="I1438" i="45"/>
  <c r="O1437" i="45"/>
  <c r="I1437" i="45"/>
  <c r="O1436" i="45"/>
  <c r="I1436" i="45"/>
  <c r="O1435" i="45"/>
  <c r="I1435" i="45"/>
  <c r="O1434" i="45"/>
  <c r="I1434" i="45"/>
  <c r="O1433" i="45"/>
  <c r="I1433" i="45"/>
  <c r="O1432" i="45"/>
  <c r="I1432" i="45"/>
  <c r="O1431" i="45"/>
  <c r="I1431" i="45"/>
  <c r="O1430" i="45"/>
  <c r="I1430" i="45"/>
  <c r="O1429" i="45"/>
  <c r="I1429" i="45"/>
  <c r="O1428" i="45"/>
  <c r="I1428" i="45"/>
  <c r="O1427" i="45"/>
  <c r="I1427" i="45"/>
  <c r="O1426" i="45"/>
  <c r="I1426" i="45"/>
  <c r="O1425" i="45"/>
  <c r="I1425" i="45"/>
  <c r="O1424" i="45"/>
  <c r="I1424" i="45"/>
  <c r="O1423" i="45"/>
  <c r="I1423" i="45"/>
  <c r="O1422" i="45"/>
  <c r="I1422" i="45"/>
  <c r="O1421" i="45"/>
  <c r="I1421" i="45"/>
  <c r="O1420" i="45"/>
  <c r="I1420" i="45"/>
  <c r="O1419" i="45"/>
  <c r="I1419" i="45"/>
  <c r="O1418" i="45"/>
  <c r="I1418" i="45"/>
  <c r="O1417" i="45"/>
  <c r="I1417" i="45"/>
  <c r="O1416" i="45"/>
  <c r="I1416" i="45"/>
  <c r="O1415" i="45"/>
  <c r="I1415" i="45"/>
  <c r="O1414" i="45"/>
  <c r="I1414" i="45"/>
  <c r="O1413" i="45"/>
  <c r="I1413" i="45"/>
  <c r="O1412" i="45"/>
  <c r="I1412" i="45"/>
  <c r="O1411" i="45"/>
  <c r="I1411" i="45"/>
  <c r="O1410" i="45"/>
  <c r="I1410" i="45"/>
  <c r="O1409" i="45"/>
  <c r="I1409" i="45"/>
  <c r="O1408" i="45"/>
  <c r="I1408" i="45"/>
  <c r="O1407" i="45"/>
  <c r="I1407" i="45"/>
  <c r="O1406" i="45"/>
  <c r="I1406" i="45"/>
  <c r="O1405" i="45"/>
  <c r="I1405" i="45"/>
  <c r="O1404" i="45"/>
  <c r="I1404" i="45"/>
  <c r="O1403" i="45"/>
  <c r="I1403" i="45"/>
  <c r="O1402" i="45"/>
  <c r="I1402" i="45"/>
  <c r="O1401" i="45"/>
  <c r="I1401" i="45"/>
  <c r="O1400" i="45"/>
  <c r="I1400" i="45"/>
  <c r="O1399" i="45"/>
  <c r="I1399" i="45"/>
  <c r="O1398" i="45"/>
  <c r="I1398" i="45"/>
  <c r="O1397" i="45"/>
  <c r="I1397" i="45"/>
  <c r="O1396" i="45"/>
  <c r="I1396" i="45"/>
  <c r="O1395" i="45"/>
  <c r="I1395" i="45"/>
  <c r="O1394" i="45"/>
  <c r="I1394" i="45"/>
  <c r="O1393" i="45"/>
  <c r="I1393" i="45"/>
  <c r="O1392" i="45"/>
  <c r="I1392" i="45"/>
  <c r="O1391" i="45"/>
  <c r="I1391" i="45"/>
  <c r="O1390" i="45"/>
  <c r="I1390" i="45"/>
  <c r="O1389" i="45"/>
  <c r="I1389" i="45"/>
  <c r="O1388" i="45"/>
  <c r="I1388" i="45"/>
  <c r="O1387" i="45"/>
  <c r="I1387" i="45"/>
  <c r="O1386" i="45"/>
  <c r="I1386" i="45"/>
  <c r="O1385" i="45"/>
  <c r="I1385" i="45"/>
  <c r="O1384" i="45"/>
  <c r="I1384" i="45"/>
  <c r="O1383" i="45"/>
  <c r="I1383" i="45"/>
  <c r="O1382" i="45"/>
  <c r="I1382" i="45"/>
  <c r="O1381" i="45"/>
  <c r="I1381" i="45"/>
  <c r="O1380" i="45"/>
  <c r="I1380" i="45"/>
  <c r="O1379" i="45"/>
  <c r="I1379" i="45"/>
  <c r="O1378" i="45"/>
  <c r="I1378" i="45"/>
  <c r="O1377" i="45"/>
  <c r="I1377" i="45"/>
  <c r="O1376" i="45"/>
  <c r="I1376" i="45"/>
  <c r="O1375" i="45"/>
  <c r="I1375" i="45"/>
  <c r="O1374" i="45"/>
  <c r="I1374" i="45"/>
  <c r="O1373" i="45"/>
  <c r="I1373" i="45"/>
  <c r="O1372" i="45"/>
  <c r="I1372" i="45"/>
  <c r="O1371" i="45"/>
  <c r="I1371" i="45"/>
  <c r="O1370" i="45"/>
  <c r="I1370" i="45"/>
  <c r="O1369" i="45"/>
  <c r="I1369" i="45"/>
  <c r="O1368" i="45"/>
  <c r="I1368" i="45"/>
  <c r="O1367" i="45"/>
  <c r="I1367" i="45"/>
  <c r="O1366" i="45"/>
  <c r="I1366" i="45"/>
  <c r="O1365" i="45"/>
  <c r="I1365" i="45"/>
  <c r="O1364" i="45"/>
  <c r="I1364" i="45"/>
  <c r="O1363" i="45"/>
  <c r="I1363" i="45"/>
  <c r="O1362" i="45"/>
  <c r="I1362" i="45"/>
  <c r="O1361" i="45"/>
  <c r="I1361" i="45"/>
  <c r="O1360" i="45"/>
  <c r="I1360" i="45"/>
  <c r="O1359" i="45"/>
  <c r="I1359" i="45"/>
  <c r="O1358" i="45"/>
  <c r="I1358" i="45"/>
  <c r="O1357" i="45"/>
  <c r="I1357" i="45"/>
  <c r="O1356" i="45"/>
  <c r="I1356" i="45"/>
  <c r="O1355" i="45"/>
  <c r="I1355" i="45"/>
  <c r="O1354" i="45"/>
  <c r="I1354" i="45"/>
  <c r="O1353" i="45"/>
  <c r="I1353" i="45"/>
  <c r="O1352" i="45"/>
  <c r="I1352" i="45"/>
  <c r="O1351" i="45"/>
  <c r="I1351" i="45"/>
  <c r="O1350" i="45"/>
  <c r="I1350" i="45"/>
  <c r="O1349" i="45"/>
  <c r="I1349" i="45"/>
  <c r="O1348" i="45"/>
  <c r="I1348" i="45"/>
  <c r="O1347" i="45"/>
  <c r="I1347" i="45"/>
  <c r="O1346" i="45"/>
  <c r="I1346" i="45"/>
  <c r="O1345" i="45"/>
  <c r="I1345" i="45"/>
  <c r="O1344" i="45"/>
  <c r="I1344" i="45"/>
  <c r="O1343" i="45"/>
  <c r="I1343" i="45"/>
  <c r="O1342" i="45"/>
  <c r="I1342" i="45"/>
  <c r="O1341" i="45"/>
  <c r="I1341" i="45"/>
  <c r="O1340" i="45"/>
  <c r="I1340" i="45"/>
  <c r="O1339" i="45"/>
  <c r="I1339" i="45"/>
  <c r="O1338" i="45"/>
  <c r="I1338" i="45"/>
  <c r="O1337" i="45"/>
  <c r="I1337" i="45"/>
  <c r="O1336" i="45"/>
  <c r="I1336" i="45"/>
  <c r="O1335" i="45"/>
  <c r="I1335" i="45"/>
  <c r="O1334" i="45"/>
  <c r="I1334" i="45"/>
  <c r="O1333" i="45"/>
  <c r="I1333" i="45"/>
  <c r="O1332" i="45"/>
  <c r="I1332" i="45"/>
  <c r="O1331" i="45"/>
  <c r="I1331" i="45"/>
  <c r="O1330" i="45"/>
  <c r="I1330" i="45"/>
  <c r="O1329" i="45"/>
  <c r="I1329" i="45"/>
  <c r="O1328" i="45"/>
  <c r="I1328" i="45"/>
  <c r="O1327" i="45"/>
  <c r="I1327" i="45"/>
  <c r="O1326" i="45"/>
  <c r="I1326" i="45"/>
  <c r="O1325" i="45"/>
  <c r="I1325" i="45"/>
  <c r="O1324" i="45"/>
  <c r="I1324" i="45"/>
  <c r="O1323" i="45"/>
  <c r="I1323" i="45"/>
  <c r="O1322" i="45"/>
  <c r="I1322" i="45"/>
  <c r="O1321" i="45"/>
  <c r="I1321" i="45"/>
  <c r="O1320" i="45"/>
  <c r="I1320" i="45"/>
  <c r="O1319" i="45"/>
  <c r="I1319" i="45"/>
  <c r="O1318" i="45"/>
  <c r="I1318" i="45"/>
  <c r="O1317" i="45"/>
  <c r="I1317" i="45"/>
  <c r="O1316" i="45"/>
  <c r="I1316" i="45"/>
  <c r="O1315" i="45"/>
  <c r="I1315" i="45"/>
  <c r="O1314" i="45"/>
  <c r="I1314" i="45"/>
  <c r="O1313" i="45"/>
  <c r="I1313" i="45"/>
  <c r="O1312" i="45"/>
  <c r="I1312" i="45"/>
  <c r="O1311" i="45"/>
  <c r="I1311" i="45"/>
  <c r="O1310" i="45"/>
  <c r="I1310" i="45"/>
  <c r="O1309" i="45"/>
  <c r="I1309" i="45"/>
  <c r="O1308" i="45"/>
  <c r="I1308" i="45"/>
  <c r="O1307" i="45"/>
  <c r="I1307" i="45"/>
  <c r="O1306" i="45"/>
  <c r="I1306" i="45"/>
  <c r="O1305" i="45"/>
  <c r="I1305" i="45"/>
  <c r="O1304" i="45"/>
  <c r="I1304" i="45"/>
  <c r="O1303" i="45"/>
  <c r="I1303" i="45"/>
  <c r="O1302" i="45"/>
  <c r="I1302" i="45"/>
  <c r="O1301" i="45"/>
  <c r="I1301" i="45"/>
  <c r="O1300" i="45"/>
  <c r="I1300" i="45"/>
  <c r="O1299" i="45"/>
  <c r="I1299" i="45"/>
  <c r="O1298" i="45"/>
  <c r="I1298" i="45"/>
  <c r="O1297" i="45"/>
  <c r="I1297" i="45"/>
  <c r="O1296" i="45"/>
  <c r="I1296" i="45"/>
  <c r="O1295" i="45"/>
  <c r="I1295" i="45"/>
  <c r="O1294" i="45"/>
  <c r="I1294" i="45"/>
  <c r="O1293" i="45"/>
  <c r="I1293" i="45"/>
  <c r="O1292" i="45"/>
  <c r="I1292" i="45"/>
  <c r="O1291" i="45"/>
  <c r="I1291" i="45"/>
  <c r="O1290" i="45"/>
  <c r="I1290" i="45"/>
  <c r="O1289" i="45"/>
  <c r="I1289" i="45"/>
  <c r="O1288" i="45"/>
  <c r="I1288" i="45"/>
  <c r="O1287" i="45"/>
  <c r="I1287" i="45"/>
  <c r="O1286" i="45"/>
  <c r="I1286" i="45"/>
  <c r="O1285" i="45"/>
  <c r="I1285" i="45"/>
  <c r="O1284" i="45"/>
  <c r="I1284" i="45"/>
  <c r="O1283" i="45"/>
  <c r="I1283" i="45"/>
  <c r="O1282" i="45"/>
  <c r="I1282" i="45"/>
  <c r="O1281" i="45"/>
  <c r="I1281" i="45"/>
  <c r="O1280" i="45"/>
  <c r="I1280" i="45"/>
  <c r="O1279" i="45"/>
  <c r="I1279" i="45"/>
  <c r="O1278" i="45"/>
  <c r="I1278" i="45"/>
  <c r="O1277" i="45"/>
  <c r="I1277" i="45"/>
  <c r="O1276" i="45"/>
  <c r="I1276" i="45"/>
  <c r="O1275" i="45"/>
  <c r="I1275" i="45"/>
  <c r="O1274" i="45"/>
  <c r="I1274" i="45"/>
  <c r="O1273" i="45"/>
  <c r="I1273" i="45"/>
  <c r="O1272" i="45"/>
  <c r="I1272" i="45"/>
  <c r="O1271" i="45"/>
  <c r="I1271" i="45"/>
  <c r="O1270" i="45"/>
  <c r="I1270" i="45"/>
  <c r="O1269" i="45"/>
  <c r="I1269" i="45"/>
  <c r="O1268" i="45"/>
  <c r="I1268" i="45"/>
  <c r="O1267" i="45"/>
  <c r="I1267" i="45"/>
  <c r="O1266" i="45"/>
  <c r="I1266" i="45"/>
  <c r="O1265" i="45"/>
  <c r="I1265" i="45"/>
  <c r="O1264" i="45"/>
  <c r="I1264" i="45"/>
  <c r="O1263" i="45"/>
  <c r="I1263" i="45"/>
  <c r="O1262" i="45"/>
  <c r="I1262" i="45"/>
  <c r="O1261" i="45"/>
  <c r="I1261" i="45"/>
  <c r="O1260" i="45"/>
  <c r="I1260" i="45"/>
  <c r="O1259" i="45"/>
  <c r="I1259" i="45"/>
  <c r="O1258" i="45"/>
  <c r="I1258" i="45"/>
  <c r="O1257" i="45"/>
  <c r="I1257" i="45"/>
  <c r="O1256" i="45"/>
  <c r="I1256" i="45"/>
  <c r="O1255" i="45"/>
  <c r="I1255" i="45"/>
  <c r="O1254" i="45"/>
  <c r="I1254" i="45"/>
  <c r="O1253" i="45"/>
  <c r="I1253" i="45"/>
  <c r="O1252" i="45"/>
  <c r="I1252" i="45"/>
  <c r="O1251" i="45"/>
  <c r="I1251" i="45"/>
  <c r="O1250" i="45"/>
  <c r="I1250" i="45"/>
  <c r="O1249" i="45"/>
  <c r="I1249" i="45"/>
  <c r="O1248" i="45"/>
  <c r="I1248" i="45"/>
  <c r="O1247" i="45"/>
  <c r="I1247" i="45"/>
  <c r="O1246" i="45"/>
  <c r="I1246" i="45"/>
  <c r="O1245" i="45"/>
  <c r="I1245" i="45"/>
  <c r="O1244" i="45"/>
  <c r="I1244" i="45"/>
  <c r="O1243" i="45"/>
  <c r="I1243" i="45"/>
  <c r="O1242" i="45"/>
  <c r="I1242" i="45"/>
  <c r="O1241" i="45"/>
  <c r="I1241" i="45"/>
  <c r="O1240" i="45"/>
  <c r="I1240" i="45"/>
  <c r="O1239" i="45"/>
  <c r="I1239" i="45"/>
  <c r="O1238" i="45"/>
  <c r="I1238" i="45"/>
  <c r="O1237" i="45"/>
  <c r="I1237" i="45"/>
  <c r="O1236" i="45"/>
  <c r="I1236" i="45"/>
  <c r="O1235" i="45"/>
  <c r="I1235" i="45"/>
  <c r="O1234" i="45"/>
  <c r="I1234" i="45"/>
  <c r="O1233" i="45"/>
  <c r="I1233" i="45"/>
  <c r="O1232" i="45"/>
  <c r="I1232" i="45"/>
  <c r="O1231" i="45"/>
  <c r="I1231" i="45"/>
  <c r="O1230" i="45"/>
  <c r="I1230" i="45"/>
  <c r="O1229" i="45"/>
  <c r="I1229" i="45"/>
  <c r="O1228" i="45"/>
  <c r="I1228" i="45"/>
  <c r="O1227" i="45"/>
  <c r="I1227" i="45"/>
  <c r="O1226" i="45"/>
  <c r="I1226" i="45"/>
  <c r="O1225" i="45"/>
  <c r="I1225" i="45"/>
  <c r="O1224" i="45"/>
  <c r="I1224" i="45"/>
  <c r="O1223" i="45"/>
  <c r="I1223" i="45"/>
  <c r="O1222" i="45"/>
  <c r="I1222" i="45"/>
  <c r="O1221" i="45"/>
  <c r="I1221" i="45"/>
  <c r="O1220" i="45"/>
  <c r="I1220" i="45"/>
  <c r="O1219" i="45"/>
  <c r="I1219" i="45"/>
  <c r="O1218" i="45"/>
  <c r="I1218" i="45"/>
  <c r="O1217" i="45"/>
  <c r="I1217" i="45"/>
  <c r="O1216" i="45"/>
  <c r="I1216" i="45"/>
  <c r="O1215" i="45"/>
  <c r="I1215" i="45"/>
  <c r="O1214" i="45"/>
  <c r="I1214" i="45"/>
  <c r="O1213" i="45"/>
  <c r="I1213" i="45"/>
  <c r="O1212" i="45"/>
  <c r="I1212" i="45"/>
  <c r="O1211" i="45"/>
  <c r="I1211" i="45"/>
  <c r="O1210" i="45"/>
  <c r="I1210" i="45"/>
  <c r="O1209" i="45"/>
  <c r="I1209" i="45"/>
  <c r="O1208" i="45"/>
  <c r="I1208" i="45"/>
  <c r="O1207" i="45"/>
  <c r="I1207" i="45"/>
  <c r="O1206" i="45"/>
  <c r="I1206" i="45"/>
  <c r="O1205" i="45"/>
  <c r="I1205" i="45"/>
  <c r="O1204" i="45"/>
  <c r="I1204" i="45"/>
  <c r="O1203" i="45"/>
  <c r="I1203" i="45"/>
  <c r="O1202" i="45"/>
  <c r="I1202" i="45"/>
  <c r="O1201" i="45"/>
  <c r="I1201" i="45"/>
  <c r="O1200" i="45"/>
  <c r="I1200" i="45"/>
  <c r="O1199" i="45"/>
  <c r="I1199" i="45"/>
  <c r="O1198" i="45"/>
  <c r="I1198" i="45"/>
  <c r="O1197" i="45"/>
  <c r="I1197" i="45"/>
  <c r="O1196" i="45"/>
  <c r="I1196" i="45"/>
  <c r="O1195" i="45"/>
  <c r="I1195" i="45"/>
  <c r="O1194" i="45"/>
  <c r="I1194" i="45"/>
  <c r="O1193" i="45"/>
  <c r="I1193" i="45"/>
  <c r="O1192" i="45"/>
  <c r="I1192" i="45"/>
  <c r="O1191" i="45"/>
  <c r="I1191" i="45"/>
  <c r="O1190" i="45"/>
  <c r="I1190" i="45"/>
  <c r="O1189" i="45"/>
  <c r="I1189" i="45"/>
  <c r="O1188" i="45"/>
  <c r="I1188" i="45"/>
  <c r="O1187" i="45"/>
  <c r="I1187" i="45"/>
  <c r="O1186" i="45"/>
  <c r="I1186" i="45"/>
  <c r="O1185" i="45"/>
  <c r="I1185" i="45"/>
  <c r="O1184" i="45"/>
  <c r="I1184" i="45"/>
  <c r="O1183" i="45"/>
  <c r="I1183" i="45"/>
  <c r="O1182" i="45"/>
  <c r="I1182" i="45"/>
  <c r="O1181" i="45"/>
  <c r="I1181" i="45"/>
  <c r="O1180" i="45"/>
  <c r="I1180" i="45"/>
  <c r="O1179" i="45"/>
  <c r="I1179" i="45"/>
  <c r="O1178" i="45"/>
  <c r="I1178" i="45"/>
  <c r="O1177" i="45"/>
  <c r="I1177" i="45"/>
  <c r="O1176" i="45"/>
  <c r="I1176" i="45"/>
  <c r="O1175" i="45"/>
  <c r="I1175" i="45"/>
  <c r="O1174" i="45"/>
  <c r="I1174" i="45"/>
  <c r="O1173" i="45"/>
  <c r="I1173" i="45"/>
  <c r="O1172" i="45"/>
  <c r="I1172" i="45"/>
  <c r="O1171" i="45"/>
  <c r="I1171" i="45"/>
  <c r="O1170" i="45"/>
  <c r="I1170" i="45"/>
  <c r="O1169" i="45"/>
  <c r="I1169" i="45"/>
  <c r="O1168" i="45"/>
  <c r="I1168" i="45"/>
  <c r="O1167" i="45"/>
  <c r="I1167" i="45"/>
  <c r="O1166" i="45"/>
  <c r="I1166" i="45"/>
  <c r="O1165" i="45"/>
  <c r="I1165" i="45"/>
  <c r="O1164" i="45"/>
  <c r="I1164" i="45"/>
  <c r="O1163" i="45"/>
  <c r="I1163" i="45"/>
  <c r="O1162" i="45"/>
  <c r="I1162" i="45"/>
  <c r="O1161" i="45"/>
  <c r="I1161" i="45"/>
  <c r="O1160" i="45"/>
  <c r="I1160" i="45"/>
  <c r="O1159" i="45"/>
  <c r="I1159" i="45"/>
  <c r="O1158" i="45"/>
  <c r="I1158" i="45"/>
  <c r="O1157" i="45"/>
  <c r="I1157" i="45"/>
  <c r="O1156" i="45"/>
  <c r="I1156" i="45"/>
  <c r="O1155" i="45"/>
  <c r="I1155" i="45"/>
  <c r="O1154" i="45"/>
  <c r="I1154" i="45"/>
  <c r="O1153" i="45"/>
  <c r="I1153" i="45"/>
  <c r="O1152" i="45"/>
  <c r="I1152" i="45"/>
  <c r="O1151" i="45"/>
  <c r="I1151" i="45"/>
  <c r="O1150" i="45"/>
  <c r="I1150" i="45"/>
  <c r="O1149" i="45"/>
  <c r="I1149" i="45"/>
  <c r="O1148" i="45"/>
  <c r="I1148" i="45"/>
  <c r="O1147" i="45"/>
  <c r="I1147" i="45"/>
  <c r="O1146" i="45"/>
  <c r="I1146" i="45"/>
  <c r="O1145" i="45"/>
  <c r="I1145" i="45"/>
  <c r="O1144" i="45"/>
  <c r="I1144" i="45"/>
  <c r="O1143" i="45"/>
  <c r="I1143" i="45"/>
  <c r="O1142" i="45"/>
  <c r="I1142" i="45"/>
  <c r="O1141" i="45"/>
  <c r="I1141" i="45"/>
  <c r="O1140" i="45"/>
  <c r="I1140" i="45"/>
  <c r="O1139" i="45"/>
  <c r="I1139" i="45"/>
  <c r="O1138" i="45"/>
  <c r="I1138" i="45"/>
  <c r="O1137" i="45"/>
  <c r="I1137" i="45"/>
  <c r="O1136" i="45"/>
  <c r="I1136" i="45"/>
  <c r="O1135" i="45"/>
  <c r="I1135" i="45"/>
  <c r="O1134" i="45"/>
  <c r="I1134" i="45"/>
  <c r="O1133" i="45"/>
  <c r="I1133" i="45"/>
  <c r="O1132" i="45"/>
  <c r="I1132" i="45"/>
  <c r="O1131" i="45"/>
  <c r="I1131" i="45"/>
  <c r="O1130" i="45"/>
  <c r="I1130" i="45"/>
  <c r="O1129" i="45"/>
  <c r="I1129" i="45"/>
  <c r="O1128" i="45"/>
  <c r="I1128" i="45"/>
  <c r="O1127" i="45"/>
  <c r="I1127" i="45"/>
  <c r="O1126" i="45"/>
  <c r="I1126" i="45"/>
  <c r="O1125" i="45"/>
  <c r="I1125" i="45"/>
  <c r="O1124" i="45"/>
  <c r="I1124" i="45"/>
  <c r="O1123" i="45"/>
  <c r="I1123" i="45"/>
  <c r="O1122" i="45"/>
  <c r="I1122" i="45"/>
  <c r="O1121" i="45"/>
  <c r="I1121" i="45"/>
  <c r="O1120" i="45"/>
  <c r="I1120" i="45"/>
  <c r="O1119" i="45"/>
  <c r="I1119" i="45"/>
  <c r="O1118" i="45"/>
  <c r="I1118" i="45"/>
  <c r="O1117" i="45"/>
  <c r="I1117" i="45"/>
  <c r="O1116" i="45"/>
  <c r="I1116" i="45"/>
  <c r="O1115" i="45"/>
  <c r="I1115" i="45"/>
  <c r="O1114" i="45"/>
  <c r="I1114" i="45"/>
  <c r="O1113" i="45"/>
  <c r="I1113" i="45"/>
  <c r="O1112" i="45"/>
  <c r="I1112" i="45"/>
  <c r="O1111" i="45"/>
  <c r="I1111" i="45"/>
  <c r="O1110" i="45"/>
  <c r="I1110" i="45"/>
  <c r="O1109" i="45"/>
  <c r="I1109" i="45"/>
  <c r="O1108" i="45"/>
  <c r="I1108" i="45"/>
  <c r="O1107" i="45"/>
  <c r="I1107" i="45"/>
  <c r="O1106" i="45"/>
  <c r="I1106" i="45"/>
  <c r="O1105" i="45"/>
  <c r="I1105" i="45"/>
  <c r="O1104" i="45"/>
  <c r="I1104" i="45"/>
  <c r="O1103" i="45"/>
  <c r="I1103" i="45"/>
  <c r="O1102" i="45"/>
  <c r="I1102" i="45"/>
  <c r="O1101" i="45"/>
  <c r="I1101" i="45"/>
  <c r="O1100" i="45"/>
  <c r="I1100" i="45"/>
  <c r="O1099" i="45"/>
  <c r="I1099" i="45"/>
  <c r="O1098" i="45"/>
  <c r="I1098" i="45"/>
  <c r="O1097" i="45"/>
  <c r="I1097" i="45"/>
  <c r="O1096" i="45"/>
  <c r="I1096" i="45"/>
  <c r="O1095" i="45"/>
  <c r="I1095" i="45"/>
  <c r="O1094" i="45"/>
  <c r="I1094" i="45"/>
  <c r="O1093" i="45"/>
  <c r="I1093" i="45"/>
  <c r="O1092" i="45"/>
  <c r="I1092" i="45"/>
  <c r="O1091" i="45"/>
  <c r="I1091" i="45"/>
  <c r="O1090" i="45"/>
  <c r="I1090" i="45"/>
  <c r="O1089" i="45"/>
  <c r="I1089" i="45"/>
  <c r="O1088" i="45"/>
  <c r="I1088" i="45"/>
  <c r="O1087" i="45"/>
  <c r="I1087" i="45"/>
  <c r="O1086" i="45"/>
  <c r="I1086" i="45"/>
  <c r="O1085" i="45"/>
  <c r="I1085" i="45"/>
  <c r="O1084" i="45"/>
  <c r="I1084" i="45"/>
  <c r="O1083" i="45"/>
  <c r="I1083" i="45"/>
  <c r="O1082" i="45"/>
  <c r="I1082" i="45"/>
  <c r="O1081" i="45"/>
  <c r="I1081" i="45"/>
  <c r="O1080" i="45"/>
  <c r="I1080" i="45"/>
  <c r="O1079" i="45"/>
  <c r="I1079" i="45"/>
  <c r="O1078" i="45"/>
  <c r="I1078" i="45"/>
  <c r="O1077" i="45"/>
  <c r="I1077" i="45"/>
  <c r="O1076" i="45"/>
  <c r="I1076" i="45"/>
  <c r="O1075" i="45"/>
  <c r="I1075" i="45"/>
  <c r="O1074" i="45"/>
  <c r="I1074" i="45"/>
  <c r="O1073" i="45"/>
  <c r="I1073" i="45"/>
  <c r="O1072" i="45"/>
  <c r="I1072" i="45"/>
  <c r="O1071" i="45"/>
  <c r="I1071" i="45"/>
  <c r="O1070" i="45"/>
  <c r="I1070" i="45"/>
  <c r="O1069" i="45"/>
  <c r="I1069" i="45"/>
  <c r="O1068" i="45"/>
  <c r="I1068" i="45"/>
  <c r="O1067" i="45"/>
  <c r="I1067" i="45"/>
  <c r="O1066" i="45"/>
  <c r="I1066" i="45"/>
  <c r="O1065" i="45"/>
  <c r="I1065" i="45"/>
  <c r="O1064" i="45"/>
  <c r="I1064" i="45"/>
  <c r="O1063" i="45"/>
  <c r="I1063" i="45"/>
  <c r="O1062" i="45"/>
  <c r="I1062" i="45"/>
  <c r="O1061" i="45"/>
  <c r="I1061" i="45"/>
  <c r="O1060" i="45"/>
  <c r="I1060" i="45"/>
  <c r="O1059" i="45"/>
  <c r="I1059" i="45"/>
  <c r="O1058" i="45"/>
  <c r="I1058" i="45"/>
  <c r="O1057" i="45"/>
  <c r="I1057" i="45"/>
  <c r="O1056" i="45"/>
  <c r="I1056" i="45"/>
  <c r="O1055" i="45"/>
  <c r="I1055" i="45"/>
  <c r="O1054" i="45"/>
  <c r="I1054" i="45"/>
  <c r="O1053" i="45"/>
  <c r="I1053" i="45"/>
  <c r="O1052" i="45"/>
  <c r="I1052" i="45"/>
  <c r="O1051" i="45"/>
  <c r="I1051" i="45"/>
  <c r="O1050" i="45"/>
  <c r="I1050" i="45"/>
  <c r="O1049" i="45"/>
  <c r="I1049" i="45"/>
  <c r="O1048" i="45"/>
  <c r="I1048" i="45"/>
  <c r="O1047" i="45"/>
  <c r="I1047" i="45"/>
  <c r="O1046" i="45"/>
  <c r="I1046" i="45"/>
  <c r="O1045" i="45"/>
  <c r="I1045" i="45"/>
  <c r="O1044" i="45"/>
  <c r="I1044" i="45"/>
  <c r="O1043" i="45"/>
  <c r="I1043" i="45"/>
  <c r="O1042" i="45"/>
  <c r="I1042" i="45"/>
  <c r="O1041" i="45"/>
  <c r="I1041" i="45"/>
  <c r="O1040" i="45"/>
  <c r="I1040" i="45"/>
  <c r="O1039" i="45"/>
  <c r="I1039" i="45"/>
  <c r="O1038" i="45"/>
  <c r="I1038" i="45"/>
  <c r="O1037" i="45"/>
  <c r="I1037" i="45"/>
  <c r="O1036" i="45"/>
  <c r="I1036" i="45"/>
  <c r="O1035" i="45"/>
  <c r="I1035" i="45"/>
  <c r="O1034" i="45"/>
  <c r="I1034" i="45"/>
  <c r="O1033" i="45"/>
  <c r="I1033" i="45"/>
  <c r="O1032" i="45"/>
  <c r="I1032" i="45"/>
  <c r="O1031" i="45"/>
  <c r="I1031" i="45"/>
  <c r="O1030" i="45"/>
  <c r="I1030" i="45"/>
  <c r="O1029" i="45"/>
  <c r="I1029" i="45"/>
  <c r="O1028" i="45"/>
  <c r="I1028" i="45"/>
  <c r="O1027" i="45"/>
  <c r="I1027" i="45"/>
  <c r="O1026" i="45"/>
  <c r="I1026" i="45"/>
  <c r="O1025" i="45"/>
  <c r="I1025" i="45"/>
  <c r="O1024" i="45"/>
  <c r="I1024" i="45"/>
  <c r="O1023" i="45"/>
  <c r="I1023" i="45"/>
  <c r="O1022" i="45"/>
  <c r="I1022" i="45"/>
  <c r="O1021" i="45"/>
  <c r="I1021" i="45"/>
  <c r="O1020" i="45"/>
  <c r="I1020" i="45"/>
  <c r="O1019" i="45"/>
  <c r="I1019" i="45"/>
  <c r="O1018" i="45"/>
  <c r="I1018" i="45"/>
  <c r="O1017" i="45"/>
  <c r="I1017" i="45"/>
  <c r="O1016" i="45"/>
  <c r="I1016" i="45"/>
  <c r="O1015" i="45"/>
  <c r="I1015" i="45"/>
  <c r="O1014" i="45"/>
  <c r="I1014" i="45"/>
  <c r="O1013" i="45"/>
  <c r="I1013" i="45"/>
  <c r="O1012" i="45"/>
  <c r="I1012" i="45"/>
  <c r="O1011" i="45"/>
  <c r="I1011" i="45"/>
  <c r="O1010" i="45"/>
  <c r="I1010" i="45"/>
  <c r="O1009" i="45"/>
  <c r="I1009" i="45"/>
  <c r="O1008" i="45"/>
  <c r="I1008" i="45"/>
  <c r="O1007" i="45"/>
  <c r="I1007" i="45"/>
  <c r="O1006" i="45"/>
  <c r="I1006" i="45"/>
  <c r="O1005" i="45"/>
  <c r="I1005" i="45"/>
  <c r="O1004" i="45"/>
  <c r="I1004" i="45"/>
  <c r="O1003" i="45"/>
  <c r="I1003" i="45"/>
  <c r="O1002" i="45"/>
  <c r="I1002" i="45"/>
  <c r="O1001" i="45"/>
  <c r="I1001" i="45"/>
  <c r="O1000" i="45"/>
  <c r="I1000" i="45"/>
  <c r="O999" i="45"/>
  <c r="I999" i="45"/>
  <c r="O998" i="45"/>
  <c r="I998" i="45"/>
  <c r="O997" i="45"/>
  <c r="I997" i="45"/>
  <c r="O996" i="45"/>
  <c r="I996" i="45"/>
  <c r="O995" i="45"/>
  <c r="I995" i="45"/>
  <c r="O994" i="45"/>
  <c r="I994" i="45"/>
  <c r="O993" i="45"/>
  <c r="I993" i="45"/>
  <c r="O992" i="45"/>
  <c r="I992" i="45"/>
  <c r="O991" i="45"/>
  <c r="I991" i="45"/>
  <c r="O990" i="45"/>
  <c r="I990" i="45"/>
  <c r="O989" i="45"/>
  <c r="I989" i="45"/>
  <c r="O988" i="45"/>
  <c r="I988" i="45"/>
  <c r="O987" i="45"/>
  <c r="I987" i="45"/>
  <c r="O986" i="45"/>
  <c r="I986" i="45"/>
  <c r="O985" i="45"/>
  <c r="I985" i="45"/>
  <c r="O984" i="45"/>
  <c r="I984" i="45"/>
  <c r="O983" i="45"/>
  <c r="I983" i="45"/>
  <c r="O982" i="45"/>
  <c r="I982" i="45"/>
  <c r="O981" i="45"/>
  <c r="I981" i="45"/>
  <c r="O980" i="45"/>
  <c r="I980" i="45"/>
  <c r="O979" i="45"/>
  <c r="I979" i="45"/>
  <c r="O978" i="45"/>
  <c r="I978" i="45"/>
  <c r="O977" i="45"/>
  <c r="I977" i="45"/>
  <c r="O976" i="45"/>
  <c r="I976" i="45"/>
  <c r="O975" i="45"/>
  <c r="I975" i="45"/>
  <c r="O974" i="45"/>
  <c r="I974" i="45"/>
  <c r="O973" i="45"/>
  <c r="I973" i="45"/>
  <c r="O972" i="45"/>
  <c r="I972" i="45"/>
  <c r="O971" i="45"/>
  <c r="I971" i="45"/>
  <c r="O970" i="45"/>
  <c r="I970" i="45"/>
  <c r="O969" i="45"/>
  <c r="I969" i="45"/>
  <c r="O968" i="45"/>
  <c r="I968" i="45"/>
  <c r="O967" i="45"/>
  <c r="I967" i="45"/>
  <c r="O966" i="45"/>
  <c r="I966" i="45"/>
  <c r="O965" i="45"/>
  <c r="I965" i="45"/>
  <c r="O964" i="45"/>
  <c r="I964" i="45"/>
  <c r="O963" i="45"/>
  <c r="I963" i="45"/>
  <c r="O962" i="45"/>
  <c r="I962" i="45"/>
  <c r="O961" i="45"/>
  <c r="I961" i="45"/>
  <c r="O960" i="45"/>
  <c r="I960" i="45"/>
  <c r="O959" i="45"/>
  <c r="I959" i="45"/>
  <c r="O958" i="45"/>
  <c r="I958" i="45"/>
  <c r="O957" i="45"/>
  <c r="I957" i="45"/>
  <c r="O956" i="45"/>
  <c r="I956" i="45"/>
  <c r="O955" i="45"/>
  <c r="I955" i="45"/>
  <c r="O954" i="45"/>
  <c r="I954" i="45"/>
  <c r="O953" i="45"/>
  <c r="I953" i="45"/>
  <c r="O952" i="45"/>
  <c r="I952" i="45"/>
  <c r="O951" i="45"/>
  <c r="I951" i="45"/>
  <c r="O950" i="45"/>
  <c r="I950" i="45"/>
  <c r="O949" i="45"/>
  <c r="I949" i="45"/>
  <c r="O948" i="45"/>
  <c r="I948" i="45"/>
  <c r="O947" i="45"/>
  <c r="I947" i="45"/>
  <c r="O946" i="45"/>
  <c r="I946" i="45"/>
  <c r="O945" i="45"/>
  <c r="I945" i="45"/>
  <c r="O944" i="45"/>
  <c r="I944" i="45"/>
  <c r="O943" i="45"/>
  <c r="I943" i="45"/>
  <c r="O942" i="45"/>
  <c r="I942" i="45"/>
  <c r="O941" i="45"/>
  <c r="I941" i="45"/>
  <c r="O940" i="45"/>
  <c r="I940" i="45"/>
  <c r="O939" i="45"/>
  <c r="I939" i="45"/>
  <c r="O938" i="45"/>
  <c r="I938" i="45"/>
  <c r="O937" i="45"/>
  <c r="I937" i="45"/>
  <c r="O936" i="45"/>
  <c r="I936" i="45"/>
  <c r="O935" i="45"/>
  <c r="I935" i="45"/>
  <c r="O934" i="45"/>
  <c r="I934" i="45"/>
  <c r="O933" i="45"/>
  <c r="I933" i="45"/>
  <c r="O932" i="45"/>
  <c r="I932" i="45"/>
  <c r="O931" i="45"/>
  <c r="I931" i="45"/>
  <c r="O930" i="45"/>
  <c r="I930" i="45"/>
  <c r="O929" i="45"/>
  <c r="I929" i="45"/>
  <c r="O928" i="45"/>
  <c r="O927" i="45"/>
  <c r="I927" i="45"/>
  <c r="O926" i="45"/>
  <c r="I926" i="45"/>
  <c r="O925" i="45"/>
  <c r="I925" i="45"/>
  <c r="O924" i="45"/>
  <c r="I924" i="45"/>
  <c r="O923" i="45"/>
  <c r="I923" i="45"/>
  <c r="O922" i="45"/>
  <c r="I922" i="45"/>
  <c r="O921" i="45"/>
  <c r="I921" i="45"/>
  <c r="O920" i="45"/>
  <c r="I920" i="45"/>
  <c r="O919" i="45"/>
  <c r="I919" i="45"/>
  <c r="O918" i="45"/>
  <c r="I918" i="45"/>
  <c r="O917" i="45"/>
  <c r="I917" i="45"/>
  <c r="O916" i="45"/>
  <c r="I916" i="45"/>
  <c r="O915" i="45"/>
  <c r="I915" i="45"/>
  <c r="O914" i="45"/>
  <c r="I914" i="45"/>
  <c r="O913" i="45"/>
  <c r="O912" i="45"/>
  <c r="I912" i="45"/>
  <c r="O911" i="45"/>
  <c r="I911" i="45"/>
  <c r="O910" i="45"/>
  <c r="I910" i="45"/>
  <c r="O909" i="45"/>
  <c r="I909" i="45"/>
  <c r="O908" i="45"/>
  <c r="I908" i="45"/>
  <c r="O907" i="45"/>
  <c r="I907" i="45"/>
  <c r="O906" i="45"/>
  <c r="I906" i="45"/>
  <c r="O905" i="45"/>
  <c r="I905" i="45"/>
  <c r="O904" i="45"/>
  <c r="I904" i="45"/>
  <c r="O903" i="45"/>
  <c r="I903" i="45"/>
  <c r="O902" i="45"/>
  <c r="I902" i="45"/>
  <c r="O901" i="45"/>
  <c r="I901" i="45"/>
  <c r="O900" i="45"/>
  <c r="I900" i="45"/>
  <c r="O899" i="45"/>
  <c r="I899" i="45"/>
  <c r="O898" i="45"/>
  <c r="I898" i="45"/>
  <c r="O897" i="45"/>
  <c r="I897" i="45"/>
  <c r="O896" i="45"/>
  <c r="I896" i="45"/>
  <c r="O895" i="45"/>
  <c r="I895" i="45"/>
  <c r="O894" i="45"/>
  <c r="O893" i="45"/>
  <c r="I893" i="45"/>
  <c r="O892" i="45"/>
  <c r="I892" i="45"/>
  <c r="O891" i="45"/>
  <c r="I891" i="45"/>
  <c r="O890" i="45"/>
  <c r="I890" i="45"/>
  <c r="O889" i="45"/>
  <c r="I889" i="45"/>
  <c r="O888" i="45"/>
  <c r="I888" i="45"/>
  <c r="O887" i="45"/>
  <c r="I887" i="45"/>
  <c r="O886" i="45"/>
  <c r="I886" i="45"/>
  <c r="O885" i="45"/>
  <c r="I885" i="45"/>
  <c r="O884" i="45"/>
  <c r="I884" i="45"/>
  <c r="O883" i="45"/>
  <c r="I883" i="45"/>
  <c r="O882" i="45"/>
  <c r="I882" i="45"/>
  <c r="O881" i="45"/>
  <c r="I881" i="45"/>
  <c r="O880" i="45"/>
  <c r="I880" i="45"/>
  <c r="O879" i="45"/>
  <c r="I879" i="45"/>
  <c r="O878" i="45"/>
  <c r="I878" i="45"/>
  <c r="O877" i="45"/>
  <c r="I877" i="45"/>
  <c r="O876" i="45"/>
  <c r="I876" i="45"/>
  <c r="O875" i="45"/>
  <c r="I875" i="45"/>
  <c r="O874" i="45"/>
  <c r="I874" i="45"/>
  <c r="O873" i="45"/>
  <c r="I873" i="45"/>
  <c r="O872" i="45"/>
  <c r="I872" i="45"/>
  <c r="O871" i="45"/>
  <c r="I871" i="45"/>
  <c r="O870" i="45"/>
  <c r="I870" i="45"/>
  <c r="O869" i="45"/>
  <c r="I869" i="45"/>
  <c r="O868" i="45"/>
  <c r="I868" i="45"/>
  <c r="O867" i="45"/>
  <c r="I867" i="45"/>
  <c r="O866" i="45"/>
  <c r="I866" i="45"/>
  <c r="O865" i="45"/>
  <c r="I865" i="45"/>
  <c r="O864" i="45"/>
  <c r="I864" i="45"/>
  <c r="O863" i="45"/>
  <c r="I863" i="45"/>
  <c r="O862" i="45"/>
  <c r="I862" i="45"/>
  <c r="O861" i="45"/>
  <c r="I861" i="45"/>
  <c r="O860" i="45"/>
  <c r="I860" i="45"/>
  <c r="O859" i="45"/>
  <c r="I859" i="45"/>
  <c r="O858" i="45"/>
  <c r="I858" i="45"/>
  <c r="O857" i="45"/>
  <c r="I857" i="45"/>
  <c r="O856" i="45"/>
  <c r="I856" i="45"/>
  <c r="O855" i="45"/>
  <c r="I855" i="45"/>
  <c r="O854" i="45"/>
  <c r="I854" i="45"/>
  <c r="O853" i="45"/>
  <c r="I853" i="45"/>
  <c r="O852" i="45"/>
  <c r="I852" i="45"/>
  <c r="O851" i="45"/>
  <c r="I851" i="45"/>
  <c r="O850" i="45"/>
  <c r="I850" i="45"/>
  <c r="O849" i="45"/>
  <c r="I849" i="45"/>
  <c r="O848" i="45"/>
  <c r="I848" i="45"/>
  <c r="O847" i="45"/>
  <c r="I847" i="45"/>
  <c r="O846" i="45"/>
  <c r="I846" i="45"/>
  <c r="O845" i="45"/>
  <c r="I845" i="45"/>
  <c r="O844" i="45"/>
  <c r="I844" i="45"/>
  <c r="O843" i="45"/>
  <c r="I843" i="45"/>
  <c r="O842" i="45"/>
  <c r="I842" i="45"/>
  <c r="O841" i="45"/>
  <c r="I841" i="45"/>
  <c r="O840" i="45"/>
  <c r="I840" i="45"/>
  <c r="O839" i="45"/>
  <c r="I839" i="45"/>
  <c r="O838" i="45"/>
  <c r="I838" i="45"/>
  <c r="O837" i="45"/>
  <c r="I837" i="45"/>
  <c r="O836" i="45"/>
  <c r="I836" i="45"/>
  <c r="O835" i="45"/>
  <c r="I835" i="45"/>
  <c r="O834" i="45"/>
  <c r="I834" i="45"/>
  <c r="O833" i="45"/>
  <c r="I833" i="45"/>
  <c r="O832" i="45"/>
  <c r="I832" i="45"/>
  <c r="O831" i="45"/>
  <c r="I831" i="45"/>
  <c r="O830" i="45"/>
  <c r="I830" i="45"/>
  <c r="O829" i="45"/>
  <c r="I829" i="45"/>
  <c r="O828" i="45"/>
  <c r="I828" i="45"/>
  <c r="O827" i="45"/>
  <c r="I827" i="45"/>
  <c r="O826" i="45"/>
  <c r="I826" i="45"/>
  <c r="O825" i="45"/>
  <c r="I825" i="45"/>
  <c r="O824" i="45"/>
  <c r="I824" i="45"/>
  <c r="O823" i="45"/>
  <c r="I823" i="45"/>
  <c r="O822" i="45"/>
  <c r="I822" i="45"/>
  <c r="O821" i="45"/>
  <c r="I821" i="45"/>
  <c r="O820" i="45"/>
  <c r="I820" i="45"/>
  <c r="O819" i="45"/>
  <c r="I819" i="45"/>
  <c r="O818" i="45"/>
  <c r="I818" i="45"/>
  <c r="O817" i="45"/>
  <c r="I817" i="45"/>
  <c r="O816" i="45"/>
  <c r="I816" i="45"/>
  <c r="O815" i="45"/>
  <c r="I815" i="45"/>
  <c r="O814" i="45"/>
  <c r="I814" i="45"/>
  <c r="O813" i="45"/>
  <c r="I813" i="45"/>
  <c r="O812" i="45"/>
  <c r="I812" i="45"/>
  <c r="O811" i="45"/>
  <c r="I811" i="45"/>
  <c r="O810" i="45"/>
  <c r="I810" i="45"/>
  <c r="O809" i="45"/>
  <c r="I809" i="45"/>
  <c r="O808" i="45"/>
  <c r="I808" i="45"/>
  <c r="O807" i="45"/>
  <c r="I807" i="45"/>
  <c r="O806" i="45"/>
  <c r="I806" i="45"/>
  <c r="O805" i="45"/>
  <c r="I805" i="45"/>
  <c r="O804" i="45"/>
  <c r="I804" i="45"/>
  <c r="O803" i="45"/>
  <c r="I803" i="45"/>
  <c r="O802" i="45"/>
  <c r="I802" i="45"/>
  <c r="O801" i="45"/>
  <c r="I801" i="45"/>
  <c r="O800" i="45"/>
  <c r="I800" i="45"/>
  <c r="O799" i="45"/>
  <c r="I799" i="45"/>
  <c r="O798" i="45"/>
  <c r="I798" i="45"/>
  <c r="O797" i="45"/>
  <c r="I797" i="45"/>
  <c r="O796" i="45"/>
  <c r="I796" i="45"/>
  <c r="O795" i="45"/>
  <c r="I795" i="45"/>
  <c r="O794" i="45"/>
  <c r="I794" i="45"/>
  <c r="O793" i="45"/>
  <c r="I793" i="45"/>
  <c r="O792" i="45"/>
  <c r="I792" i="45"/>
  <c r="O791" i="45"/>
  <c r="I791" i="45"/>
  <c r="O790" i="45"/>
  <c r="I790" i="45"/>
  <c r="O789" i="45"/>
  <c r="I789" i="45"/>
  <c r="O788" i="45"/>
  <c r="I788" i="45"/>
  <c r="O787" i="45"/>
  <c r="I787" i="45"/>
  <c r="O786" i="45"/>
  <c r="I786" i="45"/>
  <c r="O785" i="45"/>
  <c r="I785" i="45"/>
  <c r="O784" i="45"/>
  <c r="I784" i="45"/>
  <c r="O783" i="45"/>
  <c r="I783" i="45"/>
  <c r="O782" i="45"/>
  <c r="I782" i="45"/>
  <c r="O781" i="45"/>
  <c r="I781" i="45"/>
  <c r="O780" i="45"/>
  <c r="I780" i="45"/>
  <c r="O779" i="45"/>
  <c r="I779" i="45"/>
  <c r="O778" i="45"/>
  <c r="I778" i="45"/>
  <c r="O777" i="45"/>
  <c r="I777" i="45"/>
  <c r="O776" i="45"/>
  <c r="I776" i="45"/>
  <c r="O775" i="45"/>
  <c r="I775" i="45"/>
  <c r="O774" i="45"/>
  <c r="I774" i="45"/>
  <c r="O773" i="45"/>
  <c r="I773" i="45"/>
  <c r="O772" i="45"/>
  <c r="I772" i="45"/>
  <c r="O771" i="45"/>
  <c r="I771" i="45"/>
  <c r="O770" i="45"/>
  <c r="I770" i="45"/>
  <c r="O769" i="45"/>
  <c r="I769" i="45"/>
  <c r="O768" i="45"/>
  <c r="I768" i="45"/>
  <c r="O767" i="45"/>
  <c r="I767" i="45"/>
  <c r="O766" i="45"/>
  <c r="I766" i="45"/>
  <c r="O765" i="45"/>
  <c r="I765" i="45"/>
  <c r="O764" i="45"/>
  <c r="I764" i="45"/>
  <c r="O763" i="45"/>
  <c r="I763" i="45"/>
  <c r="O762" i="45"/>
  <c r="I762" i="45"/>
  <c r="O761" i="45"/>
  <c r="I761" i="45"/>
  <c r="O760" i="45"/>
  <c r="I760" i="45"/>
  <c r="O759" i="45"/>
  <c r="I759" i="45"/>
  <c r="O758" i="45"/>
  <c r="I758" i="45"/>
  <c r="O757" i="45"/>
  <c r="I757" i="45"/>
  <c r="O756" i="45"/>
  <c r="I756" i="45"/>
  <c r="O755" i="45"/>
  <c r="I755" i="45"/>
  <c r="O754" i="45"/>
  <c r="I754" i="45"/>
  <c r="O753" i="45"/>
  <c r="I753" i="45"/>
  <c r="O752" i="45"/>
  <c r="I752" i="45"/>
  <c r="O751" i="45"/>
  <c r="I751" i="45"/>
  <c r="O750" i="45"/>
  <c r="I750" i="45"/>
  <c r="B750" i="45"/>
  <c r="C750" i="45" s="1"/>
  <c r="O749" i="45"/>
  <c r="I749" i="45"/>
  <c r="B749" i="45"/>
  <c r="C749" i="45" s="1"/>
  <c r="O748" i="45"/>
  <c r="I748" i="45"/>
  <c r="B748" i="45"/>
  <c r="C748" i="45" s="1"/>
  <c r="O747" i="45"/>
  <c r="I747" i="45"/>
  <c r="B747" i="45"/>
  <c r="C747" i="45" s="1"/>
  <c r="O746" i="45"/>
  <c r="I746" i="45"/>
  <c r="B746" i="45"/>
  <c r="C746" i="45" s="1"/>
  <c r="O745" i="45"/>
  <c r="I745" i="45"/>
  <c r="B745" i="45"/>
  <c r="C745" i="45" s="1"/>
  <c r="O744" i="45"/>
  <c r="I744" i="45"/>
  <c r="B744" i="45"/>
  <c r="C744" i="45" s="1"/>
  <c r="O743" i="45"/>
  <c r="I743" i="45"/>
  <c r="B743" i="45"/>
  <c r="C743" i="45" s="1"/>
  <c r="O742" i="45"/>
  <c r="I742" i="45"/>
  <c r="B742" i="45"/>
  <c r="C742" i="45" s="1"/>
  <c r="O741" i="45"/>
  <c r="I741" i="45"/>
  <c r="B741" i="45"/>
  <c r="C741" i="45" s="1"/>
  <c r="O740" i="45"/>
  <c r="I740" i="45"/>
  <c r="B740" i="45"/>
  <c r="C740" i="45" s="1"/>
  <c r="O739" i="45"/>
  <c r="I739" i="45"/>
  <c r="B739" i="45"/>
  <c r="C739" i="45" s="1"/>
  <c r="O738" i="45"/>
  <c r="I738" i="45"/>
  <c r="B738" i="45"/>
  <c r="C738" i="45" s="1"/>
  <c r="O737" i="45"/>
  <c r="I737" i="45"/>
  <c r="B737" i="45"/>
  <c r="C737" i="45" s="1"/>
  <c r="O736" i="45"/>
  <c r="I736" i="45"/>
  <c r="B736" i="45"/>
  <c r="C736" i="45" s="1"/>
  <c r="O735" i="45"/>
  <c r="I735" i="45"/>
  <c r="B735" i="45"/>
  <c r="C735" i="45" s="1"/>
  <c r="O734" i="45"/>
  <c r="I734" i="45"/>
  <c r="B734" i="45"/>
  <c r="C734" i="45" s="1"/>
  <c r="O733" i="45"/>
  <c r="I733" i="45"/>
  <c r="B733" i="45"/>
  <c r="C733" i="45" s="1"/>
  <c r="O732" i="45"/>
  <c r="I732" i="45"/>
  <c r="B732" i="45"/>
  <c r="C732" i="45" s="1"/>
  <c r="O731" i="45"/>
  <c r="I731" i="45"/>
  <c r="B731" i="45"/>
  <c r="C731" i="45" s="1"/>
  <c r="O730" i="45"/>
  <c r="I730" i="45"/>
  <c r="B730" i="45"/>
  <c r="C730" i="45" s="1"/>
  <c r="O729" i="45"/>
  <c r="I729" i="45"/>
  <c r="B729" i="45"/>
  <c r="C729" i="45" s="1"/>
  <c r="O728" i="45"/>
  <c r="I728" i="45"/>
  <c r="B728" i="45"/>
  <c r="C728" i="45" s="1"/>
  <c r="O727" i="45"/>
  <c r="I727" i="45"/>
  <c r="B727" i="45"/>
  <c r="C727" i="45" s="1"/>
  <c r="O726" i="45"/>
  <c r="I726" i="45"/>
  <c r="B726" i="45"/>
  <c r="C726" i="45" s="1"/>
  <c r="O725" i="45"/>
  <c r="I725" i="45"/>
  <c r="B725" i="45"/>
  <c r="C725" i="45" s="1"/>
  <c r="O724" i="45"/>
  <c r="I724" i="45"/>
  <c r="B724" i="45"/>
  <c r="C724" i="45" s="1"/>
  <c r="O723" i="45"/>
  <c r="I723" i="45"/>
  <c r="B723" i="45"/>
  <c r="C723" i="45" s="1"/>
  <c r="O722" i="45"/>
  <c r="I722" i="45"/>
  <c r="B722" i="45"/>
  <c r="C722" i="45" s="1"/>
  <c r="O721" i="45"/>
  <c r="I721" i="45"/>
  <c r="B721" i="45"/>
  <c r="C721" i="45" s="1"/>
  <c r="O720" i="45"/>
  <c r="I720" i="45"/>
  <c r="B720" i="45"/>
  <c r="C720" i="45" s="1"/>
  <c r="O719" i="45"/>
  <c r="I719" i="45"/>
  <c r="B719" i="45"/>
  <c r="C719" i="45" s="1"/>
  <c r="O718" i="45"/>
  <c r="I718" i="45"/>
  <c r="B718" i="45"/>
  <c r="C718" i="45" s="1"/>
  <c r="O717" i="45"/>
  <c r="I717" i="45"/>
  <c r="B717" i="45"/>
  <c r="C717" i="45" s="1"/>
  <c r="O716" i="45"/>
  <c r="I716" i="45"/>
  <c r="B716" i="45"/>
  <c r="C716" i="45" s="1"/>
  <c r="O715" i="45"/>
  <c r="I715" i="45"/>
  <c r="B715" i="45"/>
  <c r="C715" i="45" s="1"/>
  <c r="O714" i="45"/>
  <c r="I714" i="45"/>
  <c r="B714" i="45"/>
  <c r="C714" i="45" s="1"/>
  <c r="O713" i="45"/>
  <c r="I713" i="45"/>
  <c r="B713" i="45"/>
  <c r="C713" i="45" s="1"/>
  <c r="O712" i="45"/>
  <c r="I712" i="45"/>
  <c r="B712" i="45"/>
  <c r="C712" i="45" s="1"/>
  <c r="O711" i="45"/>
  <c r="I711" i="45"/>
  <c r="B711" i="45"/>
  <c r="C711" i="45" s="1"/>
  <c r="O710" i="45"/>
  <c r="I710" i="45"/>
  <c r="B710" i="45"/>
  <c r="C710" i="45" s="1"/>
  <c r="O709" i="45"/>
  <c r="I709" i="45"/>
  <c r="B709" i="45"/>
  <c r="C709" i="45" s="1"/>
  <c r="O708" i="45"/>
  <c r="I708" i="45"/>
  <c r="B708" i="45"/>
  <c r="C708" i="45" s="1"/>
  <c r="O707" i="45"/>
  <c r="I707" i="45"/>
  <c r="B707" i="45"/>
  <c r="C707" i="45" s="1"/>
  <c r="O706" i="45"/>
  <c r="I706" i="45"/>
  <c r="B706" i="45"/>
  <c r="C706" i="45" s="1"/>
  <c r="O705" i="45"/>
  <c r="I705" i="45"/>
  <c r="B705" i="45"/>
  <c r="C705" i="45" s="1"/>
  <c r="O704" i="45"/>
  <c r="I704" i="45"/>
  <c r="B704" i="45"/>
  <c r="C704" i="45" s="1"/>
  <c r="O703" i="45"/>
  <c r="I703" i="45"/>
  <c r="B703" i="45"/>
  <c r="C703" i="45" s="1"/>
  <c r="O702" i="45"/>
  <c r="I702" i="45"/>
  <c r="B702" i="45"/>
  <c r="C702" i="45" s="1"/>
  <c r="O701" i="45"/>
  <c r="I701" i="45"/>
  <c r="B701" i="45"/>
  <c r="C701" i="45" s="1"/>
  <c r="O700" i="45"/>
  <c r="I700" i="45"/>
  <c r="B700" i="45"/>
  <c r="C700" i="45" s="1"/>
  <c r="O699" i="45"/>
  <c r="I699" i="45"/>
  <c r="B699" i="45"/>
  <c r="C699" i="45" s="1"/>
  <c r="O698" i="45"/>
  <c r="I698" i="45"/>
  <c r="B698" i="45"/>
  <c r="C698" i="45" s="1"/>
  <c r="O697" i="45"/>
  <c r="I697" i="45"/>
  <c r="B697" i="45"/>
  <c r="C697" i="45" s="1"/>
  <c r="O696" i="45"/>
  <c r="I696" i="45"/>
  <c r="B696" i="45"/>
  <c r="C696" i="45" s="1"/>
  <c r="O695" i="45"/>
  <c r="I695" i="45"/>
  <c r="B695" i="45"/>
  <c r="C695" i="45" s="1"/>
  <c r="O694" i="45"/>
  <c r="I694" i="45"/>
  <c r="B694" i="45"/>
  <c r="C694" i="45" s="1"/>
  <c r="O693" i="45"/>
  <c r="I693" i="45"/>
  <c r="B693" i="45"/>
  <c r="C693" i="45" s="1"/>
  <c r="O692" i="45"/>
  <c r="I692" i="45"/>
  <c r="B692" i="45"/>
  <c r="C692" i="45" s="1"/>
  <c r="O691" i="45"/>
  <c r="I691" i="45"/>
  <c r="B691" i="45"/>
  <c r="C691" i="45" s="1"/>
  <c r="O690" i="45"/>
  <c r="I690" i="45"/>
  <c r="B690" i="45"/>
  <c r="C690" i="45" s="1"/>
  <c r="O689" i="45"/>
  <c r="I689" i="45"/>
  <c r="B689" i="45"/>
  <c r="C689" i="45" s="1"/>
  <c r="O688" i="45"/>
  <c r="I688" i="45"/>
  <c r="B688" i="45"/>
  <c r="C688" i="45" s="1"/>
  <c r="O687" i="45"/>
  <c r="I687" i="45"/>
  <c r="B687" i="45"/>
  <c r="C687" i="45" s="1"/>
  <c r="O686" i="45"/>
  <c r="I686" i="45"/>
  <c r="B686" i="45"/>
  <c r="C686" i="45" s="1"/>
  <c r="O685" i="45"/>
  <c r="I685" i="45"/>
  <c r="B685" i="45"/>
  <c r="C685" i="45" s="1"/>
  <c r="O684" i="45"/>
  <c r="I684" i="45"/>
  <c r="B684" i="45"/>
  <c r="C684" i="45" s="1"/>
  <c r="O683" i="45"/>
  <c r="I683" i="45"/>
  <c r="B683" i="45"/>
  <c r="C683" i="45" s="1"/>
  <c r="O682" i="45"/>
  <c r="I682" i="45"/>
  <c r="B682" i="45"/>
  <c r="C682" i="45" s="1"/>
  <c r="O681" i="45"/>
  <c r="I681" i="45"/>
  <c r="B681" i="45"/>
  <c r="C681" i="45" s="1"/>
  <c r="O680" i="45"/>
  <c r="I680" i="45"/>
  <c r="B680" i="45"/>
  <c r="C680" i="45" s="1"/>
  <c r="O679" i="45"/>
  <c r="I679" i="45"/>
  <c r="B679" i="45"/>
  <c r="C679" i="45" s="1"/>
  <c r="O678" i="45"/>
  <c r="I678" i="45"/>
  <c r="B678" i="45"/>
  <c r="C678" i="45" s="1"/>
  <c r="O677" i="45"/>
  <c r="I677" i="45"/>
  <c r="B677" i="45"/>
  <c r="C677" i="45" s="1"/>
  <c r="O676" i="45"/>
  <c r="I676" i="45"/>
  <c r="B676" i="45"/>
  <c r="C676" i="45" s="1"/>
  <c r="O675" i="45"/>
  <c r="I675" i="45"/>
  <c r="B675" i="45"/>
  <c r="C675" i="45" s="1"/>
  <c r="O674" i="45"/>
  <c r="I674" i="45"/>
  <c r="B674" i="45"/>
  <c r="C674" i="45" s="1"/>
  <c r="O673" i="45"/>
  <c r="I673" i="45"/>
  <c r="B673" i="45"/>
  <c r="C673" i="45" s="1"/>
  <c r="O672" i="45"/>
  <c r="I672" i="45"/>
  <c r="B672" i="45"/>
  <c r="C672" i="45" s="1"/>
  <c r="O671" i="45"/>
  <c r="I671" i="45"/>
  <c r="B671" i="45"/>
  <c r="C671" i="45" s="1"/>
  <c r="O670" i="45"/>
  <c r="I670" i="45"/>
  <c r="B670" i="45"/>
  <c r="C670" i="45" s="1"/>
  <c r="O669" i="45"/>
  <c r="I669" i="45"/>
  <c r="B669" i="45"/>
  <c r="C669" i="45" s="1"/>
  <c r="O668" i="45"/>
  <c r="I668" i="45"/>
  <c r="B668" i="45"/>
  <c r="C668" i="45" s="1"/>
  <c r="O667" i="45"/>
  <c r="I667" i="45"/>
  <c r="B667" i="45"/>
  <c r="C667" i="45" s="1"/>
  <c r="O666" i="45"/>
  <c r="I666" i="45"/>
  <c r="B666" i="45"/>
  <c r="C666" i="45" s="1"/>
  <c r="O665" i="45"/>
  <c r="I665" i="45"/>
  <c r="B665" i="45"/>
  <c r="C665" i="45" s="1"/>
  <c r="O664" i="45"/>
  <c r="I664" i="45"/>
  <c r="B664" i="45"/>
  <c r="C664" i="45" s="1"/>
  <c r="O663" i="45"/>
  <c r="I663" i="45"/>
  <c r="B663" i="45"/>
  <c r="C663" i="45" s="1"/>
  <c r="O662" i="45"/>
  <c r="I662" i="45"/>
  <c r="B662" i="45"/>
  <c r="C662" i="45" s="1"/>
  <c r="O661" i="45"/>
  <c r="I661" i="45"/>
  <c r="B661" i="45"/>
  <c r="C661" i="45" s="1"/>
  <c r="O660" i="45"/>
  <c r="I660" i="45"/>
  <c r="B660" i="45"/>
  <c r="C660" i="45" s="1"/>
  <c r="O659" i="45"/>
  <c r="I659" i="45"/>
  <c r="B659" i="45"/>
  <c r="C659" i="45" s="1"/>
  <c r="O658" i="45"/>
  <c r="I658" i="45"/>
  <c r="B658" i="45"/>
  <c r="C658" i="45" s="1"/>
  <c r="O657" i="45"/>
  <c r="I657" i="45"/>
  <c r="B657" i="45"/>
  <c r="C657" i="45" s="1"/>
  <c r="O656" i="45"/>
  <c r="I656" i="45"/>
  <c r="B656" i="45"/>
  <c r="C656" i="45" s="1"/>
  <c r="O655" i="45"/>
  <c r="I655" i="45"/>
  <c r="B655" i="45"/>
  <c r="C655" i="45" s="1"/>
  <c r="O654" i="45"/>
  <c r="I654" i="45"/>
  <c r="B654" i="45"/>
  <c r="C654" i="45" s="1"/>
  <c r="O653" i="45"/>
  <c r="I653" i="45"/>
  <c r="B653" i="45"/>
  <c r="C653" i="45" s="1"/>
  <c r="O652" i="45"/>
  <c r="I652" i="45"/>
  <c r="B652" i="45"/>
  <c r="C652" i="45" s="1"/>
  <c r="O651" i="45"/>
  <c r="I651" i="45"/>
  <c r="B651" i="45"/>
  <c r="C651" i="45" s="1"/>
  <c r="O650" i="45"/>
  <c r="I650" i="45"/>
  <c r="B650" i="45"/>
  <c r="C650" i="45" s="1"/>
  <c r="O649" i="45"/>
  <c r="I649" i="45"/>
  <c r="B649" i="45"/>
  <c r="C649" i="45" s="1"/>
  <c r="O648" i="45"/>
  <c r="I648" i="45"/>
  <c r="B648" i="45"/>
  <c r="C648" i="45" s="1"/>
  <c r="O647" i="45"/>
  <c r="I647" i="45"/>
  <c r="B647" i="45"/>
  <c r="C647" i="45" s="1"/>
  <c r="O646" i="45"/>
  <c r="I646" i="45"/>
  <c r="B646" i="45"/>
  <c r="C646" i="45" s="1"/>
  <c r="O645" i="45"/>
  <c r="I645" i="45"/>
  <c r="B645" i="45"/>
  <c r="C645" i="45" s="1"/>
  <c r="O644" i="45"/>
  <c r="I644" i="45"/>
  <c r="B644" i="45"/>
  <c r="C644" i="45" s="1"/>
  <c r="O643" i="45"/>
  <c r="I643" i="45"/>
  <c r="B643" i="45"/>
  <c r="C643" i="45" s="1"/>
  <c r="O642" i="45"/>
  <c r="I642" i="45"/>
  <c r="B642" i="45"/>
  <c r="C642" i="45" s="1"/>
  <c r="O641" i="45"/>
  <c r="I641" i="45"/>
  <c r="B641" i="45"/>
  <c r="C641" i="45" s="1"/>
  <c r="O640" i="45"/>
  <c r="I640" i="45"/>
  <c r="B640" i="45"/>
  <c r="C640" i="45" s="1"/>
  <c r="O639" i="45"/>
  <c r="I639" i="45"/>
  <c r="B639" i="45"/>
  <c r="C639" i="45" s="1"/>
  <c r="O638" i="45"/>
  <c r="I638" i="45"/>
  <c r="B638" i="45"/>
  <c r="C638" i="45" s="1"/>
  <c r="O637" i="45"/>
  <c r="I637" i="45"/>
  <c r="B637" i="45"/>
  <c r="C637" i="45" s="1"/>
  <c r="O636" i="45"/>
  <c r="I636" i="45"/>
  <c r="B636" i="45"/>
  <c r="C636" i="45" s="1"/>
  <c r="O635" i="45"/>
  <c r="I635" i="45"/>
  <c r="B635" i="45"/>
  <c r="C635" i="45" s="1"/>
  <c r="O634" i="45"/>
  <c r="I634" i="45"/>
  <c r="B634" i="45"/>
  <c r="C634" i="45" s="1"/>
  <c r="O633" i="45"/>
  <c r="I633" i="45"/>
  <c r="B633" i="45"/>
  <c r="C633" i="45" s="1"/>
  <c r="O632" i="45"/>
  <c r="I632" i="45"/>
  <c r="B632" i="45"/>
  <c r="C632" i="45" s="1"/>
  <c r="O631" i="45"/>
  <c r="I631" i="45"/>
  <c r="B631" i="45"/>
  <c r="C631" i="45" s="1"/>
  <c r="O630" i="45"/>
  <c r="I630" i="45"/>
  <c r="B630" i="45"/>
  <c r="C630" i="45" s="1"/>
  <c r="O629" i="45"/>
  <c r="I629" i="45"/>
  <c r="B629" i="45"/>
  <c r="C629" i="45" s="1"/>
  <c r="O628" i="45"/>
  <c r="I628" i="45"/>
  <c r="B628" i="45"/>
  <c r="C628" i="45" s="1"/>
  <c r="O627" i="45"/>
  <c r="I627" i="45"/>
  <c r="B627" i="45"/>
  <c r="C627" i="45" s="1"/>
  <c r="O626" i="45"/>
  <c r="I626" i="45"/>
  <c r="B626" i="45"/>
  <c r="C626" i="45" s="1"/>
  <c r="O625" i="45"/>
  <c r="I625" i="45"/>
  <c r="B625" i="45"/>
  <c r="C625" i="45" s="1"/>
  <c r="O624" i="45"/>
  <c r="I624" i="45"/>
  <c r="B624" i="45"/>
  <c r="C624" i="45" s="1"/>
  <c r="O623" i="45"/>
  <c r="I623" i="45"/>
  <c r="B623" i="45"/>
  <c r="C623" i="45" s="1"/>
  <c r="O622" i="45"/>
  <c r="I622" i="45"/>
  <c r="B622" i="45"/>
  <c r="C622" i="45" s="1"/>
  <c r="O621" i="45"/>
  <c r="I621" i="45"/>
  <c r="B621" i="45"/>
  <c r="C621" i="45" s="1"/>
  <c r="O620" i="45"/>
  <c r="I620" i="45"/>
  <c r="B620" i="45"/>
  <c r="C620" i="45" s="1"/>
  <c r="O619" i="45"/>
  <c r="I619" i="45"/>
  <c r="B619" i="45"/>
  <c r="C619" i="45" s="1"/>
  <c r="O618" i="45"/>
  <c r="I618" i="45"/>
  <c r="B618" i="45"/>
  <c r="C618" i="45" s="1"/>
  <c r="O617" i="45"/>
  <c r="I617" i="45"/>
  <c r="B617" i="45"/>
  <c r="C617" i="45" s="1"/>
  <c r="O616" i="45"/>
  <c r="I616" i="45"/>
  <c r="B616" i="45"/>
  <c r="C616" i="45" s="1"/>
  <c r="O615" i="45"/>
  <c r="I615" i="45"/>
  <c r="B615" i="45"/>
  <c r="C615" i="45" s="1"/>
  <c r="O614" i="45"/>
  <c r="I614" i="45"/>
  <c r="B614" i="45"/>
  <c r="C614" i="45" s="1"/>
  <c r="O613" i="45"/>
  <c r="I613" i="45"/>
  <c r="B613" i="45"/>
  <c r="C613" i="45" s="1"/>
  <c r="O612" i="45"/>
  <c r="I612" i="45"/>
  <c r="B612" i="45"/>
  <c r="C612" i="45" s="1"/>
  <c r="O611" i="45"/>
  <c r="I611" i="45"/>
  <c r="B611" i="45"/>
  <c r="C611" i="45" s="1"/>
  <c r="O610" i="45"/>
  <c r="I610" i="45"/>
  <c r="B610" i="45"/>
  <c r="C610" i="45" s="1"/>
  <c r="O609" i="45"/>
  <c r="I609" i="45"/>
  <c r="B609" i="45"/>
  <c r="C609" i="45" s="1"/>
  <c r="O608" i="45"/>
  <c r="I608" i="45"/>
  <c r="B608" i="45"/>
  <c r="C608" i="45" s="1"/>
  <c r="O607" i="45"/>
  <c r="I607" i="45"/>
  <c r="B607" i="45"/>
  <c r="C607" i="45" s="1"/>
  <c r="O606" i="45"/>
  <c r="I606" i="45"/>
  <c r="B606" i="45"/>
  <c r="C606" i="45" s="1"/>
  <c r="O605" i="45"/>
  <c r="I605" i="45"/>
  <c r="B605" i="45"/>
  <c r="C605" i="45" s="1"/>
  <c r="O604" i="45"/>
  <c r="I604" i="45"/>
  <c r="B604" i="45"/>
  <c r="C604" i="45" s="1"/>
  <c r="O603" i="45"/>
  <c r="I603" i="45"/>
  <c r="B603" i="45"/>
  <c r="C603" i="45" s="1"/>
  <c r="O602" i="45"/>
  <c r="I602" i="45"/>
  <c r="B602" i="45"/>
  <c r="C602" i="45" s="1"/>
  <c r="O601" i="45"/>
  <c r="I601" i="45"/>
  <c r="B601" i="45"/>
  <c r="C601" i="45" s="1"/>
  <c r="O600" i="45"/>
  <c r="I600" i="45"/>
  <c r="B600" i="45"/>
  <c r="C600" i="45" s="1"/>
  <c r="O599" i="45"/>
  <c r="I599" i="45"/>
  <c r="B599" i="45"/>
  <c r="C599" i="45" s="1"/>
  <c r="O598" i="45"/>
  <c r="I598" i="45"/>
  <c r="B598" i="45"/>
  <c r="C598" i="45" s="1"/>
  <c r="O597" i="45"/>
  <c r="I597" i="45"/>
  <c r="B597" i="45"/>
  <c r="C597" i="45" s="1"/>
  <c r="O596" i="45"/>
  <c r="I596" i="45"/>
  <c r="B596" i="45"/>
  <c r="C596" i="45" s="1"/>
  <c r="O595" i="45"/>
  <c r="I595" i="45"/>
  <c r="B595" i="45"/>
  <c r="C595" i="45" s="1"/>
  <c r="O594" i="45"/>
  <c r="I594" i="45"/>
  <c r="B594" i="45"/>
  <c r="C594" i="45" s="1"/>
  <c r="O593" i="45"/>
  <c r="I593" i="45"/>
  <c r="B593" i="45"/>
  <c r="C593" i="45" s="1"/>
  <c r="O592" i="45"/>
  <c r="I592" i="45"/>
  <c r="B592" i="45"/>
  <c r="C592" i="45" s="1"/>
  <c r="O591" i="45"/>
  <c r="I591" i="45"/>
  <c r="B591" i="45"/>
  <c r="C591" i="45" s="1"/>
  <c r="O590" i="45"/>
  <c r="I590" i="45"/>
  <c r="B590" i="45"/>
  <c r="C590" i="45" s="1"/>
  <c r="O589" i="45"/>
  <c r="I589" i="45"/>
  <c r="B589" i="45"/>
  <c r="C589" i="45" s="1"/>
  <c r="O588" i="45"/>
  <c r="I588" i="45"/>
  <c r="B588" i="45"/>
  <c r="C588" i="45" s="1"/>
  <c r="O587" i="45"/>
  <c r="I587" i="45"/>
  <c r="B587" i="45"/>
  <c r="C587" i="45" s="1"/>
  <c r="O586" i="45"/>
  <c r="I586" i="45"/>
  <c r="B586" i="45"/>
  <c r="C586" i="45" s="1"/>
  <c r="O585" i="45"/>
  <c r="I585" i="45"/>
  <c r="B585" i="45"/>
  <c r="C585" i="45" s="1"/>
  <c r="O584" i="45"/>
  <c r="I584" i="45"/>
  <c r="B584" i="45"/>
  <c r="C584" i="45" s="1"/>
  <c r="O583" i="45"/>
  <c r="I583" i="45"/>
  <c r="B583" i="45"/>
  <c r="C583" i="45" s="1"/>
  <c r="O582" i="45"/>
  <c r="I582" i="45"/>
  <c r="B582" i="45"/>
  <c r="C582" i="45" s="1"/>
  <c r="O581" i="45"/>
  <c r="I581" i="45"/>
  <c r="B581" i="45"/>
  <c r="C581" i="45" s="1"/>
  <c r="O580" i="45"/>
  <c r="I580" i="45"/>
  <c r="B580" i="45"/>
  <c r="C580" i="45" s="1"/>
  <c r="O579" i="45"/>
  <c r="I579" i="45"/>
  <c r="B579" i="45"/>
  <c r="C579" i="45" s="1"/>
  <c r="O578" i="45"/>
  <c r="I578" i="45"/>
  <c r="B578" i="45"/>
  <c r="C578" i="45" s="1"/>
  <c r="O577" i="45"/>
  <c r="I577" i="45"/>
  <c r="B577" i="45"/>
  <c r="C577" i="45" s="1"/>
  <c r="O576" i="45"/>
  <c r="I576" i="45"/>
  <c r="B576" i="45"/>
  <c r="C576" i="45" s="1"/>
  <c r="O575" i="45"/>
  <c r="I575" i="45"/>
  <c r="B575" i="45"/>
  <c r="C575" i="45" s="1"/>
  <c r="O574" i="45"/>
  <c r="I574" i="45"/>
  <c r="B574" i="45"/>
  <c r="C574" i="45" s="1"/>
  <c r="O573" i="45"/>
  <c r="I573" i="45"/>
  <c r="B573" i="45"/>
  <c r="C573" i="45" s="1"/>
  <c r="O572" i="45"/>
  <c r="I572" i="45"/>
  <c r="B572" i="45"/>
  <c r="C572" i="45" s="1"/>
  <c r="O571" i="45"/>
  <c r="I571" i="45"/>
  <c r="B571" i="45"/>
  <c r="C571" i="45" s="1"/>
  <c r="O570" i="45"/>
  <c r="I570" i="45"/>
  <c r="B570" i="45"/>
  <c r="C570" i="45" s="1"/>
  <c r="O569" i="45"/>
  <c r="I569" i="45"/>
  <c r="B569" i="45"/>
  <c r="C569" i="45" s="1"/>
  <c r="O568" i="45"/>
  <c r="I568" i="45"/>
  <c r="B568" i="45"/>
  <c r="C568" i="45" s="1"/>
  <c r="O567" i="45"/>
  <c r="I567" i="45"/>
  <c r="B567" i="45"/>
  <c r="C567" i="45" s="1"/>
  <c r="O566" i="45"/>
  <c r="I566" i="45"/>
  <c r="B566" i="45"/>
  <c r="C566" i="45" s="1"/>
  <c r="O565" i="45"/>
  <c r="I565" i="45"/>
  <c r="B565" i="45"/>
  <c r="C565" i="45" s="1"/>
  <c r="O564" i="45"/>
  <c r="I564" i="45"/>
  <c r="B564" i="45"/>
  <c r="C564" i="45" s="1"/>
  <c r="O563" i="45"/>
  <c r="I563" i="45"/>
  <c r="B563" i="45"/>
  <c r="C563" i="45" s="1"/>
  <c r="O562" i="45"/>
  <c r="I562" i="45"/>
  <c r="B562" i="45"/>
  <c r="C562" i="45" s="1"/>
  <c r="O561" i="45"/>
  <c r="I561" i="45"/>
  <c r="B561" i="45"/>
  <c r="C561" i="45" s="1"/>
  <c r="O560" i="45"/>
  <c r="I560" i="45"/>
  <c r="B560" i="45"/>
  <c r="C560" i="45" s="1"/>
  <c r="O559" i="45"/>
  <c r="I559" i="45"/>
  <c r="B559" i="45"/>
  <c r="C559" i="45" s="1"/>
  <c r="O558" i="45"/>
  <c r="I558" i="45"/>
  <c r="B558" i="45"/>
  <c r="C558" i="45" s="1"/>
  <c r="O557" i="45"/>
  <c r="I557" i="45"/>
  <c r="B557" i="45"/>
  <c r="C557" i="45" s="1"/>
  <c r="O556" i="45"/>
  <c r="I556" i="45"/>
  <c r="B556" i="45"/>
  <c r="C556" i="45" s="1"/>
  <c r="O555" i="45"/>
  <c r="I555" i="45"/>
  <c r="B555" i="45"/>
  <c r="C555" i="45" s="1"/>
  <c r="O554" i="45"/>
  <c r="I554" i="45"/>
  <c r="B554" i="45"/>
  <c r="C554" i="45" s="1"/>
  <c r="O553" i="45"/>
  <c r="I553" i="45"/>
  <c r="B553" i="45"/>
  <c r="C553" i="45" s="1"/>
  <c r="O552" i="45"/>
  <c r="I552" i="45"/>
  <c r="B552" i="45"/>
  <c r="C552" i="45" s="1"/>
  <c r="O551" i="45"/>
  <c r="I551" i="45"/>
  <c r="B551" i="45"/>
  <c r="C551" i="45" s="1"/>
  <c r="O550" i="45"/>
  <c r="I550" i="45"/>
  <c r="B550" i="45"/>
  <c r="C550" i="45" s="1"/>
  <c r="O549" i="45"/>
  <c r="I549" i="45"/>
  <c r="B549" i="45"/>
  <c r="C549" i="45" s="1"/>
  <c r="O548" i="45"/>
  <c r="I548" i="45"/>
  <c r="B548" i="45"/>
  <c r="C548" i="45" s="1"/>
  <c r="O547" i="45"/>
  <c r="I547" i="45"/>
  <c r="B547" i="45"/>
  <c r="C547" i="45" s="1"/>
  <c r="O546" i="45"/>
  <c r="I546" i="45"/>
  <c r="B546" i="45"/>
  <c r="C546" i="45" s="1"/>
  <c r="O545" i="45"/>
  <c r="I545" i="45"/>
  <c r="B545" i="45"/>
  <c r="C545" i="45" s="1"/>
  <c r="O544" i="45"/>
  <c r="I544" i="45"/>
  <c r="B544" i="45"/>
  <c r="C544" i="45" s="1"/>
  <c r="O543" i="45"/>
  <c r="I543" i="45"/>
  <c r="B543" i="45"/>
  <c r="C543" i="45" s="1"/>
  <c r="O542" i="45"/>
  <c r="I542" i="45"/>
  <c r="B542" i="45"/>
  <c r="C542" i="45" s="1"/>
  <c r="O541" i="45"/>
  <c r="I541" i="45"/>
  <c r="B541" i="45"/>
  <c r="C541" i="45" s="1"/>
  <c r="O540" i="45"/>
  <c r="I540" i="45"/>
  <c r="B540" i="45"/>
  <c r="C540" i="45" s="1"/>
  <c r="O539" i="45"/>
  <c r="I539" i="45"/>
  <c r="B539" i="45"/>
  <c r="C539" i="45" s="1"/>
  <c r="O538" i="45"/>
  <c r="I538" i="45"/>
  <c r="B538" i="45"/>
  <c r="C538" i="45" s="1"/>
  <c r="O537" i="45"/>
  <c r="I537" i="45"/>
  <c r="B537" i="45"/>
  <c r="C537" i="45" s="1"/>
  <c r="O536" i="45"/>
  <c r="I536" i="45"/>
  <c r="B536" i="45"/>
  <c r="C536" i="45" s="1"/>
  <c r="O535" i="45"/>
  <c r="I535" i="45"/>
  <c r="B535" i="45"/>
  <c r="C535" i="45" s="1"/>
  <c r="O534" i="45"/>
  <c r="I534" i="45"/>
  <c r="B534" i="45"/>
  <c r="C534" i="45" s="1"/>
  <c r="O533" i="45"/>
  <c r="I533" i="45"/>
  <c r="B533" i="45"/>
  <c r="C533" i="45" s="1"/>
  <c r="O532" i="45"/>
  <c r="I532" i="45"/>
  <c r="B532" i="45"/>
  <c r="C532" i="45" s="1"/>
  <c r="O531" i="45"/>
  <c r="I531" i="45"/>
  <c r="B531" i="45"/>
  <c r="C531" i="45" s="1"/>
  <c r="O530" i="45"/>
  <c r="I530" i="45"/>
  <c r="B530" i="45"/>
  <c r="C530" i="45" s="1"/>
  <c r="O529" i="45"/>
  <c r="I529" i="45"/>
  <c r="B529" i="45"/>
  <c r="C529" i="45" s="1"/>
  <c r="O528" i="45"/>
  <c r="I528" i="45"/>
  <c r="B528" i="45"/>
  <c r="C528" i="45" s="1"/>
  <c r="O527" i="45"/>
  <c r="I527" i="45"/>
  <c r="B527" i="45"/>
  <c r="C527" i="45" s="1"/>
  <c r="O526" i="45"/>
  <c r="I526" i="45"/>
  <c r="B526" i="45"/>
  <c r="C526" i="45" s="1"/>
  <c r="O525" i="45"/>
  <c r="I525" i="45"/>
  <c r="B525" i="45"/>
  <c r="C525" i="45" s="1"/>
  <c r="O524" i="45"/>
  <c r="I524" i="45"/>
  <c r="B524" i="45"/>
  <c r="C524" i="45" s="1"/>
  <c r="O523" i="45"/>
  <c r="I523" i="45"/>
  <c r="B523" i="45"/>
  <c r="C523" i="45" s="1"/>
  <c r="O522" i="45"/>
  <c r="I522" i="45"/>
  <c r="B522" i="45"/>
  <c r="C522" i="45" s="1"/>
  <c r="O521" i="45"/>
  <c r="I521" i="45"/>
  <c r="B521" i="45"/>
  <c r="C521" i="45" s="1"/>
  <c r="O520" i="45"/>
  <c r="I520" i="45"/>
  <c r="B520" i="45"/>
  <c r="C520" i="45" s="1"/>
  <c r="O519" i="45"/>
  <c r="I519" i="45"/>
  <c r="B519" i="45"/>
  <c r="C519" i="45" s="1"/>
  <c r="O518" i="45"/>
  <c r="I518" i="45"/>
  <c r="B518" i="45"/>
  <c r="C518" i="45" s="1"/>
  <c r="O517" i="45"/>
  <c r="I517" i="45"/>
  <c r="B517" i="45"/>
  <c r="C517" i="45" s="1"/>
  <c r="O516" i="45"/>
  <c r="I516" i="45"/>
  <c r="B516" i="45"/>
  <c r="C516" i="45" s="1"/>
  <c r="O515" i="45"/>
  <c r="I515" i="45"/>
  <c r="B515" i="45"/>
  <c r="C515" i="45" s="1"/>
  <c r="O514" i="45"/>
  <c r="I514" i="45"/>
  <c r="B514" i="45"/>
  <c r="C514" i="45" s="1"/>
  <c r="O513" i="45"/>
  <c r="I513" i="45"/>
  <c r="B513" i="45"/>
  <c r="C513" i="45" s="1"/>
  <c r="O512" i="45"/>
  <c r="I512" i="45"/>
  <c r="B512" i="45"/>
  <c r="C512" i="45" s="1"/>
  <c r="O511" i="45"/>
  <c r="I511" i="45"/>
  <c r="B511" i="45"/>
  <c r="C511" i="45" s="1"/>
  <c r="O510" i="45"/>
  <c r="I510" i="45"/>
  <c r="B510" i="45"/>
  <c r="C510" i="45" s="1"/>
  <c r="O509" i="45"/>
  <c r="I509" i="45"/>
  <c r="B509" i="45"/>
  <c r="C509" i="45" s="1"/>
  <c r="O508" i="45"/>
  <c r="I508" i="45"/>
  <c r="B508" i="45"/>
  <c r="C508" i="45" s="1"/>
  <c r="O507" i="45"/>
  <c r="I507" i="45"/>
  <c r="B507" i="45"/>
  <c r="C507" i="45" s="1"/>
  <c r="O506" i="45"/>
  <c r="I506" i="45"/>
  <c r="B506" i="45"/>
  <c r="C506" i="45" s="1"/>
  <c r="O505" i="45"/>
  <c r="I505" i="45"/>
  <c r="B505" i="45"/>
  <c r="C505" i="45" s="1"/>
  <c r="O504" i="45"/>
  <c r="I504" i="45"/>
  <c r="B504" i="45"/>
  <c r="C504" i="45" s="1"/>
  <c r="O503" i="45"/>
  <c r="I503" i="45"/>
  <c r="B503" i="45"/>
  <c r="C503" i="45" s="1"/>
  <c r="O502" i="45"/>
  <c r="I502" i="45"/>
  <c r="B502" i="45"/>
  <c r="C502" i="45" s="1"/>
  <c r="O501" i="45"/>
  <c r="I501" i="45"/>
  <c r="B501" i="45"/>
  <c r="C501" i="45" s="1"/>
  <c r="O500" i="45"/>
  <c r="I500" i="45"/>
  <c r="B500" i="45"/>
  <c r="C500" i="45" s="1"/>
  <c r="O499" i="45"/>
  <c r="I499" i="45"/>
  <c r="B499" i="45"/>
  <c r="C499" i="45" s="1"/>
  <c r="O498" i="45"/>
  <c r="I498" i="45"/>
  <c r="B498" i="45"/>
  <c r="C498" i="45" s="1"/>
  <c r="O497" i="45"/>
  <c r="I497" i="45"/>
  <c r="B497" i="45"/>
  <c r="C497" i="45" s="1"/>
  <c r="O496" i="45"/>
  <c r="I496" i="45"/>
  <c r="B496" i="45"/>
  <c r="C496" i="45" s="1"/>
  <c r="O495" i="45"/>
  <c r="I495" i="45"/>
  <c r="B495" i="45"/>
  <c r="C495" i="45" s="1"/>
  <c r="O494" i="45"/>
  <c r="I494" i="45"/>
  <c r="B494" i="45"/>
  <c r="C494" i="45" s="1"/>
  <c r="O493" i="45"/>
  <c r="I493" i="45"/>
  <c r="B493" i="45"/>
  <c r="C493" i="45" s="1"/>
  <c r="O492" i="45"/>
  <c r="I492" i="45"/>
  <c r="B492" i="45"/>
  <c r="C492" i="45" s="1"/>
  <c r="O491" i="45"/>
  <c r="I491" i="45"/>
  <c r="B491" i="45"/>
  <c r="C491" i="45" s="1"/>
  <c r="O490" i="45"/>
  <c r="I490" i="45"/>
  <c r="B490" i="45"/>
  <c r="C490" i="45" s="1"/>
  <c r="O489" i="45"/>
  <c r="I489" i="45"/>
  <c r="B489" i="45"/>
  <c r="C489" i="45" s="1"/>
  <c r="O488" i="45"/>
  <c r="I488" i="45"/>
  <c r="B488" i="45"/>
  <c r="C488" i="45" s="1"/>
  <c r="O487" i="45"/>
  <c r="I487" i="45"/>
  <c r="B487" i="45"/>
  <c r="C487" i="45" s="1"/>
  <c r="O486" i="45"/>
  <c r="I486" i="45"/>
  <c r="B486" i="45"/>
  <c r="C486" i="45" s="1"/>
  <c r="O485" i="45"/>
  <c r="I485" i="45"/>
  <c r="B485" i="45"/>
  <c r="C485" i="45" s="1"/>
  <c r="O484" i="45"/>
  <c r="I484" i="45"/>
  <c r="B484" i="45"/>
  <c r="C484" i="45" s="1"/>
  <c r="O483" i="45"/>
  <c r="I483" i="45"/>
  <c r="B483" i="45"/>
  <c r="C483" i="45" s="1"/>
  <c r="O482" i="45"/>
  <c r="I482" i="45"/>
  <c r="B482" i="45"/>
  <c r="C482" i="45" s="1"/>
  <c r="O481" i="45"/>
  <c r="I481" i="45"/>
  <c r="B481" i="45"/>
  <c r="C481" i="45" s="1"/>
  <c r="O480" i="45"/>
  <c r="I480" i="45"/>
  <c r="B480" i="45"/>
  <c r="C480" i="45" s="1"/>
  <c r="O479" i="45"/>
  <c r="I479" i="45"/>
  <c r="B479" i="45"/>
  <c r="C479" i="45" s="1"/>
  <c r="O478" i="45"/>
  <c r="I478" i="45"/>
  <c r="B478" i="45"/>
  <c r="C478" i="45" s="1"/>
  <c r="O477" i="45"/>
  <c r="I477" i="45"/>
  <c r="B477" i="45"/>
  <c r="C477" i="45" s="1"/>
  <c r="O476" i="45"/>
  <c r="I476" i="45"/>
  <c r="B476" i="45"/>
  <c r="C476" i="45" s="1"/>
  <c r="O475" i="45"/>
  <c r="I475" i="45"/>
  <c r="B475" i="45"/>
  <c r="C475" i="45" s="1"/>
  <c r="O474" i="45"/>
  <c r="I474" i="45"/>
  <c r="B474" i="45"/>
  <c r="C474" i="45" s="1"/>
  <c r="O473" i="45"/>
  <c r="I473" i="45"/>
  <c r="B473" i="45"/>
  <c r="C473" i="45" s="1"/>
  <c r="O472" i="45"/>
  <c r="I472" i="45"/>
  <c r="B472" i="45"/>
  <c r="C472" i="45" s="1"/>
  <c r="O471" i="45"/>
  <c r="I471" i="45"/>
  <c r="B471" i="45"/>
  <c r="C471" i="45" s="1"/>
  <c r="O470" i="45"/>
  <c r="I470" i="45"/>
  <c r="B470" i="45"/>
  <c r="C470" i="45" s="1"/>
  <c r="O469" i="45"/>
  <c r="I469" i="45"/>
  <c r="B469" i="45"/>
  <c r="C469" i="45" s="1"/>
  <c r="O468" i="45"/>
  <c r="I468" i="45"/>
  <c r="B468" i="45"/>
  <c r="C468" i="45" s="1"/>
  <c r="O467" i="45"/>
  <c r="I467" i="45"/>
  <c r="B467" i="45"/>
  <c r="C467" i="45" s="1"/>
  <c r="O466" i="45"/>
  <c r="I466" i="45"/>
  <c r="B466" i="45"/>
  <c r="C466" i="45" s="1"/>
  <c r="O465" i="45"/>
  <c r="I465" i="45"/>
  <c r="B465" i="45"/>
  <c r="C465" i="45" s="1"/>
  <c r="O464" i="45"/>
  <c r="I464" i="45"/>
  <c r="B464" i="45"/>
  <c r="C464" i="45" s="1"/>
  <c r="O463" i="45"/>
  <c r="I463" i="45"/>
  <c r="B463" i="45"/>
  <c r="C463" i="45" s="1"/>
  <c r="O462" i="45"/>
  <c r="I462" i="45"/>
  <c r="B462" i="45"/>
  <c r="C462" i="45" s="1"/>
  <c r="O461" i="45"/>
  <c r="I461" i="45"/>
  <c r="B461" i="45"/>
  <c r="C461" i="45" s="1"/>
  <c r="O460" i="45"/>
  <c r="I460" i="45"/>
  <c r="B460" i="45"/>
  <c r="C460" i="45" s="1"/>
  <c r="O459" i="45"/>
  <c r="I459" i="45"/>
  <c r="B459" i="45"/>
  <c r="C459" i="45" s="1"/>
  <c r="O458" i="45"/>
  <c r="I458" i="45"/>
  <c r="B458" i="45"/>
  <c r="C458" i="45" s="1"/>
  <c r="O457" i="45"/>
  <c r="I457" i="45"/>
  <c r="B457" i="45"/>
  <c r="C457" i="45" s="1"/>
  <c r="O456" i="45"/>
  <c r="I456" i="45"/>
  <c r="B456" i="45"/>
  <c r="C456" i="45" s="1"/>
  <c r="O455" i="45"/>
  <c r="I455" i="45"/>
  <c r="B455" i="45"/>
  <c r="C455" i="45" s="1"/>
  <c r="O454" i="45"/>
  <c r="I454" i="45"/>
  <c r="B454" i="45"/>
  <c r="C454" i="45" s="1"/>
  <c r="O453" i="45"/>
  <c r="I453" i="45"/>
  <c r="B453" i="45"/>
  <c r="C453" i="45" s="1"/>
  <c r="O452" i="45"/>
  <c r="I452" i="45"/>
  <c r="B452" i="45"/>
  <c r="C452" i="45" s="1"/>
  <c r="O451" i="45"/>
  <c r="I451" i="45"/>
  <c r="B451" i="45"/>
  <c r="C451" i="45" s="1"/>
  <c r="O450" i="45"/>
  <c r="I450" i="45"/>
  <c r="B450" i="45"/>
  <c r="C450" i="45" s="1"/>
  <c r="O449" i="45"/>
  <c r="I449" i="45"/>
  <c r="B449" i="45"/>
  <c r="C449" i="45" s="1"/>
  <c r="O448" i="45"/>
  <c r="I448" i="45"/>
  <c r="B448" i="45"/>
  <c r="C448" i="45" s="1"/>
  <c r="O447" i="45"/>
  <c r="I447" i="45"/>
  <c r="B447" i="45"/>
  <c r="C447" i="45" s="1"/>
  <c r="O446" i="45"/>
  <c r="I446" i="45"/>
  <c r="B446" i="45"/>
  <c r="C446" i="45" s="1"/>
  <c r="O445" i="45"/>
  <c r="I445" i="45"/>
  <c r="B445" i="45"/>
  <c r="C445" i="45" s="1"/>
  <c r="O444" i="45"/>
  <c r="I444" i="45"/>
  <c r="B444" i="45"/>
  <c r="C444" i="45" s="1"/>
  <c r="O443" i="45"/>
  <c r="I443" i="45"/>
  <c r="B443" i="45"/>
  <c r="C443" i="45" s="1"/>
  <c r="O442" i="45"/>
  <c r="I442" i="45"/>
  <c r="B442" i="45"/>
  <c r="C442" i="45" s="1"/>
  <c r="O441" i="45"/>
  <c r="I441" i="45"/>
  <c r="B441" i="45"/>
  <c r="C441" i="45" s="1"/>
  <c r="O440" i="45"/>
  <c r="I440" i="45"/>
  <c r="B440" i="45"/>
  <c r="C440" i="45" s="1"/>
  <c r="O439" i="45"/>
  <c r="I439" i="45"/>
  <c r="B439" i="45"/>
  <c r="C439" i="45" s="1"/>
  <c r="O438" i="45"/>
  <c r="I438" i="45"/>
  <c r="B438" i="45"/>
  <c r="C438" i="45" s="1"/>
  <c r="O437" i="45"/>
  <c r="I437" i="45"/>
  <c r="B437" i="45"/>
  <c r="C437" i="45" s="1"/>
  <c r="O436" i="45"/>
  <c r="I436" i="45"/>
  <c r="B436" i="45"/>
  <c r="C436" i="45" s="1"/>
  <c r="O435" i="45"/>
  <c r="I435" i="45"/>
  <c r="B435" i="45"/>
  <c r="C435" i="45" s="1"/>
  <c r="O434" i="45"/>
  <c r="I434" i="45"/>
  <c r="B434" i="45"/>
  <c r="C434" i="45" s="1"/>
  <c r="O433" i="45"/>
  <c r="I433" i="45"/>
  <c r="B433" i="45"/>
  <c r="C433" i="45" s="1"/>
  <c r="O432" i="45"/>
  <c r="I432" i="45"/>
  <c r="B432" i="45"/>
  <c r="C432" i="45" s="1"/>
  <c r="O431" i="45"/>
  <c r="I431" i="45"/>
  <c r="B431" i="45"/>
  <c r="C431" i="45" s="1"/>
  <c r="O430" i="45"/>
  <c r="I430" i="45"/>
  <c r="B430" i="45"/>
  <c r="C430" i="45" s="1"/>
  <c r="O429" i="45"/>
  <c r="I429" i="45"/>
  <c r="B429" i="45"/>
  <c r="C429" i="45" s="1"/>
  <c r="O428" i="45"/>
  <c r="I428" i="45"/>
  <c r="B428" i="45"/>
  <c r="C428" i="45" s="1"/>
  <c r="O427" i="45"/>
  <c r="I427" i="45"/>
  <c r="B427" i="45"/>
  <c r="C427" i="45" s="1"/>
  <c r="O426" i="45"/>
  <c r="I426" i="45"/>
  <c r="B426" i="45"/>
  <c r="C426" i="45" s="1"/>
  <c r="O425" i="45"/>
  <c r="I425" i="45"/>
  <c r="B425" i="45"/>
  <c r="C425" i="45" s="1"/>
  <c r="O424" i="45"/>
  <c r="I424" i="45"/>
  <c r="B424" i="45"/>
  <c r="C424" i="45" s="1"/>
  <c r="O423" i="45"/>
  <c r="I423" i="45"/>
  <c r="B423" i="45"/>
  <c r="C423" i="45" s="1"/>
  <c r="O422" i="45"/>
  <c r="I422" i="45"/>
  <c r="B422" i="45"/>
  <c r="C422" i="45" s="1"/>
  <c r="O421" i="45"/>
  <c r="I421" i="45"/>
  <c r="B421" i="45"/>
  <c r="C421" i="45" s="1"/>
  <c r="O420" i="45"/>
  <c r="I420" i="45"/>
  <c r="B420" i="45"/>
  <c r="C420" i="45" s="1"/>
  <c r="O419" i="45"/>
  <c r="I419" i="45"/>
  <c r="B419" i="45"/>
  <c r="C419" i="45" s="1"/>
  <c r="O418" i="45"/>
  <c r="I418" i="45"/>
  <c r="B418" i="45"/>
  <c r="C418" i="45" s="1"/>
  <c r="O417" i="45"/>
  <c r="I417" i="45"/>
  <c r="B417" i="45"/>
  <c r="C417" i="45" s="1"/>
  <c r="O416" i="45"/>
  <c r="I416" i="45"/>
  <c r="B416" i="45"/>
  <c r="C416" i="45" s="1"/>
  <c r="O415" i="45"/>
  <c r="I415" i="45"/>
  <c r="B415" i="45"/>
  <c r="C415" i="45" s="1"/>
  <c r="O414" i="45"/>
  <c r="I414" i="45"/>
  <c r="B414" i="45"/>
  <c r="C414" i="45" s="1"/>
  <c r="O413" i="45"/>
  <c r="I413" i="45"/>
  <c r="B413" i="45"/>
  <c r="C413" i="45" s="1"/>
  <c r="O412" i="45"/>
  <c r="I412" i="45"/>
  <c r="B412" i="45"/>
  <c r="C412" i="45" s="1"/>
  <c r="O411" i="45"/>
  <c r="I411" i="45"/>
  <c r="B411" i="45"/>
  <c r="C411" i="45" s="1"/>
  <c r="O410" i="45"/>
  <c r="I410" i="45"/>
  <c r="B410" i="45"/>
  <c r="C410" i="45" s="1"/>
  <c r="O409" i="45"/>
  <c r="I409" i="45"/>
  <c r="B409" i="45"/>
  <c r="C409" i="45" s="1"/>
  <c r="O408" i="45"/>
  <c r="I408" i="45"/>
  <c r="B408" i="45"/>
  <c r="C408" i="45" s="1"/>
  <c r="O407" i="45"/>
  <c r="I407" i="45"/>
  <c r="B407" i="45"/>
  <c r="C407" i="45" s="1"/>
  <c r="O406" i="45"/>
  <c r="I406" i="45"/>
  <c r="B406" i="45"/>
  <c r="C406" i="45" s="1"/>
  <c r="O405" i="45"/>
  <c r="I405" i="45"/>
  <c r="B405" i="45"/>
  <c r="C405" i="45" s="1"/>
  <c r="O404" i="45"/>
  <c r="I404" i="45"/>
  <c r="B404" i="45"/>
  <c r="C404" i="45" s="1"/>
  <c r="O403" i="45"/>
  <c r="I403" i="45"/>
  <c r="B403" i="45"/>
  <c r="C403" i="45" s="1"/>
  <c r="O402" i="45"/>
  <c r="I402" i="45"/>
  <c r="B402" i="45"/>
  <c r="C402" i="45" s="1"/>
  <c r="O401" i="45"/>
  <c r="I401" i="45"/>
  <c r="B401" i="45"/>
  <c r="C401" i="45" s="1"/>
  <c r="O400" i="45"/>
  <c r="I400" i="45"/>
  <c r="B400" i="45"/>
  <c r="C400" i="45" s="1"/>
  <c r="O399" i="45"/>
  <c r="I399" i="45"/>
  <c r="B399" i="45"/>
  <c r="C399" i="45" s="1"/>
  <c r="O398" i="45"/>
  <c r="I398" i="45"/>
  <c r="B398" i="45"/>
  <c r="C398" i="45" s="1"/>
  <c r="O397" i="45"/>
  <c r="I397" i="45"/>
  <c r="B397" i="45"/>
  <c r="C397" i="45" s="1"/>
  <c r="O396" i="45"/>
  <c r="I396" i="45"/>
  <c r="B396" i="45"/>
  <c r="C396" i="45" s="1"/>
  <c r="O395" i="45"/>
  <c r="I395" i="45"/>
  <c r="B395" i="45"/>
  <c r="C395" i="45" s="1"/>
  <c r="O394" i="45"/>
  <c r="I394" i="45"/>
  <c r="B394" i="45"/>
  <c r="C394" i="45" s="1"/>
  <c r="O393" i="45"/>
  <c r="I393" i="45"/>
  <c r="B393" i="45"/>
  <c r="C393" i="45" s="1"/>
  <c r="O392" i="45"/>
  <c r="I392" i="45"/>
  <c r="B392" i="45"/>
  <c r="C392" i="45" s="1"/>
  <c r="O391" i="45"/>
  <c r="I391" i="45"/>
  <c r="B391" i="45"/>
  <c r="C391" i="45" s="1"/>
  <c r="O390" i="45"/>
  <c r="I390" i="45"/>
  <c r="B390" i="45"/>
  <c r="C390" i="45" s="1"/>
  <c r="O389" i="45"/>
  <c r="I389" i="45"/>
  <c r="B389" i="45"/>
  <c r="C389" i="45" s="1"/>
  <c r="O388" i="45"/>
  <c r="I388" i="45"/>
  <c r="B388" i="45"/>
  <c r="C388" i="45" s="1"/>
  <c r="O387" i="45"/>
  <c r="I387" i="45"/>
  <c r="B387" i="45"/>
  <c r="C387" i="45" s="1"/>
  <c r="O386" i="45"/>
  <c r="I386" i="45"/>
  <c r="B386" i="45"/>
  <c r="C386" i="45" s="1"/>
  <c r="O385" i="45"/>
  <c r="I385" i="45"/>
  <c r="B385" i="45"/>
  <c r="C385" i="45" s="1"/>
  <c r="O384" i="45"/>
  <c r="I384" i="45"/>
  <c r="B384" i="45"/>
  <c r="C384" i="45" s="1"/>
  <c r="O383" i="45"/>
  <c r="I383" i="45"/>
  <c r="B383" i="45"/>
  <c r="C383" i="45" s="1"/>
  <c r="O382" i="45"/>
  <c r="I382" i="45"/>
  <c r="B382" i="45"/>
  <c r="C382" i="45" s="1"/>
  <c r="O381" i="45"/>
  <c r="I381" i="45"/>
  <c r="B381" i="45"/>
  <c r="C381" i="45" s="1"/>
  <c r="O380" i="45"/>
  <c r="I380" i="45"/>
  <c r="B380" i="45"/>
  <c r="C380" i="45" s="1"/>
  <c r="O379" i="45"/>
  <c r="I379" i="45"/>
  <c r="B379" i="45"/>
  <c r="C379" i="45" s="1"/>
  <c r="O378" i="45"/>
  <c r="I378" i="45"/>
  <c r="B378" i="45"/>
  <c r="C378" i="45" s="1"/>
  <c r="O377" i="45"/>
  <c r="I377" i="45"/>
  <c r="B377" i="45"/>
  <c r="C377" i="45" s="1"/>
  <c r="O376" i="45"/>
  <c r="I376" i="45"/>
  <c r="B376" i="45"/>
  <c r="C376" i="45" s="1"/>
  <c r="O375" i="45"/>
  <c r="I375" i="45"/>
  <c r="B375" i="45"/>
  <c r="C375" i="45" s="1"/>
  <c r="O374" i="45"/>
  <c r="I374" i="45"/>
  <c r="B374" i="45"/>
  <c r="C374" i="45" s="1"/>
  <c r="O373" i="45"/>
  <c r="I373" i="45"/>
  <c r="B373" i="45"/>
  <c r="C373" i="45" s="1"/>
  <c r="O372" i="45"/>
  <c r="I372" i="45"/>
  <c r="B372" i="45"/>
  <c r="C372" i="45" s="1"/>
  <c r="O371" i="45"/>
  <c r="I371" i="45"/>
  <c r="B371" i="45"/>
  <c r="C371" i="45" s="1"/>
  <c r="O370" i="45"/>
  <c r="I370" i="45"/>
  <c r="B370" i="45"/>
  <c r="C370" i="45" s="1"/>
  <c r="O369" i="45"/>
  <c r="I369" i="45"/>
  <c r="B369" i="45"/>
  <c r="C369" i="45" s="1"/>
  <c r="O368" i="45"/>
  <c r="I368" i="45"/>
  <c r="B368" i="45"/>
  <c r="C368" i="45" s="1"/>
  <c r="O367" i="45"/>
  <c r="I367" i="45"/>
  <c r="B367" i="45"/>
  <c r="C367" i="45" s="1"/>
  <c r="O366" i="45"/>
  <c r="I366" i="45"/>
  <c r="B366" i="45"/>
  <c r="C366" i="45" s="1"/>
  <c r="O365" i="45"/>
  <c r="I365" i="45"/>
  <c r="B365" i="45"/>
  <c r="C365" i="45" s="1"/>
  <c r="O364" i="45"/>
  <c r="I364" i="45"/>
  <c r="B364" i="45"/>
  <c r="C364" i="45" s="1"/>
  <c r="O363" i="45"/>
  <c r="I363" i="45"/>
  <c r="B363" i="45"/>
  <c r="C363" i="45" s="1"/>
  <c r="O362" i="45"/>
  <c r="I362" i="45"/>
  <c r="B362" i="45"/>
  <c r="C362" i="45" s="1"/>
  <c r="O361" i="45"/>
  <c r="I361" i="45"/>
  <c r="B361" i="45"/>
  <c r="C361" i="45" s="1"/>
  <c r="O360" i="45"/>
  <c r="I360" i="45"/>
  <c r="B360" i="45"/>
  <c r="C360" i="45" s="1"/>
  <c r="O359" i="45"/>
  <c r="I359" i="45"/>
  <c r="B359" i="45"/>
  <c r="C359" i="45" s="1"/>
  <c r="O358" i="45"/>
  <c r="I358" i="45"/>
  <c r="B358" i="45"/>
  <c r="C358" i="45" s="1"/>
  <c r="O357" i="45"/>
  <c r="I357" i="45"/>
  <c r="B357" i="45"/>
  <c r="C357" i="45" s="1"/>
  <c r="O356" i="45"/>
  <c r="I356" i="45"/>
  <c r="B356" i="45"/>
  <c r="C356" i="45" s="1"/>
  <c r="O355" i="45"/>
  <c r="I355" i="45"/>
  <c r="B355" i="45"/>
  <c r="C355" i="45" s="1"/>
  <c r="O354" i="45"/>
  <c r="I354" i="45"/>
  <c r="B354" i="45"/>
  <c r="C354" i="45" s="1"/>
  <c r="O353" i="45"/>
  <c r="I353" i="45"/>
  <c r="B353" i="45"/>
  <c r="C353" i="45" s="1"/>
  <c r="O352" i="45"/>
  <c r="I352" i="45"/>
  <c r="B352" i="45"/>
  <c r="C352" i="45" s="1"/>
  <c r="O351" i="45"/>
  <c r="I351" i="45"/>
  <c r="B351" i="45"/>
  <c r="C351" i="45" s="1"/>
  <c r="O350" i="45"/>
  <c r="I350" i="45"/>
  <c r="B350" i="45"/>
  <c r="C350" i="45" s="1"/>
  <c r="O349" i="45"/>
  <c r="I349" i="45"/>
  <c r="B349" i="45"/>
  <c r="C349" i="45" s="1"/>
  <c r="O348" i="45"/>
  <c r="I348" i="45"/>
  <c r="B348" i="45"/>
  <c r="C348" i="45" s="1"/>
  <c r="O347" i="45"/>
  <c r="I347" i="45"/>
  <c r="B347" i="45"/>
  <c r="C347" i="45" s="1"/>
  <c r="O346" i="45"/>
  <c r="I346" i="45"/>
  <c r="B346" i="45"/>
  <c r="C346" i="45" s="1"/>
  <c r="O345" i="45"/>
  <c r="I345" i="45"/>
  <c r="B345" i="45"/>
  <c r="C345" i="45" s="1"/>
  <c r="O344" i="45"/>
  <c r="I344" i="45"/>
  <c r="B344" i="45"/>
  <c r="C344" i="45" s="1"/>
  <c r="O343" i="45"/>
  <c r="I343" i="45"/>
  <c r="B343" i="45"/>
  <c r="C343" i="45" s="1"/>
  <c r="O342" i="45"/>
  <c r="I342" i="45"/>
  <c r="B342" i="45"/>
  <c r="C342" i="45" s="1"/>
  <c r="O341" i="45"/>
  <c r="I341" i="45"/>
  <c r="B341" i="45"/>
  <c r="C341" i="45" s="1"/>
  <c r="O340" i="45"/>
  <c r="I340" i="45"/>
  <c r="B340" i="45"/>
  <c r="C340" i="45" s="1"/>
  <c r="O339" i="45"/>
  <c r="I339" i="45"/>
  <c r="B339" i="45"/>
  <c r="C339" i="45" s="1"/>
  <c r="O338" i="45"/>
  <c r="I338" i="45"/>
  <c r="B338" i="45"/>
  <c r="C338" i="45" s="1"/>
  <c r="O337" i="45"/>
  <c r="I337" i="45"/>
  <c r="B337" i="45"/>
  <c r="C337" i="45" s="1"/>
  <c r="O336" i="45"/>
  <c r="I336" i="45"/>
  <c r="B336" i="45"/>
  <c r="C336" i="45" s="1"/>
  <c r="O335" i="45"/>
  <c r="I335" i="45"/>
  <c r="B335" i="45"/>
  <c r="C335" i="45" s="1"/>
  <c r="O334" i="45"/>
  <c r="I334" i="45"/>
  <c r="B334" i="45"/>
  <c r="C334" i="45" s="1"/>
  <c r="O333" i="45"/>
  <c r="I333" i="45"/>
  <c r="B333" i="45"/>
  <c r="C333" i="45" s="1"/>
  <c r="O332" i="45"/>
  <c r="I332" i="45"/>
  <c r="B332" i="45"/>
  <c r="C332" i="45" s="1"/>
  <c r="O331" i="45"/>
  <c r="I331" i="45"/>
  <c r="B331" i="45"/>
  <c r="C331" i="45" s="1"/>
  <c r="O330" i="45"/>
  <c r="I330" i="45"/>
  <c r="B330" i="45"/>
  <c r="C330" i="45" s="1"/>
  <c r="O329" i="45"/>
  <c r="I329" i="45"/>
  <c r="B329" i="45"/>
  <c r="C329" i="45" s="1"/>
  <c r="O328" i="45"/>
  <c r="I328" i="45"/>
  <c r="B328" i="45"/>
  <c r="C328" i="45" s="1"/>
  <c r="O327" i="45"/>
  <c r="I327" i="45"/>
  <c r="B327" i="45"/>
  <c r="C327" i="45" s="1"/>
  <c r="O326" i="45"/>
  <c r="I326" i="45"/>
  <c r="B326" i="45"/>
  <c r="C326" i="45" s="1"/>
  <c r="O325" i="45"/>
  <c r="I325" i="45"/>
  <c r="B325" i="45"/>
  <c r="C325" i="45" s="1"/>
  <c r="O324" i="45"/>
  <c r="I324" i="45"/>
  <c r="B324" i="45"/>
  <c r="C324" i="45" s="1"/>
  <c r="O323" i="45"/>
  <c r="I323" i="45"/>
  <c r="B323" i="45"/>
  <c r="C323" i="45" s="1"/>
  <c r="O322" i="45"/>
  <c r="I322" i="45"/>
  <c r="B322" i="45"/>
  <c r="C322" i="45" s="1"/>
  <c r="O321" i="45"/>
  <c r="I321" i="45"/>
  <c r="B321" i="45"/>
  <c r="C321" i="45" s="1"/>
  <c r="O320" i="45"/>
  <c r="I320" i="45"/>
  <c r="B320" i="45"/>
  <c r="C320" i="45" s="1"/>
  <c r="O319" i="45"/>
  <c r="I319" i="45"/>
  <c r="B319" i="45"/>
  <c r="C319" i="45" s="1"/>
  <c r="O318" i="45"/>
  <c r="I318" i="45"/>
  <c r="B318" i="45"/>
  <c r="C318" i="45" s="1"/>
  <c r="O317" i="45"/>
  <c r="I317" i="45"/>
  <c r="B317" i="45"/>
  <c r="C317" i="45" s="1"/>
  <c r="O316" i="45"/>
  <c r="I316" i="45"/>
  <c r="B316" i="45"/>
  <c r="C316" i="45" s="1"/>
  <c r="O315" i="45"/>
  <c r="I315" i="45"/>
  <c r="B315" i="45"/>
  <c r="C315" i="45" s="1"/>
  <c r="O314" i="45"/>
  <c r="I314" i="45"/>
  <c r="B314" i="45"/>
  <c r="C314" i="45" s="1"/>
  <c r="O313" i="45"/>
  <c r="I313" i="45"/>
  <c r="B313" i="45"/>
  <c r="C313" i="45" s="1"/>
  <c r="O312" i="45"/>
  <c r="I312" i="45"/>
  <c r="B312" i="45"/>
  <c r="C312" i="45" s="1"/>
  <c r="O311" i="45"/>
  <c r="I311" i="45"/>
  <c r="B311" i="45"/>
  <c r="C311" i="45" s="1"/>
  <c r="O310" i="45"/>
  <c r="I310" i="45"/>
  <c r="B310" i="45"/>
  <c r="C310" i="45" s="1"/>
  <c r="O309" i="45"/>
  <c r="I309" i="45"/>
  <c r="B309" i="45"/>
  <c r="C309" i="45" s="1"/>
  <c r="O308" i="45"/>
  <c r="I308" i="45"/>
  <c r="B308" i="45"/>
  <c r="C308" i="45" s="1"/>
  <c r="O307" i="45"/>
  <c r="I307" i="45"/>
  <c r="B307" i="45"/>
  <c r="C307" i="45" s="1"/>
  <c r="O306" i="45"/>
  <c r="I306" i="45"/>
  <c r="B306" i="45"/>
  <c r="C306" i="45" s="1"/>
  <c r="O305" i="45"/>
  <c r="I305" i="45"/>
  <c r="B305" i="45"/>
  <c r="C305" i="45" s="1"/>
  <c r="O304" i="45"/>
  <c r="I304" i="45"/>
  <c r="B304" i="45"/>
  <c r="C304" i="45" s="1"/>
  <c r="O303" i="45"/>
  <c r="I303" i="45"/>
  <c r="B303" i="45"/>
  <c r="C303" i="45" s="1"/>
  <c r="O302" i="45"/>
  <c r="I302" i="45"/>
  <c r="B302" i="45"/>
  <c r="C302" i="45" s="1"/>
  <c r="O301" i="45"/>
  <c r="I301" i="45"/>
  <c r="B301" i="45"/>
  <c r="C301" i="45" s="1"/>
  <c r="O300" i="45"/>
  <c r="I300" i="45"/>
  <c r="B300" i="45"/>
  <c r="C300" i="45" s="1"/>
  <c r="O299" i="45"/>
  <c r="I299" i="45"/>
  <c r="B299" i="45"/>
  <c r="C299" i="45" s="1"/>
  <c r="O298" i="45"/>
  <c r="I298" i="45"/>
  <c r="B298" i="45"/>
  <c r="C298" i="45" s="1"/>
  <c r="O297" i="45"/>
  <c r="I297" i="45"/>
  <c r="B297" i="45"/>
  <c r="C297" i="45" s="1"/>
  <c r="O296" i="45"/>
  <c r="I296" i="45"/>
  <c r="B296" i="45"/>
  <c r="C296" i="45" s="1"/>
  <c r="O295" i="45"/>
  <c r="I295" i="45"/>
  <c r="B295" i="45"/>
  <c r="C295" i="45" s="1"/>
  <c r="O294" i="45"/>
  <c r="I294" i="45"/>
  <c r="B294" i="45"/>
  <c r="C294" i="45" s="1"/>
  <c r="O293" i="45"/>
  <c r="I293" i="45"/>
  <c r="B293" i="45"/>
  <c r="C293" i="45" s="1"/>
  <c r="O292" i="45"/>
  <c r="I292" i="45"/>
  <c r="B292" i="45"/>
  <c r="C292" i="45" s="1"/>
  <c r="O291" i="45"/>
  <c r="I291" i="45"/>
  <c r="B291" i="45"/>
  <c r="C291" i="45" s="1"/>
  <c r="O290" i="45"/>
  <c r="I290" i="45"/>
  <c r="B290" i="45"/>
  <c r="C290" i="45" s="1"/>
  <c r="O289" i="45"/>
  <c r="I289" i="45"/>
  <c r="B289" i="45"/>
  <c r="C289" i="45" s="1"/>
  <c r="O288" i="45"/>
  <c r="I288" i="45"/>
  <c r="B288" i="45"/>
  <c r="C288" i="45" s="1"/>
  <c r="O287" i="45"/>
  <c r="I287" i="45"/>
  <c r="B287" i="45"/>
  <c r="C287" i="45" s="1"/>
  <c r="O286" i="45"/>
  <c r="I286" i="45"/>
  <c r="B286" i="45"/>
  <c r="C286" i="45" s="1"/>
  <c r="O285" i="45"/>
  <c r="I285" i="45"/>
  <c r="B285" i="45"/>
  <c r="C285" i="45" s="1"/>
  <c r="O284" i="45"/>
  <c r="I284" i="45"/>
  <c r="B284" i="45"/>
  <c r="C284" i="45" s="1"/>
  <c r="O283" i="45"/>
  <c r="I283" i="45"/>
  <c r="B283" i="45"/>
  <c r="C283" i="45" s="1"/>
  <c r="O282" i="45"/>
  <c r="I282" i="45"/>
  <c r="B282" i="45"/>
  <c r="C282" i="45" s="1"/>
  <c r="O281" i="45"/>
  <c r="I281" i="45"/>
  <c r="B281" i="45"/>
  <c r="C281" i="45" s="1"/>
  <c r="O280" i="45"/>
  <c r="I280" i="45"/>
  <c r="B280" i="45"/>
  <c r="C280" i="45" s="1"/>
  <c r="O279" i="45"/>
  <c r="I279" i="45"/>
  <c r="B279" i="45"/>
  <c r="C279" i="45" s="1"/>
  <c r="O278" i="45"/>
  <c r="I278" i="45"/>
  <c r="B278" i="45"/>
  <c r="C278" i="45" s="1"/>
  <c r="O277" i="45"/>
  <c r="I277" i="45"/>
  <c r="B277" i="45"/>
  <c r="C277" i="45" s="1"/>
  <c r="O276" i="45"/>
  <c r="I276" i="45"/>
  <c r="B276" i="45"/>
  <c r="C276" i="45" s="1"/>
  <c r="O275" i="45"/>
  <c r="I275" i="45"/>
  <c r="B275" i="45"/>
  <c r="C275" i="45" s="1"/>
  <c r="O274" i="45"/>
  <c r="I274" i="45"/>
  <c r="B274" i="45"/>
  <c r="C274" i="45" s="1"/>
  <c r="O273" i="45"/>
  <c r="I273" i="45"/>
  <c r="B273" i="45"/>
  <c r="C273" i="45" s="1"/>
  <c r="O272" i="45"/>
  <c r="I272" i="45"/>
  <c r="B272" i="45"/>
  <c r="C272" i="45" s="1"/>
  <c r="O271" i="45"/>
  <c r="I271" i="45"/>
  <c r="B271" i="45"/>
  <c r="C271" i="45" s="1"/>
  <c r="O270" i="45"/>
  <c r="I270" i="45"/>
  <c r="B270" i="45"/>
  <c r="C270" i="45" s="1"/>
  <c r="O269" i="45"/>
  <c r="I269" i="45"/>
  <c r="B269" i="45"/>
  <c r="C269" i="45" s="1"/>
  <c r="O268" i="45"/>
  <c r="I268" i="45"/>
  <c r="B268" i="45"/>
  <c r="C268" i="45" s="1"/>
  <c r="O267" i="45"/>
  <c r="I267" i="45"/>
  <c r="B267" i="45"/>
  <c r="C267" i="45" s="1"/>
  <c r="O266" i="45"/>
  <c r="I266" i="45"/>
  <c r="B266" i="45"/>
  <c r="C266" i="45" s="1"/>
  <c r="O265" i="45"/>
  <c r="I265" i="45"/>
  <c r="B265" i="45"/>
  <c r="C265" i="45" s="1"/>
  <c r="O264" i="45"/>
  <c r="I264" i="45"/>
  <c r="B264" i="45"/>
  <c r="C264" i="45" s="1"/>
  <c r="O263" i="45"/>
  <c r="I263" i="45"/>
  <c r="B263" i="45"/>
  <c r="C263" i="45" s="1"/>
  <c r="O262" i="45"/>
  <c r="I262" i="45"/>
  <c r="B262" i="45"/>
  <c r="C262" i="45" s="1"/>
  <c r="O261" i="45"/>
  <c r="I261" i="45"/>
  <c r="B261" i="45"/>
  <c r="C261" i="45" s="1"/>
  <c r="O260" i="45"/>
  <c r="I260" i="45"/>
  <c r="B260" i="45"/>
  <c r="C260" i="45" s="1"/>
  <c r="O259" i="45"/>
  <c r="I259" i="45"/>
  <c r="B259" i="45"/>
  <c r="C259" i="45" s="1"/>
  <c r="O258" i="45"/>
  <c r="I258" i="45"/>
  <c r="B258" i="45"/>
  <c r="C258" i="45" s="1"/>
  <c r="O257" i="45"/>
  <c r="I257" i="45"/>
  <c r="B257" i="45"/>
  <c r="C257" i="45" s="1"/>
  <c r="O256" i="45"/>
  <c r="I256" i="45"/>
  <c r="B256" i="45"/>
  <c r="C256" i="45" s="1"/>
  <c r="O255" i="45"/>
  <c r="I255" i="45"/>
  <c r="B255" i="45"/>
  <c r="C255" i="45" s="1"/>
  <c r="O254" i="45"/>
  <c r="I254" i="45"/>
  <c r="B254" i="45"/>
  <c r="C254" i="45" s="1"/>
  <c r="O253" i="45"/>
  <c r="I253" i="45"/>
  <c r="B253" i="45"/>
  <c r="C253" i="45" s="1"/>
  <c r="O252" i="45"/>
  <c r="I252" i="45"/>
  <c r="B252" i="45"/>
  <c r="C252" i="45" s="1"/>
  <c r="O251" i="45"/>
  <c r="I251" i="45"/>
  <c r="B251" i="45"/>
  <c r="C251" i="45" s="1"/>
  <c r="O250" i="45"/>
  <c r="I250" i="45"/>
  <c r="B250" i="45"/>
  <c r="C250" i="45" s="1"/>
  <c r="O249" i="45"/>
  <c r="I249" i="45"/>
  <c r="B249" i="45"/>
  <c r="C249" i="45" s="1"/>
  <c r="O248" i="45"/>
  <c r="I248" i="45"/>
  <c r="B248" i="45"/>
  <c r="C248" i="45" s="1"/>
  <c r="O247" i="45"/>
  <c r="I247" i="45"/>
  <c r="B247" i="45"/>
  <c r="C247" i="45" s="1"/>
  <c r="O246" i="45"/>
  <c r="I246" i="45"/>
  <c r="B246" i="45"/>
  <c r="C246" i="45" s="1"/>
  <c r="O245" i="45"/>
  <c r="I245" i="45"/>
  <c r="B245" i="45"/>
  <c r="C245" i="45" s="1"/>
  <c r="O244" i="45"/>
  <c r="I244" i="45"/>
  <c r="B244" i="45"/>
  <c r="C244" i="45" s="1"/>
  <c r="O243" i="45"/>
  <c r="I243" i="45"/>
  <c r="B243" i="45"/>
  <c r="C243" i="45" s="1"/>
  <c r="O242" i="45"/>
  <c r="I242" i="45"/>
  <c r="B242" i="45"/>
  <c r="C242" i="45" s="1"/>
  <c r="O241" i="45"/>
  <c r="I241" i="45"/>
  <c r="B241" i="45"/>
  <c r="C241" i="45" s="1"/>
  <c r="O240" i="45"/>
  <c r="I240" i="45"/>
  <c r="B240" i="45"/>
  <c r="C240" i="45" s="1"/>
  <c r="O239" i="45"/>
  <c r="I239" i="45"/>
  <c r="B239" i="45"/>
  <c r="C239" i="45" s="1"/>
  <c r="O238" i="45"/>
  <c r="I238" i="45"/>
  <c r="B238" i="45"/>
  <c r="C238" i="45" s="1"/>
  <c r="O237" i="45"/>
  <c r="I237" i="45"/>
  <c r="B237" i="45"/>
  <c r="C237" i="45" s="1"/>
  <c r="O236" i="45"/>
  <c r="I236" i="45"/>
  <c r="B236" i="45"/>
  <c r="C236" i="45" s="1"/>
  <c r="O235" i="45"/>
  <c r="I235" i="45"/>
  <c r="B235" i="45"/>
  <c r="C235" i="45" s="1"/>
  <c r="O234" i="45"/>
  <c r="I234" i="45"/>
  <c r="B234" i="45"/>
  <c r="C234" i="45" s="1"/>
  <c r="O233" i="45"/>
  <c r="I233" i="45"/>
  <c r="B233" i="45"/>
  <c r="C233" i="45" s="1"/>
  <c r="O232" i="45"/>
  <c r="I232" i="45"/>
  <c r="B232" i="45"/>
  <c r="C232" i="45" s="1"/>
  <c r="O231" i="45"/>
  <c r="I231" i="45"/>
  <c r="B231" i="45"/>
  <c r="C231" i="45" s="1"/>
  <c r="O230" i="45"/>
  <c r="I230" i="45"/>
  <c r="B230" i="45"/>
  <c r="C230" i="45" s="1"/>
  <c r="O229" i="45"/>
  <c r="I229" i="45"/>
  <c r="B229" i="45"/>
  <c r="C229" i="45" s="1"/>
  <c r="O228" i="45"/>
  <c r="I228" i="45"/>
  <c r="B228" i="45"/>
  <c r="C228" i="45" s="1"/>
  <c r="O227" i="45"/>
  <c r="I227" i="45"/>
  <c r="B227" i="45"/>
  <c r="C227" i="45" s="1"/>
  <c r="O226" i="45"/>
  <c r="I226" i="45"/>
  <c r="B226" i="45"/>
  <c r="C226" i="45" s="1"/>
  <c r="O225" i="45"/>
  <c r="I225" i="45"/>
  <c r="B225" i="45"/>
  <c r="C225" i="45" s="1"/>
  <c r="O224" i="45"/>
  <c r="I224" i="45"/>
  <c r="B224" i="45"/>
  <c r="C224" i="45" s="1"/>
  <c r="O223" i="45"/>
  <c r="I223" i="45"/>
  <c r="B223" i="45"/>
  <c r="C223" i="45" s="1"/>
  <c r="O222" i="45"/>
  <c r="I222" i="45"/>
  <c r="B222" i="45"/>
  <c r="C222" i="45" s="1"/>
  <c r="O221" i="45"/>
  <c r="I221" i="45"/>
  <c r="B221" i="45"/>
  <c r="C221" i="45" s="1"/>
  <c r="O220" i="45"/>
  <c r="I220" i="45"/>
  <c r="B220" i="45"/>
  <c r="C220" i="45" s="1"/>
  <c r="O219" i="45"/>
  <c r="I219" i="45"/>
  <c r="B219" i="45"/>
  <c r="C219" i="45" s="1"/>
  <c r="O218" i="45"/>
  <c r="I218" i="45"/>
  <c r="B218" i="45"/>
  <c r="C218" i="45" s="1"/>
  <c r="O217" i="45"/>
  <c r="I217" i="45"/>
  <c r="B217" i="45"/>
  <c r="C217" i="45" s="1"/>
  <c r="O216" i="45"/>
  <c r="I216" i="45"/>
  <c r="B216" i="45"/>
  <c r="C216" i="45" s="1"/>
  <c r="O215" i="45"/>
  <c r="I215" i="45"/>
  <c r="B215" i="45"/>
  <c r="C215" i="45" s="1"/>
  <c r="O214" i="45"/>
  <c r="I214" i="45"/>
  <c r="B214" i="45"/>
  <c r="C214" i="45" s="1"/>
  <c r="O213" i="45"/>
  <c r="I213" i="45"/>
  <c r="B213" i="45"/>
  <c r="C213" i="45" s="1"/>
  <c r="O212" i="45"/>
  <c r="I212" i="45"/>
  <c r="B212" i="45"/>
  <c r="C212" i="45" s="1"/>
  <c r="O211" i="45"/>
  <c r="I211" i="45"/>
  <c r="B211" i="45"/>
  <c r="C211" i="45" s="1"/>
  <c r="O210" i="45"/>
  <c r="I210" i="45"/>
  <c r="B210" i="45"/>
  <c r="C210" i="45" s="1"/>
  <c r="O209" i="45"/>
  <c r="I209" i="45"/>
  <c r="B209" i="45"/>
  <c r="C209" i="45" s="1"/>
  <c r="O208" i="45"/>
  <c r="I208" i="45"/>
  <c r="B208" i="45"/>
  <c r="C208" i="45" s="1"/>
  <c r="O207" i="45"/>
  <c r="I207" i="45"/>
  <c r="B207" i="45"/>
  <c r="C207" i="45" s="1"/>
  <c r="O206" i="45"/>
  <c r="I206" i="45"/>
  <c r="B206" i="45"/>
  <c r="C206" i="45" s="1"/>
  <c r="O205" i="45"/>
  <c r="I205" i="45"/>
  <c r="B205" i="45"/>
  <c r="C205" i="45" s="1"/>
  <c r="O204" i="45"/>
  <c r="I204" i="45"/>
  <c r="B204" i="45"/>
  <c r="C204" i="45" s="1"/>
  <c r="O203" i="45"/>
  <c r="I203" i="45"/>
  <c r="B203" i="45"/>
  <c r="C203" i="45" s="1"/>
  <c r="O202" i="45"/>
  <c r="I202" i="45"/>
  <c r="B202" i="45"/>
  <c r="C202" i="45" s="1"/>
  <c r="O201" i="45"/>
  <c r="I201" i="45"/>
  <c r="B201" i="45"/>
  <c r="C201" i="45" s="1"/>
  <c r="O200" i="45"/>
  <c r="I200" i="45"/>
  <c r="B200" i="45"/>
  <c r="C200" i="45" s="1"/>
  <c r="O199" i="45"/>
  <c r="I199" i="45"/>
  <c r="B199" i="45"/>
  <c r="C199" i="45" s="1"/>
  <c r="O198" i="45"/>
  <c r="I198" i="45"/>
  <c r="B198" i="45"/>
  <c r="C198" i="45" s="1"/>
  <c r="O197" i="45"/>
  <c r="I197" i="45"/>
  <c r="B197" i="45"/>
  <c r="C197" i="45" s="1"/>
  <c r="O196" i="45"/>
  <c r="I196" i="45"/>
  <c r="B196" i="45"/>
  <c r="C196" i="45" s="1"/>
  <c r="O195" i="45"/>
  <c r="I195" i="45"/>
  <c r="B195" i="45"/>
  <c r="C195" i="45" s="1"/>
  <c r="O194" i="45"/>
  <c r="I194" i="45"/>
  <c r="B194" i="45"/>
  <c r="C194" i="45" s="1"/>
  <c r="O193" i="45"/>
  <c r="I193" i="45"/>
  <c r="B193" i="45"/>
  <c r="C193" i="45" s="1"/>
  <c r="O192" i="45"/>
  <c r="I192" i="45"/>
  <c r="B192" i="45"/>
  <c r="C192" i="45" s="1"/>
  <c r="O191" i="45"/>
  <c r="I191" i="45"/>
  <c r="B191" i="45"/>
  <c r="C191" i="45" s="1"/>
  <c r="O190" i="45"/>
  <c r="I190" i="45"/>
  <c r="B190" i="45"/>
  <c r="C190" i="45" s="1"/>
  <c r="O189" i="45"/>
  <c r="I189" i="45"/>
  <c r="B189" i="45"/>
  <c r="C189" i="45" s="1"/>
  <c r="O188" i="45"/>
  <c r="I188" i="45"/>
  <c r="B188" i="45"/>
  <c r="C188" i="45" s="1"/>
  <c r="O187" i="45"/>
  <c r="I187" i="45"/>
  <c r="B187" i="45"/>
  <c r="C187" i="45" s="1"/>
  <c r="O186" i="45"/>
  <c r="I186" i="45"/>
  <c r="B186" i="45"/>
  <c r="C186" i="45" s="1"/>
  <c r="O185" i="45"/>
  <c r="I185" i="45"/>
  <c r="B185" i="45"/>
  <c r="C185" i="45" s="1"/>
  <c r="O184" i="45"/>
  <c r="I184" i="45"/>
  <c r="B184" i="45"/>
  <c r="C184" i="45" s="1"/>
  <c r="O183" i="45"/>
  <c r="I183" i="45"/>
  <c r="B183" i="45"/>
  <c r="C183" i="45" s="1"/>
  <c r="O182" i="45"/>
  <c r="I182" i="45"/>
  <c r="B182" i="45"/>
  <c r="C182" i="45" s="1"/>
  <c r="O181" i="45"/>
  <c r="I181" i="45"/>
  <c r="B181" i="45"/>
  <c r="C181" i="45" s="1"/>
  <c r="O180" i="45"/>
  <c r="I180" i="45"/>
  <c r="B180" i="45"/>
  <c r="C180" i="45" s="1"/>
  <c r="O179" i="45"/>
  <c r="I179" i="45"/>
  <c r="B179" i="45"/>
  <c r="C179" i="45" s="1"/>
  <c r="O178" i="45"/>
  <c r="I178" i="45"/>
  <c r="B178" i="45"/>
  <c r="C178" i="45" s="1"/>
  <c r="O177" i="45"/>
  <c r="I177" i="45"/>
  <c r="B177" i="45"/>
  <c r="C177" i="45" s="1"/>
  <c r="O176" i="45"/>
  <c r="I176" i="45"/>
  <c r="B176" i="45"/>
  <c r="C176" i="45" s="1"/>
  <c r="O175" i="45"/>
  <c r="I175" i="45"/>
  <c r="B175" i="45"/>
  <c r="C175" i="45" s="1"/>
  <c r="O174" i="45"/>
  <c r="I174" i="45"/>
  <c r="B174" i="45"/>
  <c r="C174" i="45" s="1"/>
  <c r="O173" i="45"/>
  <c r="I173" i="45"/>
  <c r="B173" i="45"/>
  <c r="C173" i="45" s="1"/>
  <c r="O172" i="45"/>
  <c r="I172" i="45"/>
  <c r="B172" i="45"/>
  <c r="C172" i="45" s="1"/>
  <c r="O171" i="45"/>
  <c r="I171" i="45"/>
  <c r="B171" i="45"/>
  <c r="C171" i="45" s="1"/>
  <c r="O170" i="45"/>
  <c r="I170" i="45"/>
  <c r="B170" i="45"/>
  <c r="C170" i="45" s="1"/>
  <c r="O169" i="45"/>
  <c r="I169" i="45"/>
  <c r="B169" i="45"/>
  <c r="C169" i="45" s="1"/>
  <c r="O168" i="45"/>
  <c r="I168" i="45"/>
  <c r="B168" i="45"/>
  <c r="C168" i="45" s="1"/>
  <c r="O167" i="45"/>
  <c r="I167" i="45"/>
  <c r="B167" i="45"/>
  <c r="C167" i="45" s="1"/>
  <c r="O166" i="45"/>
  <c r="I166" i="45"/>
  <c r="B166" i="45"/>
  <c r="C166" i="45" s="1"/>
  <c r="O165" i="45"/>
  <c r="I165" i="45"/>
  <c r="B165" i="45"/>
  <c r="C165" i="45" s="1"/>
  <c r="O164" i="45"/>
  <c r="I164" i="45"/>
  <c r="B164" i="45"/>
  <c r="C164" i="45" s="1"/>
  <c r="O163" i="45"/>
  <c r="I163" i="45"/>
  <c r="B163" i="45"/>
  <c r="C163" i="45" s="1"/>
  <c r="O162" i="45"/>
  <c r="I162" i="45"/>
  <c r="B162" i="45"/>
  <c r="C162" i="45" s="1"/>
  <c r="O161" i="45"/>
  <c r="I161" i="45"/>
  <c r="B161" i="45"/>
  <c r="C161" i="45" s="1"/>
  <c r="O160" i="45"/>
  <c r="I160" i="45"/>
  <c r="B160" i="45"/>
  <c r="C160" i="45" s="1"/>
  <c r="O159" i="45"/>
  <c r="I159" i="45"/>
  <c r="B159" i="45"/>
  <c r="C159" i="45" s="1"/>
  <c r="O158" i="45"/>
  <c r="I158" i="45"/>
  <c r="B158" i="45"/>
  <c r="C158" i="45" s="1"/>
  <c r="O157" i="45"/>
  <c r="I157" i="45"/>
  <c r="B157" i="45"/>
  <c r="C157" i="45" s="1"/>
  <c r="O156" i="45"/>
  <c r="I156" i="45"/>
  <c r="B156" i="45"/>
  <c r="C156" i="45" s="1"/>
  <c r="O155" i="45"/>
  <c r="I155" i="45"/>
  <c r="B155" i="45"/>
  <c r="C155" i="45" s="1"/>
  <c r="O154" i="45"/>
  <c r="I154" i="45"/>
  <c r="B154" i="45"/>
  <c r="C154" i="45" s="1"/>
  <c r="O153" i="45"/>
  <c r="I153" i="45"/>
  <c r="B153" i="45"/>
  <c r="C153" i="45" s="1"/>
  <c r="O152" i="45"/>
  <c r="I152" i="45"/>
  <c r="B152" i="45"/>
  <c r="C152" i="45" s="1"/>
  <c r="O151" i="45"/>
  <c r="I151" i="45"/>
  <c r="B151" i="45"/>
  <c r="C151" i="45" s="1"/>
  <c r="O150" i="45"/>
  <c r="I150" i="45"/>
  <c r="B150" i="45"/>
  <c r="C150" i="45" s="1"/>
  <c r="O149" i="45"/>
  <c r="I149" i="45"/>
  <c r="B149" i="45"/>
  <c r="C149" i="45" s="1"/>
  <c r="O148" i="45"/>
  <c r="I148" i="45"/>
  <c r="B148" i="45"/>
  <c r="C148" i="45" s="1"/>
  <c r="O147" i="45"/>
  <c r="I147" i="45"/>
  <c r="B147" i="45"/>
  <c r="C147" i="45" s="1"/>
  <c r="O146" i="45"/>
  <c r="I146" i="45"/>
  <c r="B146" i="45"/>
  <c r="C146" i="45" s="1"/>
  <c r="O145" i="45"/>
  <c r="I145" i="45"/>
  <c r="B145" i="45"/>
  <c r="C145" i="45" s="1"/>
  <c r="O144" i="45"/>
  <c r="I144" i="45"/>
  <c r="B144" i="45"/>
  <c r="C144" i="45" s="1"/>
  <c r="O143" i="45"/>
  <c r="I143" i="45"/>
  <c r="B143" i="45"/>
  <c r="C143" i="45" s="1"/>
  <c r="O142" i="45"/>
  <c r="I142" i="45"/>
  <c r="B142" i="45"/>
  <c r="C142" i="45" s="1"/>
  <c r="O141" i="45"/>
  <c r="I141" i="45"/>
  <c r="B141" i="45"/>
  <c r="C141" i="45" s="1"/>
  <c r="O140" i="45"/>
  <c r="I140" i="45"/>
  <c r="B140" i="45"/>
  <c r="C140" i="45" s="1"/>
  <c r="O139" i="45"/>
  <c r="I139" i="45"/>
  <c r="B139" i="45"/>
  <c r="C139" i="45" s="1"/>
  <c r="O138" i="45"/>
  <c r="I138" i="45"/>
  <c r="B138" i="45"/>
  <c r="C138" i="45" s="1"/>
  <c r="O137" i="45"/>
  <c r="I137" i="45"/>
  <c r="B137" i="45"/>
  <c r="C137" i="45" s="1"/>
  <c r="O136" i="45"/>
  <c r="I136" i="45"/>
  <c r="B136" i="45"/>
  <c r="C136" i="45" s="1"/>
  <c r="O135" i="45"/>
  <c r="I135" i="45"/>
  <c r="B135" i="45"/>
  <c r="C135" i="45" s="1"/>
  <c r="O134" i="45"/>
  <c r="I134" i="45"/>
  <c r="B134" i="45"/>
  <c r="C134" i="45" s="1"/>
  <c r="O133" i="45"/>
  <c r="I133" i="45"/>
  <c r="B133" i="45"/>
  <c r="C133" i="45" s="1"/>
  <c r="O132" i="45"/>
  <c r="I132" i="45"/>
  <c r="B132" i="45"/>
  <c r="C132" i="45" s="1"/>
  <c r="O131" i="45"/>
  <c r="I131" i="45"/>
  <c r="B131" i="45"/>
  <c r="C131" i="45" s="1"/>
  <c r="O130" i="45"/>
  <c r="I130" i="45"/>
  <c r="B130" i="45"/>
  <c r="C130" i="45" s="1"/>
  <c r="O129" i="45"/>
  <c r="I129" i="45"/>
  <c r="B129" i="45"/>
  <c r="C129" i="45" s="1"/>
  <c r="O128" i="45"/>
  <c r="I128" i="45"/>
  <c r="B128" i="45"/>
  <c r="C128" i="45" s="1"/>
  <c r="O127" i="45"/>
  <c r="I127" i="45"/>
  <c r="B127" i="45"/>
  <c r="C127" i="45" s="1"/>
  <c r="O126" i="45"/>
  <c r="I126" i="45"/>
  <c r="B126" i="45"/>
  <c r="C126" i="45" s="1"/>
  <c r="O125" i="45"/>
  <c r="I125" i="45"/>
  <c r="B125" i="45"/>
  <c r="C125" i="45" s="1"/>
  <c r="O124" i="45"/>
  <c r="I124" i="45"/>
  <c r="B124" i="45"/>
  <c r="C124" i="45" s="1"/>
  <c r="O123" i="45"/>
  <c r="I123" i="45"/>
  <c r="B123" i="45"/>
  <c r="C123" i="45" s="1"/>
  <c r="O122" i="45"/>
  <c r="I122" i="45"/>
  <c r="B122" i="45"/>
  <c r="C122" i="45" s="1"/>
  <c r="O121" i="45"/>
  <c r="I121" i="45"/>
  <c r="B121" i="45"/>
  <c r="C121" i="45" s="1"/>
  <c r="O120" i="45"/>
  <c r="I120" i="45"/>
  <c r="B120" i="45"/>
  <c r="C120" i="45" s="1"/>
  <c r="O119" i="45"/>
  <c r="I119" i="45"/>
  <c r="B119" i="45"/>
  <c r="C119" i="45" s="1"/>
  <c r="O118" i="45"/>
  <c r="I118" i="45"/>
  <c r="B118" i="45"/>
  <c r="C118" i="45" s="1"/>
  <c r="O117" i="45"/>
  <c r="I117" i="45"/>
  <c r="B117" i="45"/>
  <c r="C117" i="45" s="1"/>
  <c r="O116" i="45"/>
  <c r="I116" i="45"/>
  <c r="B116" i="45"/>
  <c r="C116" i="45" s="1"/>
  <c r="O115" i="45"/>
  <c r="I115" i="45"/>
  <c r="B115" i="45"/>
  <c r="C115" i="45" s="1"/>
  <c r="O114" i="45"/>
  <c r="I114" i="45"/>
  <c r="B114" i="45"/>
  <c r="C114" i="45" s="1"/>
  <c r="O113" i="45"/>
  <c r="I113" i="45"/>
  <c r="B113" i="45"/>
  <c r="C113" i="45" s="1"/>
  <c r="O112" i="45"/>
  <c r="I112" i="45"/>
  <c r="B112" i="45"/>
  <c r="C112" i="45" s="1"/>
  <c r="O111" i="45"/>
  <c r="I111" i="45"/>
  <c r="B111" i="45"/>
  <c r="C111" i="45" s="1"/>
  <c r="O110" i="45"/>
  <c r="I110" i="45"/>
  <c r="B110" i="45"/>
  <c r="C110" i="45" s="1"/>
  <c r="O109" i="45"/>
  <c r="I109" i="45"/>
  <c r="B109" i="45"/>
  <c r="C109" i="45" s="1"/>
  <c r="O108" i="45"/>
  <c r="I108" i="45"/>
  <c r="B108" i="45"/>
  <c r="C108" i="45" s="1"/>
  <c r="O107" i="45"/>
  <c r="I107" i="45"/>
  <c r="B107" i="45"/>
  <c r="C107" i="45" s="1"/>
  <c r="O106" i="45"/>
  <c r="I106" i="45"/>
  <c r="B106" i="45"/>
  <c r="C106" i="45" s="1"/>
  <c r="O105" i="45"/>
  <c r="I105" i="45"/>
  <c r="B105" i="45"/>
  <c r="C105" i="45" s="1"/>
  <c r="O104" i="45"/>
  <c r="I104" i="45"/>
  <c r="B104" i="45"/>
  <c r="C104" i="45" s="1"/>
  <c r="O103" i="45"/>
  <c r="I103" i="45"/>
  <c r="B103" i="45"/>
  <c r="C103" i="45" s="1"/>
  <c r="O102" i="45"/>
  <c r="I102" i="45"/>
  <c r="B102" i="45"/>
  <c r="C102" i="45" s="1"/>
  <c r="O101" i="45"/>
  <c r="I101" i="45"/>
  <c r="B101" i="45"/>
  <c r="C101" i="45" s="1"/>
  <c r="O100" i="45"/>
  <c r="I100" i="45"/>
  <c r="B100" i="45"/>
  <c r="C100" i="45" s="1"/>
  <c r="O99" i="45"/>
  <c r="I99" i="45"/>
  <c r="B99" i="45"/>
  <c r="C99" i="45" s="1"/>
  <c r="O98" i="45"/>
  <c r="I98" i="45"/>
  <c r="B98" i="45"/>
  <c r="C98" i="45" s="1"/>
  <c r="O97" i="45"/>
  <c r="I97" i="45"/>
  <c r="B97" i="45"/>
  <c r="C97" i="45" s="1"/>
  <c r="O96" i="45"/>
  <c r="I96" i="45"/>
  <c r="B96" i="45"/>
  <c r="C96" i="45" s="1"/>
  <c r="O95" i="45"/>
  <c r="I95" i="45"/>
  <c r="B95" i="45"/>
  <c r="C95" i="45" s="1"/>
  <c r="O94" i="45"/>
  <c r="I94" i="45"/>
  <c r="B94" i="45"/>
  <c r="C94" i="45" s="1"/>
  <c r="O93" i="45"/>
  <c r="I93" i="45"/>
  <c r="B93" i="45"/>
  <c r="C93" i="45" s="1"/>
  <c r="O92" i="45"/>
  <c r="I92" i="45"/>
  <c r="B92" i="45"/>
  <c r="C92" i="45" s="1"/>
  <c r="O91" i="45"/>
  <c r="I91" i="45"/>
  <c r="B91" i="45"/>
  <c r="C91" i="45" s="1"/>
  <c r="O90" i="45"/>
  <c r="I90" i="45"/>
  <c r="B90" i="45"/>
  <c r="C90" i="45" s="1"/>
  <c r="O89" i="45"/>
  <c r="I89" i="45"/>
  <c r="B89" i="45"/>
  <c r="C89" i="45" s="1"/>
  <c r="O88" i="45"/>
  <c r="I88" i="45"/>
  <c r="B88" i="45"/>
  <c r="C88" i="45" s="1"/>
  <c r="O87" i="45"/>
  <c r="I87" i="45"/>
  <c r="B87" i="45"/>
  <c r="C87" i="45" s="1"/>
  <c r="O86" i="45"/>
  <c r="I86" i="45"/>
  <c r="B86" i="45"/>
  <c r="C86" i="45" s="1"/>
  <c r="O85" i="45"/>
  <c r="I85" i="45"/>
  <c r="B85" i="45"/>
  <c r="C85" i="45" s="1"/>
  <c r="O84" i="45"/>
  <c r="I84" i="45"/>
  <c r="B84" i="45"/>
  <c r="C84" i="45" s="1"/>
  <c r="O83" i="45"/>
  <c r="I83" i="45"/>
  <c r="B83" i="45"/>
  <c r="C83" i="45" s="1"/>
  <c r="O82" i="45"/>
  <c r="I82" i="45"/>
  <c r="B82" i="45"/>
  <c r="C82" i="45" s="1"/>
  <c r="O81" i="45"/>
  <c r="I81" i="45"/>
  <c r="B81" i="45"/>
  <c r="C81" i="45" s="1"/>
  <c r="O80" i="45"/>
  <c r="I80" i="45"/>
  <c r="B80" i="45"/>
  <c r="C80" i="45" s="1"/>
  <c r="O79" i="45"/>
  <c r="I79" i="45"/>
  <c r="B79" i="45"/>
  <c r="C79" i="45" s="1"/>
  <c r="O78" i="45"/>
  <c r="I78" i="45"/>
  <c r="B78" i="45"/>
  <c r="C78" i="45" s="1"/>
  <c r="O77" i="45"/>
  <c r="I77" i="45"/>
  <c r="B77" i="45"/>
  <c r="C77" i="45" s="1"/>
  <c r="O76" i="45"/>
  <c r="I76" i="45"/>
  <c r="B76" i="45"/>
  <c r="C76" i="45" s="1"/>
  <c r="O75" i="45"/>
  <c r="I75" i="45"/>
  <c r="B75" i="45"/>
  <c r="C75" i="45" s="1"/>
  <c r="O74" i="45"/>
  <c r="I74" i="45"/>
  <c r="B74" i="45"/>
  <c r="C74" i="45" s="1"/>
  <c r="O73" i="45"/>
  <c r="I73" i="45"/>
  <c r="B73" i="45"/>
  <c r="C73" i="45" s="1"/>
  <c r="O72" i="45"/>
  <c r="I72" i="45"/>
  <c r="B72" i="45"/>
  <c r="C72" i="45" s="1"/>
  <c r="O71" i="45"/>
  <c r="I71" i="45"/>
  <c r="B71" i="45"/>
  <c r="C71" i="45" s="1"/>
  <c r="O70" i="45"/>
  <c r="I70" i="45"/>
  <c r="B70" i="45"/>
  <c r="C70" i="45" s="1"/>
  <c r="O69" i="45"/>
  <c r="I69" i="45"/>
  <c r="B69" i="45"/>
  <c r="C69" i="45" s="1"/>
  <c r="O68" i="45"/>
  <c r="I68" i="45"/>
  <c r="B68" i="45"/>
  <c r="C68" i="45" s="1"/>
  <c r="O67" i="45"/>
  <c r="I67" i="45"/>
  <c r="B67" i="45"/>
  <c r="C67" i="45" s="1"/>
  <c r="O66" i="45"/>
  <c r="I66" i="45"/>
  <c r="B66" i="45"/>
  <c r="C66" i="45" s="1"/>
  <c r="O65" i="45"/>
  <c r="I65" i="45"/>
  <c r="B65" i="45"/>
  <c r="C65" i="45" s="1"/>
  <c r="O64" i="45"/>
  <c r="I64" i="45"/>
  <c r="B64" i="45"/>
  <c r="C64" i="45" s="1"/>
  <c r="O63" i="45"/>
  <c r="I63" i="45"/>
  <c r="B63" i="45"/>
  <c r="C63" i="45" s="1"/>
  <c r="O62" i="45"/>
  <c r="I62" i="45"/>
  <c r="B62" i="45"/>
  <c r="C62" i="45" s="1"/>
  <c r="O61" i="45"/>
  <c r="I61" i="45"/>
  <c r="B61" i="45"/>
  <c r="C61" i="45" s="1"/>
  <c r="O60" i="45"/>
  <c r="I60" i="45"/>
  <c r="B60" i="45"/>
  <c r="C60" i="45" s="1"/>
  <c r="O59" i="45"/>
  <c r="I59" i="45"/>
  <c r="B59" i="45"/>
  <c r="C59" i="45" s="1"/>
  <c r="O58" i="45"/>
  <c r="I58" i="45"/>
  <c r="B58" i="45"/>
  <c r="C58" i="45" s="1"/>
  <c r="O57" i="45"/>
  <c r="I57" i="45"/>
  <c r="B57" i="45"/>
  <c r="C57" i="45" s="1"/>
  <c r="O56" i="45"/>
  <c r="I56" i="45"/>
  <c r="B56" i="45"/>
  <c r="C56" i="45" s="1"/>
  <c r="O55" i="45"/>
  <c r="I55" i="45"/>
  <c r="B55" i="45"/>
  <c r="C55" i="45" s="1"/>
  <c r="O54" i="45"/>
  <c r="I54" i="45"/>
  <c r="B54" i="45"/>
  <c r="C54" i="45" s="1"/>
  <c r="O53" i="45"/>
  <c r="I53" i="45"/>
  <c r="B53" i="45"/>
  <c r="C53" i="45" s="1"/>
  <c r="O52" i="45"/>
  <c r="I52" i="45"/>
  <c r="B52" i="45"/>
  <c r="C52" i="45" s="1"/>
  <c r="O51" i="45"/>
  <c r="I51" i="45"/>
  <c r="B51" i="45"/>
  <c r="C51" i="45" s="1"/>
  <c r="O50" i="45"/>
  <c r="I50" i="45"/>
  <c r="B50" i="45"/>
  <c r="C50" i="45" s="1"/>
  <c r="O49" i="45"/>
  <c r="I49" i="45"/>
  <c r="B49" i="45"/>
  <c r="C49" i="45" s="1"/>
  <c r="O48" i="45"/>
  <c r="I48" i="45"/>
  <c r="B48" i="45"/>
  <c r="C48" i="45" s="1"/>
  <c r="O47" i="45"/>
  <c r="I47" i="45"/>
  <c r="B47" i="45"/>
  <c r="C47" i="45" s="1"/>
  <c r="O46" i="45"/>
  <c r="I46" i="45"/>
  <c r="B46" i="45"/>
  <c r="C46" i="45" s="1"/>
  <c r="O45" i="45"/>
  <c r="I45" i="45"/>
  <c r="B45" i="45"/>
  <c r="C45" i="45" s="1"/>
  <c r="O44" i="45"/>
  <c r="I44" i="45"/>
  <c r="B44" i="45"/>
  <c r="C44" i="45" s="1"/>
  <c r="O43" i="45"/>
  <c r="I43" i="45"/>
  <c r="B43" i="45"/>
  <c r="C43" i="45" s="1"/>
  <c r="O42" i="45"/>
  <c r="I42" i="45"/>
  <c r="B42" i="45"/>
  <c r="C42" i="45" s="1"/>
  <c r="O41" i="45"/>
  <c r="I41" i="45"/>
  <c r="B41" i="45"/>
  <c r="C41" i="45" s="1"/>
  <c r="O40" i="45"/>
  <c r="I40" i="45"/>
  <c r="B40" i="45"/>
  <c r="C40" i="45" s="1"/>
  <c r="O39" i="45"/>
  <c r="I39" i="45"/>
  <c r="B39" i="45"/>
  <c r="C39" i="45" s="1"/>
  <c r="O38" i="45"/>
  <c r="I38" i="45"/>
  <c r="B38" i="45"/>
  <c r="C38" i="45" s="1"/>
  <c r="O37" i="45"/>
  <c r="I37" i="45"/>
  <c r="B37" i="45"/>
  <c r="C37" i="45" s="1"/>
  <c r="O36" i="45"/>
  <c r="I36" i="45"/>
  <c r="B36" i="45"/>
  <c r="C36" i="45" s="1"/>
  <c r="O35" i="45"/>
  <c r="I35" i="45"/>
  <c r="B35" i="45"/>
  <c r="C35" i="45" s="1"/>
  <c r="O34" i="45"/>
  <c r="I34" i="45"/>
  <c r="B34" i="45"/>
  <c r="C34" i="45" s="1"/>
  <c r="O33" i="45"/>
  <c r="I33" i="45"/>
  <c r="B33" i="45"/>
  <c r="C33" i="45" s="1"/>
  <c r="O32" i="45"/>
  <c r="I32" i="45"/>
  <c r="B32" i="45"/>
  <c r="C32" i="45" s="1"/>
  <c r="O31" i="45"/>
  <c r="I31" i="45"/>
  <c r="B31" i="45"/>
  <c r="C31" i="45" s="1"/>
  <c r="O30" i="45"/>
  <c r="I30" i="45"/>
  <c r="B30" i="45"/>
  <c r="C30" i="45" s="1"/>
  <c r="O29" i="45"/>
  <c r="I29" i="45"/>
  <c r="B29" i="45"/>
  <c r="C29" i="45" s="1"/>
  <c r="O28" i="45"/>
  <c r="I28" i="45"/>
  <c r="B28" i="45"/>
  <c r="C28" i="45" s="1"/>
  <c r="O27" i="45"/>
  <c r="I27" i="45"/>
  <c r="B27" i="45"/>
  <c r="C27" i="45" s="1"/>
  <c r="O26" i="45"/>
  <c r="I26" i="45"/>
  <c r="B26" i="45"/>
  <c r="C26" i="45" s="1"/>
  <c r="O25" i="45"/>
  <c r="I25" i="45"/>
  <c r="B25" i="45"/>
  <c r="C25" i="45" s="1"/>
  <c r="O24" i="45"/>
  <c r="I24" i="45"/>
  <c r="B24" i="45"/>
  <c r="C24" i="45" s="1"/>
  <c r="O23" i="45"/>
  <c r="I23" i="45"/>
  <c r="B23" i="45"/>
  <c r="C23" i="45" s="1"/>
  <c r="O22" i="45"/>
  <c r="I22" i="45"/>
  <c r="B22" i="45"/>
  <c r="C22" i="45" s="1"/>
  <c r="O21" i="45"/>
  <c r="I21" i="45"/>
  <c r="B21" i="45"/>
  <c r="C21" i="45" s="1"/>
  <c r="O20" i="45"/>
  <c r="I20" i="45"/>
  <c r="B20" i="45"/>
  <c r="C20" i="45" s="1"/>
  <c r="O19" i="45"/>
  <c r="I19" i="45"/>
  <c r="B19" i="45"/>
  <c r="C19" i="45" s="1"/>
  <c r="O18" i="45"/>
  <c r="I18" i="45"/>
  <c r="B18" i="45"/>
  <c r="C18" i="45" s="1"/>
  <c r="O17" i="45"/>
  <c r="I17" i="45"/>
  <c r="B17" i="45"/>
  <c r="C17" i="45" s="1"/>
  <c r="O16" i="45"/>
  <c r="I16" i="45"/>
  <c r="B16" i="45"/>
  <c r="C16" i="45" s="1"/>
  <c r="O15" i="45"/>
  <c r="I15" i="45"/>
  <c r="B15" i="45"/>
  <c r="C15" i="45" s="1"/>
  <c r="O14" i="45"/>
  <c r="I14" i="45"/>
  <c r="B14" i="45"/>
  <c r="C14" i="45" s="1"/>
  <c r="O13" i="45"/>
  <c r="I13" i="45"/>
  <c r="B13" i="45"/>
  <c r="C13" i="45" s="1"/>
  <c r="O12" i="45"/>
  <c r="I12" i="45"/>
  <c r="B12" i="45"/>
  <c r="C12" i="45" s="1"/>
  <c r="O11" i="45"/>
  <c r="I11" i="45"/>
  <c r="B11" i="45"/>
  <c r="C11" i="45" s="1"/>
  <c r="O10" i="45"/>
  <c r="I10" i="45"/>
  <c r="B10" i="45"/>
  <c r="C10" i="45" s="1"/>
  <c r="O9" i="45"/>
  <c r="I9" i="45"/>
  <c r="B9" i="45"/>
  <c r="C9" i="45" s="1"/>
  <c r="O8" i="45"/>
  <c r="I8" i="45"/>
  <c r="B8" i="45"/>
  <c r="C8" i="45" s="1"/>
  <c r="O7" i="45"/>
  <c r="I7" i="45"/>
  <c r="B7" i="45"/>
  <c r="C7" i="45" s="1"/>
  <c r="O6" i="45"/>
  <c r="I6" i="45"/>
  <c r="B6" i="45"/>
  <c r="C6" i="45" s="1"/>
  <c r="O5" i="45"/>
  <c r="I5" i="45"/>
  <c r="B5" i="45"/>
  <c r="C5" i="45" s="1"/>
  <c r="O4" i="45"/>
  <c r="I4" i="45"/>
  <c r="B4" i="45"/>
  <c r="C4" i="45" s="1"/>
  <c r="O3" i="45"/>
  <c r="I3" i="45"/>
  <c r="B3" i="45"/>
  <c r="C3" i="45" s="1"/>
  <c r="K916" i="23"/>
  <c r="K915" i="23"/>
  <c r="K914" i="23"/>
  <c r="K913" i="23"/>
  <c r="K912" i="23"/>
  <c r="K911" i="23"/>
  <c r="K910" i="23"/>
  <c r="K909" i="23"/>
  <c r="K908" i="23"/>
  <c r="K907" i="23"/>
  <c r="K906" i="23"/>
  <c r="K905" i="23"/>
  <c r="K904" i="23"/>
  <c r="K903" i="23"/>
  <c r="K902" i="23"/>
  <c r="K901" i="23"/>
  <c r="K900" i="23"/>
  <c r="K899" i="23"/>
  <c r="K898" i="23"/>
  <c r="K897" i="23"/>
  <c r="K896" i="23"/>
  <c r="K895" i="23"/>
  <c r="K894" i="23"/>
  <c r="K893" i="23"/>
  <c r="K892" i="23"/>
  <c r="K891" i="23"/>
  <c r="K890" i="23"/>
  <c r="K889" i="23"/>
  <c r="K888" i="23"/>
  <c r="K887" i="23"/>
  <c r="K886" i="23"/>
  <c r="K885" i="23"/>
  <c r="K884" i="23"/>
  <c r="K883" i="23"/>
  <c r="K882" i="23"/>
  <c r="K881" i="23"/>
  <c r="K880" i="23"/>
  <c r="K879" i="23"/>
  <c r="K878" i="23"/>
  <c r="K877" i="23"/>
  <c r="K876" i="23"/>
  <c r="K875" i="23"/>
  <c r="K874" i="23"/>
  <c r="K873" i="23"/>
  <c r="K872" i="23"/>
  <c r="K871" i="23"/>
  <c r="K870" i="23"/>
  <c r="K869" i="23"/>
  <c r="K868" i="23"/>
  <c r="K867" i="23"/>
  <c r="K866" i="23"/>
  <c r="K865" i="23"/>
  <c r="K864" i="23"/>
  <c r="K863" i="23"/>
  <c r="K862" i="23"/>
  <c r="K861" i="23"/>
  <c r="K860" i="23"/>
  <c r="K859" i="23"/>
  <c r="K858" i="23"/>
  <c r="K857" i="23"/>
  <c r="K856" i="23"/>
  <c r="K855" i="23"/>
  <c r="K854" i="23"/>
  <c r="K853" i="23"/>
  <c r="K852" i="23"/>
  <c r="K851" i="23"/>
  <c r="K850" i="23"/>
  <c r="K849" i="23"/>
  <c r="K848" i="23"/>
  <c r="K847" i="23"/>
  <c r="K846" i="23"/>
  <c r="K845" i="23"/>
  <c r="K844" i="23"/>
  <c r="K843" i="23"/>
  <c r="K842" i="23"/>
  <c r="K841" i="23"/>
  <c r="K840" i="23"/>
  <c r="K839" i="23"/>
  <c r="K838" i="23"/>
  <c r="K837" i="23"/>
  <c r="K836" i="23"/>
  <c r="K835" i="23"/>
  <c r="K834" i="23"/>
  <c r="K833" i="23"/>
  <c r="K832" i="23"/>
  <c r="K831" i="23"/>
  <c r="K830" i="23"/>
  <c r="K829" i="23"/>
  <c r="K828" i="23"/>
  <c r="K827" i="23"/>
  <c r="K826" i="23"/>
  <c r="K825" i="23"/>
  <c r="K824" i="23"/>
  <c r="K823" i="23"/>
  <c r="K822" i="23"/>
  <c r="K821" i="23"/>
  <c r="K820" i="23"/>
  <c r="K819" i="23"/>
  <c r="K818" i="23"/>
  <c r="K817" i="23"/>
  <c r="K816" i="23"/>
  <c r="K815" i="23"/>
  <c r="K814" i="23"/>
  <c r="K813" i="23"/>
  <c r="K812" i="23"/>
  <c r="K811" i="23"/>
  <c r="K810" i="23"/>
  <c r="K809" i="23"/>
  <c r="K808" i="23"/>
  <c r="K807" i="23"/>
  <c r="K806" i="23"/>
  <c r="K805" i="23"/>
  <c r="K804" i="23"/>
  <c r="K803" i="23"/>
  <c r="K802" i="23"/>
  <c r="K801" i="23"/>
  <c r="K800" i="23"/>
  <c r="K799" i="23"/>
  <c r="K798" i="23"/>
  <c r="K797" i="23"/>
  <c r="K796" i="23"/>
  <c r="K795" i="23"/>
  <c r="K794" i="23"/>
  <c r="K793" i="23"/>
  <c r="K792" i="23"/>
  <c r="K791" i="23"/>
  <c r="K790" i="23"/>
  <c r="K789" i="23"/>
  <c r="K788" i="23"/>
  <c r="K787" i="23"/>
  <c r="K786" i="23"/>
  <c r="K785" i="23"/>
  <c r="K784" i="23"/>
  <c r="K783" i="23"/>
  <c r="K782" i="23"/>
  <c r="K781" i="23"/>
  <c r="K780" i="23"/>
  <c r="K779" i="23"/>
  <c r="K778" i="23"/>
  <c r="K777" i="23"/>
  <c r="K776" i="23"/>
  <c r="K775" i="23"/>
  <c r="K774" i="23"/>
  <c r="K773" i="23"/>
  <c r="K772" i="23"/>
  <c r="K771" i="23"/>
  <c r="K770" i="23"/>
  <c r="K769" i="23"/>
  <c r="K768" i="23"/>
  <c r="K767" i="23"/>
  <c r="K766" i="23"/>
  <c r="K765" i="23"/>
  <c r="K764" i="23"/>
  <c r="K763" i="23"/>
  <c r="K762" i="23"/>
  <c r="K761" i="23"/>
  <c r="K760" i="23"/>
  <c r="K759" i="23"/>
  <c r="K758" i="23"/>
  <c r="K757" i="23"/>
  <c r="K756" i="23"/>
  <c r="K755" i="23"/>
  <c r="K754" i="23"/>
  <c r="K753" i="23"/>
  <c r="K752" i="23"/>
  <c r="K751" i="23"/>
  <c r="K750" i="23"/>
  <c r="K749" i="23"/>
  <c r="K748" i="23"/>
  <c r="K747" i="23"/>
  <c r="K746" i="23"/>
  <c r="K745" i="23"/>
  <c r="K744" i="23"/>
  <c r="K743" i="23"/>
  <c r="K742" i="23"/>
  <c r="K741" i="23"/>
  <c r="K740" i="23"/>
  <c r="K739" i="23"/>
  <c r="K738" i="23"/>
  <c r="K737" i="23"/>
  <c r="K736" i="23"/>
  <c r="K735" i="23"/>
  <c r="K734" i="23"/>
  <c r="K733" i="23"/>
  <c r="K732" i="23"/>
  <c r="K731" i="23"/>
  <c r="K730" i="23"/>
  <c r="K729" i="23"/>
  <c r="K728" i="23"/>
  <c r="K727" i="23"/>
  <c r="K726" i="23"/>
  <c r="K725" i="23"/>
  <c r="K724" i="23"/>
  <c r="K723" i="23"/>
  <c r="K722" i="23"/>
  <c r="K721" i="23"/>
  <c r="K720" i="23"/>
  <c r="K719" i="23"/>
  <c r="K718" i="23"/>
  <c r="K717" i="23"/>
  <c r="K716" i="23"/>
  <c r="K715" i="23"/>
  <c r="K714" i="23"/>
  <c r="K713" i="23"/>
  <c r="K712" i="23"/>
  <c r="K711" i="23"/>
  <c r="K710" i="23"/>
  <c r="K709" i="23"/>
  <c r="K708" i="23"/>
  <c r="K707" i="23"/>
  <c r="K706" i="23"/>
  <c r="K705" i="23"/>
  <c r="K704" i="23"/>
  <c r="K703" i="23"/>
  <c r="K702" i="23"/>
  <c r="K701" i="23"/>
  <c r="K700" i="23"/>
  <c r="K699" i="23"/>
  <c r="K698" i="23"/>
  <c r="K697" i="23"/>
  <c r="K696" i="23"/>
  <c r="K695" i="23"/>
  <c r="K694" i="23"/>
  <c r="K693" i="23"/>
  <c r="K692" i="23"/>
  <c r="K691" i="23"/>
  <c r="K690" i="23"/>
  <c r="K689" i="23"/>
  <c r="K688" i="23"/>
  <c r="K687" i="23"/>
  <c r="K686" i="23"/>
  <c r="K685" i="23"/>
  <c r="K684" i="23"/>
  <c r="K683" i="23"/>
  <c r="K682" i="23"/>
  <c r="K681" i="23"/>
  <c r="K680" i="23"/>
  <c r="K679" i="23"/>
  <c r="K678" i="23"/>
  <c r="K677" i="23"/>
  <c r="K676" i="23"/>
  <c r="K675" i="23"/>
  <c r="K674" i="23"/>
  <c r="K673" i="23"/>
  <c r="K672" i="23"/>
  <c r="K671" i="23"/>
  <c r="K670" i="23"/>
  <c r="K669" i="23"/>
  <c r="K668" i="23"/>
  <c r="K667" i="23"/>
  <c r="K666" i="23"/>
  <c r="K665" i="23"/>
  <c r="K664" i="23"/>
  <c r="K663" i="23"/>
  <c r="K662" i="23"/>
  <c r="K661" i="23"/>
  <c r="K660" i="23"/>
  <c r="K659" i="23"/>
  <c r="K658" i="23"/>
  <c r="K657" i="23"/>
  <c r="K656" i="23"/>
  <c r="K655" i="23"/>
  <c r="K654" i="23"/>
  <c r="K653" i="23"/>
  <c r="K652" i="23"/>
  <c r="K651" i="23"/>
  <c r="K650" i="23"/>
  <c r="K649" i="23"/>
  <c r="K648" i="23"/>
  <c r="K647" i="23"/>
  <c r="K646" i="23"/>
  <c r="K645" i="23"/>
  <c r="K644" i="23"/>
  <c r="K643" i="23"/>
  <c r="K642" i="23"/>
  <c r="K641" i="23"/>
  <c r="K640" i="23"/>
  <c r="K639" i="23"/>
  <c r="K638" i="23"/>
  <c r="K637" i="23"/>
  <c r="K636" i="23"/>
  <c r="K635" i="23"/>
  <c r="K634" i="23"/>
  <c r="K633" i="23"/>
  <c r="K632" i="23"/>
  <c r="K631" i="23"/>
  <c r="K630" i="23"/>
  <c r="K629" i="23"/>
  <c r="K628" i="23"/>
  <c r="K627" i="23"/>
  <c r="K626" i="23"/>
  <c r="K625" i="23"/>
  <c r="K624" i="23"/>
  <c r="K623" i="23"/>
  <c r="K622" i="23"/>
  <c r="K621" i="23"/>
  <c r="K620" i="23"/>
  <c r="K619" i="23"/>
  <c r="K618" i="23"/>
  <c r="K617" i="23"/>
  <c r="K616" i="23"/>
  <c r="K615" i="23"/>
  <c r="K614" i="23"/>
  <c r="K613" i="23"/>
  <c r="K612" i="23"/>
  <c r="K611" i="23"/>
  <c r="K610" i="23"/>
  <c r="K609" i="23"/>
  <c r="K608" i="23"/>
  <c r="K607" i="23"/>
  <c r="K606" i="23"/>
  <c r="K605" i="23"/>
  <c r="K604" i="23"/>
  <c r="K603" i="23"/>
  <c r="K602" i="23"/>
  <c r="K601" i="23"/>
  <c r="K600" i="23"/>
  <c r="K599" i="23"/>
  <c r="K598" i="23"/>
  <c r="K597" i="23"/>
  <c r="K596" i="23"/>
  <c r="K595" i="23"/>
  <c r="K594" i="23"/>
  <c r="K593" i="23"/>
  <c r="K592" i="23"/>
  <c r="K591" i="23"/>
  <c r="K590" i="23"/>
  <c r="K589" i="23"/>
  <c r="K588" i="23"/>
  <c r="K587" i="23"/>
  <c r="K586" i="23"/>
  <c r="K585" i="23"/>
  <c r="K584" i="23"/>
  <c r="K583" i="23"/>
  <c r="K582" i="23"/>
  <c r="K581" i="23"/>
  <c r="K580" i="23"/>
  <c r="K579" i="23"/>
  <c r="K578" i="23"/>
  <c r="K577" i="23"/>
  <c r="K576" i="23"/>
  <c r="K575" i="23"/>
  <c r="K574" i="23"/>
  <c r="K573" i="23"/>
  <c r="K572" i="23"/>
  <c r="K571" i="23"/>
  <c r="K570" i="23"/>
  <c r="K569" i="23"/>
  <c r="K568" i="23"/>
  <c r="K567" i="23"/>
  <c r="K566" i="23"/>
  <c r="K565" i="23"/>
  <c r="K564" i="23"/>
  <c r="K563" i="23"/>
  <c r="K562" i="23"/>
  <c r="K561" i="23"/>
  <c r="K560" i="23"/>
  <c r="K559" i="23"/>
  <c r="K558" i="23"/>
  <c r="K557" i="23"/>
  <c r="K556" i="23"/>
  <c r="K555" i="23"/>
  <c r="K554" i="23"/>
  <c r="K553" i="23"/>
  <c r="K552" i="23"/>
  <c r="K551" i="23"/>
  <c r="K550" i="23"/>
  <c r="K549" i="23"/>
  <c r="K548" i="23"/>
  <c r="K547" i="23"/>
  <c r="K546" i="23"/>
  <c r="K545" i="23"/>
  <c r="K544" i="23"/>
  <c r="K543" i="23"/>
  <c r="K542" i="23"/>
  <c r="K541" i="23"/>
  <c r="K540" i="23"/>
  <c r="K539" i="23"/>
  <c r="K538" i="23"/>
  <c r="K537" i="23"/>
  <c r="K536" i="23"/>
  <c r="K535" i="23"/>
  <c r="K534" i="23"/>
  <c r="K533" i="23"/>
  <c r="K532" i="23"/>
  <c r="K531" i="23"/>
  <c r="K530" i="23"/>
  <c r="K529" i="23"/>
  <c r="K528" i="23"/>
  <c r="K527" i="23"/>
  <c r="K526" i="23"/>
  <c r="K525" i="23"/>
  <c r="K524" i="23"/>
  <c r="K523" i="23"/>
  <c r="K522" i="23"/>
  <c r="K521" i="23"/>
  <c r="K520" i="23"/>
  <c r="K519" i="23"/>
  <c r="K518" i="23"/>
  <c r="K517" i="23"/>
  <c r="K516" i="23"/>
  <c r="K515" i="23"/>
  <c r="K514" i="23"/>
  <c r="K513" i="23"/>
  <c r="K512" i="23"/>
  <c r="K511" i="23"/>
  <c r="K510" i="23"/>
  <c r="K509" i="23"/>
  <c r="K508" i="23"/>
  <c r="K507" i="23"/>
  <c r="K506" i="23"/>
  <c r="K505" i="23"/>
  <c r="K504" i="23"/>
  <c r="K503" i="23"/>
  <c r="K502" i="23"/>
  <c r="K501" i="23"/>
  <c r="K500" i="23"/>
  <c r="K499" i="23"/>
  <c r="K498" i="23"/>
  <c r="K497" i="23"/>
  <c r="K496" i="23"/>
  <c r="K495" i="23"/>
  <c r="K494" i="23"/>
  <c r="K493" i="23"/>
  <c r="K492" i="23"/>
  <c r="K491" i="23"/>
  <c r="K490" i="23"/>
  <c r="K489" i="23"/>
  <c r="K488" i="23"/>
  <c r="K487" i="23"/>
  <c r="K486" i="23"/>
  <c r="K485" i="23"/>
  <c r="K484" i="23"/>
  <c r="K483" i="23"/>
  <c r="K482" i="23"/>
  <c r="K481" i="23"/>
  <c r="K480" i="23"/>
  <c r="K479" i="23"/>
  <c r="K478" i="23"/>
  <c r="K477" i="23"/>
  <c r="K476" i="23"/>
  <c r="K475" i="23"/>
  <c r="K474" i="23"/>
  <c r="K473" i="23"/>
  <c r="K472" i="23"/>
  <c r="K471" i="23"/>
  <c r="K470" i="23"/>
  <c r="K469" i="23"/>
  <c r="K468" i="23"/>
  <c r="K467" i="23"/>
  <c r="K466" i="23"/>
  <c r="K465" i="23"/>
  <c r="K464" i="23"/>
  <c r="K463" i="23"/>
  <c r="K462" i="23"/>
  <c r="K461" i="23"/>
  <c r="K460" i="23"/>
  <c r="K459" i="23"/>
  <c r="K458" i="23"/>
  <c r="K457" i="23"/>
  <c r="K456" i="23"/>
  <c r="K455" i="23"/>
  <c r="K454" i="23"/>
  <c r="K453" i="23"/>
  <c r="K452" i="23"/>
  <c r="K451" i="23"/>
  <c r="K450" i="23"/>
  <c r="K449" i="23"/>
  <c r="K448" i="23"/>
  <c r="K447" i="23"/>
  <c r="K446" i="23"/>
  <c r="K445" i="23"/>
  <c r="K444" i="23"/>
  <c r="K443" i="23"/>
  <c r="K442" i="23"/>
  <c r="K441" i="23"/>
  <c r="K440" i="23"/>
  <c r="K439" i="23"/>
  <c r="K438" i="23"/>
  <c r="K437" i="23"/>
  <c r="K436" i="23"/>
  <c r="K435" i="23"/>
  <c r="K434" i="23"/>
  <c r="K433" i="23"/>
  <c r="K432" i="23"/>
  <c r="K431" i="23"/>
  <c r="K430" i="23"/>
  <c r="K429" i="23"/>
  <c r="K428" i="23"/>
  <c r="K427" i="23"/>
  <c r="K426" i="23"/>
  <c r="K425" i="23"/>
  <c r="K424" i="23"/>
  <c r="K423" i="23"/>
  <c r="K422" i="23"/>
  <c r="K421" i="23"/>
  <c r="K420" i="23"/>
  <c r="K419" i="23"/>
  <c r="K418" i="23"/>
  <c r="K417" i="23"/>
  <c r="K416" i="23"/>
  <c r="K415" i="23"/>
  <c r="K414" i="23"/>
  <c r="K413" i="23"/>
  <c r="K412" i="23"/>
  <c r="K411" i="23"/>
  <c r="K410" i="23"/>
  <c r="K409" i="23"/>
  <c r="K408" i="23"/>
  <c r="K407" i="23"/>
  <c r="K406" i="23"/>
  <c r="K405" i="23"/>
  <c r="K404" i="23"/>
  <c r="K403" i="23"/>
  <c r="K402" i="23"/>
  <c r="K401" i="23"/>
  <c r="K400" i="23"/>
  <c r="K399" i="23"/>
  <c r="K398" i="23"/>
  <c r="K397" i="23"/>
  <c r="K396" i="23"/>
  <c r="K395" i="23"/>
  <c r="K394" i="23"/>
  <c r="K393" i="23"/>
  <c r="K392" i="23"/>
  <c r="K391" i="23"/>
  <c r="K390" i="23"/>
  <c r="K389" i="23"/>
  <c r="K388" i="23"/>
  <c r="K387" i="23"/>
  <c r="K386" i="23"/>
  <c r="K385" i="23"/>
  <c r="K384" i="23"/>
  <c r="K383" i="23"/>
  <c r="K382" i="23"/>
  <c r="K381" i="23"/>
  <c r="K380" i="23"/>
  <c r="K379" i="23"/>
  <c r="K378" i="23"/>
  <c r="K377" i="23"/>
  <c r="K376" i="23"/>
  <c r="K375" i="23"/>
  <c r="K374" i="23"/>
  <c r="K373" i="23"/>
  <c r="K372" i="23"/>
  <c r="K371" i="23"/>
  <c r="K370" i="23"/>
  <c r="K369" i="23"/>
  <c r="K368" i="23"/>
  <c r="K367" i="23"/>
  <c r="K366" i="23"/>
  <c r="K365" i="23"/>
  <c r="K364" i="23"/>
  <c r="K363" i="23"/>
  <c r="K362" i="23"/>
  <c r="K361" i="23"/>
  <c r="K360" i="23"/>
  <c r="K359" i="23"/>
  <c r="K358" i="23"/>
  <c r="K357" i="23"/>
  <c r="K356" i="23"/>
  <c r="K355" i="23"/>
  <c r="K354" i="23"/>
  <c r="K353" i="23"/>
  <c r="K352" i="23"/>
  <c r="K351" i="23"/>
  <c r="K350" i="23"/>
  <c r="K349" i="23"/>
  <c r="K348" i="23"/>
  <c r="K347" i="23"/>
  <c r="K346" i="23"/>
  <c r="K345" i="23"/>
  <c r="K344" i="23"/>
  <c r="K343" i="23"/>
  <c r="K342" i="23"/>
  <c r="K341" i="23"/>
  <c r="K340" i="23"/>
  <c r="K339" i="23"/>
  <c r="K338" i="23"/>
  <c r="K337" i="23"/>
  <c r="K336" i="23"/>
  <c r="K335" i="23"/>
  <c r="K334" i="23"/>
  <c r="K333" i="23"/>
  <c r="K332" i="23"/>
  <c r="K331" i="23"/>
  <c r="K330" i="23"/>
  <c r="K329" i="23"/>
  <c r="K328" i="23"/>
  <c r="K327" i="23"/>
  <c r="K326" i="23"/>
  <c r="K325" i="23"/>
  <c r="K324" i="23"/>
  <c r="K323" i="23"/>
  <c r="K322" i="23"/>
  <c r="K321" i="23"/>
  <c r="K320" i="23"/>
  <c r="K319" i="23"/>
  <c r="K318" i="23"/>
  <c r="K317" i="23"/>
  <c r="K316" i="23"/>
  <c r="K315" i="23"/>
  <c r="K314" i="23"/>
  <c r="K313" i="23"/>
  <c r="K312" i="23"/>
  <c r="K311" i="23"/>
  <c r="K310" i="23"/>
  <c r="K309" i="23"/>
  <c r="K308" i="23"/>
  <c r="K307" i="23"/>
  <c r="K306" i="23"/>
  <c r="K305" i="23"/>
  <c r="K304" i="23"/>
  <c r="K303" i="23"/>
  <c r="K302" i="23"/>
  <c r="K301" i="23"/>
  <c r="K300" i="23"/>
  <c r="K299" i="23"/>
  <c r="K298" i="23"/>
  <c r="K297" i="23"/>
  <c r="K296" i="23"/>
  <c r="K295" i="23"/>
  <c r="K294" i="23"/>
  <c r="K293" i="23"/>
  <c r="K292" i="23"/>
  <c r="K291" i="23"/>
  <c r="K290" i="23"/>
  <c r="K289" i="23"/>
  <c r="K288" i="23"/>
  <c r="K287" i="23"/>
  <c r="K286" i="23"/>
  <c r="K285" i="23"/>
  <c r="K284" i="23"/>
  <c r="K283" i="23"/>
  <c r="K282" i="23"/>
  <c r="K281" i="23"/>
  <c r="K280" i="23"/>
  <c r="K279" i="23"/>
  <c r="K278" i="23"/>
  <c r="K277" i="23"/>
  <c r="K276" i="23"/>
  <c r="K275" i="23"/>
  <c r="K274" i="23"/>
  <c r="K273" i="23"/>
  <c r="K272" i="23"/>
  <c r="K271" i="23"/>
  <c r="K270" i="23"/>
  <c r="K269" i="23"/>
  <c r="K268" i="23"/>
  <c r="K267" i="23"/>
  <c r="K266" i="23"/>
  <c r="K265" i="23"/>
  <c r="K264" i="23"/>
  <c r="K263" i="23"/>
  <c r="K262" i="23"/>
  <c r="K261" i="23"/>
  <c r="K260" i="23"/>
  <c r="K259" i="23"/>
  <c r="K258" i="23"/>
  <c r="K257" i="23"/>
  <c r="K256" i="23"/>
  <c r="K255" i="23"/>
  <c r="K254" i="23"/>
  <c r="K253" i="23"/>
  <c r="K252" i="23"/>
  <c r="K251" i="23"/>
  <c r="K250" i="23"/>
  <c r="K249" i="23"/>
  <c r="K248" i="23"/>
  <c r="K247" i="23"/>
  <c r="K246" i="23"/>
  <c r="K245" i="23"/>
  <c r="K244" i="23"/>
  <c r="K243" i="23"/>
  <c r="K242" i="23"/>
  <c r="K241" i="23"/>
  <c r="K240" i="23"/>
  <c r="K239" i="23"/>
  <c r="K238" i="23"/>
  <c r="K237" i="23"/>
  <c r="K236" i="23"/>
  <c r="K235" i="23"/>
  <c r="K234" i="23"/>
  <c r="K233" i="23"/>
  <c r="K232" i="23"/>
  <c r="K231" i="23"/>
  <c r="K230" i="23"/>
  <c r="K229" i="23"/>
  <c r="K228" i="23"/>
  <c r="K227" i="23"/>
  <c r="K226" i="23"/>
  <c r="K225" i="23"/>
  <c r="K224" i="23"/>
  <c r="K223" i="23"/>
  <c r="K222" i="23"/>
  <c r="K221" i="23"/>
  <c r="K220" i="23"/>
  <c r="K219" i="23"/>
  <c r="K218" i="23"/>
  <c r="K217" i="23"/>
  <c r="K216" i="23"/>
  <c r="K215" i="23"/>
  <c r="K214" i="23"/>
  <c r="K213" i="23"/>
  <c r="K212" i="23"/>
  <c r="K211" i="23"/>
  <c r="K210" i="23"/>
  <c r="K209" i="23"/>
  <c r="K208" i="23"/>
  <c r="K207" i="23"/>
  <c r="K206" i="23"/>
  <c r="K205" i="23"/>
  <c r="K204" i="23"/>
  <c r="K203" i="23"/>
  <c r="K202" i="23"/>
  <c r="K201" i="23"/>
  <c r="K200" i="23"/>
  <c r="K199" i="23"/>
  <c r="K198" i="23"/>
  <c r="K197" i="23"/>
  <c r="K196" i="23"/>
  <c r="K195" i="23"/>
  <c r="K194" i="23"/>
  <c r="K193" i="23"/>
  <c r="K192" i="23"/>
  <c r="K191" i="23"/>
  <c r="K190" i="23"/>
  <c r="K189" i="23"/>
  <c r="K188" i="23"/>
  <c r="K187" i="23"/>
  <c r="K186" i="23"/>
  <c r="K185" i="23"/>
  <c r="K184" i="23"/>
  <c r="K183" i="23"/>
  <c r="K182" i="23"/>
  <c r="K181" i="23"/>
  <c r="K180" i="23"/>
  <c r="K179" i="23"/>
  <c r="K178" i="23"/>
  <c r="K177" i="23"/>
  <c r="K176" i="23"/>
  <c r="K175" i="23"/>
  <c r="K174" i="23"/>
  <c r="K173" i="23"/>
  <c r="K172" i="23"/>
  <c r="K171" i="23"/>
  <c r="K170" i="23"/>
  <c r="K169" i="23"/>
  <c r="K168" i="23"/>
  <c r="K167" i="23"/>
  <c r="K166" i="23"/>
  <c r="K165" i="23"/>
  <c r="K164" i="23"/>
  <c r="K163" i="23"/>
  <c r="K162" i="23"/>
  <c r="K161" i="23"/>
  <c r="K160" i="23"/>
  <c r="K159" i="23"/>
  <c r="K158" i="23"/>
  <c r="K157" i="23"/>
  <c r="K156" i="23"/>
  <c r="K155" i="23"/>
  <c r="K154" i="23"/>
  <c r="K153" i="23"/>
  <c r="K152" i="23"/>
  <c r="K151" i="23"/>
  <c r="K150" i="23"/>
  <c r="K149" i="23"/>
  <c r="K148" i="23"/>
  <c r="K147" i="23"/>
  <c r="K146" i="23"/>
  <c r="K145" i="23"/>
  <c r="K144" i="23"/>
  <c r="K143" i="23"/>
  <c r="K142" i="23"/>
  <c r="K141" i="23"/>
  <c r="K140" i="23"/>
  <c r="K139" i="23"/>
  <c r="K138" i="23"/>
  <c r="K137" i="23"/>
  <c r="K136" i="23"/>
  <c r="K135" i="23"/>
  <c r="K134" i="23"/>
  <c r="K133" i="23"/>
  <c r="K132" i="23"/>
  <c r="K131" i="23"/>
  <c r="K130" i="23"/>
  <c r="K129" i="23"/>
  <c r="K128" i="23"/>
  <c r="K127" i="23"/>
  <c r="K126" i="23"/>
  <c r="K125" i="23"/>
  <c r="K124" i="23"/>
  <c r="K123" i="23"/>
  <c r="K122" i="23"/>
  <c r="K121" i="23"/>
  <c r="K120" i="23"/>
  <c r="K119" i="23"/>
  <c r="K118" i="23"/>
  <c r="K117" i="23"/>
  <c r="K116" i="23"/>
  <c r="K115" i="23"/>
  <c r="K114" i="23"/>
  <c r="K113" i="23"/>
  <c r="K112" i="23"/>
  <c r="K111" i="23"/>
  <c r="K110" i="23"/>
  <c r="K109" i="23"/>
  <c r="K108" i="23"/>
  <c r="K107" i="23"/>
  <c r="K106" i="23"/>
  <c r="K105" i="23"/>
  <c r="K104" i="23"/>
  <c r="K103" i="23"/>
  <c r="K102" i="23"/>
  <c r="K101" i="23"/>
  <c r="K100" i="23"/>
  <c r="K99" i="23"/>
  <c r="K98" i="23"/>
  <c r="K97" i="23"/>
  <c r="K96" i="23"/>
  <c r="K95" i="23"/>
  <c r="K94" i="23"/>
  <c r="K93" i="23"/>
  <c r="K92" i="23"/>
  <c r="K91" i="23"/>
  <c r="K90" i="23"/>
  <c r="K89" i="23"/>
  <c r="K88" i="23"/>
  <c r="K87" i="23"/>
  <c r="K86" i="23"/>
  <c r="K85"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D15" i="23"/>
  <c r="D14" i="23"/>
  <c r="D13" i="23"/>
  <c r="B9" i="23"/>
  <c r="E152" i="59"/>
  <c r="E151" i="59"/>
  <c r="E150" i="59"/>
  <c r="E149" i="59"/>
  <c r="E148" i="59"/>
  <c r="E101" i="59"/>
  <c r="E100" i="59"/>
  <c r="E99" i="59"/>
  <c r="C99" i="59"/>
  <c r="E98" i="59"/>
  <c r="C98" i="59"/>
  <c r="E97" i="59"/>
  <c r="C97" i="59"/>
  <c r="E96" i="59"/>
  <c r="C96" i="59"/>
  <c r="E95" i="59"/>
  <c r="C95" i="59"/>
  <c r="E94" i="59"/>
  <c r="C94" i="59"/>
  <c r="E93" i="59"/>
  <c r="C93" i="59"/>
  <c r="E92" i="59"/>
  <c r="C92" i="59"/>
  <c r="E91" i="59"/>
  <c r="C91" i="59"/>
  <c r="E90" i="59"/>
  <c r="C90" i="59"/>
  <c r="E89" i="59"/>
  <c r="C89" i="59"/>
  <c r="E88" i="59"/>
  <c r="C88" i="59"/>
  <c r="E87" i="59"/>
  <c r="B87" i="59"/>
  <c r="C87" i="59" s="1"/>
  <c r="E86" i="59"/>
  <c r="B86" i="59"/>
  <c r="C86" i="59" s="1"/>
  <c r="E85" i="59"/>
  <c r="C85" i="59"/>
  <c r="E84" i="59"/>
  <c r="E83" i="59"/>
  <c r="C83" i="59"/>
  <c r="E82" i="59"/>
  <c r="E81" i="59"/>
  <c r="C81" i="59"/>
  <c r="E80" i="59"/>
  <c r="C80" i="59"/>
  <c r="E79" i="59"/>
  <c r="E78" i="59"/>
  <c r="C78" i="59"/>
  <c r="E77" i="59"/>
  <c r="C77" i="59"/>
  <c r="E76" i="59"/>
  <c r="C76" i="59"/>
  <c r="E75" i="59"/>
  <c r="C75" i="59"/>
  <c r="E74" i="59"/>
  <c r="B74" i="59"/>
  <c r="C74" i="59" s="1"/>
  <c r="E73" i="59"/>
  <c r="B73" i="59"/>
  <c r="C73" i="59" s="1"/>
  <c r="E72" i="59"/>
  <c r="B72" i="59"/>
  <c r="C72" i="59" s="1"/>
  <c r="E71" i="59"/>
  <c r="C71" i="59"/>
  <c r="E70" i="59"/>
  <c r="C70" i="59"/>
  <c r="E69" i="59"/>
  <c r="C69" i="59"/>
  <c r="E68" i="59"/>
  <c r="C68" i="59"/>
  <c r="E67" i="59"/>
  <c r="B67" i="59"/>
  <c r="C67" i="59" s="1"/>
  <c r="E66" i="59"/>
  <c r="B66" i="59"/>
  <c r="C66" i="59" s="1"/>
  <c r="E65" i="59"/>
  <c r="B65" i="59"/>
  <c r="C65" i="59" s="1"/>
  <c r="E64" i="59"/>
  <c r="B64" i="59"/>
  <c r="C64" i="59" s="1"/>
  <c r="E63" i="59"/>
  <c r="C63" i="59"/>
  <c r="E62" i="59"/>
  <c r="C62" i="59"/>
  <c r="E61" i="59"/>
  <c r="C61" i="59"/>
  <c r="E60" i="59"/>
  <c r="C60" i="59"/>
  <c r="E59" i="59"/>
  <c r="B59" i="59"/>
  <c r="C59" i="59" s="1"/>
  <c r="E58" i="59"/>
  <c r="B58" i="59"/>
  <c r="C58" i="59" s="1"/>
  <c r="E57" i="59"/>
  <c r="B57" i="59"/>
  <c r="C57" i="59" s="1"/>
  <c r="E56" i="59"/>
  <c r="B56" i="59"/>
  <c r="C56" i="59" s="1"/>
  <c r="E55" i="59"/>
  <c r="B55" i="59"/>
  <c r="C55" i="59" s="1"/>
  <c r="E54" i="59"/>
  <c r="B54" i="59"/>
  <c r="C54" i="59" s="1"/>
  <c r="E53" i="59"/>
  <c r="B53" i="59"/>
  <c r="C53" i="59" s="1"/>
  <c r="E52" i="59"/>
  <c r="B52" i="59"/>
  <c r="C52" i="59" s="1"/>
  <c r="E51" i="59"/>
  <c r="B51" i="59"/>
  <c r="C51" i="59" s="1"/>
  <c r="E50" i="59"/>
  <c r="B50" i="59"/>
  <c r="C50" i="59" s="1"/>
  <c r="E49" i="59"/>
  <c r="B49" i="59"/>
  <c r="C49" i="59" s="1"/>
  <c r="E48" i="59"/>
  <c r="B48" i="59"/>
  <c r="C48" i="59" s="1"/>
  <c r="E47" i="59"/>
  <c r="B47" i="59"/>
  <c r="C47" i="59" s="1"/>
  <c r="E46" i="59"/>
  <c r="B46" i="59"/>
  <c r="C46" i="59" s="1"/>
  <c r="E45" i="59"/>
  <c r="C45" i="59"/>
  <c r="E44" i="59"/>
  <c r="B44" i="59"/>
  <c r="C44" i="59" s="1"/>
  <c r="E43" i="59"/>
  <c r="B43" i="59"/>
  <c r="C43" i="59" s="1"/>
  <c r="E42" i="59"/>
  <c r="B42" i="59"/>
  <c r="C42" i="59" s="1"/>
  <c r="E41" i="59"/>
  <c r="B41" i="59"/>
  <c r="C41" i="59" s="1"/>
  <c r="E40" i="59"/>
  <c r="B40" i="59"/>
  <c r="C40" i="59" s="1"/>
  <c r="E39" i="59"/>
  <c r="B39" i="59"/>
  <c r="C39" i="59" s="1"/>
  <c r="E38" i="59"/>
  <c r="B38" i="59"/>
  <c r="C38" i="59" s="1"/>
  <c r="E37" i="59"/>
  <c r="B37" i="59"/>
  <c r="C37" i="59" s="1"/>
  <c r="M36" i="59"/>
  <c r="E36" i="59"/>
  <c r="C36" i="59"/>
  <c r="E35" i="59"/>
  <c r="C35" i="59"/>
  <c r="E34" i="59"/>
  <c r="B34" i="59"/>
  <c r="C34" i="59" s="1"/>
  <c r="E33" i="59"/>
  <c r="B33" i="59"/>
  <c r="C33" i="59" s="1"/>
  <c r="E32" i="59"/>
  <c r="B32" i="59"/>
  <c r="C32" i="59" s="1"/>
  <c r="E31" i="59"/>
  <c r="B31" i="59"/>
  <c r="C31" i="59" s="1"/>
  <c r="E30" i="59"/>
  <c r="B30" i="59"/>
  <c r="C30" i="59" s="1"/>
  <c r="E29" i="59"/>
  <c r="B29" i="59"/>
  <c r="C29" i="59" s="1"/>
  <c r="O28" i="59"/>
  <c r="M28" i="59"/>
  <c r="E28" i="59"/>
  <c r="C28" i="59"/>
  <c r="E27" i="59"/>
  <c r="B27" i="59"/>
  <c r="C27" i="59" s="1"/>
  <c r="E26" i="59"/>
  <c r="B26" i="59"/>
  <c r="C26" i="59" s="1"/>
  <c r="E25" i="59"/>
  <c r="B25" i="59"/>
  <c r="C25" i="59" s="1"/>
  <c r="E24" i="59"/>
  <c r="B24" i="59"/>
  <c r="C24" i="59" s="1"/>
  <c r="E23" i="59"/>
  <c r="B23" i="59"/>
  <c r="C23" i="59" s="1"/>
  <c r="E22" i="59"/>
  <c r="B22" i="59"/>
  <c r="C22" i="59" s="1"/>
  <c r="E21" i="59"/>
  <c r="C21" i="59"/>
  <c r="E20" i="59"/>
  <c r="C20" i="59"/>
  <c r="E19" i="59"/>
  <c r="C19" i="59"/>
  <c r="O18" i="59"/>
  <c r="M18" i="59"/>
  <c r="E18" i="59"/>
  <c r="C18" i="59"/>
  <c r="Q17" i="59" a="1"/>
  <c r="Q17" i="59" s="1"/>
  <c r="O17" i="59" a="1"/>
  <c r="O17" i="59" s="1"/>
  <c r="M17" i="59" a="1"/>
  <c r="M17" i="59" s="1"/>
  <c r="E17" i="59"/>
  <c r="B17" i="59"/>
  <c r="C17" i="59" s="1"/>
  <c r="E16" i="59"/>
  <c r="B16" i="59"/>
  <c r="Q16" i="59" s="1" a="1"/>
  <c r="Q16" i="59" s="1"/>
  <c r="O15" i="59" a="1"/>
  <c r="O15" i="59" s="1"/>
  <c r="M15" i="59" a="1"/>
  <c r="M15" i="59" s="1"/>
  <c r="E15" i="59"/>
  <c r="B15" i="59"/>
  <c r="C15" i="59" s="1"/>
  <c r="E14" i="59"/>
  <c r="B14" i="59"/>
  <c r="Q14" i="59" s="1" a="1"/>
  <c r="Q14" i="59" s="1"/>
  <c r="O13" i="59" a="1"/>
  <c r="O13" i="59" s="1"/>
  <c r="M13" i="59" a="1"/>
  <c r="M13" i="59" s="1"/>
  <c r="E13" i="59"/>
  <c r="B13" i="59"/>
  <c r="C13" i="59" s="1"/>
  <c r="O12" i="59" a="1"/>
  <c r="O12" i="59" s="1"/>
  <c r="M12" i="59" a="1"/>
  <c r="M12" i="59" s="1"/>
  <c r="E12" i="59"/>
  <c r="B12" i="59"/>
  <c r="Q12" i="59" s="1" a="1"/>
  <c r="Q12" i="59" s="1"/>
  <c r="E11" i="59"/>
  <c r="C11" i="59"/>
  <c r="E10" i="59"/>
  <c r="C10" i="59"/>
  <c r="E9" i="59"/>
  <c r="C9" i="59"/>
  <c r="E8" i="59"/>
  <c r="C8" i="59"/>
  <c r="E7" i="59"/>
  <c r="B7" i="59"/>
  <c r="C7" i="59" s="1"/>
  <c r="E6" i="59"/>
  <c r="B6" i="59"/>
  <c r="C6" i="59" s="1"/>
  <c r="E5" i="59"/>
  <c r="B5" i="59"/>
  <c r="C5" i="59" s="1"/>
  <c r="E4" i="59"/>
  <c r="B4" i="59"/>
  <c r="C4" i="59" s="1"/>
  <c r="E3" i="59"/>
  <c r="C3" i="59"/>
  <c r="E63" i="3"/>
  <c r="G55" i="3"/>
  <c r="E55" i="3"/>
  <c r="G45" i="3"/>
  <c r="E45" i="3"/>
  <c r="I44" i="3"/>
  <c r="I44" i="3" a="1"/>
  <c r="H44" i="3"/>
  <c r="G44" i="3"/>
  <c r="G44" i="3" a="1"/>
  <c r="E44" i="3"/>
  <c r="E44" i="3" a="1"/>
  <c r="I43" i="3"/>
  <c r="I43" i="3" a="1"/>
  <c r="H43" i="3"/>
  <c r="G43" i="3"/>
  <c r="G43" i="3" a="1"/>
  <c r="E43" i="3"/>
  <c r="E43" i="3" a="1"/>
  <c r="I42" i="3"/>
  <c r="I42" i="3" a="1"/>
  <c r="H42" i="3"/>
  <c r="G42" i="3"/>
  <c r="G42" i="3" a="1"/>
  <c r="E42" i="3"/>
  <c r="E42" i="3" a="1"/>
  <c r="I41" i="3"/>
  <c r="I41" i="3" a="1"/>
  <c r="H41" i="3"/>
  <c r="G41" i="3"/>
  <c r="G41" i="3" a="1"/>
  <c r="E41" i="3"/>
  <c r="E41" i="3" a="1"/>
  <c r="I40" i="3"/>
  <c r="I40" i="3" a="1"/>
  <c r="H40" i="3"/>
  <c r="G40" i="3"/>
  <c r="G40" i="3" a="1"/>
  <c r="E40" i="3"/>
  <c r="E40" i="3" a="1"/>
  <c r="I39" i="3"/>
  <c r="I39" i="3" a="1"/>
  <c r="H39" i="3"/>
  <c r="G39" i="3"/>
  <c r="G39" i="3" a="1"/>
  <c r="E39" i="3"/>
  <c r="E39" i="3" a="1"/>
  <c r="I38" i="3"/>
  <c r="I38" i="3" a="1"/>
  <c r="H38" i="3"/>
  <c r="G38" i="3"/>
  <c r="G38" i="3" a="1"/>
  <c r="E38" i="3"/>
  <c r="E38" i="3" a="1"/>
  <c r="I37" i="3"/>
  <c r="I37" i="3" a="1"/>
  <c r="H37" i="3"/>
  <c r="G37" i="3"/>
  <c r="G37" i="3" a="1"/>
  <c r="E37" i="3"/>
  <c r="E37" i="3" a="1"/>
  <c r="I36" i="3"/>
  <c r="I36" i="3" a="1"/>
  <c r="H36" i="3"/>
  <c r="G36" i="3"/>
  <c r="G36" i="3" a="1"/>
  <c r="E36" i="3"/>
  <c r="E36" i="3" a="1"/>
  <c r="I35" i="3"/>
  <c r="H35" i="3"/>
  <c r="G35" i="3"/>
  <c r="E35" i="3"/>
  <c r="B9" i="3"/>
  <c r="G29" i="4"/>
  <c r="F29" i="4"/>
  <c r="G28" i="4"/>
  <c r="F28" i="4"/>
  <c r="G27" i="4"/>
  <c r="F27" i="4"/>
  <c r="G26" i="4"/>
  <c r="F26" i="4"/>
  <c r="G25" i="4"/>
  <c r="F25" i="4"/>
  <c r="G24" i="4"/>
  <c r="F24" i="4"/>
  <c r="G18" i="4"/>
  <c r="F18" i="4"/>
  <c r="G17" i="4"/>
  <c r="F17" i="4"/>
  <c r="G16" i="4"/>
  <c r="F16" i="4"/>
  <c r="G15" i="4"/>
  <c r="F15" i="4"/>
  <c r="G14" i="4"/>
  <c r="F14" i="4"/>
  <c r="G13" i="4"/>
  <c r="F13" i="4"/>
  <c r="G12" i="4"/>
  <c r="F12" i="4"/>
  <c r="G11" i="4"/>
  <c r="F11" i="4"/>
  <c r="G10" i="4"/>
  <c r="F10" i="4"/>
  <c r="G9" i="4"/>
  <c r="F9" i="4"/>
  <c r="G8" i="4"/>
  <c r="F8" i="4"/>
  <c r="G7" i="4"/>
  <c r="F7" i="4"/>
  <c r="J14" i="44"/>
  <c r="I14" i="44"/>
  <c r="H14" i="44"/>
  <c r="G14" i="44"/>
  <c r="G13" i="44"/>
  <c r="G12" i="44"/>
  <c r="S24" i="61"/>
  <c r="R24" i="61"/>
  <c r="Q24" i="61"/>
  <c r="P24" i="61"/>
  <c r="S23" i="61"/>
  <c r="R23" i="61"/>
  <c r="Q23" i="61"/>
  <c r="P23" i="61"/>
  <c r="O23" i="61"/>
  <c r="G23" i="61"/>
  <c r="S22" i="61"/>
  <c r="R22" i="61"/>
  <c r="Q22" i="61"/>
  <c r="P22" i="61"/>
  <c r="G22" i="61"/>
  <c r="S21" i="61"/>
  <c r="R21" i="61"/>
  <c r="Q21" i="61"/>
  <c r="P21" i="61"/>
  <c r="S20" i="61"/>
  <c r="R20" i="61"/>
  <c r="Q20" i="61"/>
  <c r="P20" i="61"/>
  <c r="G20" i="61"/>
  <c r="S19" i="61"/>
  <c r="R19" i="61"/>
  <c r="Q19" i="61"/>
  <c r="P19" i="61"/>
  <c r="S18" i="61"/>
  <c r="R18" i="61"/>
  <c r="Q18" i="61"/>
  <c r="P18" i="61"/>
  <c r="S17" i="61"/>
  <c r="R17" i="61"/>
  <c r="Q17" i="61"/>
  <c r="P17" i="61"/>
  <c r="G17" i="61"/>
  <c r="S16" i="61"/>
  <c r="R16" i="61"/>
  <c r="Q16" i="61"/>
  <c r="P16" i="61"/>
  <c r="G16" i="61"/>
  <c r="S15" i="61"/>
  <c r="R15" i="61"/>
  <c r="Q15" i="61"/>
  <c r="P15" i="61"/>
  <c r="S14" i="61"/>
  <c r="R14" i="61"/>
  <c r="Q14" i="61"/>
  <c r="P14" i="61"/>
  <c r="O14" i="61"/>
  <c r="S13" i="61"/>
  <c r="Q13" i="61"/>
  <c r="S12" i="61"/>
  <c r="R12" i="61"/>
  <c r="Q12" i="61"/>
  <c r="P12" i="61"/>
  <c r="G12" i="61"/>
  <c r="S11" i="61"/>
  <c r="R11" i="61"/>
  <c r="Q11" i="61"/>
  <c r="P11" i="61"/>
  <c r="G11" i="61"/>
  <c r="S10" i="61"/>
  <c r="R10" i="61"/>
  <c r="Q10" i="61"/>
  <c r="P10" i="61"/>
  <c r="G10" i="61"/>
  <c r="S9" i="61"/>
  <c r="R9" i="61"/>
  <c r="Q9" i="61"/>
  <c r="P9" i="61"/>
  <c r="G9" i="61"/>
  <c r="S8" i="61"/>
  <c r="R8" i="61"/>
  <c r="Q8" i="61"/>
  <c r="P8" i="61"/>
  <c r="G8" i="61"/>
  <c r="S7" i="61"/>
  <c r="G7" i="61"/>
  <c r="S6" i="61"/>
  <c r="R6" i="61"/>
  <c r="Q6" i="61"/>
  <c r="P6" i="61"/>
  <c r="O6" i="61"/>
  <c r="G6" i="61"/>
  <c r="S5" i="61"/>
  <c r="R5" i="61"/>
  <c r="Q5" i="61"/>
  <c r="P5" i="61"/>
  <c r="G5" i="61"/>
  <c r="S4" i="61"/>
  <c r="R4" i="61"/>
  <c r="Q4" i="61"/>
  <c r="P4" i="61"/>
  <c r="G4" i="61"/>
  <c r="S3" i="61"/>
  <c r="R3" i="61"/>
  <c r="Q3" i="61"/>
  <c r="P3" i="61"/>
  <c r="G3" i="61"/>
  <c r="S2" i="61"/>
  <c r="R2" i="61"/>
  <c r="Q2" i="61"/>
  <c r="P2" i="61"/>
  <c r="G2" i="61"/>
  <c r="Q13" i="59" l="1" a="1"/>
  <c r="Q13" i="59" s="1"/>
  <c r="P13" i="59" s="1"/>
  <c r="Q15" i="59" a="1"/>
  <c r="Q15" i="59" s="1"/>
  <c r="P15" i="59" s="1"/>
  <c r="M14" i="59" a="1"/>
  <c r="M14" i="59" s="1"/>
  <c r="C14" i="59"/>
  <c r="O14" i="59" a="1"/>
  <c r="O14" i="59" s="1"/>
  <c r="P14" i="59" s="1"/>
  <c r="C12" i="59"/>
  <c r="P9" i="59"/>
  <c r="P12" i="59"/>
  <c r="P17" i="59"/>
  <c r="C16" i="59"/>
  <c r="M16" i="59" a="1"/>
  <c r="M16" i="59" s="1"/>
  <c r="O16" i="59" a="1"/>
  <c r="O16" i="59" s="1"/>
  <c r="P10" i="59"/>
  <c r="I19" i="56"/>
  <c r="I5" i="56"/>
  <c r="F19" i="56"/>
  <c r="F5" i="56"/>
  <c r="F18" i="56"/>
  <c r="F17" i="56"/>
  <c r="I18" i="56"/>
  <c r="I17" i="56"/>
  <c r="F15" i="56"/>
  <c r="I15" i="56" s="1"/>
  <c r="F4" i="56"/>
  <c r="F20" i="56"/>
  <c r="F16" i="56"/>
  <c r="I20" i="56"/>
  <c r="I16" i="56"/>
  <c r="I4" i="56"/>
  <c r="O8" i="59" l="1"/>
  <c r="Q8" i="59"/>
  <c r="P8" i="59" s="1"/>
  <c r="M8" i="59"/>
  <c r="G31" i="49" s="1" a="1"/>
  <c r="G31" i="49" s="1"/>
  <c r="G32" i="49" a="1"/>
  <c r="G32" i="49" s="1"/>
  <c r="G37" i="49" a="1"/>
  <c r="G37" i="49" s="1"/>
  <c r="G30" i="49" a="1"/>
  <c r="G30" i="49" s="1"/>
  <c r="G53" i="49" a="1"/>
  <c r="G53" i="49" s="1"/>
  <c r="G46" i="49" a="1"/>
  <c r="G46" i="49" s="1"/>
  <c r="G27" i="49" a="1"/>
  <c r="G27" i="49" s="1"/>
  <c r="P16" i="59"/>
  <c r="G34" i="49" l="1" a="1"/>
  <c r="G34" i="49" s="1"/>
  <c r="G41" i="49" a="1"/>
  <c r="G41" i="49" s="1"/>
  <c r="G40" i="49" a="1"/>
  <c r="G40" i="49" s="1"/>
  <c r="G36" i="49" a="1"/>
  <c r="G36" i="49" s="1"/>
  <c r="G33" i="49" a="1"/>
  <c r="G33" i="49" s="1"/>
  <c r="G48" i="49" a="1"/>
  <c r="G48" i="49" s="1"/>
  <c r="G29" i="49" a="1"/>
  <c r="G29" i="49" s="1"/>
  <c r="G39" i="49" a="1"/>
  <c r="G39" i="49" s="1"/>
  <c r="G35" i="49" a="1"/>
  <c r="G35" i="49" s="1"/>
  <c r="G28" i="49" a="1"/>
  <c r="G28" i="49" s="1"/>
  <c r="G47" i="49" a="1"/>
  <c r="G47" i="49" s="1"/>
  <c r="G44" i="49" a="1"/>
  <c r="G44" i="49" s="1"/>
  <c r="G43" i="49" a="1"/>
  <c r="G43" i="49" s="1"/>
  <c r="G51" i="49" a="1"/>
  <c r="G51" i="49" s="1"/>
  <c r="G38" i="49" a="1"/>
  <c r="G38" i="49" s="1"/>
  <c r="G45" i="49" a="1"/>
  <c r="G45" i="49" s="1"/>
  <c r="G50" i="49" a="1"/>
  <c r="G50" i="49" s="1"/>
  <c r="G49" i="49" a="1"/>
  <c r="G49" i="49" s="1"/>
  <c r="G42" i="49" a="1"/>
  <c r="G42" i="49" s="1"/>
  <c r="G52" i="49" a="1"/>
  <c r="G52" i="49" s="1"/>
</calcChain>
</file>

<file path=xl/comments1.xml><?xml version="1.0" encoding="utf-8"?>
<comments xmlns="http://schemas.openxmlformats.org/spreadsheetml/2006/main">
  <authors>
    <author>AIPC</author>
  </authors>
  <commentList>
    <comment ref="A7" authorId="0" shapeId="0">
      <text>
        <r>
          <rPr>
            <b/>
            <sz val="9"/>
            <color indexed="81"/>
            <rFont val="Tahoma"/>
            <family val="2"/>
          </rPr>
          <t>AIPC:</t>
        </r>
        <r>
          <rPr>
            <sz val="9"/>
            <color indexed="81"/>
            <rFont val="Tahoma"/>
            <family val="2"/>
          </rPr>
          <t xml:space="preserve">
como tratar???</t>
        </r>
      </text>
    </comment>
    <comment ref="A15" authorId="0" shapeId="0">
      <text>
        <r>
          <rPr>
            <b/>
            <sz val="9"/>
            <color indexed="81"/>
            <rFont val="Tahoma"/>
            <family val="2"/>
          </rPr>
          <t>AIPC:</t>
        </r>
        <r>
          <rPr>
            <sz val="9"/>
            <color indexed="81"/>
            <rFont val="Tahoma"/>
            <family val="2"/>
          </rPr>
          <t xml:space="preserve">
DESAGREGAR, VER MAPA
</t>
        </r>
      </text>
    </comment>
    <comment ref="G21" authorId="0" shapeId="0">
      <text>
        <r>
          <rPr>
            <b/>
            <sz val="9"/>
            <color indexed="81"/>
            <rFont val="Tahoma"/>
            <family val="2"/>
          </rPr>
          <t>AIPC:</t>
        </r>
        <r>
          <rPr>
            <sz val="9"/>
            <color indexed="81"/>
            <rFont val="Tahoma"/>
            <family val="2"/>
          </rPr>
          <t xml:space="preserve">
ver discrepancia dados PC vs. RC2022
</t>
        </r>
      </text>
    </comment>
  </commentList>
</comments>
</file>

<file path=xl/comments10.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1.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2.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3.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4.xml><?xml version="1.0" encoding="utf-8"?>
<comments xmlns="http://schemas.openxmlformats.org/spreadsheetml/2006/main">
  <authors>
    <author>Ana Sofia Omana</author>
    <author>Magda Ferreira Marques</author>
    <author>Rodrigo Taveira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H28" authorId="1" shapeId="0">
      <text>
        <r>
          <rPr>
            <b/>
            <sz val="9"/>
            <color indexed="81"/>
            <rFont val="Tahoma"/>
            <family val="2"/>
          </rPr>
          <t xml:space="preserve">Apenas para compra de serviços
Distância unitária (da origem ao destino). Ferramenta auxiliar para distâncias rodoviárias:
https://www.google.com/maps.
</t>
        </r>
      </text>
    </comment>
    <comment ref="I28" authorId="2" shapeId="0">
      <text>
        <r>
          <rPr>
            <b/>
            <sz val="9"/>
            <color indexed="81"/>
            <rFont val="Tahoma"/>
            <family val="2"/>
          </rPr>
          <t>Rodrigo Taveira:</t>
        </r>
        <r>
          <rPr>
            <sz val="9"/>
            <color indexed="81"/>
            <rFont val="Tahoma"/>
            <family val="2"/>
          </rPr>
          <t xml:space="preserve">
Descrever o tipo de produto ou serviço caso tenha seleccionado a opção Outros na coluna C</t>
        </r>
      </text>
    </comment>
  </commentList>
</comments>
</file>

<file path=xl/comments15.xml><?xml version="1.0" encoding="utf-8"?>
<comments xmlns="http://schemas.openxmlformats.org/spreadsheetml/2006/main">
  <authors>
    <author>Magda Ferreira Marques</author>
    <author>Rodrigo Taveira</author>
  </authors>
  <commentList>
    <comment ref="J1" authorId="0" shapeId="0">
      <text>
        <r>
          <rPr>
            <b/>
            <sz val="9"/>
            <color indexed="81"/>
            <rFont val="Tahoma"/>
            <family val="2"/>
          </rPr>
          <t xml:space="preserve">Apenas para compra de serviços
Distância unitária (da origem ao destino). Ferramenta auxiliar para distâncias rodoviárias:
https://www.google.com/maps.
</t>
        </r>
      </text>
    </comment>
    <comment ref="K1" authorId="1" shapeId="0">
      <text>
        <r>
          <rPr>
            <b/>
            <sz val="9"/>
            <color indexed="81"/>
            <rFont val="Tahoma"/>
            <family val="2"/>
          </rPr>
          <t>Rodrigo Taveira:</t>
        </r>
        <r>
          <rPr>
            <sz val="9"/>
            <color indexed="81"/>
            <rFont val="Tahoma"/>
            <family val="2"/>
          </rPr>
          <t xml:space="preserve">
Descrever o tipo de produto ou serviço caso tenha seleccionado a opção Outros na coluna C</t>
        </r>
      </text>
    </comment>
    <comment ref="M1" authorId="0" shapeId="0">
      <text>
        <r>
          <rPr>
            <b/>
            <sz val="9"/>
            <color indexed="81"/>
            <rFont val="Tahoma"/>
            <family val="2"/>
          </rPr>
          <t xml:space="preserve">Apenas para compra de serviços
Distância unitária (da origem ao destino). Ferramenta auxiliar para distâncias rodoviárias:
https://www.google.com/maps.
</t>
        </r>
      </text>
    </comment>
    <comment ref="N1" authorId="0" shapeId="0">
      <text>
        <r>
          <rPr>
            <b/>
            <sz val="9"/>
            <color indexed="81"/>
            <rFont val="Tahoma"/>
            <family val="2"/>
          </rPr>
          <t xml:space="preserve">Apenas para compra de serviços
Distância unitária (da origem ao destino). Ferramenta auxiliar para distâncias rodoviárias:
https://www.google.com/maps.
</t>
        </r>
      </text>
    </comment>
    <comment ref="O1" authorId="0" shapeId="0">
      <text>
        <r>
          <rPr>
            <b/>
            <sz val="9"/>
            <color indexed="81"/>
            <rFont val="Tahoma"/>
            <family val="2"/>
          </rPr>
          <t xml:space="preserve">Apenas para compra de serviços
Distância unitária (da origem ao destino). Ferramenta auxiliar para distâncias rodoviárias:
https://www.google.com/maps.
</t>
        </r>
      </text>
    </comment>
  </commentList>
</comments>
</file>

<file path=xl/comments16.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D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L28" authorId="1" shapeId="0">
      <text>
        <r>
          <rPr>
            <b/>
            <sz val="9"/>
            <color indexed="81"/>
            <rFont val="Tahoma"/>
            <family val="2"/>
          </rPr>
          <t>Distância unitária (da origem ao destino). Ferramenta auxiliar para distâncias rodoviárias:
https://www.google.com/maps.
Ferramenta auxiliar para distâncias marítimas:
https://www.searates.com/services/distances-time/.</t>
        </r>
      </text>
    </comment>
  </commentList>
</comments>
</file>

<file path=xl/comments17.xml><?xml version="1.0" encoding="utf-8"?>
<comments xmlns="http://schemas.openxmlformats.org/spreadsheetml/2006/main">
  <authors>
    <author>Magda Ferreira Marques</author>
  </authors>
  <commentList>
    <comment ref="F1" authorId="0"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Q1" authorId="0" shapeId="0">
      <text>
        <r>
          <rPr>
            <b/>
            <sz val="9"/>
            <color indexed="81"/>
            <rFont val="Tahoma"/>
            <family val="2"/>
          </rPr>
          <t>Distância unitária (da origem ao destino). Ferramenta auxiliar para distâncias rodoviárias:
https://www.google.com/maps.
Ferramenta auxiliar para distâncias marítimas:
https://www.searates.com/services/distances-time/.</t>
        </r>
      </text>
    </comment>
  </commentList>
</comments>
</file>

<file path=xl/comments18.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9.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G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List>
</comments>
</file>

<file path=xl/comments2.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0.xml><?xml version="1.0" encoding="utf-8"?>
<comments xmlns="http://schemas.openxmlformats.org/spreadsheetml/2006/main">
  <authors>
    <author>Magda Ferreira Marques</author>
  </authors>
  <commentList>
    <comment ref="L1" authorId="0"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List>
</comments>
</file>

<file path=xl/comments21.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E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M28" authorId="1" shapeId="0">
      <text>
        <r>
          <rPr>
            <b/>
            <sz val="9"/>
            <color indexed="81"/>
            <rFont val="Tahoma"/>
            <family val="2"/>
          </rPr>
          <t>Distância unitária (da origem ao destino). 
Dados de faturação do serviço.
Ferramenta auxiliar para distâncias rodoviárias:
https://www.google.com/maps.
Ferramenta auxiliar para distâncias marítimas:
https://www.searates.com/services/distances-time/.</t>
        </r>
      </text>
    </comment>
  </commentList>
</comments>
</file>

<file path=xl/comments22.xml><?xml version="1.0" encoding="utf-8"?>
<comments xmlns="http://schemas.openxmlformats.org/spreadsheetml/2006/main">
  <authors>
    <author>Magda Ferreira Marques</author>
  </authors>
  <commentList>
    <comment ref="F1" authorId="0"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P1" authorId="0" shapeId="0">
      <text>
        <r>
          <rPr>
            <b/>
            <sz val="9"/>
            <color indexed="81"/>
            <rFont val="Tahoma"/>
            <family val="2"/>
          </rPr>
          <t>Distância unitária (da origem ao destino). 
Dados de faturação do serviço.
Ferramenta auxiliar para distâncias rodoviárias:
https://www.google.com/maps.
Ferramenta auxiliar para distâncias marítimas:
https://www.searates.com/services/distances-time/.</t>
        </r>
      </text>
    </comment>
  </commentList>
</comments>
</file>

<file path=xl/comments23.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4.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5.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6.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G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M28" authorId="1" shapeId="0">
      <text>
        <r>
          <rPr>
            <b/>
            <sz val="9"/>
            <color indexed="81"/>
            <rFont val="Tahoma"/>
            <family val="2"/>
          </rPr>
          <t>Distância unitária (da origem ao destino). Ferramenta auxiliar para distâncias rodoviárias:
https://www.google.com/maps.
Ferramenta auxiliar para distâncias marítimas:
https://www.searates.com/services/distances-time/.</t>
        </r>
      </text>
    </comment>
  </commentList>
</comments>
</file>

<file path=xl/comments27.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8.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9.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3.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4.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5.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6.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7.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8.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9.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sharedStrings.xml><?xml version="1.0" encoding="utf-8"?>
<sst xmlns="http://schemas.openxmlformats.org/spreadsheetml/2006/main" count="84295" uniqueCount="4794">
  <si>
    <t>ATIVIDADE</t>
  </si>
  <si>
    <t>ÂMBITO</t>
  </si>
  <si>
    <t>DESCRIÇÃO DOS GEE INCLUÍDOS</t>
  </si>
  <si>
    <t>Compra de bens e serviços</t>
  </si>
  <si>
    <t>Bens de capital</t>
  </si>
  <si>
    <t>Transporte a montante</t>
  </si>
  <si>
    <t>Emissões de GEE associadas ao transporte dos bens adquiridos.</t>
  </si>
  <si>
    <t>Resíduos gerados</t>
  </si>
  <si>
    <t>Viagens pendulares</t>
  </si>
  <si>
    <t>Ativos alugados a montante</t>
  </si>
  <si>
    <t>Transporte a jusante</t>
  </si>
  <si>
    <t>Franchises</t>
  </si>
  <si>
    <t>Investimentos</t>
  </si>
  <si>
    <t>Âmbito 1 - Emissões Diretas</t>
  </si>
  <si>
    <t>Consumo de combustíveis de outros equipamentos</t>
  </si>
  <si>
    <t>Consumo de combustíveis frota produtiva</t>
  </si>
  <si>
    <t>Consumo de combustíveis frota não produtiva</t>
  </si>
  <si>
    <t>Emissões fugitivas de gases fluorados (e.g. gases refrigerantes)</t>
  </si>
  <si>
    <t>Emissões de GEE associadas ao consumo (queima) de combustíveis da frota produtiva</t>
  </si>
  <si>
    <t>Emissões de GEE associadas ao consumo (queima) de combustíveis da frota não produtiva (e.g. viaturas de assistência oficinal, correio interno, viaturas de serviço)</t>
  </si>
  <si>
    <t>Emissões diretas de GEE provenientes de fugas de equipamentos de climatização e de frio/refrigeração (móveis e estacionários)</t>
  </si>
  <si>
    <t>Consumo de energia de fontes secundárias (e.g. energia elétrica)</t>
  </si>
  <si>
    <t>Âmbito 2 - Emissões Indiretas</t>
  </si>
  <si>
    <t>TIPO EMISSÕES</t>
  </si>
  <si>
    <t>Interna</t>
  </si>
  <si>
    <t>Externa, a montante</t>
  </si>
  <si>
    <t>Âmbito 3 - Outras Emissões Indiretas (Cadeia de Valor)</t>
  </si>
  <si>
    <t>Logo</t>
  </si>
  <si>
    <t>Dr. João Santos</t>
  </si>
  <si>
    <t>ID Empresa</t>
  </si>
  <si>
    <t>Uso de combustíveis e energia de atividades relacionadas
(emissões WTT não incluídas nos âmbito 1 e/ou 2)</t>
  </si>
  <si>
    <t>Externa, a jusante</t>
  </si>
  <si>
    <t>Matriz de Materialidades</t>
  </si>
  <si>
    <t>Ativos alugados a justante</t>
  </si>
  <si>
    <t>Sim</t>
  </si>
  <si>
    <t>Uso de produtos vendidos (clientes universo GB)</t>
  </si>
  <si>
    <t>Uso de produtos vendidos (clientes externos ao GB)</t>
  </si>
  <si>
    <t>Fim-de-vida de produtos vendidos (clientes universo GB)</t>
  </si>
  <si>
    <t>Fim-de-vida de produtos vendidos (clientes externos ao GB)</t>
  </si>
  <si>
    <t>Processamento de produtos vendidos (clientes universo GB)</t>
  </si>
  <si>
    <t>Processamento de produtos vendidos (clientes externos ao GB)</t>
  </si>
  <si>
    <t>A avaliar/validar</t>
  </si>
  <si>
    <t>Não</t>
  </si>
  <si>
    <t>Subcontratação de Serviços de Transporte</t>
  </si>
  <si>
    <t>RESPONSÁVEIS DADOS</t>
  </si>
  <si>
    <t>Barraqueiro Transportes, S.A.</t>
  </si>
  <si>
    <t>Setor de Atividade</t>
  </si>
  <si>
    <t>Transporte Rodoviário de Passageiros</t>
  </si>
  <si>
    <t>Emissões de GEE associadas a:
Extração, refinação e transporte do combustível consumido;
Extração, produção e transporte dos combustíveis consumidos na geração da eletricidade consumida pela organização
Perdas da transmissão e distribuição de eletricidade.</t>
  </si>
  <si>
    <t>Não Aplicável em virtude dos limites operacionais definidos</t>
  </si>
  <si>
    <t>Emissões de GEE associados ao abate ou descomissionamento de produtos (potencialmente incluído nas emissões dos resíduos produzidos pelos clientes)</t>
  </si>
  <si>
    <t>Emissões de GEE associada ao uso dos produtos vendidos (tipicamente emissões de Âmbito 1 dos clientes), tais como combustíveis ou gases refrigerantes</t>
  </si>
  <si>
    <t>Não Aplicável em virtude do setor de atividade / tipo de produtos vendidos</t>
  </si>
  <si>
    <t>Emissões de GEE associadas à produção de materiais e serviços adquiridos pela organização nas suas atividades.</t>
  </si>
  <si>
    <t>FONTE DA INFORMÇÃO</t>
  </si>
  <si>
    <t>NIR 2023 APA</t>
  </si>
  <si>
    <t>NIR 2023 APA
DEFRA 2023</t>
  </si>
  <si>
    <t>APA, DEFRA, ERSR, ENTSO-E
Comercializadores de energia</t>
  </si>
  <si>
    <t>DEFRA
APA, ENTSO-E, ERSE, AIE</t>
  </si>
  <si>
    <t>Forncedores
EPDs</t>
  </si>
  <si>
    <t>Emissões de GEE associadas à produção dos bens de capital adquiridos</t>
  </si>
  <si>
    <t>Emissões de GEE associadas ao consumo de combustíveis em outros equipamentos estacionários (como geradores, estufas, esquentadores) e móveis (como empilhadores)</t>
  </si>
  <si>
    <t>Emissões de GEE associadas ao consumo de eletricidade adquirida a fornecedores externos</t>
  </si>
  <si>
    <t>Emissões de GEE associadas às viagens pendulares dos colaboradores (deslocação: casa-trabalho-casa)</t>
  </si>
  <si>
    <t>Não Aplicável em virtude dos limites operacionais definidos. Englobados no âmbito 1.</t>
  </si>
  <si>
    <t>Emissões de GEE associadas ao transporte dos bens adquiridos. Tipicamente não aplicável em virtude da natureza dos bens vendidos</t>
  </si>
  <si>
    <t>Emissões de GEE associadas ao transporte e gestão de resíduos por terceiros, incluindo àguas resíduais (valorização e eliminação).</t>
  </si>
  <si>
    <t>Responsável Gestão de Frota
Controle de Gestão</t>
  </si>
  <si>
    <t>Mapas de Aquisição de Frota
Mapas de Invesimentos
Lista de Frota</t>
  </si>
  <si>
    <t>Faturas de forncedores
Reporte de fornecedores</t>
  </si>
  <si>
    <t>Controle de Gestão
Central de Compras
Responsável Ambiente &amp; Qualidade</t>
  </si>
  <si>
    <t>Responsável Ambiente &amp; Qualidade</t>
  </si>
  <si>
    <t>Faturas de forncedores
Reporte de fornecedores
ERP: Mapas de Consumos</t>
  </si>
  <si>
    <t>Controle de Gestão
Responsável Gestão de Frota
Central de Compras
Responsável Ambiente &amp; Qualidade</t>
  </si>
  <si>
    <t>Mapas MIRR
ERP: Dados Gestão RH</t>
  </si>
  <si>
    <t>ERP: Dados Gestão RH</t>
  </si>
  <si>
    <t>NA</t>
  </si>
  <si>
    <t>Controlo de Gestão
STM
Área de Vendas (Representação AC)</t>
  </si>
  <si>
    <t>Mapas Controle de Gestão
Mapas de Vendas de Combustível
Mapas de Compra / Venda de Gases Fluorados
Mapas de Vendas de ACs</t>
  </si>
  <si>
    <t>Responsável Área Comercial
Controle de Gestão</t>
  </si>
  <si>
    <t>Responsável Ambiente &amp; Qualidade
Responsável DRH</t>
  </si>
  <si>
    <t>Responsável DRH</t>
  </si>
  <si>
    <t>Controle de Gestão
Responsável Manutenção</t>
  </si>
  <si>
    <t>Notas de Encomenda
Guias de Transporte
Mapas de Controle de Gestão</t>
  </si>
  <si>
    <t>DEFRA 2023</t>
  </si>
  <si>
    <t>Mapas de Compra / Venda de Gases Fluorados
Declaração Gases Fluorados APA
ERP: Consumos de Material</t>
  </si>
  <si>
    <t>Mapas dp Controle de Gestão
Notas de Encomenda
Orçamentos e Dados Faturação</t>
  </si>
  <si>
    <r>
      <t xml:space="preserve">Fatores de Emissões 
</t>
    </r>
    <r>
      <rPr>
        <b/>
        <sz val="12"/>
        <color theme="4"/>
        <rFont val="Calibri"/>
        <family val="2"/>
        <scheme val="minor"/>
      </rPr>
      <t>(a preencher pelo Resp. Projecto GB)</t>
    </r>
  </si>
  <si>
    <t>MATERIALIDADE / INCLUSÃO</t>
  </si>
  <si>
    <t>Nome do Responsável Local do Projeto</t>
  </si>
  <si>
    <t>Responsável Local Pegada Carbono Empresa</t>
  </si>
  <si>
    <t>Responsável Projecto Pegada Carbono GB</t>
  </si>
  <si>
    <t>Nome da Empresa</t>
  </si>
  <si>
    <t>Principal setor de atividade operacional</t>
  </si>
  <si>
    <t>A1.1 Consumo de combustíveis frota produtiva</t>
  </si>
  <si>
    <t>A1.2 Consumo de combustíveis frota não produtiva</t>
  </si>
  <si>
    <t>A1.3 Consumo de combustíveis de outros equipamentos</t>
  </si>
  <si>
    <t>A1.4 Emissões fugitivas de gases fluorados (e.g. gases refrigerantes)</t>
  </si>
  <si>
    <t>A2 Consumo de energia de fontes secundárias (e.g. energia elétrica)</t>
  </si>
  <si>
    <t>A3.1 Uso de combustíveis e energia de atividades relacionadas
(emissões WTT não incluídas nos âmbito 1 e/ou 2)</t>
  </si>
  <si>
    <t>A3.2 Bens de capital</t>
  </si>
  <si>
    <t>A3.3 Viagens pendulares</t>
  </si>
  <si>
    <t>A3.4 Compra de bens e serviços</t>
  </si>
  <si>
    <t>A3.5 Transporte a montante</t>
  </si>
  <si>
    <t>A3.6 Ativos alugados a montante</t>
  </si>
  <si>
    <t>A3.7.1.1 Processamento de produtos vendidos (clientes universo GB)</t>
  </si>
  <si>
    <t>A3.7.1.2 Processamento de produtos vendidos (clientes externos ao GB)</t>
  </si>
  <si>
    <t>A3.7.2.1 Uso de produtos vendidos (clientes universo GB)</t>
  </si>
  <si>
    <t>A3.7.2.2 Uso de produtos vendidos (clientes externos ao GB)</t>
  </si>
  <si>
    <t>A3.7.3.1 Fim-de-vida de produtos vendidos (clientes universo GB)</t>
  </si>
  <si>
    <t>A3.7.3.2 Fim-de-vida de produtos vendidos (clientes externos ao GB)</t>
  </si>
  <si>
    <t>A3.8 Subcontratação de Serviços de Transporte</t>
  </si>
  <si>
    <t>A3.9 Resíduos gerados</t>
  </si>
  <si>
    <t>Grupo Barraqueiro</t>
  </si>
  <si>
    <t>Template de recolha de Dados de Atividade</t>
  </si>
  <si>
    <t xml:space="preserve">Versão: </t>
  </si>
  <si>
    <t>01</t>
  </si>
  <si>
    <t xml:space="preserve">Data: </t>
  </si>
  <si>
    <t>Data</t>
  </si>
  <si>
    <t>Categoria</t>
  </si>
  <si>
    <t>Âmbito</t>
  </si>
  <si>
    <t xml:space="preserve">Metodologia para recolha de dados </t>
  </si>
  <si>
    <t>Responsável pela recolha de dados</t>
  </si>
  <si>
    <t>Identificação do responsável local pela recolha de dados</t>
  </si>
  <si>
    <t>Emissões GEE em âmbito 2 incluindo:
.Consumo de energia de fontes secundárias (e.g. energia elétrica)</t>
  </si>
  <si>
    <t>Âmbito 2 - Emissões indiretas de GEE, a montante, associadas à produção de energia comprada</t>
  </si>
  <si>
    <t>PEGADA DE CARBONO</t>
  </si>
  <si>
    <t xml:space="preserve">Âmbito 1 - Emissões diretas (Uso de Combustíveis) </t>
  </si>
  <si>
    <t>Fonte de Informação</t>
  </si>
  <si>
    <t>Identificação das fontes de dados pelo responsável local pela recolha de dados</t>
  </si>
  <si>
    <t>Recolha de dados da atividade:</t>
  </si>
  <si>
    <t>Empresa</t>
  </si>
  <si>
    <t>Fornecedor</t>
  </si>
  <si>
    <t>Consumo (kWh)</t>
  </si>
  <si>
    <t>Observações</t>
  </si>
  <si>
    <t>Exclusões observadas:</t>
  </si>
  <si>
    <t>Melhorias futuras:</t>
  </si>
  <si>
    <t>Uso (Combustão) de combustíveis</t>
  </si>
  <si>
    <t>Tipologia veículos</t>
  </si>
  <si>
    <t>Tipo de combustível</t>
  </si>
  <si>
    <t>Consumo</t>
  </si>
  <si>
    <t>Unidades</t>
  </si>
  <si>
    <t>Tipo Operação.</t>
  </si>
  <si>
    <t>Oferta (km percorridos)</t>
  </si>
  <si>
    <t>Lotação média</t>
  </si>
  <si>
    <t>Listagem de Frota</t>
  </si>
  <si>
    <t>Produção (km percorridos)</t>
  </si>
  <si>
    <t>Lotação</t>
  </si>
  <si>
    <t>Ano Fabrico /        1ª matrícula</t>
  </si>
  <si>
    <t>Norma de Emissões</t>
  </si>
  <si>
    <t>Emissões de GEE em âmbito 1 incluindo:
.Emissões associadas à combustão de combustíveis na frota produtiva</t>
  </si>
  <si>
    <t>Emissões de GEE em âmbito 1 incluindo:
.Emissões associadas à combustão de combustíveis na frota não-produtiva
.Emissões associadas à combustão de combustíveis em equipamentos móveis
.Emissões associadas à combustão de combustíveis em equipamentos estacionários</t>
  </si>
  <si>
    <t>Emissões de GEE em âmbito 1 incluindo:
.Emissões associadas à combustão de combustíveis na frota não-produtiva</t>
  </si>
  <si>
    <t>Emissões de GEE em âmbito 1 incluindo:
.Emissões associadas à combustão de combustíveis em equipamentos móveis e estacionários</t>
  </si>
  <si>
    <t>Listagem de Frota Não-Produtiva (ligeiros e veículos auxiliares, e.g. Oficina)</t>
  </si>
  <si>
    <t>Oferta (lg.km)</t>
  </si>
  <si>
    <t>Listagem de Equipamentos</t>
  </si>
  <si>
    <t>Tipologia de Equipamentos</t>
  </si>
  <si>
    <t>Fontes de Emissão Fugitiva (Equipamentos)</t>
  </si>
  <si>
    <t>Local (opcional)</t>
  </si>
  <si>
    <t>Gás</t>
  </si>
  <si>
    <t>Quantidade adquirida para recarregar equipamentos existentes (kg)</t>
  </si>
  <si>
    <t>Quantidade recuperada para destruição ou reciclagem (kg)</t>
  </si>
  <si>
    <t>Quantidade total perdida (kg)</t>
  </si>
  <si>
    <t>Emissões de GEE em âmbito 1 incluindo:
.Emissões fugitivas de gases fluorados em equipamentos de climatização e frio.</t>
  </si>
  <si>
    <t xml:space="preserve">Âmbito 1 - Emissões diretas (Gases Fluorados) </t>
  </si>
  <si>
    <t>Uso (Perdas) de Gases Fluorados (e.g. gases refrigerantes)</t>
  </si>
  <si>
    <t>Listagem/Invenário de Equipamentos</t>
  </si>
  <si>
    <t>Tipo</t>
  </si>
  <si>
    <t>Tipo de Gás</t>
  </si>
  <si>
    <t>Tipos de Gás</t>
  </si>
  <si>
    <t>CFC</t>
  </si>
  <si>
    <t>HCFC</t>
  </si>
  <si>
    <t>HFC</t>
  </si>
  <si>
    <t>Bromocarbons, Hydrobromocarbons and Halons</t>
  </si>
  <si>
    <t>Fully Fluorinated Species</t>
  </si>
  <si>
    <t>Halogenated Alcohols, Ethers, Furans, Aldehydes and Ketones</t>
  </si>
  <si>
    <t>HFC-23</t>
  </si>
  <si>
    <t>HFC-32</t>
  </si>
  <si>
    <t>HFC-41</t>
  </si>
  <si>
    <t>HFC-215</t>
  </si>
  <si>
    <t>HFC-134</t>
  </si>
  <si>
    <t>HFC-134a</t>
  </si>
  <si>
    <t>HFC-143</t>
  </si>
  <si>
    <t>HFC-143a</t>
  </si>
  <si>
    <t>HFC-152</t>
  </si>
  <si>
    <t>HFC-152a</t>
  </si>
  <si>
    <t>HFC-161</t>
  </si>
  <si>
    <t>HFC-227ca</t>
  </si>
  <si>
    <t>HFC-227ea</t>
  </si>
  <si>
    <t>HFC-236cb</t>
  </si>
  <si>
    <t>HFC-236ea</t>
  </si>
  <si>
    <t>HFC-236fa</t>
  </si>
  <si>
    <t>HFC-245ca</t>
  </si>
  <si>
    <t>HFC-245cb</t>
  </si>
  <si>
    <t>HFC-245ea</t>
  </si>
  <si>
    <t>HFC-245eb</t>
  </si>
  <si>
    <t>HFC-245fa</t>
  </si>
  <si>
    <t>HFC-263fb</t>
  </si>
  <si>
    <t>HFC-272ca</t>
  </si>
  <si>
    <t>HFC-329p</t>
  </si>
  <si>
    <t>HFC-365mfc</t>
  </si>
  <si>
    <t>HFC-43-10mee</t>
  </si>
  <si>
    <t>HFO-1123</t>
  </si>
  <si>
    <t>HFO-1132a</t>
  </si>
  <si>
    <t>HFO-1141</t>
  </si>
  <si>
    <t>HFO-1225ye(Z)</t>
  </si>
  <si>
    <t>HFO-1225ye(E)</t>
  </si>
  <si>
    <t>HFO-1234ze(Z)</t>
  </si>
  <si>
    <t>HFO-1234ze(E)</t>
  </si>
  <si>
    <t>HFO-1234yf</t>
  </si>
  <si>
    <t>HFO-1336mzz(E)</t>
  </si>
  <si>
    <t>HFO-1336mzz(Z)</t>
  </si>
  <si>
    <t>HFO-1243zf</t>
  </si>
  <si>
    <t>HFO-1345zfc</t>
  </si>
  <si>
    <t>3,3,4,4,5,5,6,6,6-nonafluorohex-1-ene</t>
  </si>
  <si>
    <t>3,3,4,4,5,5,6,6,7,7,8,8,8-tridecafluorooct-1-ene</t>
  </si>
  <si>
    <t>3,3,4,4,5,5,6,6,7,7,8,8,9,9,10,10,10-heptadecafluorodec-1-ene</t>
  </si>
  <si>
    <t>3,3,3-trifluoro-2-(trifluoromethyl)prop-1-ene</t>
  </si>
  <si>
    <t>1,1,2,2,3,3-hexafluorocyclopentane</t>
  </si>
  <si>
    <t>1,1,2,2,3,3,4-heptafluorocyclopentane</t>
  </si>
  <si>
    <t>1,3,3,4,4,5,5-heptafluorocyclopentene</t>
  </si>
  <si>
    <t>(4s,5s)-1,1,2,2,3,3,4,5-octafluorocyclopentane</t>
  </si>
  <si>
    <t>HFO-1438ezy(E)</t>
  </si>
  <si>
    <t>HFO-1447fz</t>
  </si>
  <si>
    <t>1,3,3,4,4-pentafluorocyclobutene</t>
  </si>
  <si>
    <t>3,3,4,4-tetrafluorocyclobutene</t>
  </si>
  <si>
    <t>Chlorocarbons and Hydrochlorocarbons</t>
  </si>
  <si>
    <t>HCFC-21</t>
  </si>
  <si>
    <t>HCFC-22</t>
  </si>
  <si>
    <t>HCFC-31</t>
  </si>
  <si>
    <t>HCFC-121</t>
  </si>
  <si>
    <t>HCFC-122</t>
  </si>
  <si>
    <t>HCFC-123</t>
  </si>
  <si>
    <t>HCFC-124</t>
  </si>
  <si>
    <t>HCFC-122a</t>
  </si>
  <si>
    <t>HCFC-123a</t>
  </si>
  <si>
    <t>HCFC-124a</t>
  </si>
  <si>
    <t>HCFC-132</t>
  </si>
  <si>
    <t>HCFC-132a</t>
  </si>
  <si>
    <t>HCFC-132c</t>
  </si>
  <si>
    <t>HCFC-141</t>
  </si>
  <si>
    <t>HCFC-141b</t>
  </si>
  <si>
    <t>HCFC-142b</t>
  </si>
  <si>
    <t>HCFC-225ca</t>
  </si>
  <si>
    <t>HCFC-225cb</t>
  </si>
  <si>
    <t>HCFO-1233zd(E)</t>
  </si>
  <si>
    <t>HCFO-1233zd(Z)</t>
  </si>
  <si>
    <t>(e)-1-chloro-2-fluoroethene</t>
  </si>
  <si>
    <t>CFC-11</t>
  </si>
  <si>
    <t>CFC-12</t>
  </si>
  <si>
    <t>CFC-13</t>
  </si>
  <si>
    <t>CFC-112</t>
  </si>
  <si>
    <t>CFC-112a</t>
  </si>
  <si>
    <t>CFC-113</t>
  </si>
  <si>
    <t>CFC-114</t>
  </si>
  <si>
    <t>CFC-115</t>
  </si>
  <si>
    <t>CFC-113a</t>
  </si>
  <si>
    <t>CFC-114a</t>
  </si>
  <si>
    <t>E-R316c</t>
  </si>
  <si>
    <t>Z-R316c</t>
  </si>
  <si>
    <t>CFC 1112</t>
  </si>
  <si>
    <t>CFC 1112a</t>
  </si>
  <si>
    <t>Methyl chloroform</t>
  </si>
  <si>
    <t>CC &amp; HC</t>
  </si>
  <si>
    <t>Carbon tetrachloride</t>
  </si>
  <si>
    <t>Methyl chloride</t>
  </si>
  <si>
    <t>Methylene chloride</t>
  </si>
  <si>
    <t>Chloroform</t>
  </si>
  <si>
    <t>Chloroethane</t>
  </si>
  <si>
    <t>1,2-dichloroethane</t>
  </si>
  <si>
    <t>1,1,2-trichloroethene</t>
  </si>
  <si>
    <t>1,1,2,2-tetrachloroethene</t>
  </si>
  <si>
    <t>2-chloropropane</t>
  </si>
  <si>
    <t>1-chlorobutane</t>
  </si>
  <si>
    <t>BC, HBC, Halons</t>
  </si>
  <si>
    <t>Methyl bromide</t>
  </si>
  <si>
    <t>Methylene bromide</t>
  </si>
  <si>
    <t>Halon-1201</t>
  </si>
  <si>
    <t>Halon-1202</t>
  </si>
  <si>
    <t>Halon-1211</t>
  </si>
  <si>
    <t>Halon-1301</t>
  </si>
  <si>
    <t>Halon-2301</t>
  </si>
  <si>
    <t>Halon-2311</t>
  </si>
  <si>
    <t>Halon-2401</t>
  </si>
  <si>
    <t>Halon-2402</t>
  </si>
  <si>
    <t>Tribromomethane</t>
  </si>
  <si>
    <t>Halon-1011</t>
  </si>
  <si>
    <t>Bromoethane</t>
  </si>
  <si>
    <t>1,2-dibromoethane</t>
  </si>
  <si>
    <t>1-bromopropane</t>
  </si>
  <si>
    <t>2-bromopropane</t>
  </si>
  <si>
    <t>Nitrogen trifluoride</t>
  </si>
  <si>
    <t>FF</t>
  </si>
  <si>
    <t>Pentadecafluorotriethylamine</t>
  </si>
  <si>
    <t>Perfluorotripropylamine</t>
  </si>
  <si>
    <t>Heptacosafluorotributylamine</t>
  </si>
  <si>
    <t>Perfluorotripentylamine</t>
  </si>
  <si>
    <t>Heptafluoroisobutyronitrile</t>
  </si>
  <si>
    <t>Sulphur hexafluoride</t>
  </si>
  <si>
    <t>Trifluromethylsulfur pentafluoride</t>
  </si>
  <si>
    <t>Sulfuryl fluoride</t>
  </si>
  <si>
    <t>PFC-14</t>
  </si>
  <si>
    <t>PFC-116</t>
  </si>
  <si>
    <t>PFC-218</t>
  </si>
  <si>
    <t>Hexafluorocyclobutene</t>
  </si>
  <si>
    <t>PFC-C-318</t>
  </si>
  <si>
    <t>PFC-31-10</t>
  </si>
  <si>
    <t>Octafluorocyclopentene</t>
  </si>
  <si>
    <t>PFC-41-12</t>
  </si>
  <si>
    <t>PFC-51-14</t>
  </si>
  <si>
    <t>PFC-61-16</t>
  </si>
  <si>
    <t>PFC-71-18</t>
  </si>
  <si>
    <t>PFC-91-18</t>
  </si>
  <si>
    <t>PFC-1114</t>
  </si>
  <si>
    <t>PFC-1216</t>
  </si>
  <si>
    <t>1,1,2,2,3,3,4,4,4a,5,5,6,6,7,7,8,8,8a-octadecafluoronaphthalene-Z</t>
  </si>
  <si>
    <t>1,1,2,2,3,3,4,4,4a,5,5,6,6,7,7,8,8,8a-octadecafluoronaphthalene-E</t>
  </si>
  <si>
    <t>1,1,2,3,4,4-hexafluorobuta-1,3-diene</t>
  </si>
  <si>
    <t>Octafluoro-1-butene</t>
  </si>
  <si>
    <t>Octafluoro-2-butene</t>
  </si>
  <si>
    <t>HaloA, Ethers , Furans, Aldehydes &amp; Ketones</t>
  </si>
  <si>
    <t>HFE-125</t>
  </si>
  <si>
    <t>HFE-134</t>
  </si>
  <si>
    <t>HFE-143a</t>
  </si>
  <si>
    <t>HFE-227ea</t>
  </si>
  <si>
    <t>HCFE-235ca2</t>
  </si>
  <si>
    <t>HCFE-235da2</t>
  </si>
  <si>
    <t>HFE-236ea2</t>
  </si>
  <si>
    <t>HFE-236fa</t>
  </si>
  <si>
    <t>HFE-245fa1</t>
  </si>
  <si>
    <t>HFE-245fa2</t>
  </si>
  <si>
    <t>2,2,3,3,3-pentafluoropropan-1-ol</t>
  </si>
  <si>
    <t>HFE-254cb1</t>
  </si>
  <si>
    <t>HFE-263mf</t>
  </si>
  <si>
    <t>HFE-263m1</t>
  </si>
  <si>
    <t>3,3,3-trifluoropropan-1-ol</t>
  </si>
  <si>
    <t>HFE-329mcc2</t>
  </si>
  <si>
    <t>HFE-338mmz1</t>
  </si>
  <si>
    <t>HFE-338mcf2</t>
  </si>
  <si>
    <t>HFE-347mmz1</t>
  </si>
  <si>
    <t>HFE-347mcc3</t>
  </si>
  <si>
    <t>HFE-347mcf2</t>
  </si>
  <si>
    <t>HFE-347pcf2</t>
  </si>
  <si>
    <t>HFE-347mmy1</t>
  </si>
  <si>
    <t>HFE-356mec3</t>
  </si>
  <si>
    <t>HFE-356mff2</t>
  </si>
  <si>
    <t>HFE-356pcf2</t>
  </si>
  <si>
    <t>HFE-356pcf3</t>
  </si>
  <si>
    <t>HFE-356pcc3</t>
  </si>
  <si>
    <t>HFE-356mmz1</t>
  </si>
  <si>
    <t>HFE-365mcf3</t>
  </si>
  <si>
    <t>HFE-374pc2</t>
  </si>
  <si>
    <t>4,4,4-trifluorobutan-1-ol</t>
  </si>
  <si>
    <t>2,2,3,3,4,4,5,5-octafluorocyclopentan-1-ol</t>
  </si>
  <si>
    <t>HFE-43-10pccc124</t>
  </si>
  <si>
    <t>HFE-449s1</t>
  </si>
  <si>
    <t>n-HFE-7100</t>
  </si>
  <si>
    <t>i-HFE-7100</t>
  </si>
  <si>
    <t>HFE-569sf2</t>
  </si>
  <si>
    <t>i-HFE-7200</t>
  </si>
  <si>
    <t>HFE-7300</t>
  </si>
  <si>
    <t>HFE-7500</t>
  </si>
  <si>
    <t>HFE-236ca12</t>
  </si>
  <si>
    <t>HFE-338pcc13</t>
  </si>
  <si>
    <t>1,1,1,3,3,3-hexafluoropropan-2-ol</t>
  </si>
  <si>
    <t>HG-02</t>
  </si>
  <si>
    <t>HG-03</t>
  </si>
  <si>
    <t>Fluroxene</t>
  </si>
  <si>
    <t>2-ethoxy-3,3,4,4,
5-pentafluorotetrahydro-
2,5-bis[1,2,2,2-tetrafluoro-1-(trifluoromethyl)ethyl]-furan</t>
  </si>
  <si>
    <t>Difluoro (methoxy)methane</t>
  </si>
  <si>
    <t>HG’-01</t>
  </si>
  <si>
    <t>HG’-02</t>
  </si>
  <si>
    <t>HG’-03</t>
  </si>
  <si>
    <t>HFE-329me3</t>
  </si>
  <si>
    <t>3,3,4,4,5,5,6,6,7,7,7-undecafluoroheptan-1-ol</t>
  </si>
  <si>
    <t>3,3,4,4,5,5,6,6,7,7,8,8,9,9,9-pentadecafluorononan-1-ol</t>
  </si>
  <si>
    <t>3,3,4,4,5,5,6,6,7,7,8,8,9,9,10,10,11,11,11-nonadecafluoroundecan-1-ol</t>
  </si>
  <si>
    <t>2-chloro-1,1,2-trifluoro-1-methoxyethane</t>
  </si>
  <si>
    <t>PFPMIE</t>
  </si>
  <si>
    <t>HFE-216</t>
  </si>
  <si>
    <t>Perfluoroethyl formate</t>
  </si>
  <si>
    <t>2,2,2-trifluoroethyl formate</t>
  </si>
  <si>
    <t>Formic acid;1,1,1,3,3,3-hexafluoropropan-2-ol</t>
  </si>
  <si>
    <t>Ethenyl 2,2,2-trifluoroacetate</t>
  </si>
  <si>
    <t>Ethyl 2,2,2-trifluoroacetate</t>
  </si>
  <si>
    <t>Prop-2-enyl 2,2,2-trifluoroacetate</t>
  </si>
  <si>
    <t>Methyl 2,2,2-trifluoroacetate</t>
  </si>
  <si>
    <t>2,2,3,3,4,4,4-heptafluorobutan-1-ol</t>
  </si>
  <si>
    <t>1,1,2-trifluoro-2-(trifluoromethoxy) ethane</t>
  </si>
  <si>
    <t>1-ethoxy-1,1,2,3,3,3-hexafluoropropane</t>
  </si>
  <si>
    <t>1,1,1,2,2,3,3-heptafluoro-3-(1,2,2,2-tetrafluoroethoxy) propane</t>
  </si>
  <si>
    <t>2,2,3,3-tetrafluoropropan-1-ol</t>
  </si>
  <si>
    <t>2,2,3,4,4,4-hexafluorobutan-1-ol</t>
  </si>
  <si>
    <t>1,1,2,2-tetrafluoro-3-methoxypropane</t>
  </si>
  <si>
    <t>1,1,1,2,2,4,5,5,5-nonafluoro-4-(trifluoromethyl)pentan-3-one</t>
  </si>
  <si>
    <t>3,3,3-trifluoropropanal</t>
  </si>
  <si>
    <t>2-fluoroethanol</t>
  </si>
  <si>
    <t>2,2-difluoroethanol</t>
  </si>
  <si>
    <t>2,2,2-trifluoroethanol</t>
  </si>
  <si>
    <t>HG-04</t>
  </si>
  <si>
    <t>Methyl-perfluoroheptene-ethers</t>
  </si>
  <si>
    <t>1,1,1-trifluoropropan-2-one</t>
  </si>
  <si>
    <t>1,1,1-trifluorobutan-2-one</t>
  </si>
  <si>
    <t>1-chloro-2-ethenoxyethane</t>
  </si>
  <si>
    <t>2-methylpentan-3-one</t>
  </si>
  <si>
    <t>Ethyl methyl ether</t>
  </si>
  <si>
    <t>Octafluorooxolane</t>
  </si>
  <si>
    <t>Crotonaldehyde</t>
  </si>
  <si>
    <t>Methyl vinyl ketone</t>
  </si>
  <si>
    <t>Allyl ether</t>
  </si>
  <si>
    <t>Allyl ethyl ether</t>
  </si>
  <si>
    <t>(z)-hex-2-en-1-ol</t>
  </si>
  <si>
    <t>(e)-hex-2-en-1-ol</t>
  </si>
  <si>
    <t>Allyl cyanide</t>
  </si>
  <si>
    <t>Other Misc</t>
  </si>
  <si>
    <t>Hexamethyldisiloxane</t>
  </si>
  <si>
    <t>Octamethyltrisiloxane</t>
  </si>
  <si>
    <t>Decamethyltetrasiloxane</t>
  </si>
  <si>
    <t>Dodecamethylpentasiloxane</t>
  </si>
  <si>
    <t>Hexamethylcyclotrisiloxane</t>
  </si>
  <si>
    <t>Octamethylcyclotetrasiloxane</t>
  </si>
  <si>
    <t>Decamethylcyclopentasiloxane</t>
  </si>
  <si>
    <t>Dodecamethylcyclohexasiloxane</t>
  </si>
  <si>
    <t>Ethane</t>
  </si>
  <si>
    <t>Propane</t>
  </si>
  <si>
    <t>Butane</t>
  </si>
  <si>
    <t>Gases EE</t>
  </si>
  <si>
    <t>Methane</t>
  </si>
  <si>
    <t>Nitrous Oxide</t>
  </si>
  <si>
    <t>Carbon Dioxide</t>
  </si>
  <si>
    <t>Perídodo</t>
  </si>
  <si>
    <t>Emissões GEE em âmbito 3 incluindo:
.Aquisição de bens de capital (as emissões associadas à compra de bens ocorrem no ciclo de vida (extração, produção, transporte) dos bens de capital comprados ou adquiridos, até ao ponto de receção pela organização inventariante (tipicamente capex).</t>
  </si>
  <si>
    <t>Emissões GEE em âmbito 3 incluindo:
.Uso de combustíveis e energia de atividades relacionadas (tipicamentes as emissões associadas à extração de matérias primas (e.g. petróleo), transporte, refinamento de combustíveis e distribuição final)</t>
  </si>
  <si>
    <t>Valor (€)</t>
  </si>
  <si>
    <t>Quantidade</t>
  </si>
  <si>
    <t>Tipologia de Bens comprados/adquiridos</t>
  </si>
  <si>
    <t>Emissões de GEE associadas à cadeia de valor da produção dos bens de capital adquiridos</t>
  </si>
  <si>
    <t>Emissões GEE em âmbito 3 incluindo:
.Emissões de GEE associadas às viagens pendulares dos colaboradores (deslocação: casa-trabalho-casa)</t>
  </si>
  <si>
    <t>Nº de Colaboradores</t>
  </si>
  <si>
    <t>Viagem média (km)</t>
  </si>
  <si>
    <t>Emissões GEE em âmbito 3 incluindo:
.Emissões de GEE associadas à compra de bens e serviços, nomeadamente associadas à cadeia de valor da produção de materiais e serviços adquiridos pela organização nas suas atividades.</t>
  </si>
  <si>
    <t>Tipo de Material/Tipo de serviço</t>
  </si>
  <si>
    <t>Distância (km)</t>
  </si>
  <si>
    <t>Peso (em kg, caso aplicável)</t>
  </si>
  <si>
    <t>Tipo de Transporte</t>
  </si>
  <si>
    <t>Quantidade transportada</t>
  </si>
  <si>
    <t>País de Origem</t>
  </si>
  <si>
    <t>Distância unitária (km)</t>
  </si>
  <si>
    <t>Meio de Transporte</t>
  </si>
  <si>
    <t>Emissões GEE em âmbito 3 incluindo:
.Emissões de GEE a montante associadas ativos alugados</t>
  </si>
  <si>
    <t>Emissões GEE em âmbito 3 incluindo:
.Emissões de GEE associadas ao transporte a montante dos bens adquiridos.</t>
  </si>
  <si>
    <t>Emissões GEE em âmbito 3 incluindo:
.Emissões de GEE a montante associadas a investimentos</t>
  </si>
  <si>
    <t>Emissões GEE em âmbito 3 incluindo:
.Emissões de GEE a montante associadas a operações de Franchise</t>
  </si>
  <si>
    <t>Emissões GEE em âmbito 3 incluindo:
.Emissões de GEE associadas ao transporte a jusante dos produtos vendidos.</t>
  </si>
  <si>
    <t>Emissões GEE em âmbito 3 incluindo:
.Emissões de GEE a jusante associadas a ativos alugados.</t>
  </si>
  <si>
    <t>País de Destino</t>
  </si>
  <si>
    <t>Região/Cidade de Destino</t>
  </si>
  <si>
    <t>Região/Cidade de Origem</t>
  </si>
  <si>
    <t>Tipo de Produto</t>
  </si>
  <si>
    <t>Tipo de produto (detalhe, comentátio)</t>
  </si>
  <si>
    <t>Cliente</t>
  </si>
  <si>
    <t>Cliente Universo GB</t>
  </si>
  <si>
    <t>Emissões GEE em âmbito 3 incluindo:
.Emissões de GEE associadas aos resíduos gerados da organização e geridos por terceiros.</t>
  </si>
  <si>
    <t>Quantidade produzida</t>
  </si>
  <si>
    <t>Tipo de resíduo (Código LER)</t>
  </si>
  <si>
    <t>Tipo de resíduo (descrição)</t>
  </si>
  <si>
    <t>Tratamento final (Código R ou D)</t>
  </si>
  <si>
    <t>Tratamento final (descrição)</t>
  </si>
  <si>
    <t>Tipos de Tratamento</t>
  </si>
  <si>
    <t>Final</t>
  </si>
  <si>
    <t>Código</t>
  </si>
  <si>
    <t>R1</t>
  </si>
  <si>
    <t>R2</t>
  </si>
  <si>
    <t>R3</t>
  </si>
  <si>
    <t>R4</t>
  </si>
  <si>
    <t>R5</t>
  </si>
  <si>
    <t>R6</t>
  </si>
  <si>
    <t>R7</t>
  </si>
  <si>
    <t>R8</t>
  </si>
  <si>
    <t>R9</t>
  </si>
  <si>
    <t>R10</t>
  </si>
  <si>
    <t>R11</t>
  </si>
  <si>
    <t>R12</t>
  </si>
  <si>
    <t>R13</t>
  </si>
  <si>
    <t xml:space="preserve">Troca de resíduos com vista a submetê-los a uma das operações enumeradas de R 1 a R 11 </t>
  </si>
  <si>
    <t xml:space="preserve">Utilização de resíduos obtidos em virtude das operações enumeradas de R 1 a R 10 </t>
  </si>
  <si>
    <t xml:space="preserve">Tratamento no solo em benefício da agricultura ou para melhorar o ambiente </t>
  </si>
  <si>
    <t xml:space="preserve">Recuperação/regeneração de solventes </t>
  </si>
  <si>
    <t xml:space="preserve">Utilização como combustível (que não em incineração directa) ou outros meios de produção de energia/Utilização principal como combustível ou outros meios de produção de energia </t>
  </si>
  <si>
    <t xml:space="preserve">Reciclagem/recuperação de compostos orgânicos que não são utilizados como solventes </t>
  </si>
  <si>
    <t xml:space="preserve">Reciclagem/recuperação de metais e de ligas </t>
  </si>
  <si>
    <t xml:space="preserve">Reciclagem/recuperação de outras matérias inorgânicas </t>
  </si>
  <si>
    <t>D1</t>
  </si>
  <si>
    <t>Eliminação</t>
  </si>
  <si>
    <t>Valorização</t>
  </si>
  <si>
    <t>D2</t>
  </si>
  <si>
    <t>D3</t>
  </si>
  <si>
    <t>D4</t>
  </si>
  <si>
    <t>D5</t>
  </si>
  <si>
    <t>D6</t>
  </si>
  <si>
    <t>D7</t>
  </si>
  <si>
    <t>D8</t>
  </si>
  <si>
    <t>D9</t>
  </si>
  <si>
    <t>D10</t>
  </si>
  <si>
    <t>D11</t>
  </si>
  <si>
    <t>D12</t>
  </si>
  <si>
    <t>D13</t>
  </si>
  <si>
    <t>D14</t>
  </si>
  <si>
    <t>D15</t>
  </si>
  <si>
    <t>Tratamento no solo (por exemplo, biodegradação de efluentes líquidos ou de lamas de depuração nos solos, etc.)</t>
  </si>
  <si>
    <t>Deposição sobre o solo ou no seu interior (por exemplo, aterro sanitário, etc.).</t>
  </si>
  <si>
    <t>Lagunagem (por exemplo, descarga de resíduos líquidos ou de lamas de depuração em poços, lagos naturais ou artificiais, etc.)</t>
  </si>
  <si>
    <t>Injeção em profundidade (por exemplo, injeção de resíduos por bombagem em poços, cúpulas salinas ou depósitos naturais, etc.)</t>
  </si>
  <si>
    <t>Depósitos subterrâneos especialmente concebidos (por exemplo, deposição em alinhamentos de células que são seladas e isoladas umas das outras e do ambiente, etc.)</t>
  </si>
  <si>
    <t>Descarga para massas de águas, com excepção dos mares e dos oceanos</t>
  </si>
  <si>
    <t>Descargas para os mares e/ou oceanos, incluindo inserção nos fundos marinhos</t>
  </si>
  <si>
    <t>Tratamento biológico não especificado em qualquer outra parte da presente lista que produz compostos ou misturas finais que são rejeitados por meio de qualquer uma das operações enumeradas na presente lista</t>
  </si>
  <si>
    <t>Tratamento físico-químico não especificado em qualquer outra parte da presente lista que produz compostos ou misturas finais rejeitados por meio de qualquer uma das operações enumeradas na presente lista (por exemplo, evaporação, secagem, calcinação, etc.)</t>
  </si>
  <si>
    <t>Incineração em terra</t>
  </si>
  <si>
    <t>Incineração no mar</t>
  </si>
  <si>
    <t>Armazenagem permanente (por exemplo, armazenagem de contentores numa mina, etc.)</t>
  </si>
  <si>
    <t>Âmbito 3 - Emissões indiretas de GEE, associadas à cadeia de valor</t>
  </si>
  <si>
    <t>Emissões GEE em âmbito 3 incluindo:
.Emissões de GEE associadas ao uso dos produtos vendidos.
.Emissões de GEE associadas à transformação dos produtos vendidos.
.Emissões de GEE associadas ao abate dos produtos vendidos.</t>
  </si>
  <si>
    <t>Emissões GEE em âmbito 3 incluindo:
.Emissões de GEE associadas à subcontratação de serviços de transporte</t>
  </si>
  <si>
    <t>Fornecedor Universo GB</t>
  </si>
  <si>
    <t>Transporte Dedicado em Exclulsividade</t>
  </si>
  <si>
    <t>Origem</t>
  </si>
  <si>
    <t>Destino</t>
  </si>
  <si>
    <t>Fornecedor/Entidade Subcontratada</t>
  </si>
  <si>
    <t>Emissões GEE em âmbito 3 incluindo:
.Emissões de GEE associadas ao tratamento de águas residuais</t>
  </si>
  <si>
    <t>Fonte de água</t>
  </si>
  <si>
    <t>Quantidade descarregada</t>
  </si>
  <si>
    <t>Quantidade usada</t>
  </si>
  <si>
    <t>Barraqueiro Transportes</t>
  </si>
  <si>
    <t>Ribatejana Verde</t>
  </si>
  <si>
    <t>Citirama</t>
  </si>
  <si>
    <t>Diana Tours / Prime BUS</t>
  </si>
  <si>
    <t>GALP</t>
  </si>
  <si>
    <t>falta fatura jan 2022 e jan 2024</t>
  </si>
  <si>
    <t>Barraqueiro Transportes - Sede</t>
  </si>
  <si>
    <t>Barraqueiro Transportes - Barraqueiro Alugueres</t>
  </si>
  <si>
    <t>Barraqueiro Transportes - Barraqueiro Oeste</t>
  </si>
  <si>
    <t>Barraqueiro Transportes - Boa Viagem</t>
  </si>
  <si>
    <t>Barraqueiro Transportes - Mafrense</t>
  </si>
  <si>
    <t>Barraqueiro Transportes - Estremadura</t>
  </si>
  <si>
    <t>Barraqueiro Transportes - Frota Aul</t>
  </si>
  <si>
    <t>Barraqueiro Transportes - ESEVEL</t>
  </si>
  <si>
    <t>falta fatura jan 2022 e jan 2023; falta dez na santos e castro e guerreiros</t>
  </si>
  <si>
    <t>AC Frota Produtiva Pesada</t>
  </si>
  <si>
    <t>Barraqueiro Transportes Mafrense</t>
  </si>
  <si>
    <t>Barraqueiro Transportes ESEVEL</t>
  </si>
  <si>
    <t>Entrada: 3780kg ; Saída/Venda: 792,6 kg. Fonte Movimentos Gases Fluorados AS400 + Mapa reporte APA</t>
  </si>
  <si>
    <t>Gases Refrigerantes</t>
  </si>
  <si>
    <t>TRANSOL, SA</t>
  </si>
  <si>
    <t>Meios Próprios Cliente</t>
  </si>
  <si>
    <t>Quantidade vendidada/transportada</t>
  </si>
  <si>
    <t>kg (quilos)</t>
  </si>
  <si>
    <t>Não Aplicável</t>
  </si>
  <si>
    <t>ANTÓNIO SILVA CRUZ &amp; FILHOS, LDA.</t>
  </si>
  <si>
    <t>CAETANO AUTO, SA</t>
  </si>
  <si>
    <t>CAETANOBUS-FABRICAÇÃO DE CARROÇARIAS,SA.</t>
  </si>
  <si>
    <t>CAMARA MUNICIPAL LOURES</t>
  </si>
  <si>
    <t>ASSISBUS-ASSISTENCIA MECANICA,LDA.</t>
  </si>
  <si>
    <t>BEAT THE STREET-JOERG PHILIP TOURING SER</t>
  </si>
  <si>
    <t>EVA TRANSPORTES, SA.</t>
  </si>
  <si>
    <t>FROTA AZUL (ALGARVE) TRANSP.TURISMO,LDA.</t>
  </si>
  <si>
    <t>HENRIQUE LEONARDO MOTA, LDA</t>
  </si>
  <si>
    <t>IBEROBUS TRANS PASSAG AUT TURISMO, LDA</t>
  </si>
  <si>
    <t>IRMAOS MOTA - CONSTR.DE CARROÇARIAS SA</t>
  </si>
  <si>
    <t>IVECO PORTUGAL LDA</t>
  </si>
  <si>
    <t>JJ SANTO ANTONIO -TRAN.ROD.PASSAGEIRO UN</t>
  </si>
  <si>
    <t>JOAQUIM DA COSTA FERREIRA &amp; FILHOS, LDA</t>
  </si>
  <si>
    <t>MAN TRUCK &amp; BUS (PORTUGAL) SOC.UNIP.,LDA</t>
  </si>
  <si>
    <t>MUNICIPIO DE ARRUDA DOS VINHOS</t>
  </si>
  <si>
    <t>MUNICIPIO DE POMBAL</t>
  </si>
  <si>
    <t>PETER SMIT THEATER ROCK PORTUGAL LDA</t>
  </si>
  <si>
    <t>RMTEJO-TRANP.ROD.PASS.,UNIP.,LDA</t>
  </si>
  <si>
    <t>RODOVIARIA DO ALENTEJO,S.A.</t>
  </si>
  <si>
    <t>SAFTUR VIAGENS E TURISMO,LDA.</t>
  </si>
  <si>
    <t>SERV.MUNICIP.TRANSP.COLECTIVOS BARREIRO</t>
  </si>
  <si>
    <t>SORECA-SOC.REPARAÇOES DE CARROÇARIAS,LDA</t>
  </si>
  <si>
    <t>TARSIBUS-TRANSP. PAS. NACIONAL E INTERN.</t>
  </si>
  <si>
    <t>TRANSVIAGENS-TRANSPORTES AUTOCARROS,LDA.</t>
  </si>
  <si>
    <t>HDV Avg</t>
  </si>
  <si>
    <t>Equipamentos de AC</t>
  </si>
  <si>
    <t>unidades</t>
  </si>
  <si>
    <t>expedido do fabricante Alemanha</t>
  </si>
  <si>
    <t>Perdas Rede (Eletricidade)</t>
  </si>
  <si>
    <t>kWh</t>
  </si>
  <si>
    <t>Santos e Castro</t>
  </si>
  <si>
    <t>Ramalhal</t>
  </si>
  <si>
    <t>Alenquer</t>
  </si>
  <si>
    <t>Mafra</t>
  </si>
  <si>
    <t>Frielas</t>
  </si>
  <si>
    <t>Salvaterra de Magos</t>
  </si>
  <si>
    <t>Agregado ZOPs</t>
  </si>
  <si>
    <t>Não foram comunicados carregamentos de unidades estacionárias</t>
  </si>
  <si>
    <t>Em apuramento os consumos/carregamento/fugas de gás refrigerante por viatura através das obras de manutenção. A aguardar dados STM.
Os consumos da DT e Cityrama estam incluídos nos consumos internos da BT, pois estas operações são efetuadas na ESEVEL.</t>
  </si>
  <si>
    <t>Propano</t>
  </si>
  <si>
    <t>Aquecimento de Águas</t>
  </si>
  <si>
    <t>Cityrama</t>
  </si>
  <si>
    <t>Diana Tours / Prime Bus</t>
  </si>
  <si>
    <t>AC EB353 32kW 121 kg; 5,5kg r134a</t>
  </si>
  <si>
    <t>AC EB515 15kW 93kg; 2,5kg r134a</t>
  </si>
  <si>
    <t>AC EB520 20kW 167kg; 3,0kg r134a</t>
  </si>
  <si>
    <t>AC_515.pdf (esevel.pt)</t>
  </si>
  <si>
    <t>AC_520.pdf (esevel.pt)</t>
  </si>
  <si>
    <t>Broschure_AC353-5_en.pdf (esevel.pt)</t>
  </si>
  <si>
    <t>https://sanzclima.com/product/dreiha-12sc/?lang=en</t>
  </si>
  <si>
    <t>AC Dreiha 12SC 11kW 38kg; 1,5kg r134a</t>
  </si>
  <si>
    <t>https://sanzclima.com/wp-content/uploads/2021/05/Dreiha12SC.pdf</t>
  </si>
  <si>
    <t>https://sanzclima.com/produto/olmo-plus/?lang=pt-br</t>
  </si>
  <si>
    <t>https://sanzclima.com/wp-content/uploads/2021/05/ElectricACRooftopUnit_KENWAY_DataSheet.pdf</t>
  </si>
  <si>
    <t>AC Olmo 34 SC 34kW 44kg; 3,5kg r134a</t>
  </si>
  <si>
    <t>expedido do fabricante Polonia</t>
  </si>
  <si>
    <t>652 viaturas</t>
  </si>
  <si>
    <t>61 viaturas</t>
  </si>
  <si>
    <t>45 viaturas</t>
  </si>
  <si>
    <t>36 viaturas</t>
  </si>
  <si>
    <t>Gasóleo</t>
  </si>
  <si>
    <t>€ (euros)</t>
  </si>
  <si>
    <t>HLM (BT?; RL?)</t>
  </si>
  <si>
    <t>Ligeiro de Passageiros M1</t>
  </si>
  <si>
    <t>Ligeiro de Mercadorias N1</t>
  </si>
  <si>
    <t>Viaturas Serviço</t>
  </si>
  <si>
    <t>Viaturas Apoio Expl. / Oficina</t>
  </si>
  <si>
    <t>fonte CG GB</t>
  </si>
  <si>
    <t>FE PC2021; Fonte CG GB</t>
  </si>
  <si>
    <t>Pesado de Passageiros M3</t>
  </si>
  <si>
    <t>l (litros)</t>
  </si>
  <si>
    <t>0207</t>
  </si>
  <si>
    <t>0213</t>
  </si>
  <si>
    <t>0214</t>
  </si>
  <si>
    <t>0223</t>
  </si>
  <si>
    <t>0224</t>
  </si>
  <si>
    <t>0245</t>
  </si>
  <si>
    <t>0247</t>
  </si>
  <si>
    <t>0248</t>
  </si>
  <si>
    <t>0277</t>
  </si>
  <si>
    <t>0278</t>
  </si>
  <si>
    <t>0279</t>
  </si>
  <si>
    <t>0291</t>
  </si>
  <si>
    <t>0334</t>
  </si>
  <si>
    <t>0340</t>
  </si>
  <si>
    <t>0342</t>
  </si>
  <si>
    <t>0343</t>
  </si>
  <si>
    <t>0355</t>
  </si>
  <si>
    <t>0377</t>
  </si>
  <si>
    <t>0378</t>
  </si>
  <si>
    <t>0384</t>
  </si>
  <si>
    <t>0389</t>
  </si>
  <si>
    <t>0419</t>
  </si>
  <si>
    <t>0437</t>
  </si>
  <si>
    <t>0442</t>
  </si>
  <si>
    <t>0455</t>
  </si>
  <si>
    <t>0492</t>
  </si>
  <si>
    <t>0503</t>
  </si>
  <si>
    <t>0538</t>
  </si>
  <si>
    <t>0638</t>
  </si>
  <si>
    <t>0644</t>
  </si>
  <si>
    <t>0645</t>
  </si>
  <si>
    <t>0669</t>
  </si>
  <si>
    <t>0677</t>
  </si>
  <si>
    <t>0687</t>
  </si>
  <si>
    <t>0688</t>
  </si>
  <si>
    <t>0689</t>
  </si>
  <si>
    <t>0690</t>
  </si>
  <si>
    <t>0703</t>
  </si>
  <si>
    <t>0710</t>
  </si>
  <si>
    <t>0714</t>
  </si>
  <si>
    <t>0715</t>
  </si>
  <si>
    <t>0719</t>
  </si>
  <si>
    <t>0721</t>
  </si>
  <si>
    <t>0731</t>
  </si>
  <si>
    <t>0762</t>
  </si>
  <si>
    <t>0782</t>
  </si>
  <si>
    <t>0799</t>
  </si>
  <si>
    <t>0810</t>
  </si>
  <si>
    <t>0812</t>
  </si>
  <si>
    <t>0815</t>
  </si>
  <si>
    <t>0818</t>
  </si>
  <si>
    <t>0819</t>
  </si>
  <si>
    <t>0822</t>
  </si>
  <si>
    <t>0823</t>
  </si>
  <si>
    <t>0824</t>
  </si>
  <si>
    <t>0850</t>
  </si>
  <si>
    <t>0856</t>
  </si>
  <si>
    <t>0861</t>
  </si>
  <si>
    <t>0868</t>
  </si>
  <si>
    <t>0871</t>
  </si>
  <si>
    <t>0876</t>
  </si>
  <si>
    <t>0880</t>
  </si>
  <si>
    <t>0898</t>
  </si>
  <si>
    <t>0935</t>
  </si>
  <si>
    <t>0941</t>
  </si>
  <si>
    <t>0950</t>
  </si>
  <si>
    <t>0960</t>
  </si>
  <si>
    <t>0961</t>
  </si>
  <si>
    <t>0962</t>
  </si>
  <si>
    <t>5207</t>
  </si>
  <si>
    <t>5208</t>
  </si>
  <si>
    <t>5209</t>
  </si>
  <si>
    <t>5999</t>
  </si>
  <si>
    <t>6600</t>
  </si>
  <si>
    <t>6625</t>
  </si>
  <si>
    <t>6627</t>
  </si>
  <si>
    <t>6633</t>
  </si>
  <si>
    <t>6635</t>
  </si>
  <si>
    <t>6637</t>
  </si>
  <si>
    <t>6644</t>
  </si>
  <si>
    <t>6646</t>
  </si>
  <si>
    <t>6651</t>
  </si>
  <si>
    <t>6653</t>
  </si>
  <si>
    <t>6654</t>
  </si>
  <si>
    <t>6660</t>
  </si>
  <si>
    <t>6667</t>
  </si>
  <si>
    <t>6668</t>
  </si>
  <si>
    <t>6670</t>
  </si>
  <si>
    <t>6685</t>
  </si>
  <si>
    <t>6686</t>
  </si>
  <si>
    <t>6692</t>
  </si>
  <si>
    <t>6711</t>
  </si>
  <si>
    <t>6734</t>
  </si>
  <si>
    <t>6735</t>
  </si>
  <si>
    <t>6741</t>
  </si>
  <si>
    <t>6742</t>
  </si>
  <si>
    <t>6744</t>
  </si>
  <si>
    <t>6745</t>
  </si>
  <si>
    <t>6747</t>
  </si>
  <si>
    <t>norma de emissões estimada</t>
  </si>
  <si>
    <t>E4</t>
  </si>
  <si>
    <t>E3</t>
  </si>
  <si>
    <t>E6</t>
  </si>
  <si>
    <t>E5</t>
  </si>
  <si>
    <t>E2</t>
  </si>
  <si>
    <t>E1</t>
  </si>
  <si>
    <t>0217</t>
  </si>
  <si>
    <t>0218</t>
  </si>
  <si>
    <t>0240</t>
  </si>
  <si>
    <t>0241</t>
  </si>
  <si>
    <t>0246</t>
  </si>
  <si>
    <t>0253</t>
  </si>
  <si>
    <t>0267</t>
  </si>
  <si>
    <t>0268</t>
  </si>
  <si>
    <t>0271</t>
  </si>
  <si>
    <t>0272</t>
  </si>
  <si>
    <t>0273</t>
  </si>
  <si>
    <t>0274</t>
  </si>
  <si>
    <t>0301</t>
  </si>
  <si>
    <t>0302</t>
  </si>
  <si>
    <t>0314</t>
  </si>
  <si>
    <t>0317</t>
  </si>
  <si>
    <t>0321</t>
  </si>
  <si>
    <t>0322</t>
  </si>
  <si>
    <t>0323</t>
  </si>
  <si>
    <t>0329</t>
  </si>
  <si>
    <t>0330</t>
  </si>
  <si>
    <t>0333</t>
  </si>
  <si>
    <t>0339</t>
  </si>
  <si>
    <t>0345</t>
  </si>
  <si>
    <t>0357</t>
  </si>
  <si>
    <t>0374</t>
  </si>
  <si>
    <t>0375</t>
  </si>
  <si>
    <t>0386</t>
  </si>
  <si>
    <t>0399</t>
  </si>
  <si>
    <t>0409</t>
  </si>
  <si>
    <t>0417</t>
  </si>
  <si>
    <t>0420</t>
  </si>
  <si>
    <t>0432</t>
  </si>
  <si>
    <t>0433</t>
  </si>
  <si>
    <t>0434</t>
  </si>
  <si>
    <t>0438</t>
  </si>
  <si>
    <t>0460</t>
  </si>
  <si>
    <t>0478</t>
  </si>
  <si>
    <t>0479</t>
  </si>
  <si>
    <t>0539</t>
  </si>
  <si>
    <t>0552</t>
  </si>
  <si>
    <t>0553</t>
  </si>
  <si>
    <t>0564</t>
  </si>
  <si>
    <t>0566</t>
  </si>
  <si>
    <t>0576</t>
  </si>
  <si>
    <t>0614</t>
  </si>
  <si>
    <t>0626</t>
  </si>
  <si>
    <t>0628</t>
  </si>
  <si>
    <t>0631</t>
  </si>
  <si>
    <t>0632</t>
  </si>
  <si>
    <t>0637</t>
  </si>
  <si>
    <t>0639</t>
  </si>
  <si>
    <t>0642</t>
  </si>
  <si>
    <t>0643</t>
  </si>
  <si>
    <t>0679</t>
  </si>
  <si>
    <t>0694</t>
  </si>
  <si>
    <t>0695</t>
  </si>
  <si>
    <t>0707</t>
  </si>
  <si>
    <t>0708</t>
  </si>
  <si>
    <t>0716</t>
  </si>
  <si>
    <t>0717</t>
  </si>
  <si>
    <t>0718</t>
  </si>
  <si>
    <t>0723</t>
  </si>
  <si>
    <t>0729</t>
  </si>
  <si>
    <t>0736</t>
  </si>
  <si>
    <t>0752</t>
  </si>
  <si>
    <t>0759</t>
  </si>
  <si>
    <t>0769</t>
  </si>
  <si>
    <t>0774</t>
  </si>
  <si>
    <t>0777</t>
  </si>
  <si>
    <t>0779</t>
  </si>
  <si>
    <t>0780</t>
  </si>
  <si>
    <t>0800</t>
  </si>
  <si>
    <t>0808</t>
  </si>
  <si>
    <t>0813</t>
  </si>
  <si>
    <t>0814</t>
  </si>
  <si>
    <t>0821</t>
  </si>
  <si>
    <t>0851</t>
  </si>
  <si>
    <t>0859</t>
  </si>
  <si>
    <t>0870</t>
  </si>
  <si>
    <t>0874</t>
  </si>
  <si>
    <t>0884</t>
  </si>
  <si>
    <t>0886</t>
  </si>
  <si>
    <t>0891</t>
  </si>
  <si>
    <t>0892</t>
  </si>
  <si>
    <t>0909</t>
  </si>
  <si>
    <t>0916</t>
  </si>
  <si>
    <t>0932</t>
  </si>
  <si>
    <t>0938</t>
  </si>
  <si>
    <t>0939</t>
  </si>
  <si>
    <t>0940</t>
  </si>
  <si>
    <t>0956</t>
  </si>
  <si>
    <t>0963</t>
  </si>
  <si>
    <t>0982</t>
  </si>
  <si>
    <t>0983</t>
  </si>
  <si>
    <t>0995</t>
  </si>
  <si>
    <t>0999</t>
  </si>
  <si>
    <t>3060</t>
  </si>
  <si>
    <t>3061</t>
  </si>
  <si>
    <t>3062</t>
  </si>
  <si>
    <t>5911</t>
  </si>
  <si>
    <t>5913</t>
  </si>
  <si>
    <t>5914</t>
  </si>
  <si>
    <t>6072</t>
  </si>
  <si>
    <t>6085</t>
  </si>
  <si>
    <t>6617</t>
  </si>
  <si>
    <t>6628</t>
  </si>
  <si>
    <t>6634</t>
  </si>
  <si>
    <t>6638</t>
  </si>
  <si>
    <t>6647</t>
  </si>
  <si>
    <t>6648</t>
  </si>
  <si>
    <t>6649</t>
  </si>
  <si>
    <t>6650</t>
  </si>
  <si>
    <t>6652</t>
  </si>
  <si>
    <t>6655</t>
  </si>
  <si>
    <t>6656</t>
  </si>
  <si>
    <t>6657</t>
  </si>
  <si>
    <t>6658</t>
  </si>
  <si>
    <t>6659</t>
  </si>
  <si>
    <t>6672</t>
  </si>
  <si>
    <t>6743</t>
  </si>
  <si>
    <t>6748</t>
  </si>
  <si>
    <t>0110</t>
  </si>
  <si>
    <t>0111</t>
  </si>
  <si>
    <t>0112</t>
  </si>
  <si>
    <t>0113</t>
  </si>
  <si>
    <t>0114</t>
  </si>
  <si>
    <t>0115</t>
  </si>
  <si>
    <t>0116</t>
  </si>
  <si>
    <t>0117</t>
  </si>
  <si>
    <t>0118</t>
  </si>
  <si>
    <t>0119</t>
  </si>
  <si>
    <t>0120</t>
  </si>
  <si>
    <t>0121</t>
  </si>
  <si>
    <t>0122</t>
  </si>
  <si>
    <t>0123</t>
  </si>
  <si>
    <t>0124</t>
  </si>
  <si>
    <t>0125</t>
  </si>
  <si>
    <t>0126</t>
  </si>
  <si>
    <t>0128</t>
  </si>
  <si>
    <t>0129</t>
  </si>
  <si>
    <t>0130</t>
  </si>
  <si>
    <t>0131</t>
  </si>
  <si>
    <t>0132</t>
  </si>
  <si>
    <t>0133</t>
  </si>
  <si>
    <t>0134</t>
  </si>
  <si>
    <t>0135</t>
  </si>
  <si>
    <t>0136</t>
  </si>
  <si>
    <t>0137</t>
  </si>
  <si>
    <t>0138</t>
  </si>
  <si>
    <t>0265</t>
  </si>
  <si>
    <t>0385</t>
  </si>
  <si>
    <t>0404</t>
  </si>
  <si>
    <t>0405</t>
  </si>
  <si>
    <t>0406</t>
  </si>
  <si>
    <t>0412</t>
  </si>
  <si>
    <t>0413</t>
  </si>
  <si>
    <t>0414</t>
  </si>
  <si>
    <t>0415</t>
  </si>
  <si>
    <t>0416</t>
  </si>
  <si>
    <t>0430</t>
  </si>
  <si>
    <t>0436</t>
  </si>
  <si>
    <t>0445</t>
  </si>
  <si>
    <t>0446</t>
  </si>
  <si>
    <t>0447</t>
  </si>
  <si>
    <t>0449</t>
  </si>
  <si>
    <t>0457</t>
  </si>
  <si>
    <t>0458</t>
  </si>
  <si>
    <t>0459</t>
  </si>
  <si>
    <t>0500</t>
  </si>
  <si>
    <t>0501</t>
  </si>
  <si>
    <t>0542</t>
  </si>
  <si>
    <t>0543</t>
  </si>
  <si>
    <t>0627</t>
  </si>
  <si>
    <t>0636</t>
  </si>
  <si>
    <t>0649</t>
  </si>
  <si>
    <t>0650</t>
  </si>
  <si>
    <t>0651</t>
  </si>
  <si>
    <t>0652</t>
  </si>
  <si>
    <t>0653</t>
  </si>
  <si>
    <t>0654</t>
  </si>
  <si>
    <t>0655</t>
  </si>
  <si>
    <t>0656</t>
  </si>
  <si>
    <t>0663</t>
  </si>
  <si>
    <t>0664</t>
  </si>
  <si>
    <t>0704</t>
  </si>
  <si>
    <t>0705</t>
  </si>
  <si>
    <t>0706</t>
  </si>
  <si>
    <t>0711</t>
  </si>
  <si>
    <t>0712</t>
  </si>
  <si>
    <t>0713</t>
  </si>
  <si>
    <t>0737</t>
  </si>
  <si>
    <t>0738</t>
  </si>
  <si>
    <t>0739</t>
  </si>
  <si>
    <t>0742</t>
  </si>
  <si>
    <t>0756</t>
  </si>
  <si>
    <t>0757</t>
  </si>
  <si>
    <t>0763</t>
  </si>
  <si>
    <t>0764</t>
  </si>
  <si>
    <t>0766</t>
  </si>
  <si>
    <t>0772</t>
  </si>
  <si>
    <t>0826</t>
  </si>
  <si>
    <t>0827</t>
  </si>
  <si>
    <t>0828</t>
  </si>
  <si>
    <t>0829</t>
  </si>
  <si>
    <t>0830</t>
  </si>
  <si>
    <t>0831</t>
  </si>
  <si>
    <t>0854</t>
  </si>
  <si>
    <t>0855</t>
  </si>
  <si>
    <t>0906</t>
  </si>
  <si>
    <t>0922</t>
  </si>
  <si>
    <t>0923</t>
  </si>
  <si>
    <t>0924</t>
  </si>
  <si>
    <t>0925</t>
  </si>
  <si>
    <t>0926</t>
  </si>
  <si>
    <t>0927</t>
  </si>
  <si>
    <t>0928</t>
  </si>
  <si>
    <t>0929</t>
  </si>
  <si>
    <t>0930</t>
  </si>
  <si>
    <t>0990</t>
  </si>
  <si>
    <t>6731</t>
  </si>
  <si>
    <t>6733</t>
  </si>
  <si>
    <t>6738</t>
  </si>
  <si>
    <t>6739</t>
  </si>
  <si>
    <t>6750</t>
  </si>
  <si>
    <t>6754</t>
  </si>
  <si>
    <t>6756</t>
  </si>
  <si>
    <t>6773</t>
  </si>
  <si>
    <t>6784</t>
  </si>
  <si>
    <t>6785</t>
  </si>
  <si>
    <t>6786</t>
  </si>
  <si>
    <t>6787</t>
  </si>
  <si>
    <t>6788</t>
  </si>
  <si>
    <t>6789</t>
  </si>
  <si>
    <t>6790</t>
  </si>
  <si>
    <t>6791</t>
  </si>
  <si>
    <t>6820</t>
  </si>
  <si>
    <t>6821</t>
  </si>
  <si>
    <t>6824</t>
  </si>
  <si>
    <t>6825</t>
  </si>
  <si>
    <t>6826</t>
  </si>
  <si>
    <t>6827</t>
  </si>
  <si>
    <t>6828</t>
  </si>
  <si>
    <t>6841</t>
  </si>
  <si>
    <t>6842</t>
  </si>
  <si>
    <t>6843</t>
  </si>
  <si>
    <t>6852</t>
  </si>
  <si>
    <t>6853</t>
  </si>
  <si>
    <t>6870</t>
  </si>
  <si>
    <t>6871</t>
  </si>
  <si>
    <t>6872</t>
  </si>
  <si>
    <t>6873</t>
  </si>
  <si>
    <t>6874</t>
  </si>
  <si>
    <t>6090</t>
  </si>
  <si>
    <t>6091</t>
  </si>
  <si>
    <t>6093</t>
  </si>
  <si>
    <t>6094</t>
  </si>
  <si>
    <t>6095</t>
  </si>
  <si>
    <t>6096</t>
  </si>
  <si>
    <t>6097</t>
  </si>
  <si>
    <t>6098</t>
  </si>
  <si>
    <t>6730</t>
  </si>
  <si>
    <t>6732</t>
  </si>
  <si>
    <t>6807</t>
  </si>
  <si>
    <t>6808</t>
  </si>
  <si>
    <t>6809</t>
  </si>
  <si>
    <t>6810</t>
  </si>
  <si>
    <t>6811</t>
  </si>
  <si>
    <t>6812</t>
  </si>
  <si>
    <t>6813</t>
  </si>
  <si>
    <t>6814</t>
  </si>
  <si>
    <t>6815</t>
  </si>
  <si>
    <t>6816</t>
  </si>
  <si>
    <t>6817</t>
  </si>
  <si>
    <t>6818</t>
  </si>
  <si>
    <t>6819</t>
  </si>
  <si>
    <t>6829</t>
  </si>
  <si>
    <t>6830</t>
  </si>
  <si>
    <t>6844</t>
  </si>
  <si>
    <t>6845</t>
  </si>
  <si>
    <t>6846</t>
  </si>
  <si>
    <t>6847</t>
  </si>
  <si>
    <t>6848</t>
  </si>
  <si>
    <t>6849</t>
  </si>
  <si>
    <t>6850</t>
  </si>
  <si>
    <t>6851</t>
  </si>
  <si>
    <t>6854</t>
  </si>
  <si>
    <t>6855</t>
  </si>
  <si>
    <t>6856</t>
  </si>
  <si>
    <t>6857</t>
  </si>
  <si>
    <t>6858</t>
  </si>
  <si>
    <t>6859</t>
  </si>
  <si>
    <t>6860</t>
  </si>
  <si>
    <t>6861</t>
  </si>
  <si>
    <t>6862</t>
  </si>
  <si>
    <t>6863</t>
  </si>
  <si>
    <t>6864</t>
  </si>
  <si>
    <t>6865</t>
  </si>
  <si>
    <t>6866</t>
  </si>
  <si>
    <t>6867</t>
  </si>
  <si>
    <t>6868</t>
  </si>
  <si>
    <t>6869</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</si>
  <si>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</si>
  <si>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</si>
  <si>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</si>
  <si>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</si>
  <si>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</si>
  <si>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</si>
  <si>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</si>
  <si>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</si>
  <si>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</si>
  <si>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</si>
  <si>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</si>
  <si>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</si>
  <si>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</si>
  <si>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</si>
  <si>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</si>
  <si>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</si>
  <si>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</si>
  <si>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</si>
  <si>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</si>
  <si>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</si>
  <si>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</si>
  <si>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</si>
  <si>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</si>
  <si>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</si>
  <si>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</si>
  <si>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</si>
  <si>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</si>
  <si>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</si>
  <si>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</si>
  <si>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</si>
  <si>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</si>
  <si>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</si>
  <si>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</si>
  <si>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Barraqueiro Transportes - Frota Azul</t>
  </si>
  <si>
    <t>0208</t>
  </si>
  <si>
    <t>0211</t>
  </si>
  <si>
    <t>0212</t>
  </si>
  <si>
    <t>0215</t>
  </si>
  <si>
    <t>0244</t>
  </si>
  <si>
    <t>0249</t>
  </si>
  <si>
    <t>0251</t>
  </si>
  <si>
    <t>0252</t>
  </si>
  <si>
    <t>0254</t>
  </si>
  <si>
    <t>0255</t>
  </si>
  <si>
    <t>0266</t>
  </si>
  <si>
    <t>0275</t>
  </si>
  <si>
    <t>0285</t>
  </si>
  <si>
    <t>0288</t>
  </si>
  <si>
    <t>0290</t>
  </si>
  <si>
    <t>0312</t>
  </si>
  <si>
    <t>0383</t>
  </si>
  <si>
    <t>0393</t>
  </si>
  <si>
    <t>0394</t>
  </si>
  <si>
    <t>0410</t>
  </si>
  <si>
    <t>0431</t>
  </si>
  <si>
    <t>0435</t>
  </si>
  <si>
    <t>0440</t>
  </si>
  <si>
    <t>0486</t>
  </si>
  <si>
    <t>0550</t>
  </si>
  <si>
    <t>0551</t>
  </si>
  <si>
    <t>0577</t>
  </si>
  <si>
    <t>0580</t>
  </si>
  <si>
    <t>0582</t>
  </si>
  <si>
    <t>0589</t>
  </si>
  <si>
    <t>0617</t>
  </si>
  <si>
    <t>0620</t>
  </si>
  <si>
    <t>0624</t>
  </si>
  <si>
    <t>0625</t>
  </si>
  <si>
    <t>0629</t>
  </si>
  <si>
    <t>0658</t>
  </si>
  <si>
    <t>0659</t>
  </si>
  <si>
    <t>0660</t>
  </si>
  <si>
    <t>0661</t>
  </si>
  <si>
    <t>0662</t>
  </si>
  <si>
    <t>0668</t>
  </si>
  <si>
    <t>0686</t>
  </si>
  <si>
    <t>0693</t>
  </si>
  <si>
    <t>0698</t>
  </si>
  <si>
    <t>0699</t>
  </si>
  <si>
    <t>0702</t>
  </si>
  <si>
    <t>0720</t>
  </si>
  <si>
    <t>0730</t>
  </si>
  <si>
    <t>0733</t>
  </si>
  <si>
    <t>0761</t>
  </si>
  <si>
    <t>0781</t>
  </si>
  <si>
    <t>0846</t>
  </si>
  <si>
    <t>0860</t>
  </si>
  <si>
    <t>0875</t>
  </si>
  <si>
    <t>0877</t>
  </si>
  <si>
    <t>0878</t>
  </si>
  <si>
    <t>0887</t>
  </si>
  <si>
    <t>0888</t>
  </si>
  <si>
    <t>0914</t>
  </si>
  <si>
    <t>0915</t>
  </si>
  <si>
    <t>0933</t>
  </si>
  <si>
    <t>0945</t>
  </si>
  <si>
    <t>0947</t>
  </si>
  <si>
    <t>0949</t>
  </si>
  <si>
    <t>0951</t>
  </si>
  <si>
    <t>0957</t>
  </si>
  <si>
    <t>0964</t>
  </si>
  <si>
    <t>0965</t>
  </si>
  <si>
    <t>0975</t>
  </si>
  <si>
    <t>0988</t>
  </si>
  <si>
    <t>1001</t>
  </si>
  <si>
    <t>1002</t>
  </si>
  <si>
    <t>1003</t>
  </si>
  <si>
    <t>1004</t>
  </si>
  <si>
    <t>1005</t>
  </si>
  <si>
    <t>1006</t>
  </si>
  <si>
    <t>1007</t>
  </si>
  <si>
    <t>1008</t>
  </si>
  <si>
    <t>1009</t>
  </si>
  <si>
    <t>1010</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</si>
  <si>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</si>
  <si>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</si>
  <si>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</si>
  <si>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</si>
  <si>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</si>
  <si>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</si>
  <si>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</si>
  <si>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</si>
  <si>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</si>
  <si>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</si>
  <si>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</si>
  <si>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</si>
  <si>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</si>
  <si>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</si>
  <si>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</si>
  <si>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</si>
  <si>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</si>
  <si>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</si>
  <si>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</si>
  <si>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</si>
  <si>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</si>
  <si>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</si>
  <si>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</si>
  <si>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</si>
  <si>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</si>
  <si>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</si>
  <si>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</si>
  <si>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</si>
  <si>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</si>
  <si>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</si>
  <si>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</si>
  <si>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1088</t>
  </si>
  <si>
    <t>1089</t>
  </si>
  <si>
    <t>1093</t>
  </si>
  <si>
    <t>1094</t>
  </si>
  <si>
    <t>1097</t>
  </si>
  <si>
    <t>1098</t>
  </si>
  <si>
    <t>1100</t>
  </si>
  <si>
    <t>1101</t>
  </si>
  <si>
    <t>1102</t>
  </si>
  <si>
    <t>1103</t>
  </si>
  <si>
    <t>1104</t>
  </si>
  <si>
    <t>1105</t>
  </si>
  <si>
    <t>1150</t>
  </si>
  <si>
    <t>1151</t>
  </si>
  <si>
    <t>1201</t>
  </si>
  <si>
    <t>1205</t>
  </si>
  <si>
    <t>1207</t>
  </si>
  <si>
    <t>1215</t>
  </si>
  <si>
    <t>1216</t>
  </si>
  <si>
    <t>1218</t>
  </si>
  <si>
    <t>1252</t>
  </si>
  <si>
    <t>1257</t>
  </si>
  <si>
    <t>5580</t>
  </si>
  <si>
    <t>5586</t>
  </si>
  <si>
    <t>5620</t>
  </si>
  <si>
    <t>5737</t>
  </si>
  <si>
    <t>5898</t>
  </si>
  <si>
    <t>6084</t>
  </si>
  <si>
    <t>6598</t>
  </si>
  <si>
    <t>6602</t>
  </si>
  <si>
    <t>6604</t>
  </si>
  <si>
    <t>6605</t>
  </si>
  <si>
    <t>6671</t>
  </si>
  <si>
    <t>0313</t>
  </si>
  <si>
    <t>5201</t>
  </si>
  <si>
    <t>5210</t>
  </si>
  <si>
    <t>5211</t>
  </si>
  <si>
    <t>5212</t>
  </si>
  <si>
    <t>5213</t>
  </si>
  <si>
    <t>5214</t>
  </si>
  <si>
    <t>5215</t>
  </si>
  <si>
    <t>5216</t>
  </si>
  <si>
    <t>5217</t>
  </si>
  <si>
    <t>5218</t>
  </si>
  <si>
    <t>5219</t>
  </si>
  <si>
    <t>5220</t>
  </si>
  <si>
    <t>5221</t>
  </si>
  <si>
    <t>5222</t>
  </si>
  <si>
    <t>5224</t>
  </si>
  <si>
    <t>5225</t>
  </si>
  <si>
    <t>5227</t>
  </si>
  <si>
    <t>5228</t>
  </si>
  <si>
    <t>5229</t>
  </si>
  <si>
    <t>5230</t>
  </si>
  <si>
    <t>5231</t>
  </si>
  <si>
    <t>5232</t>
  </si>
  <si>
    <t>5233</t>
  </si>
  <si>
    <t>5235</t>
  </si>
  <si>
    <t>5236</t>
  </si>
  <si>
    <t>5237</t>
  </si>
  <si>
    <t>5238</t>
  </si>
  <si>
    <t>5239</t>
  </si>
  <si>
    <t>5240</t>
  </si>
  <si>
    <t>5241</t>
  </si>
  <si>
    <t>5248</t>
  </si>
  <si>
    <t>5249</t>
  </si>
  <si>
    <t>5250</t>
  </si>
  <si>
    <t>5251</t>
  </si>
  <si>
    <t>5252</t>
  </si>
  <si>
    <t>5253</t>
  </si>
  <si>
    <t>5595</t>
  </si>
  <si>
    <t>5596</t>
  </si>
  <si>
    <t>5600</t>
  </si>
  <si>
    <t>5601</t>
  </si>
  <si>
    <t>5602</t>
  </si>
  <si>
    <t>5603</t>
  </si>
  <si>
    <t>5604</t>
  </si>
  <si>
    <t>5605</t>
  </si>
  <si>
    <t>5606</t>
  </si>
  <si>
    <t>5607</t>
  </si>
  <si>
    <t>5608</t>
  </si>
  <si>
    <t>5609</t>
  </si>
  <si>
    <t>5610</t>
  </si>
  <si>
    <t>5611</t>
  </si>
  <si>
    <t>5612</t>
  </si>
  <si>
    <t>5613</t>
  </si>
  <si>
    <t>5614</t>
  </si>
  <si>
    <t>5615</t>
  </si>
  <si>
    <t>5616</t>
  </si>
  <si>
    <t>5617</t>
  </si>
  <si>
    <t>5618</t>
  </si>
  <si>
    <t>5619</t>
  </si>
  <si>
    <t>5621</t>
  </si>
  <si>
    <t>5622</t>
  </si>
  <si>
    <t>5624</t>
  </si>
  <si>
    <t>5625</t>
  </si>
  <si>
    <t>5626</t>
  </si>
  <si>
    <t>5627</t>
  </si>
  <si>
    <t>5628</t>
  </si>
  <si>
    <t>5629</t>
  </si>
  <si>
    <t>5630</t>
  </si>
  <si>
    <t>5631</t>
  </si>
  <si>
    <t>5632</t>
  </si>
  <si>
    <t>5633</t>
  </si>
  <si>
    <t>5634</t>
  </si>
  <si>
    <t>5635</t>
  </si>
  <si>
    <t>5636</t>
  </si>
  <si>
    <t>5637</t>
  </si>
  <si>
    <t>5638</t>
  </si>
  <si>
    <t>5640</t>
  </si>
  <si>
    <t>5641</t>
  </si>
  <si>
    <t>5642</t>
  </si>
  <si>
    <t>5643</t>
  </si>
  <si>
    <t>5644</t>
  </si>
  <si>
    <t>5645</t>
  </si>
  <si>
    <t>5646</t>
  </si>
  <si>
    <t>5647</t>
  </si>
  <si>
    <t>5648</t>
  </si>
  <si>
    <t>5649</t>
  </si>
  <si>
    <t>5650</t>
  </si>
  <si>
    <t>5651</t>
  </si>
  <si>
    <t>5968</t>
  </si>
  <si>
    <t>5969</t>
  </si>
  <si>
    <t>5970</t>
  </si>
  <si>
    <t>5995</t>
  </si>
  <si>
    <t>6083</t>
  </si>
  <si>
    <t>6092</t>
  </si>
  <si>
    <t>6619</t>
  </si>
  <si>
    <t>6621</t>
  </si>
  <si>
    <t>6622</t>
  </si>
  <si>
    <t>6626</t>
  </si>
  <si>
    <t>6661</t>
  </si>
  <si>
    <t>6662</t>
  </si>
  <si>
    <t>6663</t>
  </si>
  <si>
    <t>6664</t>
  </si>
  <si>
    <t>6665</t>
  </si>
  <si>
    <t>6666</t>
  </si>
  <si>
    <t>6673</t>
  </si>
  <si>
    <t>6674</t>
  </si>
  <si>
    <t>6675</t>
  </si>
  <si>
    <t>6676</t>
  </si>
  <si>
    <t>6677</t>
  </si>
  <si>
    <t>6678</t>
  </si>
  <si>
    <t>6679</t>
  </si>
  <si>
    <t>6680</t>
  </si>
  <si>
    <t>6681</t>
  </si>
  <si>
    <t>6682</t>
  </si>
  <si>
    <t>6683</t>
  </si>
  <si>
    <t>6684</t>
  </si>
  <si>
    <t>6695</t>
  </si>
  <si>
    <t>6696</t>
  </si>
  <si>
    <t>6703</t>
  </si>
  <si>
    <t>6721</t>
  </si>
  <si>
    <t>6722</t>
  </si>
  <si>
    <t>6723</t>
  </si>
  <si>
    <t>6724</t>
  </si>
  <si>
    <t>6726</t>
  </si>
  <si>
    <t>6727</t>
  </si>
  <si>
    <t>6728</t>
  </si>
  <si>
    <t>6729</t>
  </si>
  <si>
    <t>6736</t>
  </si>
  <si>
    <t>6740</t>
  </si>
  <si>
    <t>6749</t>
  </si>
  <si>
    <t>6763</t>
  </si>
  <si>
    <t>6764</t>
  </si>
  <si>
    <t>6772</t>
  </si>
  <si>
    <t>6774</t>
  </si>
  <si>
    <t>6775</t>
  </si>
  <si>
    <t>6776</t>
  </si>
  <si>
    <t>6777</t>
  </si>
  <si>
    <t>6797</t>
  </si>
  <si>
    <t>6799</t>
  </si>
  <si>
    <t>6802</t>
  </si>
  <si>
    <t>6805</t>
  </si>
  <si>
    <t>6831</t>
  </si>
  <si>
    <t>6832</t>
  </si>
  <si>
    <t>0225</t>
  </si>
  <si>
    <t>0229</t>
  </si>
  <si>
    <t>0257</t>
  </si>
  <si>
    <t>0276</t>
  </si>
  <si>
    <t>0289</t>
  </si>
  <si>
    <t>0292</t>
  </si>
  <si>
    <t>0293</t>
  </si>
  <si>
    <t>0303</t>
  </si>
  <si>
    <t>0326</t>
  </si>
  <si>
    <t>0328</t>
  </si>
  <si>
    <t>0331</t>
  </si>
  <si>
    <t>0397</t>
  </si>
  <si>
    <t>0400</t>
  </si>
  <si>
    <t>0411</t>
  </si>
  <si>
    <t>0418</t>
  </si>
  <si>
    <t>0481</t>
  </si>
  <si>
    <t>0488</t>
  </si>
  <si>
    <t>0499</t>
  </si>
  <si>
    <t>0537</t>
  </si>
  <si>
    <t>0560</t>
  </si>
  <si>
    <t>0569</t>
  </si>
  <si>
    <t>0585</t>
  </si>
  <si>
    <t>0633</t>
  </si>
  <si>
    <t>0634</t>
  </si>
  <si>
    <t>0666</t>
  </si>
  <si>
    <t>0667</t>
  </si>
  <si>
    <t>0674</t>
  </si>
  <si>
    <t>0681</t>
  </si>
  <si>
    <t>0685</t>
  </si>
  <si>
    <t>0696</t>
  </si>
  <si>
    <t>0700</t>
  </si>
  <si>
    <t>0701</t>
  </si>
  <si>
    <t>0722</t>
  </si>
  <si>
    <t>0724</t>
  </si>
  <si>
    <t>0725</t>
  </si>
  <si>
    <t>0726</t>
  </si>
  <si>
    <t>0728</t>
  </si>
  <si>
    <t>0743</t>
  </si>
  <si>
    <t>0791</t>
  </si>
  <si>
    <t>0807</t>
  </si>
  <si>
    <t>0839</t>
  </si>
  <si>
    <t>0852</t>
  </si>
  <si>
    <t>0879</t>
  </si>
  <si>
    <t>0890</t>
  </si>
  <si>
    <t>0894</t>
  </si>
  <si>
    <t>0896</t>
  </si>
  <si>
    <t>0918</t>
  </si>
  <si>
    <t>0921</t>
  </si>
  <si>
    <t>0942</t>
  </si>
  <si>
    <t>0980</t>
  </si>
  <si>
    <t>0981</t>
  </si>
  <si>
    <t>5202</t>
  </si>
  <si>
    <t>5206</t>
  </si>
  <si>
    <t>5909</t>
  </si>
  <si>
    <t>6588</t>
  </si>
  <si>
    <t>6594</t>
  </si>
  <si>
    <t>6618</t>
  </si>
  <si>
    <t>6620</t>
  </si>
  <si>
    <t>6641</t>
  </si>
  <si>
    <t>2326</t>
  </si>
  <si>
    <t>2325</t>
  </si>
  <si>
    <t>2328</t>
  </si>
  <si>
    <t>2340</t>
  </si>
  <si>
    <t>2310</t>
  </si>
  <si>
    <t>2332</t>
  </si>
  <si>
    <t>2333</t>
  </si>
  <si>
    <t>2334</t>
  </si>
  <si>
    <t>2335</t>
  </si>
  <si>
    <t>2336</t>
  </si>
  <si>
    <t>2337</t>
  </si>
  <si>
    <t>2314</t>
  </si>
  <si>
    <t>2313</t>
  </si>
  <si>
    <t>2349</t>
  </si>
  <si>
    <t>2350</t>
  </si>
  <si>
    <t>2351</t>
  </si>
  <si>
    <t>2317</t>
  </si>
  <si>
    <t>2321</t>
  </si>
  <si>
    <t>2320</t>
  </si>
  <si>
    <t>2322</t>
  </si>
  <si>
    <t>2324</t>
  </si>
  <si>
    <t>2341</t>
  </si>
  <si>
    <t>2342</t>
  </si>
  <si>
    <t>2331</t>
  </si>
  <si>
    <t>2338</t>
  </si>
  <si>
    <t>2339</t>
  </si>
  <si>
    <t>2345</t>
  </si>
  <si>
    <t>2329</t>
  </si>
  <si>
    <t>2330</t>
  </si>
  <si>
    <t>2348</t>
  </si>
  <si>
    <t>3085</t>
  </si>
  <si>
    <t>6087</t>
  </si>
  <si>
    <t>3080</t>
  </si>
  <si>
    <t>0281</t>
  </si>
  <si>
    <t>0282</t>
  </si>
  <si>
    <t>3041</t>
  </si>
  <si>
    <t>0408</t>
  </si>
  <si>
    <t>3042</t>
  </si>
  <si>
    <t>3043</t>
  </si>
  <si>
    <t>3044</t>
  </si>
  <si>
    <t>3045</t>
  </si>
  <si>
    <t>3089</t>
  </si>
  <si>
    <t>3046</t>
  </si>
  <si>
    <t>3047</t>
  </si>
  <si>
    <t>3092</t>
  </si>
  <si>
    <t>3093</t>
  </si>
  <si>
    <t>3048</t>
  </si>
  <si>
    <t>3094</t>
  </si>
  <si>
    <t>3095</t>
  </si>
  <si>
    <t>3096</t>
  </si>
  <si>
    <t>3086</t>
  </si>
  <si>
    <t>3087</t>
  </si>
  <si>
    <t>3097</t>
  </si>
  <si>
    <t>3098</t>
  </si>
  <si>
    <t>3099</t>
  </si>
  <si>
    <t>3053</t>
  </si>
  <si>
    <t>3054</t>
  </si>
  <si>
    <t>6835</t>
  </si>
  <si>
    <t>3051</t>
  </si>
  <si>
    <t>3052</t>
  </si>
  <si>
    <t>3100</t>
  </si>
  <si>
    <t>3103</t>
  </si>
  <si>
    <t>3104</t>
  </si>
  <si>
    <t>3101</t>
  </si>
  <si>
    <t>3102</t>
  </si>
  <si>
    <t>3055</t>
  </si>
  <si>
    <t>3056</t>
  </si>
  <si>
    <t>3105</t>
  </si>
  <si>
    <t>3106</t>
  </si>
  <si>
    <t>3024</t>
  </si>
  <si>
    <t>3025</t>
  </si>
  <si>
    <t>5958</t>
  </si>
  <si>
    <t>mapas STM</t>
  </si>
  <si>
    <t>PowerBI mapa Consumos AS400</t>
  </si>
  <si>
    <t>Oferta (lg.km; viaturas)</t>
  </si>
  <si>
    <t>42 viaturas</t>
  </si>
  <si>
    <t>34 viaturas</t>
  </si>
  <si>
    <t>133 viaturas</t>
  </si>
  <si>
    <t>77 viaturas</t>
  </si>
  <si>
    <t>97 viaturas</t>
  </si>
  <si>
    <t>16 viaturas</t>
  </si>
  <si>
    <t>1 viaturas</t>
  </si>
  <si>
    <t>9 viaturas</t>
  </si>
  <si>
    <t>3 viaturas</t>
  </si>
  <si>
    <t>2 viaturas</t>
  </si>
  <si>
    <t>Barraqueiro Transportes - Esevel</t>
  </si>
  <si>
    <t>0 viaturas</t>
  </si>
  <si>
    <t>6 viaturas</t>
  </si>
  <si>
    <t>7 viaturas</t>
  </si>
  <si>
    <t>4 viaturas</t>
  </si>
  <si>
    <t>17 viaturas</t>
  </si>
  <si>
    <t>57 viaturas</t>
  </si>
  <si>
    <t>124 viaturas</t>
  </si>
  <si>
    <t>718 viaturas</t>
  </si>
  <si>
    <t>151 viaturas</t>
  </si>
  <si>
    <t>135 viaturas</t>
  </si>
  <si>
    <t>Observações II</t>
  </si>
  <si>
    <t>Barraqueiro Transportes - Frielas</t>
  </si>
  <si>
    <t>fonte compras p/ stock AS400; 12506851 l</t>
  </si>
  <si>
    <t>fonte compras p/ stock AS400; 432829 l</t>
  </si>
  <si>
    <t>fonte compras p/ stock AS400; 459036 l</t>
  </si>
  <si>
    <t>fonte compras p/ stock AS400; 2441347 l</t>
  </si>
  <si>
    <t>fonte compras p/ stock AS400; 1152492 l</t>
  </si>
  <si>
    <t>fonte compras p/ stock AS400; 1362708 l</t>
  </si>
  <si>
    <t>fonte compras p/ stock AS400; 772120 l</t>
  </si>
  <si>
    <t>fonte compras p/ stock AS400; 2739302 l</t>
  </si>
  <si>
    <t>fonte compras p/ stock AS400; 563312 l</t>
  </si>
  <si>
    <t>Norma de emissões</t>
  </si>
  <si>
    <t>WTT (combustíveis)</t>
  </si>
  <si>
    <t>Combustíveis</t>
  </si>
  <si>
    <t>Metodologia a descrever pelo responsável local pela recolha de dados</t>
  </si>
  <si>
    <t>Resíduo Perigoso</t>
  </si>
  <si>
    <t>Outros óleos de motores, transmissões e lubrificação)</t>
  </si>
  <si>
    <t>ton (toneladas)</t>
  </si>
  <si>
    <t>Destinatário</t>
  </si>
  <si>
    <t>Transportador</t>
  </si>
  <si>
    <t>(APA00084057) CIRVER SISAV CHAMUSCA</t>
  </si>
  <si>
    <t>EGEO - TECNOLOGIA E AMBIENTE, S.A. (500512884)</t>
  </si>
  <si>
    <t>Embalagens de papel e cartão</t>
  </si>
  <si>
    <t>(APA01138383) CORREIA &amp; CORREIA, LDA - FRIELAS</t>
  </si>
  <si>
    <t>Correia &amp; Correia, Lda (502069732)</t>
  </si>
  <si>
    <t>(APA05735383) Judite Maria Jesus Dias, Lda - Camarate</t>
  </si>
  <si>
    <t>Barraqueiro Transportes, S.A. (500151997)</t>
  </si>
  <si>
    <t>Embalagens contendo ou contaminadas por resíduos de substâncias perigosas</t>
  </si>
  <si>
    <t xml:space="preserve">Regeneração de ácidos ou de bases </t>
  </si>
  <si>
    <t xml:space="preserve">Recuperação de produtos utilizados na luta contra a poluição </t>
  </si>
  <si>
    <t xml:space="preserve">Recuperação de componentes de catalisadores </t>
  </si>
  <si>
    <t xml:space="preserve">Regeneração de óleos e outras reutilizações de óleos </t>
  </si>
  <si>
    <t>Absorventes, materiais filtrantes (incluindo filtros de óleo sem outras especificações), panos de limpeza e vestuário de proteção, contaminados por substâncias perigosas)</t>
  </si>
  <si>
    <t>Embalagens de metal, incluindo recipientes vazios sob pressão, contendo uma matriz porosa sólida perigosa (por exemplo, amianto)</t>
  </si>
  <si>
    <t>Embalagens de metal, incluindo recipientes vazios sob pressão, contendo uma matriz porosa sólida perigosa (por exemplo, amianto))</t>
  </si>
  <si>
    <t>Absorventes, materiais filtrantes, panos de limpeza e vestuário de proteção não abrangidos em 15 02 02</t>
  </si>
  <si>
    <t>Filtros de óleo</t>
  </si>
  <si>
    <t>Pastilhas de travões não abrangidas em 16 01 11</t>
  </si>
  <si>
    <t>Acumulação de resíduos destinados a uma das operações enumeradas de R1 a R12</t>
  </si>
  <si>
    <t>Mistura anterior à execução de uma das operações enumeradas de D1 a D12</t>
  </si>
  <si>
    <t>Reembalagem anterior a uma das operações enumeradas de D1 a D13</t>
  </si>
  <si>
    <t>Armazenagem enquanto se aguarda a execução de uma das operações enumeradas de D1 a D14</t>
  </si>
  <si>
    <t>Metais ferrosos</t>
  </si>
  <si>
    <t>(APA00163565) BGR GESTÃO DE RESÍDUOS LDA.</t>
  </si>
  <si>
    <t>B.G.R. - Gestão de Residuos, Lda. (508597196)</t>
  </si>
  <si>
    <t>Plástico</t>
  </si>
  <si>
    <t>Vidro</t>
  </si>
  <si>
    <t>Resíduos sem outras especificações</t>
  </si>
  <si>
    <t>Acumuladores de chumbo</t>
  </si>
  <si>
    <t>Lâmpadas fluorescentes e outros resíduos contendo mercúrio)</t>
  </si>
  <si>
    <t>Óleos e gorduras alimentares</t>
  </si>
  <si>
    <t>APA00037535) BIOLOGICAL - Loures</t>
  </si>
  <si>
    <t>Higirecolhas Unipessoal Lda (510273564)</t>
  </si>
  <si>
    <t>Equipamento elétrico e eletrónico fora de uso não abrangido em 20 01 21, 20 01 23 ou 20 01 35</t>
  </si>
  <si>
    <t>Lamas provenientes dos separadores óleo/água</t>
  </si>
  <si>
    <t>(APA00941643) Resicorreia, Lda. - Loures</t>
  </si>
  <si>
    <t>Resicorreia Gestão e Serviços de Ambiente Lda (507203992)</t>
  </si>
  <si>
    <t>Água com óleo proveniente dos separadores óleo/água</t>
  </si>
  <si>
    <t>(APA00036026) CORREIA &amp; CORREIA, LDA - SERTÃ</t>
  </si>
  <si>
    <t>Transportes Os Três Mosqueteiros Lda (500478937)</t>
  </si>
  <si>
    <t>Embalagens de plástico</t>
  </si>
  <si>
    <t>Componentes perigosos não abrangidos em 16 01 07 a 16 01 11, 16 01 13 e 16 01 14</t>
  </si>
  <si>
    <t>Lamas do tratamento de águas residuais urbanas</t>
  </si>
  <si>
    <t>Luis Tiago Fernandes Morais Unipessoal Lda (513687190)</t>
  </si>
  <si>
    <t>080117</t>
  </si>
  <si>
    <t>Resíduos da remoção de tintas e vernizes, contendo solventes orgânicos ou outras substâncias perigosas</t>
  </si>
  <si>
    <t>160103</t>
  </si>
  <si>
    <t>Pneus usados</t>
  </si>
  <si>
    <t>160104</t>
  </si>
  <si>
    <t>Veículos em fim de vida</t>
  </si>
  <si>
    <t>(APA00126855) Ambigroup Resíduos SA(Odivelas)</t>
  </si>
  <si>
    <t>Transtruck II, Lda (510076513)</t>
  </si>
  <si>
    <t>160120</t>
  </si>
  <si>
    <t>080317</t>
  </si>
  <si>
    <t>Resíduos de toner de impressão, contendo substâncias perigosas</t>
  </si>
  <si>
    <t>140603</t>
  </si>
  <si>
    <t>Outros solventes e misturas de solventes</t>
  </si>
  <si>
    <t>Veículos em fim de vida que não contenham líquidos nem outros componentes perigosos</t>
  </si>
  <si>
    <t>160106</t>
  </si>
  <si>
    <t>AMBIGROUP SERVIÇOS, S.A. (500730547)</t>
  </si>
  <si>
    <t>(APA06289003) CSFP - GESTÃO DE RESÍDUOS,LDA Armazém G</t>
  </si>
  <si>
    <t>CSFP-GESTÃO DE RESÍDUOS, LDA (513433295)</t>
  </si>
  <si>
    <t>Papel e cartão</t>
  </si>
  <si>
    <t>(APA00036789) ESTR. PRINCIPAL DO OUTEIRO - CASCAIS (SEDE)</t>
  </si>
  <si>
    <t>ABIAM - ENVIRONMENT AND SERVICES, LDA. (515567256)</t>
  </si>
  <si>
    <t>120301</t>
  </si>
  <si>
    <t>Líquidos de lavagem aquosos</t>
  </si>
  <si>
    <t>EGEO - TECNOLOGIA E AMBIENTE, S.A. (500512884); Lourióleo, Comério de Óleos e Sucata, Lda. (507617177)</t>
  </si>
  <si>
    <t>TRIU, S.A. (502550066)</t>
  </si>
  <si>
    <t>150103</t>
  </si>
  <si>
    <t>Embalagens de madeira</t>
  </si>
  <si>
    <t>150104</t>
  </si>
  <si>
    <t>Embalagens de metal</t>
  </si>
  <si>
    <t>TRIU, S.A. (502550066); SRI - GESTÃO DE RESIDUOS LDA (508667917)</t>
  </si>
  <si>
    <t>200301</t>
  </si>
  <si>
    <t>Misturas de resíduos urbanos equiparados</t>
  </si>
  <si>
    <t>data ini</t>
  </si>
  <si>
    <t>data fim</t>
  </si>
  <si>
    <t>Barraqueiro Transportes - Sede + Estremadura</t>
  </si>
  <si>
    <t>Barraqueiro Transportes - CG (Mafrense; BO; BV)</t>
  </si>
  <si>
    <t>Barraqueiro Transportes - Calc. Desterro (Isidoro?)</t>
  </si>
  <si>
    <t>Rede Pública</t>
  </si>
  <si>
    <t>Captação (Furo, Poço, etc.)</t>
  </si>
  <si>
    <t>m3 (metros cúbicos)</t>
  </si>
  <si>
    <t>ETAR Rede Pública</t>
  </si>
  <si>
    <t>ETAR Industrial Propietária</t>
  </si>
  <si>
    <t>Observações (agua fatura)</t>
  </si>
  <si>
    <t>Observações (n dias ano ref)</t>
  </si>
  <si>
    <t>Forncedor Água/TAR</t>
  </si>
  <si>
    <t>Águas de Alenquer</t>
  </si>
  <si>
    <t>SMAS Torres Vedras</t>
  </si>
  <si>
    <t>Águas de Ribatejo</t>
  </si>
  <si>
    <t>SMAS Mafra</t>
  </si>
  <si>
    <t>SMAS Sintra</t>
  </si>
  <si>
    <t>Águas de Cascais</t>
  </si>
  <si>
    <t>Munícipio Arruda dos Vinhos</t>
  </si>
  <si>
    <t>SMAS VF Xira</t>
  </si>
  <si>
    <t>EPAL</t>
  </si>
  <si>
    <t>Mafrense?</t>
  </si>
  <si>
    <t>40;40;20</t>
  </si>
  <si>
    <t>Barraqueiro Transportes - Boa Viagem agr</t>
  </si>
  <si>
    <t>Barraqueiro Transportes - Mafrense agr</t>
  </si>
  <si>
    <t>Autocarro Regional</t>
  </si>
  <si>
    <t>Intouro 12m Aut</t>
  </si>
  <si>
    <t>Intouro 12m Man</t>
  </si>
  <si>
    <t>Intouro 13m Man</t>
  </si>
  <si>
    <t>Atomic Mini Urb</t>
  </si>
  <si>
    <t>Autocarro Urbano Mini</t>
  </si>
  <si>
    <t>Caet.Itrabus Reg.</t>
  </si>
  <si>
    <t>Observações (modelo)</t>
  </si>
  <si>
    <t>Intouro 12m Aut 2021</t>
  </si>
  <si>
    <t>Intouro 13m Man 2021</t>
  </si>
  <si>
    <t>Autocarro Regional 19500</t>
  </si>
  <si>
    <t>Autocarro Urbano 7700</t>
  </si>
  <si>
    <t>MAN Atomic 19360 2021</t>
  </si>
  <si>
    <t>Autocarro Turismo 19000</t>
  </si>
  <si>
    <t>Autocarro Turismo</t>
  </si>
  <si>
    <t>Barraqueiro Transportes - Total</t>
  </si>
  <si>
    <t>Baterias</t>
  </si>
  <si>
    <t>Borrachas e Plásticos</t>
  </si>
  <si>
    <t>Vidros</t>
  </si>
  <si>
    <t>Madeiras e Derivados</t>
  </si>
  <si>
    <t>Químicos, Óleos e Massas</t>
  </si>
  <si>
    <t>Metais</t>
  </si>
  <si>
    <t>Outros</t>
  </si>
  <si>
    <t>Pneus Total</t>
  </si>
  <si>
    <t>Serv. Externo Manutenção</t>
  </si>
  <si>
    <t>Total</t>
  </si>
  <si>
    <t>667 registos</t>
  </si>
  <si>
    <t>38 registos</t>
  </si>
  <si>
    <t>4483 registos</t>
  </si>
  <si>
    <t>126 registsos</t>
  </si>
  <si>
    <t>2 registos</t>
  </si>
  <si>
    <t>47 registos</t>
  </si>
  <si>
    <t>195 registos</t>
  </si>
  <si>
    <t>Transportes de Mercadorias</t>
  </si>
  <si>
    <t>46 registos</t>
  </si>
  <si>
    <t>Preças e Sobresselentes</t>
  </si>
  <si>
    <t>1448 registos</t>
  </si>
  <si>
    <t>96 registos</t>
  </si>
  <si>
    <t>Acessórios Carroçaria</t>
  </si>
  <si>
    <t>670 registos</t>
  </si>
  <si>
    <t>3151 registos</t>
  </si>
  <si>
    <t>482 registos</t>
  </si>
  <si>
    <t>123 registos</t>
  </si>
  <si>
    <t>Contrato Pneus</t>
  </si>
  <si>
    <t>Pneus</t>
  </si>
  <si>
    <t>27 registos</t>
  </si>
  <si>
    <t>197 registos</t>
  </si>
  <si>
    <t>1314 registos</t>
  </si>
  <si>
    <t>847 registos</t>
  </si>
  <si>
    <t>405 registos</t>
  </si>
  <si>
    <t>53 registos</t>
  </si>
  <si>
    <t>58 registos</t>
  </si>
  <si>
    <t>23 registos</t>
  </si>
  <si>
    <t>10 registos</t>
  </si>
  <si>
    <t>24 registos</t>
  </si>
  <si>
    <t>134 registos</t>
  </si>
  <si>
    <t>conta ESEVEL</t>
  </si>
  <si>
    <t>6 registos</t>
  </si>
  <si>
    <t>65 registos</t>
  </si>
  <si>
    <t>209 registos</t>
  </si>
  <si>
    <t>60 registos</t>
  </si>
  <si>
    <t>8 registos</t>
  </si>
  <si>
    <t>16 registos</t>
  </si>
  <si>
    <t>28 registos</t>
  </si>
  <si>
    <t>1 registo</t>
  </si>
  <si>
    <t>59 registos</t>
  </si>
  <si>
    <t>69 registos</t>
  </si>
  <si>
    <t>1646 registos</t>
  </si>
  <si>
    <t>1927 registos</t>
  </si>
  <si>
    <t>1160 registos</t>
  </si>
  <si>
    <t>758 registos</t>
  </si>
  <si>
    <t>981 registos</t>
  </si>
  <si>
    <t>8427 registos</t>
  </si>
  <si>
    <t>63 registos</t>
  </si>
  <si>
    <t>5 registos</t>
  </si>
  <si>
    <t>17 registos</t>
  </si>
  <si>
    <t>225 registos</t>
  </si>
  <si>
    <t>75 registos</t>
  </si>
  <si>
    <t>30 registos</t>
  </si>
  <si>
    <t>138 registos</t>
  </si>
  <si>
    <t>380 registos</t>
  </si>
  <si>
    <t>4152 registos</t>
  </si>
  <si>
    <t>797 registos</t>
  </si>
  <si>
    <t>713 registos</t>
  </si>
  <si>
    <t>2247 registos</t>
  </si>
  <si>
    <t>2373 registos</t>
  </si>
  <si>
    <t>37 registos</t>
  </si>
  <si>
    <t>211 registos</t>
  </si>
  <si>
    <t>222 registos</t>
  </si>
  <si>
    <t>205 registos</t>
  </si>
  <si>
    <t>184 registos</t>
  </si>
  <si>
    <t>3 registos</t>
  </si>
  <si>
    <t>13 registos</t>
  </si>
  <si>
    <t>121 registos</t>
  </si>
  <si>
    <t>536 registos</t>
  </si>
  <si>
    <t>447 registos</t>
  </si>
  <si>
    <t>286 registos</t>
  </si>
  <si>
    <t>92 registos</t>
  </si>
  <si>
    <t>272 registos</t>
  </si>
  <si>
    <t>1204 registos</t>
  </si>
  <si>
    <t>7471 registos</t>
  </si>
  <si>
    <t>2140 registos</t>
  </si>
  <si>
    <t>39 registos</t>
  </si>
  <si>
    <t>2573 registos</t>
  </si>
  <si>
    <t>1816 registos</t>
  </si>
  <si>
    <t>tratamento de resíduos englobados na atividade da ESEVEL</t>
  </si>
  <si>
    <t>Lotação ou Capacidade de Carga do Meio Utilizado</t>
  </si>
  <si>
    <t>falta fatura jan 2022 e jan 2024; falta fatura de dezembro camarate</t>
  </si>
  <si>
    <t>Rodoviário</t>
  </si>
  <si>
    <t>LCV/Van</t>
  </si>
  <si>
    <t>Portugal</t>
  </si>
  <si>
    <t>Lisboa</t>
  </si>
  <si>
    <t>o transporte pode ser associado à aplicação nas viaturas ou às compras …</t>
  </si>
  <si>
    <t>Carclasse</t>
  </si>
  <si>
    <t>Civiparts</t>
  </si>
  <si>
    <t>Europarts</t>
  </si>
  <si>
    <t>Granloures</t>
  </si>
  <si>
    <t>NewOneDrive</t>
  </si>
  <si>
    <t>12V 110Ah</t>
  </si>
  <si>
    <t>12V 92Ah</t>
  </si>
  <si>
    <t>12V 105Ah</t>
  </si>
  <si>
    <t>12V 180Ah</t>
  </si>
  <si>
    <t>12V 225Ah</t>
  </si>
  <si>
    <t>12V 52Ah</t>
  </si>
  <si>
    <t>12V 35Ah</t>
  </si>
  <si>
    <t>12V 60Ah</t>
  </si>
  <si>
    <t>12V 70Ah</t>
  </si>
  <si>
    <t>ALENQUER</t>
  </si>
  <si>
    <t>ALT LISBOA</t>
  </si>
  <si>
    <t>FRIELAS</t>
  </si>
  <si>
    <t>Distâncias armazém/fornecedor</t>
  </si>
  <si>
    <t>Forncedor</t>
  </si>
  <si>
    <t>Peso unit. (kg)</t>
  </si>
  <si>
    <t>Observações (armazém)</t>
  </si>
  <si>
    <t>PNEUS - A LSB 20</t>
  </si>
  <si>
    <t>PNEUS - ALENQ 20</t>
  </si>
  <si>
    <t>PNEUS - MAFRA 20</t>
  </si>
  <si>
    <t>Bridgestone</t>
  </si>
  <si>
    <t>GSPT</t>
  </si>
  <si>
    <t>MEGAPE</t>
  </si>
  <si>
    <t>RECACOR</t>
  </si>
  <si>
    <t>Seiça</t>
  </si>
  <si>
    <t>Sobral Pneus</t>
  </si>
  <si>
    <t>Observações (desc. Artigo)</t>
  </si>
  <si>
    <t>PNEU 235/75</t>
  </si>
  <si>
    <t>PNEU 265/70</t>
  </si>
  <si>
    <t>PNEU 295/80</t>
  </si>
  <si>
    <t>PNEU 315/80</t>
  </si>
  <si>
    <t>PNEU 205/75</t>
  </si>
  <si>
    <t>PNEU 225/75</t>
  </si>
  <si>
    <t>PNEU 255/70</t>
  </si>
  <si>
    <t>PNEU 275/70</t>
  </si>
  <si>
    <t>PNEU 195/75</t>
  </si>
  <si>
    <t>PNEU 275/80</t>
  </si>
  <si>
    <t>Peso (kg)</t>
  </si>
  <si>
    <t>Unidade Transportada</t>
  </si>
  <si>
    <t>VIAÇÃO ALVORADA</t>
  </si>
  <si>
    <t>ATLANTIC CARGO</t>
  </si>
  <si>
    <t>RODOVIÁRIA DE LISBOA</t>
  </si>
  <si>
    <t>MARQUES TRANSPORTES</t>
  </si>
  <si>
    <t>ISIDORO DUARTE</t>
  </si>
  <si>
    <t>RODOVIÁRIA DA LEZIRIA</t>
  </si>
  <si>
    <t>RODOVIÁRIA DO OESTE</t>
  </si>
  <si>
    <t>Folhas A1.1.1 e A1.1.2</t>
  </si>
  <si>
    <t>Dimensão da frota não operacional</t>
  </si>
  <si>
    <t>Dimensão da frota operacional</t>
  </si>
  <si>
    <t>Número de colaboradores</t>
  </si>
  <si>
    <t>Volume de negócios / Receita operacional (€)</t>
  </si>
  <si>
    <t>Caso aplicável, Produção quilométrica (km percorridos)</t>
  </si>
  <si>
    <t>Listagem de Frota (incluindo data 1ª matrícula, peso bruto, tara, norma de emissões e, caso aplicável, 
lotação ou capacidade de carga em unidades padronizadas)</t>
  </si>
  <si>
    <t>Folha A3.3</t>
  </si>
  <si>
    <t>Caso aplicável, Volume de transporte 
(nº de passageiros, toneladas de carga, litros/m3 de carga líquida, nº contentores/unidades (padrão), etc.)</t>
  </si>
  <si>
    <t>Caso aplicável, Capacidade operacional 
(lotação.km, carga útil.km, etc.)</t>
  </si>
  <si>
    <t>Caso aplicável, Produção operacional 
(pax.km transportado, carga.km transportado)</t>
  </si>
  <si>
    <t>Apenas inclui dados financeiros, por falta de informação operacional detalhada. Foram excluídas cedências internas de serviço.</t>
  </si>
  <si>
    <t>Implementar sistema digital associada à subcontratação de serviços, que o fornecedor deverá preencher a fim de avaliar o impacte do serviço prestado, informação essa a usar no processo de certificação e avaliação de fornecedores a implementar no GB.</t>
  </si>
  <si>
    <t>Produção de Resíduos</t>
  </si>
  <si>
    <t>Consumo de Água e THR</t>
  </si>
  <si>
    <t>Ativos alugados a jusante</t>
  </si>
  <si>
    <t>Tranportes a justante</t>
  </si>
  <si>
    <t>Venda de Produtos</t>
  </si>
  <si>
    <t>Aluguer a montante</t>
  </si>
  <si>
    <t>Transportes a montante</t>
  </si>
  <si>
    <t>Aquisição de Bens e serviços</t>
  </si>
  <si>
    <t>Deslocações Pendulares</t>
  </si>
  <si>
    <t>FE PC2021; Fonte CG GB. Não há deslocações pendulares em viatura de serviço</t>
  </si>
  <si>
    <t>FE PC2021; Fonte CG GB. O peso das deslocações pendulares em viatura de serviço residual e desprezada</t>
  </si>
  <si>
    <t>O peso das deslocações pendulares em viatura de serviço residual e desprezada</t>
  </si>
  <si>
    <t>No futuro deverá se realizado um inquérito anual à mobilidade dos colaboradores</t>
  </si>
  <si>
    <t>Outras emissões relacionadas com o uso de energia (exluídas dos âmbitos 1 e 2)</t>
  </si>
  <si>
    <t>Aquisição de Bens de Capital</t>
  </si>
  <si>
    <t>Aquisição de Eletricidade (e outras formas de energias secundárias)</t>
  </si>
  <si>
    <t>No futuro deverão ser investigadas outras fontes, como por exemplo a estufa de Frielas cujo consumo de gasóleo é necessário incluir.
Também o consumo de gás e gasóleo de empilhadores e máquinas de lavagem deverá passar a ser registado de forma detalhada.</t>
  </si>
  <si>
    <t>Não foi considerado o consumo residual de gás e gasóleo de equipamentos auxiliares de oficina (empilhadores, máquina de lavagem, estufa de pintura).</t>
  </si>
  <si>
    <t>37006; 2170; 1200; 857 milhares de km (BR; RV; Cityrama; DT/PB)</t>
  </si>
  <si>
    <t>652; 61; 45; 36
(BR; RV; Cityrama; DT/PB)</t>
  </si>
  <si>
    <t>10 531 milhares de PT (BT + RV)</t>
  </si>
  <si>
    <t>61098; 3598; 8133; 3243 milhares de €  (BR; RV; Cityrama; DT/PB)</t>
  </si>
  <si>
    <t>Não Especificado</t>
  </si>
  <si>
    <t>Bus</t>
  </si>
  <si>
    <t>Outro/NA</t>
  </si>
  <si>
    <t>Só existe detalhe financeiro. Qtd. Transportada em €. Estimar km com base numa valor €/km</t>
  </si>
  <si>
    <t>Cityrama - Camarate</t>
  </si>
  <si>
    <t>SIMAR Loures Odivelas</t>
  </si>
  <si>
    <t>60;40</t>
  </si>
  <si>
    <t>A3.13 Investimentos</t>
  </si>
  <si>
    <t>A3.10 Transporte a jusante</t>
  </si>
  <si>
    <t>A3.11 Ativos alugados a justante</t>
  </si>
  <si>
    <t>A3.12 Franchises</t>
  </si>
  <si>
    <t>Os produtos vendidos não carecem de transporte ou são expedidos maioritariamente pelo OEM.</t>
  </si>
  <si>
    <t>Observações (PB, GVW)</t>
  </si>
  <si>
    <t>falta fatura dez Guerreiros</t>
  </si>
  <si>
    <t>Para a análise final será listada a frota não operacional ao invés de se apresentar uma análise agregada</t>
  </si>
  <si>
    <t>Tipo/Período Operação.</t>
  </si>
  <si>
    <t>Empresa ID</t>
  </si>
  <si>
    <t>ZOP</t>
  </si>
  <si>
    <t>III</t>
  </si>
  <si>
    <t>Tipologia veículos (Categoria)</t>
  </si>
  <si>
    <t>Tipologia veículos (Classe)</t>
  </si>
  <si>
    <t>Ano Dados</t>
  </si>
  <si>
    <t>Tipo*</t>
  </si>
  <si>
    <t>WTT</t>
  </si>
  <si>
    <t>Perdas Rede SEN</t>
  </si>
  <si>
    <t>Unidades*</t>
  </si>
  <si>
    <t>l</t>
  </si>
  <si>
    <t>HFC134a</t>
  </si>
  <si>
    <t>kg</t>
  </si>
  <si>
    <t>Ligeiro de Mercadorias N1: Geral : Gasóleo : Geral</t>
  </si>
  <si>
    <t>130208</t>
  </si>
  <si>
    <t>130502</t>
  </si>
  <si>
    <t>130507</t>
  </si>
  <si>
    <t>150101</t>
  </si>
  <si>
    <t>150102</t>
  </si>
  <si>
    <t>150110</t>
  </si>
  <si>
    <t>150111</t>
  </si>
  <si>
    <t>150202</t>
  </si>
  <si>
    <t>150203</t>
  </si>
  <si>
    <t>160107</t>
  </si>
  <si>
    <t>160112</t>
  </si>
  <si>
    <t>160117</t>
  </si>
  <si>
    <t>160119</t>
  </si>
  <si>
    <t>160121</t>
  </si>
  <si>
    <t>160199</t>
  </si>
  <si>
    <t>160601</t>
  </si>
  <si>
    <t>190805</t>
  </si>
  <si>
    <t>200101</t>
  </si>
  <si>
    <t>200102</t>
  </si>
  <si>
    <t>200121</t>
  </si>
  <si>
    <t>200125</t>
  </si>
  <si>
    <t>200136</t>
  </si>
  <si>
    <t>Metodologia</t>
  </si>
  <si>
    <t>Qtd.</t>
  </si>
  <si>
    <t>Unidade</t>
  </si>
  <si>
    <t>€</t>
  </si>
  <si>
    <t>Valor</t>
  </si>
  <si>
    <t>Fonte LB</t>
  </si>
  <si>
    <t>AIE</t>
  </si>
  <si>
    <t>fonte</t>
  </si>
  <si>
    <t>Ano FER</t>
  </si>
  <si>
    <t>DEFRA</t>
  </si>
  <si>
    <t>Idx</t>
  </si>
  <si>
    <t>Eléctrica</t>
  </si>
  <si>
    <t>Ano dados</t>
  </si>
  <si>
    <t>Tipo Ref</t>
  </si>
  <si>
    <t>Emissões médias por colaborador</t>
  </si>
  <si>
    <t>Ref</t>
  </si>
  <si>
    <t>Tipo Motor</t>
  </si>
  <si>
    <t>ICE Gasóleo</t>
  </si>
  <si>
    <t>Emissões</t>
  </si>
  <si>
    <t>Produção</t>
  </si>
  <si>
    <t>Autocarro Turismo Std</t>
  </si>
  <si>
    <t>Autocarro Regional Std</t>
  </si>
  <si>
    <t>Por Unidade de Custo Comprador</t>
  </si>
  <si>
    <t>Manutenção Geral M3</t>
  </si>
  <si>
    <t>Rel Peg. Carbono 21</t>
  </si>
  <si>
    <t>Fonte</t>
  </si>
  <si>
    <t>kg.km</t>
  </si>
  <si>
    <t>Nº max unidades / Entrega</t>
  </si>
  <si>
    <t>Qte Unit. FE</t>
  </si>
  <si>
    <t>idx_aux</t>
  </si>
  <si>
    <t>Valor Ref.</t>
  </si>
  <si>
    <t>m3</t>
  </si>
  <si>
    <t>Tipo Resíduo</t>
  </si>
  <si>
    <t>Resíduos Geral</t>
  </si>
  <si>
    <t>Óleo Mineral</t>
  </si>
  <si>
    <t>EPA ? GHG?</t>
  </si>
  <si>
    <t>Papel e cartao</t>
  </si>
  <si>
    <t>Madeira</t>
  </si>
  <si>
    <t>Metal</t>
  </si>
  <si>
    <t>Veiculos fim de vida</t>
  </si>
  <si>
    <t>Residuos urbanos</t>
  </si>
  <si>
    <t>Eq. Eletrónicos</t>
  </si>
  <si>
    <t>Rodoviária de Lisboa, S.A.</t>
  </si>
  <si>
    <t>Marques, Lda</t>
  </si>
  <si>
    <t>Marques, Lda.</t>
  </si>
  <si>
    <t>Rodo Cargo S.A.</t>
  </si>
  <si>
    <t>Rodoviária do Alentejo S.A.</t>
  </si>
  <si>
    <t>Rodo Cargo, S.A.</t>
  </si>
  <si>
    <t>Rodoviária do Alentejo, S.A.</t>
  </si>
  <si>
    <t>LISBOAT</t>
  </si>
  <si>
    <t>Rodoviária do Médio Tejo</t>
  </si>
  <si>
    <t>Pesado de Passageiros M2</t>
  </si>
  <si>
    <t>Pesado de Mercadorias N3</t>
  </si>
  <si>
    <t>319 viaturas</t>
  </si>
  <si>
    <t>Frota RL 2022</t>
  </si>
  <si>
    <t>1 viatura</t>
  </si>
  <si>
    <t>Nm3 (metros cubicos norm.)</t>
  </si>
  <si>
    <t>67 viaturas</t>
  </si>
  <si>
    <t>Auditoria Energética</t>
  </si>
  <si>
    <t>Transporte Rodoviário de Mercadorias</t>
  </si>
  <si>
    <t>259 viaturas</t>
  </si>
  <si>
    <t>59 viaturas</t>
  </si>
  <si>
    <t>54 viaturas</t>
  </si>
  <si>
    <t>25 viaturas</t>
  </si>
  <si>
    <t>20 viaturas</t>
  </si>
  <si>
    <t>Gasolina</t>
  </si>
  <si>
    <t>127 viaturas</t>
  </si>
  <si>
    <t>Ficheiro Abastecim/Kms</t>
  </si>
  <si>
    <t>CONTROLO GESTÃO</t>
  </si>
  <si>
    <t>Gásoleo NAV COS</t>
  </si>
  <si>
    <t>MH2 LUAR</t>
  </si>
  <si>
    <t>MH3 FADISTA</t>
  </si>
  <si>
    <t>MH4 AURORA</t>
  </si>
  <si>
    <t>Alugado Rodocargo</t>
  </si>
  <si>
    <t>Tractores</t>
  </si>
  <si>
    <t>Escavadoras</t>
  </si>
  <si>
    <t>GNC</t>
  </si>
  <si>
    <t>Nm3</t>
  </si>
  <si>
    <t>Data check</t>
  </si>
  <si>
    <t>Alugado Rodocargo 3 viaturas</t>
  </si>
  <si>
    <t>Tractores 4 viaturas</t>
  </si>
  <si>
    <t>Escavadoras 5 viaturas</t>
  </si>
  <si>
    <t>X</t>
  </si>
  <si>
    <t>I</t>
  </si>
  <si>
    <t xml:space="preserve">Scope </t>
  </si>
  <si>
    <t>A1</t>
  </si>
  <si>
    <t>2000</t>
  </si>
  <si>
    <t>L071</t>
  </si>
  <si>
    <t>L072</t>
  </si>
  <si>
    <t>L077</t>
  </si>
  <si>
    <t>L081</t>
  </si>
  <si>
    <t>L083</t>
  </si>
  <si>
    <t>L085</t>
  </si>
  <si>
    <t>L086</t>
  </si>
  <si>
    <t>L087</t>
  </si>
  <si>
    <t>L097</t>
  </si>
  <si>
    <t>L101</t>
  </si>
  <si>
    <t>L102</t>
  </si>
  <si>
    <t>L106</t>
  </si>
  <si>
    <t>L107</t>
  </si>
  <si>
    <t>L108</t>
  </si>
  <si>
    <t>L109</t>
  </si>
  <si>
    <t>L110</t>
  </si>
  <si>
    <t>L117</t>
  </si>
  <si>
    <t>L123</t>
  </si>
  <si>
    <t>L124</t>
  </si>
  <si>
    <t>L125</t>
  </si>
  <si>
    <t>L126</t>
  </si>
  <si>
    <t>L127</t>
  </si>
  <si>
    <t>L130</t>
  </si>
  <si>
    <t>L145</t>
  </si>
  <si>
    <t>L146</t>
  </si>
  <si>
    <t>L148</t>
  </si>
  <si>
    <t>L151</t>
  </si>
  <si>
    <t>L152</t>
  </si>
  <si>
    <t>L153</t>
  </si>
  <si>
    <t>L154</t>
  </si>
  <si>
    <t>L159</t>
  </si>
  <si>
    <t>L160</t>
  </si>
  <si>
    <t>L161</t>
  </si>
  <si>
    <t>L162</t>
  </si>
  <si>
    <t>L165</t>
  </si>
  <si>
    <t>L168</t>
  </si>
  <si>
    <t>L170</t>
  </si>
  <si>
    <t>L171</t>
  </si>
  <si>
    <t>L172</t>
  </si>
  <si>
    <t>L179</t>
  </si>
  <si>
    <t>L180</t>
  </si>
  <si>
    <t>L181</t>
  </si>
  <si>
    <t>L182</t>
  </si>
  <si>
    <t>L183</t>
  </si>
  <si>
    <t>L184</t>
  </si>
  <si>
    <t>L187</t>
  </si>
  <si>
    <t>L188</t>
  </si>
  <si>
    <t>L189</t>
  </si>
  <si>
    <t>L190</t>
  </si>
  <si>
    <t>L195</t>
  </si>
  <si>
    <t>L196</t>
  </si>
  <si>
    <t>L200</t>
  </si>
  <si>
    <t>L201</t>
  </si>
  <si>
    <t>L202</t>
  </si>
  <si>
    <t>L203</t>
  </si>
  <si>
    <t>L210</t>
  </si>
  <si>
    <t>L211</t>
  </si>
  <si>
    <t>L212</t>
  </si>
  <si>
    <t>L213</t>
  </si>
  <si>
    <t>L214</t>
  </si>
  <si>
    <t>L215</t>
  </si>
  <si>
    <t>L216</t>
  </si>
  <si>
    <t>L217</t>
  </si>
  <si>
    <t>L218</t>
  </si>
  <si>
    <t>L220</t>
  </si>
  <si>
    <t>L221</t>
  </si>
  <si>
    <t>L222</t>
  </si>
  <si>
    <t>L223</t>
  </si>
  <si>
    <t>L224</t>
  </si>
  <si>
    <t>L226</t>
  </si>
  <si>
    <t>L227</t>
  </si>
  <si>
    <t>L228</t>
  </si>
  <si>
    <t>L229</t>
  </si>
  <si>
    <t>L230</t>
  </si>
  <si>
    <t>L231</t>
  </si>
  <si>
    <t>L232</t>
  </si>
  <si>
    <t>L234</t>
  </si>
  <si>
    <t>L235</t>
  </si>
  <si>
    <t>L236</t>
  </si>
  <si>
    <t>L250</t>
  </si>
  <si>
    <t>L251</t>
  </si>
  <si>
    <t>L252</t>
  </si>
  <si>
    <t>L253</t>
  </si>
  <si>
    <t>L254</t>
  </si>
  <si>
    <t>L255</t>
  </si>
  <si>
    <t>L256</t>
  </si>
  <si>
    <t>L257</t>
  </si>
  <si>
    <t>L258</t>
  </si>
  <si>
    <t>L259</t>
  </si>
  <si>
    <t>L260</t>
  </si>
  <si>
    <t>L261</t>
  </si>
  <si>
    <t>L262</t>
  </si>
  <si>
    <t>L263</t>
  </si>
  <si>
    <t>L264</t>
  </si>
  <si>
    <t>L265</t>
  </si>
  <si>
    <t>L266</t>
  </si>
  <si>
    <t>L267</t>
  </si>
  <si>
    <t>L268</t>
  </si>
  <si>
    <t>L269</t>
  </si>
  <si>
    <t>L270</t>
  </si>
  <si>
    <t>L271</t>
  </si>
  <si>
    <t>L280</t>
  </si>
  <si>
    <t>L281</t>
  </si>
  <si>
    <t>L282</t>
  </si>
  <si>
    <t>L283</t>
  </si>
  <si>
    <t>L284</t>
  </si>
  <si>
    <t>L285</t>
  </si>
  <si>
    <t>L286</t>
  </si>
  <si>
    <t>L287</t>
  </si>
  <si>
    <t>L290</t>
  </si>
  <si>
    <t>L291</t>
  </si>
  <si>
    <t>L292</t>
  </si>
  <si>
    <t>L293</t>
  </si>
  <si>
    <t>L294</t>
  </si>
  <si>
    <t>L295</t>
  </si>
  <si>
    <t>L296</t>
  </si>
  <si>
    <t>L297</t>
  </si>
  <si>
    <t>L300</t>
  </si>
  <si>
    <t>L301</t>
  </si>
  <si>
    <t>L302</t>
  </si>
  <si>
    <t>L304</t>
  </si>
  <si>
    <t>L305</t>
  </si>
  <si>
    <t>L306</t>
  </si>
  <si>
    <t>L308</t>
  </si>
  <si>
    <t>L309</t>
  </si>
  <si>
    <t>L310</t>
  </si>
  <si>
    <t>L311</t>
  </si>
  <si>
    <t>L313</t>
  </si>
  <si>
    <t>L314</t>
  </si>
  <si>
    <t>L315</t>
  </si>
  <si>
    <t>L316</t>
  </si>
  <si>
    <t>L317</t>
  </si>
  <si>
    <t>L321</t>
  </si>
  <si>
    <t>L322</t>
  </si>
  <si>
    <t>L323</t>
  </si>
  <si>
    <t>L324</t>
  </si>
  <si>
    <t>L325</t>
  </si>
  <si>
    <t>L326</t>
  </si>
  <si>
    <t>L332</t>
  </si>
  <si>
    <t>L333</t>
  </si>
  <si>
    <t>L334</t>
  </si>
  <si>
    <t>L335</t>
  </si>
  <si>
    <t>L336</t>
  </si>
  <si>
    <t>L337</t>
  </si>
  <si>
    <t>L338</t>
  </si>
  <si>
    <t>L339</t>
  </si>
  <si>
    <t>L340</t>
  </si>
  <si>
    <t>L341</t>
  </si>
  <si>
    <t>L342</t>
  </si>
  <si>
    <t>L343</t>
  </si>
  <si>
    <t>L346</t>
  </si>
  <si>
    <t>L347</t>
  </si>
  <si>
    <t>L349</t>
  </si>
  <si>
    <t>L360</t>
  </si>
  <si>
    <t>L361</t>
  </si>
  <si>
    <t>L362</t>
  </si>
  <si>
    <t>L363</t>
  </si>
  <si>
    <t>L365</t>
  </si>
  <si>
    <t>L366</t>
  </si>
  <si>
    <t>L368</t>
  </si>
  <si>
    <t>L369</t>
  </si>
  <si>
    <t>L372</t>
  </si>
  <si>
    <t>L373</t>
  </si>
  <si>
    <t>L374</t>
  </si>
  <si>
    <t>L375</t>
  </si>
  <si>
    <t>L399</t>
  </si>
  <si>
    <t>L403</t>
  </si>
  <si>
    <t>L405</t>
  </si>
  <si>
    <t>L406</t>
  </si>
  <si>
    <t>L408</t>
  </si>
  <si>
    <t>L441</t>
  </si>
  <si>
    <t>L442</t>
  </si>
  <si>
    <t>L443</t>
  </si>
  <si>
    <t>L444</t>
  </si>
  <si>
    <t>L445</t>
  </si>
  <si>
    <t>L446</t>
  </si>
  <si>
    <t>L525</t>
  </si>
  <si>
    <t>L528</t>
  </si>
  <si>
    <t>L529</t>
  </si>
  <si>
    <t>L540</t>
  </si>
  <si>
    <t>L541</t>
  </si>
  <si>
    <t>L581</t>
  </si>
  <si>
    <t>L586</t>
  </si>
  <si>
    <t>L592</t>
  </si>
  <si>
    <t>L594</t>
  </si>
  <si>
    <t>L601</t>
  </si>
  <si>
    <t>L602</t>
  </si>
  <si>
    <t>L603</t>
  </si>
  <si>
    <t>L604</t>
  </si>
  <si>
    <t>L605</t>
  </si>
  <si>
    <t>L606</t>
  </si>
  <si>
    <t>L607</t>
  </si>
  <si>
    <t>L627</t>
  </si>
  <si>
    <t>L633</t>
  </si>
  <si>
    <t>L657</t>
  </si>
  <si>
    <t>L658</t>
  </si>
  <si>
    <t>L659</t>
  </si>
  <si>
    <t>L660</t>
  </si>
  <si>
    <t>L661</t>
  </si>
  <si>
    <t>L662</t>
  </si>
  <si>
    <t>L663</t>
  </si>
  <si>
    <t>L664</t>
  </si>
  <si>
    <t>L665</t>
  </si>
  <si>
    <t>L666</t>
  </si>
  <si>
    <t>L669</t>
  </si>
  <si>
    <t>L672</t>
  </si>
  <si>
    <t>L673</t>
  </si>
  <si>
    <t>L695</t>
  </si>
  <si>
    <t>L702</t>
  </si>
  <si>
    <t>L711</t>
  </si>
  <si>
    <t>L712</t>
  </si>
  <si>
    <t>L715</t>
  </si>
  <si>
    <t>L722</t>
  </si>
  <si>
    <t>L723</t>
  </si>
  <si>
    <t>L728</t>
  </si>
  <si>
    <t>L731</t>
  </si>
  <si>
    <t>L733</t>
  </si>
  <si>
    <t>L736</t>
  </si>
  <si>
    <t>L747</t>
  </si>
  <si>
    <t>L750</t>
  </si>
  <si>
    <t>L767</t>
  </si>
  <si>
    <t>L769</t>
  </si>
  <si>
    <t>L770</t>
  </si>
  <si>
    <t>L771</t>
  </si>
  <si>
    <t>L772</t>
  </si>
  <si>
    <t>L773</t>
  </si>
  <si>
    <t>L774</t>
  </si>
  <si>
    <t>L775</t>
  </si>
  <si>
    <t>L781</t>
  </si>
  <si>
    <t>L782</t>
  </si>
  <si>
    <t>L783</t>
  </si>
  <si>
    <t>L784</t>
  </si>
  <si>
    <t>L790</t>
  </si>
  <si>
    <t>L792</t>
  </si>
  <si>
    <t>L797</t>
  </si>
  <si>
    <t>L799</t>
  </si>
  <si>
    <t>L803</t>
  </si>
  <si>
    <t>L807</t>
  </si>
  <si>
    <t>L818</t>
  </si>
  <si>
    <t>L866</t>
  </si>
  <si>
    <t>L867</t>
  </si>
  <si>
    <t>L869</t>
  </si>
  <si>
    <t>L871</t>
  </si>
  <si>
    <t>L872</t>
  </si>
  <si>
    <t>L875</t>
  </si>
  <si>
    <t>L895</t>
  </si>
  <si>
    <t>Transporte Rodoviário Mercadorias</t>
  </si>
  <si>
    <t>2017</t>
  </si>
  <si>
    <t>2016</t>
  </si>
  <si>
    <t>2008</t>
  </si>
  <si>
    <t>2009</t>
  </si>
  <si>
    <t>1999</t>
  </si>
  <si>
    <t>2001</t>
  </si>
  <si>
    <t>1996</t>
  </si>
  <si>
    <t>1995</t>
  </si>
  <si>
    <t>1997</t>
  </si>
  <si>
    <t>2007</t>
  </si>
  <si>
    <t>2010</t>
  </si>
  <si>
    <t>2013</t>
  </si>
  <si>
    <t>2015</t>
  </si>
  <si>
    <t>1998</t>
  </si>
  <si>
    <t>1990</t>
  </si>
  <si>
    <t>1993</t>
  </si>
  <si>
    <t>1992</t>
  </si>
  <si>
    <t>2005</t>
  </si>
  <si>
    <t>2006</t>
  </si>
  <si>
    <t>2014</t>
  </si>
  <si>
    <t>2004</t>
  </si>
  <si>
    <t>2011</t>
  </si>
  <si>
    <t>2002</t>
  </si>
  <si>
    <t>2012</t>
  </si>
  <si>
    <t>2018</t>
  </si>
  <si>
    <t>2019</t>
  </si>
  <si>
    <t>2003</t>
  </si>
  <si>
    <t>2020</t>
  </si>
  <si>
    <t>E0</t>
  </si>
  <si>
    <t>Geral</t>
  </si>
  <si>
    <t>88NO69</t>
  </si>
  <si>
    <t>88NO70</t>
  </si>
  <si>
    <t>88NO71</t>
  </si>
  <si>
    <t>08RV13</t>
  </si>
  <si>
    <t>19RV00</t>
  </si>
  <si>
    <t>87LG22</t>
  </si>
  <si>
    <t>02LH63</t>
  </si>
  <si>
    <t>46RH09</t>
  </si>
  <si>
    <t>46RH10</t>
  </si>
  <si>
    <t>57RH85</t>
  </si>
  <si>
    <t>57RH86</t>
  </si>
  <si>
    <t>46SZ08</t>
  </si>
  <si>
    <t>46SZ09</t>
  </si>
  <si>
    <t>04XS94</t>
  </si>
  <si>
    <t>04XS95</t>
  </si>
  <si>
    <t>AB92VV</t>
  </si>
  <si>
    <t>AB94VV</t>
  </si>
  <si>
    <t>AB95VV</t>
  </si>
  <si>
    <t>AB96VV</t>
  </si>
  <si>
    <t>AB98VV</t>
  </si>
  <si>
    <t>9481XA</t>
  </si>
  <si>
    <t>8945XC</t>
  </si>
  <si>
    <t>8953XC</t>
  </si>
  <si>
    <t>8943XC</t>
  </si>
  <si>
    <t>8944XC</t>
  </si>
  <si>
    <t>48ND09</t>
  </si>
  <si>
    <t>58PL28</t>
  </si>
  <si>
    <t>47UF58</t>
  </si>
  <si>
    <t>87UQ86</t>
  </si>
  <si>
    <t>88OG85</t>
  </si>
  <si>
    <t>88OG86</t>
  </si>
  <si>
    <t>88OG87</t>
  </si>
  <si>
    <t>77ON31</t>
  </si>
  <si>
    <t>84QS10</t>
  </si>
  <si>
    <t>84QS11</t>
  </si>
  <si>
    <t>84QS12</t>
  </si>
  <si>
    <t>84QS47</t>
  </si>
  <si>
    <t>84QS48</t>
  </si>
  <si>
    <t>42NL27</t>
  </si>
  <si>
    <t>42NL36</t>
  </si>
  <si>
    <t>42NL37</t>
  </si>
  <si>
    <t>42NL38</t>
  </si>
  <si>
    <t>26RB06</t>
  </si>
  <si>
    <t>62RC13</t>
  </si>
  <si>
    <t>62RC14</t>
  </si>
  <si>
    <t>26RB07</t>
  </si>
  <si>
    <t>90QV93</t>
  </si>
  <si>
    <t>81VV85</t>
  </si>
  <si>
    <t>81VV93</t>
  </si>
  <si>
    <t>75XA97</t>
  </si>
  <si>
    <t>76XA19</t>
  </si>
  <si>
    <t>54ZU83</t>
  </si>
  <si>
    <t>54ZU91</t>
  </si>
  <si>
    <t>84QS50</t>
  </si>
  <si>
    <t>84QS39</t>
  </si>
  <si>
    <t>76SI41</t>
  </si>
  <si>
    <t>76SI42</t>
  </si>
  <si>
    <t>76SI43</t>
  </si>
  <si>
    <t>67UC40</t>
  </si>
  <si>
    <t>67UC42</t>
  </si>
  <si>
    <t>67UC49</t>
  </si>
  <si>
    <t>67UC59</t>
  </si>
  <si>
    <t>74XB58</t>
  </si>
  <si>
    <t>74XB59</t>
  </si>
  <si>
    <t>74XB60</t>
  </si>
  <si>
    <t>93XA43</t>
  </si>
  <si>
    <t>93XA48</t>
  </si>
  <si>
    <t>99NN61</t>
  </si>
  <si>
    <t>99NN62</t>
  </si>
  <si>
    <t>88OG67</t>
  </si>
  <si>
    <t>57PL22</t>
  </si>
  <si>
    <t>57PL24</t>
  </si>
  <si>
    <t>57PL23</t>
  </si>
  <si>
    <t>94TG21</t>
  </si>
  <si>
    <t>92LI80</t>
  </si>
  <si>
    <t>13BC26</t>
  </si>
  <si>
    <t>26BC37</t>
  </si>
  <si>
    <t>13BC25</t>
  </si>
  <si>
    <t>17FJ65</t>
  </si>
  <si>
    <t>22BN79</t>
  </si>
  <si>
    <t>22BN80</t>
  </si>
  <si>
    <t>22BN81</t>
  </si>
  <si>
    <t>04FJ02</t>
  </si>
  <si>
    <t>62FM28</t>
  </si>
  <si>
    <t>62FM29</t>
  </si>
  <si>
    <t>62FM30</t>
  </si>
  <si>
    <t>71NP72</t>
  </si>
  <si>
    <t>94TG22</t>
  </si>
  <si>
    <t>80HC19</t>
  </si>
  <si>
    <t>80HC20</t>
  </si>
  <si>
    <t>80HC15</t>
  </si>
  <si>
    <t>80HC22</t>
  </si>
  <si>
    <t>80HC18</t>
  </si>
  <si>
    <t>88OG73</t>
  </si>
  <si>
    <t>47VH45</t>
  </si>
  <si>
    <t>47VH46</t>
  </si>
  <si>
    <t>47VH47</t>
  </si>
  <si>
    <t>84HC43</t>
  </si>
  <si>
    <t>66FO07</t>
  </si>
  <si>
    <t>17FJ64</t>
  </si>
  <si>
    <t>17FJ59</t>
  </si>
  <si>
    <t>66LF19</t>
  </si>
  <si>
    <t>66LF20</t>
  </si>
  <si>
    <t>79LP16</t>
  </si>
  <si>
    <t>90LP64</t>
  </si>
  <si>
    <t>90LP65</t>
  </si>
  <si>
    <t>98MT00</t>
  </si>
  <si>
    <t>80HC17</t>
  </si>
  <si>
    <t>59LO19</t>
  </si>
  <si>
    <t>98MT01</t>
  </si>
  <si>
    <t>98MT03</t>
  </si>
  <si>
    <t>81XB07</t>
  </si>
  <si>
    <t>81XB08</t>
  </si>
  <si>
    <t>81XB11</t>
  </si>
  <si>
    <t>21NQ54</t>
  </si>
  <si>
    <t>76SI35</t>
  </si>
  <si>
    <t>76SI44</t>
  </si>
  <si>
    <t>76SI45</t>
  </si>
  <si>
    <t>76SI46</t>
  </si>
  <si>
    <t>76SI47</t>
  </si>
  <si>
    <t>76SI48</t>
  </si>
  <si>
    <t>85SX00</t>
  </si>
  <si>
    <t>85SX01</t>
  </si>
  <si>
    <t>85SX02</t>
  </si>
  <si>
    <t>99UB87</t>
  </si>
  <si>
    <t>02UC26</t>
  </si>
  <si>
    <t>45XO21</t>
  </si>
  <si>
    <t>45XO28</t>
  </si>
  <si>
    <t>99UB92</t>
  </si>
  <si>
    <t>88XA99</t>
  </si>
  <si>
    <t>89XA11</t>
  </si>
  <si>
    <t>82JR50</t>
  </si>
  <si>
    <t>46OJ82</t>
  </si>
  <si>
    <t>62FM27</t>
  </si>
  <si>
    <t>19NR94</t>
  </si>
  <si>
    <t>6037RM</t>
  </si>
  <si>
    <t>46PS08</t>
  </si>
  <si>
    <t>67UC64</t>
  </si>
  <si>
    <t>67UC67</t>
  </si>
  <si>
    <t>53QV50</t>
  </si>
  <si>
    <t>80HC16</t>
  </si>
  <si>
    <t>28SC27</t>
  </si>
  <si>
    <t>13BC29</t>
  </si>
  <si>
    <t>8951XC</t>
  </si>
  <si>
    <t>3274TL</t>
  </si>
  <si>
    <t>2898XL</t>
  </si>
  <si>
    <t>30JD22</t>
  </si>
  <si>
    <t>53RE24</t>
  </si>
  <si>
    <t>20UD28</t>
  </si>
  <si>
    <t>21NQ56</t>
  </si>
  <si>
    <t>21NQ59</t>
  </si>
  <si>
    <t>21NQ61</t>
  </si>
  <si>
    <t>36PI50</t>
  </si>
  <si>
    <t>68ST51</t>
  </si>
  <si>
    <t>68ST54</t>
  </si>
  <si>
    <t>84QS42</t>
  </si>
  <si>
    <t>88OG68</t>
  </si>
  <si>
    <t>89PM51</t>
  </si>
  <si>
    <t>89PM52</t>
  </si>
  <si>
    <t>21TA34</t>
  </si>
  <si>
    <t>84QS44</t>
  </si>
  <si>
    <t>84QS45</t>
  </si>
  <si>
    <t>80HC24</t>
  </si>
  <si>
    <t>80HC25</t>
  </si>
  <si>
    <t>80HC23</t>
  </si>
  <si>
    <t>84HC58</t>
  </si>
  <si>
    <t>3275TL</t>
  </si>
  <si>
    <t>2899XL</t>
  </si>
  <si>
    <t>95RQ44</t>
  </si>
  <si>
    <t>34RN34</t>
  </si>
  <si>
    <t>7898XG</t>
  </si>
  <si>
    <t>16JF32</t>
  </si>
  <si>
    <t>16JF33</t>
  </si>
  <si>
    <t>21NQ55</t>
  </si>
  <si>
    <t>21NQ57</t>
  </si>
  <si>
    <t>21NQ60</t>
  </si>
  <si>
    <t>11NR30</t>
  </si>
  <si>
    <t>61VI64</t>
  </si>
  <si>
    <t>23VJ60</t>
  </si>
  <si>
    <t>10ZH55</t>
  </si>
  <si>
    <t>10ZH52</t>
  </si>
  <si>
    <t>10ZH54</t>
  </si>
  <si>
    <t>10ZH53</t>
  </si>
  <si>
    <t>AB97VV</t>
  </si>
  <si>
    <t>89LL04</t>
  </si>
  <si>
    <t>89LL05</t>
  </si>
  <si>
    <t>89XA28</t>
  </si>
  <si>
    <t>62NO74</t>
  </si>
  <si>
    <t>62NO75</t>
  </si>
  <si>
    <t>62NO76</t>
  </si>
  <si>
    <t>62NO77</t>
  </si>
  <si>
    <t>64NP59</t>
  </si>
  <si>
    <t>64NP60</t>
  </si>
  <si>
    <t>64NP61</t>
  </si>
  <si>
    <t>64NP62</t>
  </si>
  <si>
    <t>88NO73</t>
  </si>
  <si>
    <t>32UR61</t>
  </si>
  <si>
    <t>32UR65</t>
  </si>
  <si>
    <t>14UV79</t>
  </si>
  <si>
    <t>14UV80</t>
  </si>
  <si>
    <t>61XP86</t>
  </si>
  <si>
    <t>11NR29</t>
  </si>
  <si>
    <t>11NR31</t>
  </si>
  <si>
    <t>24RT91</t>
  </si>
  <si>
    <t>24RT92</t>
  </si>
  <si>
    <t>19TL02</t>
  </si>
  <si>
    <t>19TL03</t>
  </si>
  <si>
    <t>60VI75</t>
  </si>
  <si>
    <t>62VI17</t>
  </si>
  <si>
    <t>63VI04</t>
  </si>
  <si>
    <t>77XO19</t>
  </si>
  <si>
    <t>61XP45</t>
  </si>
  <si>
    <t>63XP21</t>
  </si>
  <si>
    <t>76XO52</t>
  </si>
  <si>
    <t>76XO53</t>
  </si>
  <si>
    <t>77XO52</t>
  </si>
  <si>
    <t>78XO41</t>
  </si>
  <si>
    <t>78XO44</t>
  </si>
  <si>
    <t>79XO75</t>
  </si>
  <si>
    <t>61XP19</t>
  </si>
  <si>
    <t>34PA59</t>
  </si>
  <si>
    <t>95LV74</t>
  </si>
  <si>
    <t>88NO74</t>
  </si>
  <si>
    <t>88NO75</t>
  </si>
  <si>
    <t>88NO72</t>
  </si>
  <si>
    <t>30PL50</t>
  </si>
  <si>
    <t>30PL51</t>
  </si>
  <si>
    <t>30PL52</t>
  </si>
  <si>
    <t>30PL53</t>
  </si>
  <si>
    <t>95JA99</t>
  </si>
  <si>
    <t>22PV51</t>
  </si>
  <si>
    <t>89PT60</t>
  </si>
  <si>
    <t>91XA08</t>
  </si>
  <si>
    <t>89XA10</t>
  </si>
  <si>
    <t>89XA72</t>
  </si>
  <si>
    <t>22PV52</t>
  </si>
  <si>
    <t>22PV53</t>
  </si>
  <si>
    <t>22PV54</t>
  </si>
  <si>
    <t>02NJ28</t>
  </si>
  <si>
    <t>5059XR</t>
  </si>
  <si>
    <t>31OG96</t>
  </si>
  <si>
    <t>52HH64</t>
  </si>
  <si>
    <t>58PI94</t>
  </si>
  <si>
    <t>12PJ34</t>
  </si>
  <si>
    <t>58PL29</t>
  </si>
  <si>
    <t>98RS98</t>
  </si>
  <si>
    <t>23NX29</t>
  </si>
  <si>
    <t>56UV36</t>
  </si>
  <si>
    <t>AD62DE</t>
  </si>
  <si>
    <t>AD63DE</t>
  </si>
  <si>
    <t>AD64DE</t>
  </si>
  <si>
    <t>AD65DE</t>
  </si>
  <si>
    <t>AD66DE</t>
  </si>
  <si>
    <t>AD67DE</t>
  </si>
  <si>
    <t>AD68DE</t>
  </si>
  <si>
    <t>AD69DE</t>
  </si>
  <si>
    <t>AD70DE</t>
  </si>
  <si>
    <t>AD71DE</t>
  </si>
  <si>
    <t>AE11UL</t>
  </si>
  <si>
    <t>AE13UL</t>
  </si>
  <si>
    <t>AE14UL</t>
  </si>
  <si>
    <t>AE15UL</t>
  </si>
  <si>
    <t>AE19UL</t>
  </si>
  <si>
    <t>AF60GO</t>
  </si>
  <si>
    <t>AF61GO</t>
  </si>
  <si>
    <t>AF62GO</t>
  </si>
  <si>
    <t>AF63GO</t>
  </si>
  <si>
    <t>AF64GO</t>
  </si>
  <si>
    <t>AF65GO</t>
  </si>
  <si>
    <t>AF67GO</t>
  </si>
  <si>
    <t>AF68GO</t>
  </si>
  <si>
    <t>AF70GO</t>
  </si>
  <si>
    <t>AF71GO</t>
  </si>
  <si>
    <t>AF72GO</t>
  </si>
  <si>
    <t>AF73GO</t>
  </si>
  <si>
    <t>AF74GO</t>
  </si>
  <si>
    <t>AF76GO</t>
  </si>
  <si>
    <t>AF78GO</t>
  </si>
  <si>
    <t>AE20UL</t>
  </si>
  <si>
    <t>AF79GO</t>
  </si>
  <si>
    <t>54SC79</t>
  </si>
  <si>
    <t>50ST81</t>
  </si>
  <si>
    <t>38ZE63</t>
  </si>
  <si>
    <t>13BC28</t>
  </si>
  <si>
    <t>57VJ50</t>
  </si>
  <si>
    <t>60UR31</t>
  </si>
  <si>
    <t>47RZ08</t>
  </si>
  <si>
    <t>55VJ70</t>
  </si>
  <si>
    <t>35OF71</t>
  </si>
  <si>
    <t>44OF23</t>
  </si>
  <si>
    <t>59OF49</t>
  </si>
  <si>
    <t>85XN65</t>
  </si>
  <si>
    <t>48VP79</t>
  </si>
  <si>
    <t>84VQ08</t>
  </si>
  <si>
    <t>98VM60</t>
  </si>
  <si>
    <t>68VJ59</t>
  </si>
  <si>
    <t>49VP64</t>
  </si>
  <si>
    <t>77SU66</t>
  </si>
  <si>
    <t>34PA60</t>
  </si>
  <si>
    <t>6687XX</t>
  </si>
  <si>
    <t>6688XX</t>
  </si>
  <si>
    <t>30GC22</t>
  </si>
  <si>
    <t>30GC21</t>
  </si>
  <si>
    <t>30GC20</t>
  </si>
  <si>
    <t>36QI52</t>
  </si>
  <si>
    <t>36QI51</t>
  </si>
  <si>
    <t>30QL40</t>
  </si>
  <si>
    <t>83QM29</t>
  </si>
  <si>
    <t>83QM30</t>
  </si>
  <si>
    <t>57QP40</t>
  </si>
  <si>
    <t>85XN77</t>
  </si>
  <si>
    <t>57RZ98</t>
  </si>
  <si>
    <t>42SP58</t>
  </si>
  <si>
    <t>54RI97</t>
  </si>
  <si>
    <t>75RM71</t>
  </si>
  <si>
    <t>57RZ99</t>
  </si>
  <si>
    <t>96RP62</t>
  </si>
  <si>
    <t>70PO72</t>
  </si>
  <si>
    <t>79SZ40</t>
  </si>
  <si>
    <t>11TF62</t>
  </si>
  <si>
    <t>58VS50</t>
  </si>
  <si>
    <t>55VJ45</t>
  </si>
  <si>
    <t>41VO09</t>
  </si>
  <si>
    <t>96VQ51</t>
  </si>
  <si>
    <t>02VL83</t>
  </si>
  <si>
    <t>46TT34</t>
  </si>
  <si>
    <t>37TA82</t>
  </si>
  <si>
    <t>98VM44</t>
  </si>
  <si>
    <t>9485XA</t>
  </si>
  <si>
    <t>21NQ62</t>
  </si>
  <si>
    <t>56UV27</t>
  </si>
  <si>
    <t>56UV28</t>
  </si>
  <si>
    <t>56UV30</t>
  </si>
  <si>
    <t>56UV34</t>
  </si>
  <si>
    <t>58VI00</t>
  </si>
  <si>
    <t>58VI02</t>
  </si>
  <si>
    <t>57VI96</t>
  </si>
  <si>
    <t>36VG58</t>
  </si>
  <si>
    <t>47RU70</t>
  </si>
  <si>
    <t>36TI97</t>
  </si>
  <si>
    <t>14QL98</t>
  </si>
  <si>
    <t>32QJ12</t>
  </si>
  <si>
    <t>19XP41</t>
  </si>
  <si>
    <t>47RU71</t>
  </si>
  <si>
    <t>95MR56</t>
  </si>
  <si>
    <t>95MR57</t>
  </si>
  <si>
    <t>45VC34</t>
  </si>
  <si>
    <t>AE12UL</t>
  </si>
  <si>
    <t>AE16UL</t>
  </si>
  <si>
    <t>AE17UL</t>
  </si>
  <si>
    <t>AE18UL</t>
  </si>
  <si>
    <t>AF66GO</t>
  </si>
  <si>
    <t>AF69GO</t>
  </si>
  <si>
    <t>AF75GO</t>
  </si>
  <si>
    <t>AF77GO</t>
  </si>
  <si>
    <t>17VT32</t>
  </si>
  <si>
    <t>19XL34</t>
  </si>
  <si>
    <t>85TD21</t>
  </si>
  <si>
    <t>85TD22</t>
  </si>
  <si>
    <t>68GU26</t>
  </si>
  <si>
    <t>60LR58</t>
  </si>
  <si>
    <t>53LU32</t>
  </si>
  <si>
    <t>59MB11</t>
  </si>
  <si>
    <t>59MB12</t>
  </si>
  <si>
    <t>21NQ53</t>
  </si>
  <si>
    <t>11NR32</t>
  </si>
  <si>
    <t>11NR28</t>
  </si>
  <si>
    <t>21NQ58</t>
  </si>
  <si>
    <t>AC26AM</t>
  </si>
  <si>
    <t>AC27AM</t>
  </si>
  <si>
    <t>60VI79</t>
  </si>
  <si>
    <t>60VI80</t>
  </si>
  <si>
    <t>60VI88</t>
  </si>
  <si>
    <t>24VJ96</t>
  </si>
  <si>
    <t>99US11</t>
  </si>
  <si>
    <t>89XH48</t>
  </si>
  <si>
    <t>91XH18</t>
  </si>
  <si>
    <t>10ZC06</t>
  </si>
  <si>
    <t>92ZE37</t>
  </si>
  <si>
    <t>65ZQ67 </t>
  </si>
  <si>
    <t>66ZQ42</t>
  </si>
  <si>
    <t>95ZZ75</t>
  </si>
  <si>
    <t>AR44GE</t>
  </si>
  <si>
    <t>AR45GE</t>
  </si>
  <si>
    <t>69UU31</t>
  </si>
  <si>
    <t>18UT68</t>
  </si>
  <si>
    <t>17UP31</t>
  </si>
  <si>
    <t>17UP37</t>
  </si>
  <si>
    <t>17UP39</t>
  </si>
  <si>
    <t>17UP74</t>
  </si>
  <si>
    <t>91UN59</t>
  </si>
  <si>
    <t>92RJ19</t>
  </si>
  <si>
    <t>92RJ21</t>
  </si>
  <si>
    <t>09SX13</t>
  </si>
  <si>
    <t>45SX81</t>
  </si>
  <si>
    <t>3768ZT</t>
  </si>
  <si>
    <t>Mapas STM</t>
  </si>
  <si>
    <t>4031</t>
  </si>
  <si>
    <t>4032</t>
  </si>
  <si>
    <t>4039</t>
  </si>
  <si>
    <t>4049</t>
  </si>
  <si>
    <t>4052</t>
  </si>
  <si>
    <t>4071</t>
  </si>
  <si>
    <t>4075</t>
  </si>
  <si>
    <t>4090</t>
  </si>
  <si>
    <t>4156</t>
  </si>
  <si>
    <t>4173</t>
  </si>
  <si>
    <t>4181</t>
  </si>
  <si>
    <t>4204</t>
  </si>
  <si>
    <t>4205</t>
  </si>
  <si>
    <t>4208</t>
  </si>
  <si>
    <t>4212</t>
  </si>
  <si>
    <t>4214</t>
  </si>
  <si>
    <t>4219</t>
  </si>
  <si>
    <t>4220</t>
  </si>
  <si>
    <t>4225</t>
  </si>
  <si>
    <t>4229</t>
  </si>
  <si>
    <t>4234</t>
  </si>
  <si>
    <t>4235</t>
  </si>
  <si>
    <t>4247</t>
  </si>
  <si>
    <t>4250</t>
  </si>
  <si>
    <t>4269</t>
  </si>
  <si>
    <t>4278</t>
  </si>
  <si>
    <t>4283</t>
  </si>
  <si>
    <t>4286</t>
  </si>
  <si>
    <t>4290</t>
  </si>
  <si>
    <t>4291</t>
  </si>
  <si>
    <t>4293</t>
  </si>
  <si>
    <t>4298</t>
  </si>
  <si>
    <t>4301</t>
  </si>
  <si>
    <t>4303</t>
  </si>
  <si>
    <t>4304</t>
  </si>
  <si>
    <t>4309</t>
  </si>
  <si>
    <t>4310</t>
  </si>
  <si>
    <t>4318</t>
  </si>
  <si>
    <t>4320</t>
  </si>
  <si>
    <t>4337</t>
  </si>
  <si>
    <t>4345</t>
  </si>
  <si>
    <t>4346</t>
  </si>
  <si>
    <t>4348</t>
  </si>
  <si>
    <t>4368</t>
  </si>
  <si>
    <t>4369</t>
  </si>
  <si>
    <t>4370</t>
  </si>
  <si>
    <t>4371</t>
  </si>
  <si>
    <t>4374</t>
  </si>
  <si>
    <t>4382</t>
  </si>
  <si>
    <t>4384</t>
  </si>
  <si>
    <t>4387</t>
  </si>
  <si>
    <t>4398</t>
  </si>
  <si>
    <t>4399</t>
  </si>
  <si>
    <t>4411</t>
  </si>
  <si>
    <t>4413</t>
  </si>
  <si>
    <t>4426</t>
  </si>
  <si>
    <t>4430</t>
  </si>
  <si>
    <t>4432</t>
  </si>
  <si>
    <t>4437</t>
  </si>
  <si>
    <t>4441</t>
  </si>
  <si>
    <t>4442</t>
  </si>
  <si>
    <t>4443</t>
  </si>
  <si>
    <t>4445</t>
  </si>
  <si>
    <t>4448</t>
  </si>
  <si>
    <t>4449</t>
  </si>
  <si>
    <t>4452</t>
  </si>
  <si>
    <t>4453</t>
  </si>
  <si>
    <t>4454</t>
  </si>
  <si>
    <t>4455</t>
  </si>
  <si>
    <t>4456</t>
  </si>
  <si>
    <t>4457</t>
  </si>
  <si>
    <t>4458</t>
  </si>
  <si>
    <t>4460</t>
  </si>
  <si>
    <t>4462</t>
  </si>
  <si>
    <t>4463</t>
  </si>
  <si>
    <t>4464</t>
  </si>
  <si>
    <t>4466</t>
  </si>
  <si>
    <t>4468</t>
  </si>
  <si>
    <t>4469</t>
  </si>
  <si>
    <t>4470</t>
  </si>
  <si>
    <t>4471</t>
  </si>
  <si>
    <t>4472</t>
  </si>
  <si>
    <t>4474</t>
  </si>
  <si>
    <t>4475</t>
  </si>
  <si>
    <t>4491</t>
  </si>
  <si>
    <t>4494</t>
  </si>
  <si>
    <t>4500</t>
  </si>
  <si>
    <t>4501</t>
  </si>
  <si>
    <t>4502</t>
  </si>
  <si>
    <t>4503</t>
  </si>
  <si>
    <t>4505</t>
  </si>
  <si>
    <t>4506</t>
  </si>
  <si>
    <t>4507</t>
  </si>
  <si>
    <t>4508</t>
  </si>
  <si>
    <t>4509</t>
  </si>
  <si>
    <t>4510</t>
  </si>
  <si>
    <t>4511</t>
  </si>
  <si>
    <t>4512</t>
  </si>
  <si>
    <t>4513</t>
  </si>
  <si>
    <t>4514</t>
  </si>
  <si>
    <t>4515</t>
  </si>
  <si>
    <t>4516</t>
  </si>
  <si>
    <t>4517</t>
  </si>
  <si>
    <t>4518</t>
  </si>
  <si>
    <t>4519</t>
  </si>
  <si>
    <t>4521</t>
  </si>
  <si>
    <t>4523</t>
  </si>
  <si>
    <t>4524</t>
  </si>
  <si>
    <t>4525</t>
  </si>
  <si>
    <t>4526</t>
  </si>
  <si>
    <t>4527</t>
  </si>
  <si>
    <t>4528</t>
  </si>
  <si>
    <t>4529</t>
  </si>
  <si>
    <t>4530</t>
  </si>
  <si>
    <t>4531</t>
  </si>
  <si>
    <t>4532</t>
  </si>
  <si>
    <t>4533</t>
  </si>
  <si>
    <t>4534</t>
  </si>
  <si>
    <t>4535</t>
  </si>
  <si>
    <t>4536</t>
  </si>
  <si>
    <t>4537</t>
  </si>
  <si>
    <t>4538</t>
  </si>
  <si>
    <t>4539</t>
  </si>
  <si>
    <t>4541</t>
  </si>
  <si>
    <t>4542</t>
  </si>
  <si>
    <t>4543</t>
  </si>
  <si>
    <t>4544</t>
  </si>
  <si>
    <t>4545</t>
  </si>
  <si>
    <t>4546</t>
  </si>
  <si>
    <t>4547</t>
  </si>
  <si>
    <t>4549</t>
  </si>
  <si>
    <t>4550</t>
  </si>
  <si>
    <t>4552</t>
  </si>
  <si>
    <t>4554</t>
  </si>
  <si>
    <t>4555</t>
  </si>
  <si>
    <t>4556</t>
  </si>
  <si>
    <t>4557</t>
  </si>
  <si>
    <t>4558</t>
  </si>
  <si>
    <t>4560</t>
  </si>
  <si>
    <t>4561</t>
  </si>
  <si>
    <t>4562</t>
  </si>
  <si>
    <t>4563</t>
  </si>
  <si>
    <t>4569</t>
  </si>
  <si>
    <t>4570</t>
  </si>
  <si>
    <t>4573</t>
  </si>
  <si>
    <t>4574</t>
  </si>
  <si>
    <t>4580</t>
  </si>
  <si>
    <t>4581</t>
  </si>
  <si>
    <t>4582</t>
  </si>
  <si>
    <t>4585</t>
  </si>
  <si>
    <t>4586</t>
  </si>
  <si>
    <t>4587</t>
  </si>
  <si>
    <t>4588</t>
  </si>
  <si>
    <t>4590</t>
  </si>
  <si>
    <t>4591</t>
  </si>
  <si>
    <t>4592</t>
  </si>
  <si>
    <t>4594</t>
  </si>
  <si>
    <t>4596</t>
  </si>
  <si>
    <t>4597</t>
  </si>
  <si>
    <t>4598</t>
  </si>
  <si>
    <t>4601</t>
  </si>
  <si>
    <t>4602</t>
  </si>
  <si>
    <t>4603</t>
  </si>
  <si>
    <t>4610</t>
  </si>
  <si>
    <t>4611</t>
  </si>
  <si>
    <t>4612</t>
  </si>
  <si>
    <t>4613</t>
  </si>
  <si>
    <t>4718</t>
  </si>
  <si>
    <t>4720</t>
  </si>
  <si>
    <t>4721</t>
  </si>
  <si>
    <t>4726</t>
  </si>
  <si>
    <t>4727</t>
  </si>
  <si>
    <t>4728</t>
  </si>
  <si>
    <t>4754</t>
  </si>
  <si>
    <t>4823</t>
  </si>
  <si>
    <t>52-63-ZU</t>
  </si>
  <si>
    <t>52-64-ZU</t>
  </si>
  <si>
    <t>52-66-ZU</t>
  </si>
  <si>
    <t>09-FR-39</t>
  </si>
  <si>
    <t>39-NH-33</t>
  </si>
  <si>
    <t>85-90-HM</t>
  </si>
  <si>
    <t>RRR00384</t>
  </si>
  <si>
    <t>K50037</t>
  </si>
  <si>
    <t>Scope</t>
  </si>
  <si>
    <t>A1.1</t>
  </si>
  <si>
    <t>A1.2</t>
  </si>
  <si>
    <t>A1.3</t>
  </si>
  <si>
    <t>A1.4</t>
  </si>
  <si>
    <t>Isidoro Duarte, S.A.</t>
  </si>
  <si>
    <t>Ligeiro de Passageiros M1: Geral : Gasóleo : Geral</t>
  </si>
  <si>
    <t>Pesado de Passageiros M1: Geral : Gasóleo : Geral</t>
  </si>
  <si>
    <t>Pesado de Passageiros M3: III : Gasóleo : E3</t>
  </si>
  <si>
    <t>Viatura Serviço</t>
  </si>
  <si>
    <t>Apoio Oficina</t>
  </si>
  <si>
    <t>Barraqueiro SGPS, S.A.</t>
  </si>
  <si>
    <t>Misto</t>
  </si>
  <si>
    <t>HPGB, SGPS, S.A.</t>
  </si>
  <si>
    <t>Viatura de Serviço</t>
  </si>
  <si>
    <t>Ano Fabrico</t>
  </si>
  <si>
    <t>Norma Emissões</t>
  </si>
  <si>
    <t>Preço Unit max. ~1,97€</t>
  </si>
  <si>
    <t>Gerador Emergência, Empilhadores e equipamentos de lavagem</t>
  </si>
  <si>
    <t>Aquecimento água refeitório e balneários</t>
  </si>
  <si>
    <t>Estufas</t>
  </si>
  <si>
    <t>Geradores</t>
  </si>
  <si>
    <t>GPL</t>
  </si>
  <si>
    <t>1.027 euro</t>
  </si>
  <si>
    <t>Aquecimento da estufa</t>
  </si>
  <si>
    <t>Aquecimento Estufa</t>
  </si>
  <si>
    <t>Refeitório</t>
  </si>
  <si>
    <t>Roçadora/ corta relva</t>
  </si>
  <si>
    <t>Empilhadores</t>
  </si>
  <si>
    <t>Fonte FE</t>
  </si>
  <si>
    <t>DEFRA:2022</t>
  </si>
  <si>
    <t>AC Estacionários</t>
  </si>
  <si>
    <t>Viseu</t>
  </si>
  <si>
    <t>Évora</t>
  </si>
  <si>
    <t>Beja</t>
  </si>
  <si>
    <t>Portalegre</t>
  </si>
  <si>
    <t>Santiago do Cacém</t>
  </si>
  <si>
    <t>Faro</t>
  </si>
  <si>
    <t>Albufeira-Ferreiras</t>
  </si>
  <si>
    <t>Portimão</t>
  </si>
  <si>
    <t>Vila Real Santo António</t>
  </si>
  <si>
    <t>Queluz de Baixo</t>
  </si>
  <si>
    <t>Póoa da Galega</t>
  </si>
  <si>
    <t>Caneças</t>
  </si>
  <si>
    <t>Sta. Iria de Azoia</t>
  </si>
  <si>
    <t>vários</t>
  </si>
  <si>
    <t>Folha de Compra enviada para APA.</t>
  </si>
  <si>
    <t>Equipamento Frio Estacionário</t>
  </si>
  <si>
    <t>Vala do Carregado</t>
  </si>
  <si>
    <t>Escritório P. Alto</t>
  </si>
  <si>
    <t>20 equipamentos / Gás tipo R22</t>
  </si>
  <si>
    <t>1 equipamento / Gás tipo R32</t>
  </si>
  <si>
    <t>16 equipamentos / Gás tipo R22</t>
  </si>
  <si>
    <t>13 equipamentos / Gás tipo R410A</t>
  </si>
  <si>
    <t>15 equipamentos / Gás tipo R134A</t>
  </si>
  <si>
    <t>HFC-22</t>
  </si>
  <si>
    <t>IPCC AR</t>
  </si>
  <si>
    <t>Outvalue</t>
  </si>
  <si>
    <t>Rodoviária do Tejo</t>
  </si>
  <si>
    <t>Janeiro</t>
  </si>
  <si>
    <t>Fevereiro</t>
  </si>
  <si>
    <t>Março</t>
  </si>
  <si>
    <t>Abril</t>
  </si>
  <si>
    <t>Maio</t>
  </si>
  <si>
    <t>Junho</t>
  </si>
  <si>
    <t>Julho</t>
  </si>
  <si>
    <t>Agosto</t>
  </si>
  <si>
    <t>Setembro</t>
  </si>
  <si>
    <t>Outubro</t>
  </si>
  <si>
    <t>Novembro</t>
  </si>
  <si>
    <t>Dezembro</t>
  </si>
  <si>
    <t>Falta apurar oficinas de Évora (faturados por Frotimo).</t>
  </si>
  <si>
    <t>Inclui carregamento de 15 viaturas elétricas (10-Vai e Vem e 5-Giro) a partir de setembro</t>
  </si>
  <si>
    <t>Consumo 17 dez a 31 dez 2021 | FATURA Nº FT2022 34/340003220813</t>
  </si>
  <si>
    <t>Consumo 1 jan a 16 jan 2022 | FATURA Nº FT2022 34/340003220813</t>
  </si>
  <si>
    <t>Consumo 18 jan a 16 fev 2022 | FATURA Nº FT2022 34/340007066211</t>
  </si>
  <si>
    <t>Consumo 17 fev a 16 mar 2022 | FATURA Nº FT2022 34/340011458687</t>
  </si>
  <si>
    <t>Consumo 17 mar a 16 abr 2022 | FATURA Nº FT2022 34/340015914610</t>
  </si>
  <si>
    <t>Consumo 17 abr a 16 mai 2022 | FATURA Nº FT2022 34/340020378271</t>
  </si>
  <si>
    <t>Consumo 17 mai a 16 jun 2022 | FATURA Nº FT2022 34/340024705338</t>
  </si>
  <si>
    <t>Consumo 17 jun a 16 jul 2022 | FATURA Nº FT2022 34/340029145663</t>
  </si>
  <si>
    <t>Consumo 17 jul a 16 ago 2022 | FATURA Nº FT2022 34/340033730599</t>
  </si>
  <si>
    <t>Consumo 17 ago a 16 set 2022 | Fatura nº FT2022 34/340038314462</t>
  </si>
  <si>
    <t>Consumo 17 set a 16 out 2022 | Fatura nº FT2022 34/340041575431</t>
  </si>
  <si>
    <t>Consumo 17 out a 16 nov 2022 | Fatura nº FT2022 34/340047305532</t>
  </si>
  <si>
    <t>Consumo 17 nov a 16 dez 2022 | Fatura nº FT2022 34/340051654531</t>
  </si>
  <si>
    <t>Faturas e Mapa de monitorização</t>
  </si>
  <si>
    <t>jan a dez 2022</t>
  </si>
  <si>
    <t>LOJA PRAÇA AFONSO DO PAÇO</t>
  </si>
  <si>
    <t>QUINTA DO SACOUTO</t>
  </si>
  <si>
    <t>CAMPO GRANDE 392 C 3º A</t>
  </si>
  <si>
    <t>MONTE DOS CACHOPOS</t>
  </si>
  <si>
    <t>EDIFICIO CAMPO GRANDE - SGPS</t>
  </si>
  <si>
    <t xml:space="preserve">EDIFICIO FRIELAS </t>
  </si>
  <si>
    <t>EDIFICIO PORTO ALTO - ATLANTIC</t>
  </si>
  <si>
    <t>LOJA AVEIRO</t>
  </si>
  <si>
    <t>GARAGEM FRIELAS - BT</t>
  </si>
  <si>
    <t>EDIFICIO CACEM</t>
  </si>
  <si>
    <t>VALA CARREGADO - RODOCARGO</t>
  </si>
  <si>
    <t>EDIFICIO OLIVAL BASTO - BT</t>
  </si>
  <si>
    <t>LOJA CAMPO GRANDE - BT</t>
  </si>
  <si>
    <t>MAIA I</t>
  </si>
  <si>
    <t>MAIA II</t>
  </si>
  <si>
    <t>INSTALAÇÕES CANEÇAS</t>
  </si>
  <si>
    <t>INSTALAÇÕES BUCELAS</t>
  </si>
  <si>
    <t>SANTA IRIA DE AZOIA</t>
  </si>
  <si>
    <t>SACAVEM E PRIOR VELHO</t>
  </si>
  <si>
    <t>PORTIMÃO</t>
  </si>
  <si>
    <t>EDIFICIO ESEVEL - BT</t>
  </si>
  <si>
    <t>QUINTA DOS ALCOUTINS - R/C DRT</t>
  </si>
  <si>
    <t>QUINTA DO PINHEIRO</t>
  </si>
  <si>
    <t>HERDADE DA CAIADA</t>
  </si>
  <si>
    <t>IMOVEL ÉVORA</t>
  </si>
  <si>
    <t>EDIFICIO CAMPO GRANDE - 1º A</t>
  </si>
  <si>
    <t>EDIFICIO CAMPO GRANDE - 1º B</t>
  </si>
  <si>
    <t>GARAGEM GUERREIROS</t>
  </si>
  <si>
    <t>TERRENO SÃO DOMINGOS DE RANA</t>
  </si>
  <si>
    <t>LOJA AREIAS DE SÃO JOÃO</t>
  </si>
  <si>
    <t>EDIFICIO CAMARATE</t>
  </si>
  <si>
    <t>TERRENO SETUBAL (SAPEC)</t>
  </si>
  <si>
    <t>VIVENDA HERDADE DOS SALGADOS</t>
  </si>
  <si>
    <t>VIVENDA AGUALVA CACÉM</t>
  </si>
  <si>
    <t>ANDAR CASAL RIBEIRO, 44</t>
  </si>
  <si>
    <t>ANDAR RUA FERNANDO LOPES, 3 a 15</t>
  </si>
  <si>
    <t>Loja Albufeira</t>
  </si>
  <si>
    <t>EDP</t>
  </si>
  <si>
    <t xml:space="preserve">EDP </t>
  </si>
  <si>
    <t>Naturgy</t>
  </si>
  <si>
    <t>Fonte MB</t>
  </si>
  <si>
    <t>EDP Empresas</t>
  </si>
  <si>
    <t>GN</t>
  </si>
  <si>
    <t>aux</t>
  </si>
  <si>
    <t>aux2</t>
  </si>
  <si>
    <t>ABA - Autocarros do Baixo Alentejo, S.A.</t>
  </si>
  <si>
    <t>TAA - Transportes do Alto Alentejo, S.A.</t>
  </si>
  <si>
    <t>TAC - Transportes do Alentejo Central, S.A.</t>
  </si>
  <si>
    <t>TRE - Transportes Rodoviários de Évora, S.A.</t>
  </si>
  <si>
    <t>não temos nenhum estudo que indique a viagem média dos colaboradores</t>
  </si>
  <si>
    <t>Deslocações casa-trabalho-casa (motoristas)</t>
  </si>
  <si>
    <t>Deslocações casa-trabalho-casa (oficina)</t>
  </si>
  <si>
    <t>Deslocações viatura serviço (oficina)</t>
  </si>
  <si>
    <t>Deslocações casa-trabalho-casa (escritório)</t>
  </si>
  <si>
    <t>Deslocações viatura serviço (escritório incl. AD)</t>
  </si>
  <si>
    <t>AS400 O peso das deslocações pendulares em viatura de serviço residual e desprezada
22,66  - media de km dos 504 colab. Casa-trab-casa</t>
  </si>
  <si>
    <t>FE PC2022; Fonte CG GB. Não há deslocações pendulares em viatura de serviço</t>
  </si>
  <si>
    <t>Não existem colaboradores com viaturas ligeiras de serviço ou veiculo de trabalho</t>
  </si>
  <si>
    <t xml:space="preserve"> Fonte Controlo Gestão . O peso das deslocações pendulares em viatura de serviço residual e desprezada</t>
  </si>
  <si>
    <t>O peso das deslocações pendulares em viatura de serviço residual e desprezada. 
Não existem dados referentes à mobilidade dos colaboradores.</t>
  </si>
  <si>
    <t>Universo GB: PC2021</t>
  </si>
  <si>
    <t>PXM - Transportes Rodoviários Urbanos Faro</t>
  </si>
  <si>
    <t>Antes da descarga passa por separador HC</t>
  </si>
  <si>
    <t>Consumo médio diário 156L x 365 Dias | Faturanº 202201782580 de 02.08.2022</t>
  </si>
  <si>
    <t>Em fase de encaminhamento - projeto de separação de águas domésticas e pluviais.</t>
  </si>
  <si>
    <t>Ligeiro Passageiros</t>
  </si>
  <si>
    <t>Hibrido ICE Gasóleo Plug-In</t>
  </si>
  <si>
    <t>BMW Touring</t>
  </si>
  <si>
    <t>Temsa (usadas)</t>
  </si>
  <si>
    <t>Usadas</t>
  </si>
  <si>
    <t>Mercedes Intouro (usadas)</t>
  </si>
  <si>
    <t>ZHONG TONG - Elétricas</t>
  </si>
  <si>
    <t>MERCEDES - VITO TOURER</t>
  </si>
  <si>
    <t>RENAULT JL</t>
  </si>
  <si>
    <t>Usados</t>
  </si>
  <si>
    <t>Hibrido</t>
  </si>
  <si>
    <t>3 (comprada dentro do grupo)</t>
  </si>
  <si>
    <t>5 (comprada dentro do grupo)</t>
  </si>
  <si>
    <t>Giro</t>
  </si>
  <si>
    <t>Vai e Vem</t>
  </si>
  <si>
    <t>Usada</t>
  </si>
  <si>
    <t>Autocarro Urbano Midi</t>
  </si>
  <si>
    <t>BEV</t>
  </si>
  <si>
    <t>Autocarro Urbano Std</t>
  </si>
  <si>
    <t>Componentes/Peças</t>
  </si>
  <si>
    <t>Plásticos</t>
  </si>
  <si>
    <t xml:space="preserve">     Peças e Sobressalentes:      - Para Motor (6121111</t>
  </si>
  <si>
    <t xml:space="preserve">     Peças e Sobressalentes:      - Para Direcção Eixos e Travões (6121112)</t>
  </si>
  <si>
    <t xml:space="preserve">     Peças e Sobressalentes:      - Para Transmissão (6121113)</t>
  </si>
  <si>
    <t xml:space="preserve">     Peças e Sobressalentes:      - Para Suspensão (6121114)</t>
  </si>
  <si>
    <t xml:space="preserve">     Peças e Sobressalentes:      - Para Alim. Motor (6121115)</t>
  </si>
  <si>
    <t xml:space="preserve">     Peças e Sobressalentes:      - Para Compressor (6121116)</t>
  </si>
  <si>
    <t xml:space="preserve">     Peças e Sobressalentes:      - Para Sistema Electrico (6121117)</t>
  </si>
  <si>
    <t xml:space="preserve">     Peças e Sobressalentes:      - Outros (6121199)</t>
  </si>
  <si>
    <t xml:space="preserve">     Peças e Sobressalentes:      - Peças e Sobress. p/ V. Explor.  (62261111</t>
  </si>
  <si>
    <t xml:space="preserve">     Materiais p/ Carroçarias (61+62):      - Vidros (6122113</t>
  </si>
  <si>
    <t xml:space="preserve">     Materiais p/ Carroçarias (61+62):      - Produtos Quimicos e Tintas (6122115</t>
  </si>
  <si>
    <t xml:space="preserve">     Materiais p/ Carroçarias (61+62):      - Acess. p/ Carroçarias  (6122214/62261112</t>
  </si>
  <si>
    <t xml:space="preserve">     Materiais p/ Carroçarias (61+62):      - Outros Mater. p/ Carroçarias  (61212xx+6122111/ 4/ 6/ 99/6122212/+213/6231)</t>
  </si>
  <si>
    <t xml:space="preserve">     Outros Custos de Conserv. Reparação::      - Material Eléctrico (6122211)</t>
  </si>
  <si>
    <t xml:space="preserve">     Outros Custos de Conserv. Reparação::      - Material Limpeza Viaturas (6122215</t>
  </si>
  <si>
    <t xml:space="preserve">     Outros Custos de Conserv. Reparação::      - Baterias (612314/.6226131</t>
  </si>
  <si>
    <t xml:space="preserve">     Outros Custos de Conserv. Reparação::      - Mater. Ofic. Cons. Corrente (62261115</t>
  </si>
  <si>
    <t>Motor</t>
  </si>
  <si>
    <t>Direcção, eixos e travões</t>
  </si>
  <si>
    <t>Transmissão</t>
  </si>
  <si>
    <t>Suspensão</t>
  </si>
  <si>
    <t>Alimentação do motor</t>
  </si>
  <si>
    <t>Compressor</t>
  </si>
  <si>
    <t>Sistema elétrico</t>
  </si>
  <si>
    <t>Material de rádio e televisão</t>
  </si>
  <si>
    <t>Limpa vidros</t>
  </si>
  <si>
    <t>Aparelhos sonoros</t>
  </si>
  <si>
    <t>Tacog.e contad.de combustível</t>
  </si>
  <si>
    <t>Madeiras e derivados</t>
  </si>
  <si>
    <t>Produtos químicos e tintas</t>
  </si>
  <si>
    <t>Material de revestimentos</t>
  </si>
  <si>
    <t>Material elétrico</t>
  </si>
  <si>
    <t>Material de soldadura</t>
  </si>
  <si>
    <t>Ferragens</t>
  </si>
  <si>
    <t>Acessórios de carrocaria</t>
  </si>
  <si>
    <t>Material de limpeza de viaturas</t>
  </si>
  <si>
    <t>Ferram.e utens.de desg.rápido</t>
  </si>
  <si>
    <t>Óleos</t>
  </si>
  <si>
    <t>Massas lubrificantes</t>
  </si>
  <si>
    <t>Pneumáticos novos</t>
  </si>
  <si>
    <t>Pneus rechapados</t>
  </si>
  <si>
    <t>Carcaças rechapadas</t>
  </si>
  <si>
    <t>Adblue</t>
  </si>
  <si>
    <t>Fardamentos e equipam.individuais</t>
  </si>
  <si>
    <t>Artigos de higiene e conforto</t>
  </si>
  <si>
    <t>Rodoviária do Alentejo</t>
  </si>
  <si>
    <t>Serviço Manutenção</t>
  </si>
  <si>
    <t>anel ved., camara ar, corr. a/c, corr alternador, manga borracha, mangueira, tubo borracha, vedação, oring, retentor</t>
  </si>
  <si>
    <t>diafragma, jg. Escovas, J pinça e valv. travão</t>
  </si>
  <si>
    <t>filtro ar</t>
  </si>
  <si>
    <t>caixas cartão escritório</t>
  </si>
  <si>
    <t>lâmpadas, blocos tomadas, aspirador, aparafu., carregador, cabos condutores, elétrodos, fichas, fusíveis, gambiarras, sensores, terminais, rele</t>
  </si>
  <si>
    <t>pórtico lavagem, PT</t>
  </si>
  <si>
    <t>Docking Station, eq. Embarcados, Switch, rato, patch</t>
  </si>
  <si>
    <t xml:space="preserve">agrafador, argolas, bolsas A4/A5, elásticos, etiquetas </t>
  </si>
  <si>
    <t>componente viaturas</t>
  </si>
  <si>
    <t xml:space="preserve">garrafas água </t>
  </si>
  <si>
    <t>aglomerado, cabo madeira, contraplacado , MDF</t>
  </si>
  <si>
    <t>adaptador, afinador agrafes, alicates, amortecedor, anilhas, barra de ferro, bobine, braçadeira zinco, radiador, buzina, cabo, caixa ferramentas, canhão, cantoneira, casq barra estab., cavilhas, chapa de cobertura, chapa freio, chapa matricula, chaves, corpo joelho, disco travão, esfera, dobradiça, fechadura, fecho tampa motor, junta, lamela, molas, parafusos, pinças, porcas, rolamento, suportes espelho, tornilho, tubo adm., união rápida, válvulas, etc., caliper, casquilho, chaveta embraiagem, filtros óleo e gasóleo.</t>
  </si>
  <si>
    <t>Chapas e tubos alumínio</t>
  </si>
  <si>
    <t>alternador, apoio barra , apoio motor, automático pisca, Jg juntas, jg maxilas travão, kit peças, sinoblocos, pistola ar e adblue, tubo travão, ventilador</t>
  </si>
  <si>
    <t>anilha cobre, cabo com cobre</t>
  </si>
  <si>
    <t>discos de corte e de lixa, têxtil e napa, mascara pintura</t>
  </si>
  <si>
    <t>envelopes, fita de papel, papel isolante, papel de limpeza, rolos de papel mascarado</t>
  </si>
  <si>
    <t xml:space="preserve">anilha, basem botões caixas, calha, conector, perfis, tampas  da água, tampa óleo, tampa radiador, tubos, ventoinhas, </t>
  </si>
  <si>
    <t>perfil gasóleo</t>
  </si>
  <si>
    <t xml:space="preserve">abraçadeiras </t>
  </si>
  <si>
    <t>sacos plástico</t>
  </si>
  <si>
    <t>chapa matricula, acrílicos</t>
  </si>
  <si>
    <t>farol, farolim</t>
  </si>
  <si>
    <t>espumas esponjas</t>
  </si>
  <si>
    <t xml:space="preserve">vinil, autocolante, sinalética </t>
  </si>
  <si>
    <t>tubos plástico rígido</t>
  </si>
  <si>
    <t xml:space="preserve">tintas, anticongelante, betume, acelerador, colas, diluente, endurecedor, esmalte, massa mãos, massa lubrifica, massa reparação, produtos de limpeza </t>
  </si>
  <si>
    <t xml:space="preserve">Assistência técnica </t>
  </si>
  <si>
    <t xml:space="preserve">Manutenção extintores </t>
  </si>
  <si>
    <t>reparação PSU</t>
  </si>
  <si>
    <t>Reparação de componente de viaturas</t>
  </si>
  <si>
    <t>Vicauto</t>
  </si>
  <si>
    <t>Ignipeças</t>
  </si>
  <si>
    <t>Wurth</t>
  </si>
  <si>
    <t>12V 22Ah</t>
  </si>
  <si>
    <t>Alcabideche</t>
  </si>
  <si>
    <t>Penafiel</t>
  </si>
  <si>
    <t>Malveira</t>
  </si>
  <si>
    <t>Belas</t>
  </si>
  <si>
    <t>Alcochete</t>
  </si>
  <si>
    <t>Castanheira do Ribatejo</t>
  </si>
  <si>
    <t>Loures</t>
  </si>
  <si>
    <t>São João da Talha</t>
  </si>
  <si>
    <t>Sacavém</t>
  </si>
  <si>
    <t>Damaia</t>
  </si>
  <si>
    <t>Porto Salvo</t>
  </si>
  <si>
    <t>Benfica</t>
  </si>
  <si>
    <t>Maia</t>
  </si>
  <si>
    <t>Abrunheira</t>
  </si>
  <si>
    <t>GSProtyres</t>
  </si>
  <si>
    <t>Armazém</t>
  </si>
  <si>
    <t>1x semana (entregas)</t>
  </si>
  <si>
    <t>Nortenha</t>
  </si>
  <si>
    <t>RSM Recauchutagem São Mamede</t>
  </si>
  <si>
    <t>2 x mês (entregas)</t>
  </si>
  <si>
    <t>Expopneu</t>
  </si>
  <si>
    <t>BRIDGESTONE</t>
  </si>
  <si>
    <t>Exide</t>
  </si>
  <si>
    <t>fabrica</t>
  </si>
  <si>
    <t>Tecniamper</t>
  </si>
  <si>
    <t xml:space="preserve">baterias tacógrafos </t>
  </si>
  <si>
    <t>NASACAR</t>
  </si>
  <si>
    <t>deslocações diárias</t>
  </si>
  <si>
    <t>MotorBus</t>
  </si>
  <si>
    <t>1x semana</t>
  </si>
  <si>
    <t>Suripeças</t>
  </si>
  <si>
    <t>Riluber</t>
  </si>
  <si>
    <t>3 x semana</t>
  </si>
  <si>
    <t xml:space="preserve">Cin </t>
  </si>
  <si>
    <t>loja</t>
  </si>
  <si>
    <t>tintas (recolha em loja 2 x mês)</t>
  </si>
  <si>
    <t>tintas (entrega fornecedor 3 x mês)</t>
  </si>
  <si>
    <t>Elefer</t>
  </si>
  <si>
    <t>MPCD</t>
  </si>
  <si>
    <t>km</t>
  </si>
  <si>
    <t>Consumíveis e ferramentas  (entregas 2 x semana</t>
  </si>
  <si>
    <t>Consumíveis e ferramenta entregas 2 x semana</t>
  </si>
  <si>
    <t>FE</t>
  </si>
  <si>
    <t>DEFRA: tonne.km</t>
  </si>
  <si>
    <t>APA: Ligeiro de Mercadorias N1: Geral : Gasóleo : Geral</t>
  </si>
  <si>
    <t>Civipartes</t>
  </si>
  <si>
    <t>GoodYear</t>
  </si>
  <si>
    <t>295/80r22.5</t>
  </si>
  <si>
    <t>Leiria</t>
  </si>
  <si>
    <t>bateria 215Ah</t>
  </si>
  <si>
    <t>bateria 180Ah</t>
  </si>
  <si>
    <t>EXIDE</t>
  </si>
  <si>
    <t>bateria 95Ah</t>
  </si>
  <si>
    <t>bateria 120Ah</t>
  </si>
  <si>
    <t>bateria 110Ah</t>
  </si>
  <si>
    <t>Centro de estudos de Fátima</t>
  </si>
  <si>
    <t>Alfredo Galinha</t>
  </si>
  <si>
    <t>Frota Azul</t>
  </si>
  <si>
    <t>Atlantic Cargo</t>
  </si>
  <si>
    <t>Marques</t>
  </si>
  <si>
    <t>Rodoviária D'Entre Douro e Minho</t>
  </si>
  <si>
    <t>15 AUTOCARROS  VFV ( Veículos Fim de Vida)</t>
  </si>
  <si>
    <t>AMBIGROUP</t>
  </si>
  <si>
    <t>Outro</t>
  </si>
  <si>
    <t>Cartão Navegante (plást. PVC + chip)</t>
  </si>
  <si>
    <t>Óleos e Aditivos</t>
  </si>
  <si>
    <t>Vimeca Transportes, Lda.</t>
  </si>
  <si>
    <t>óleo</t>
  </si>
  <si>
    <t>adblue</t>
  </si>
  <si>
    <t>Ferram.e utens.de desg. Rapido</t>
  </si>
  <si>
    <t>Material de expediente</t>
  </si>
  <si>
    <t>Bilhetes e senhas de despacho</t>
  </si>
  <si>
    <t>Fardamentos e equipamento individual</t>
  </si>
  <si>
    <t>291,81 euro</t>
  </si>
  <si>
    <t>156,23 euro</t>
  </si>
  <si>
    <t>54,29 euro</t>
  </si>
  <si>
    <t>32,28 euro</t>
  </si>
  <si>
    <t>349,90 euro</t>
  </si>
  <si>
    <t>9,6 euro</t>
  </si>
  <si>
    <t>7,75 euro</t>
  </si>
  <si>
    <t>223,03 euro</t>
  </si>
  <si>
    <t>537,13 euro</t>
  </si>
  <si>
    <t>1598,89 euro</t>
  </si>
  <si>
    <t>2130,55 euro</t>
  </si>
  <si>
    <t>70514,58 euro</t>
  </si>
  <si>
    <t>890,08 euro</t>
  </si>
  <si>
    <t>5,39 euro</t>
  </si>
  <si>
    <t>EVB, Lda</t>
  </si>
  <si>
    <t>Não Especificada</t>
  </si>
  <si>
    <t>Transdev, S. A.</t>
  </si>
  <si>
    <t>ModernSelect.Travel/Perfeito 100 Pressa - Algarve Transfers</t>
  </si>
  <si>
    <t>Transviagens - Transporte em Autocarros, LDA</t>
  </si>
  <si>
    <t>Barraqueiro Transportes, SA</t>
  </si>
  <si>
    <t>Auto Bus Andalucia, S.L.</t>
  </si>
  <si>
    <t>Carga Geral Diversos</t>
  </si>
  <si>
    <t>MP TJBarroso</t>
  </si>
  <si>
    <t>HDV Articulated</t>
  </si>
  <si>
    <t>CG</t>
  </si>
  <si>
    <t>Valor médio km de 1,50€</t>
  </si>
  <si>
    <t>CO Consolidado 2022</t>
  </si>
  <si>
    <t>Veículo</t>
  </si>
  <si>
    <t>Pesado de Passageiros M3: III : Gasóleo : Geral</t>
  </si>
  <si>
    <t>Pesado de Mercadorias N3: Geral : Gasóleo : Geral</t>
  </si>
  <si>
    <t>Componentes retirados de equipamento fora de uso não abrangidos em 16 02 15</t>
  </si>
  <si>
    <t xml:space="preserve">Monstros </t>
  </si>
  <si>
    <t>B.G.R. - Gestão de Residuos, Lda.</t>
  </si>
  <si>
    <t>GSPT - PNEUS E SERVIÇOS, S.A.</t>
  </si>
  <si>
    <t>SISAV- Sistema Integrado de Tratamento e Eliminação de Resíduos, SA</t>
  </si>
  <si>
    <t>EGEO - TECNOLOGIA E AMBIENTE, S.A.</t>
  </si>
  <si>
    <t>VIAPETRO, LDA</t>
  </si>
  <si>
    <t>Reboques Amadora, Lda.</t>
  </si>
  <si>
    <t>Correia &amp; Correia, Lda</t>
  </si>
  <si>
    <t>SAFETYKLEEN PORTUGAL-Solventes e Gestão de Resíduos, S.A.</t>
  </si>
  <si>
    <t>Activelabor-Comércio e Reciclagem de Metais, Lda</t>
  </si>
  <si>
    <t>Ecopegões Lda</t>
  </si>
  <si>
    <t>TRATRIS - Tratamento de Resíduos Industriais, S.A.</t>
  </si>
  <si>
    <t>080119</t>
  </si>
  <si>
    <t>130701</t>
  </si>
  <si>
    <t>150106</t>
  </si>
  <si>
    <t>160114</t>
  </si>
  <si>
    <t>SRI - GESTÃO DE RESIDUOS LDA</t>
  </si>
  <si>
    <t>TRIU, S.A.</t>
  </si>
  <si>
    <t>FVSA-Futuro Verde Soluções Ambientais Lda.</t>
  </si>
  <si>
    <t>JC Reciclagem, Lda</t>
  </si>
  <si>
    <t>Jorge &amp; Cortez Reciclagem de Ferros e Metais, Lda</t>
  </si>
  <si>
    <t>Rodoviária do Alentejo, S.A. - Ponte Sor (APA00067113)</t>
  </si>
  <si>
    <t>Rodoviária do Alentejo, S.A. - Portalegre (APA00066454)</t>
  </si>
  <si>
    <t>Transportes Central Pombalense, Lda (500490023)</t>
  </si>
  <si>
    <t>Pires &amp; Martins, Lda (507424883)</t>
  </si>
  <si>
    <t>Rodoviária do Alentejo, S.A.  - ZI Portalegre (APA08355203)</t>
  </si>
  <si>
    <t>Rodoviária do Alentejo, S.A. - Santiago do Cacém (APA00065050)</t>
  </si>
  <si>
    <t>Rodoviária do Alentejo, S.A. - Beja (APA00066322)</t>
  </si>
  <si>
    <t>Rodoviária do Alentejo, S.A. - Elvas (APA00066615)</t>
  </si>
  <si>
    <t>Rodoviária do Alentejo, S.A. - Évora (APA00162329)</t>
  </si>
  <si>
    <t>Rodoviária do Alentejo, S.A. - Odemira (APA00067277)</t>
  </si>
  <si>
    <t>191202</t>
  </si>
  <si>
    <t>150100</t>
  </si>
  <si>
    <t>200139</t>
  </si>
  <si>
    <t>130508</t>
  </si>
  <si>
    <t>Misturas de residuos provenientes de desarenadores e de separadores de óleo/água</t>
  </si>
  <si>
    <t>Ambigroup Reciclagem, S.A. (507168984)</t>
  </si>
  <si>
    <t>Rodoviária do Alentejo, S.A. (502522380)</t>
  </si>
  <si>
    <t>Ambigroup Residuos, S.A. (505371359)</t>
  </si>
  <si>
    <t>Carmona - Sociedade de limpeza e tratamento de combustiveis, S.A. (501741380)</t>
  </si>
  <si>
    <t>A.S.O.R. Unipessoal (506624471)</t>
  </si>
  <si>
    <t>Valorsines - Valorização e gestão de recicláveis, Lda. (506740447)</t>
  </si>
  <si>
    <t>SISAV - Sistema intergado de tratamento e eliminação de residuos, S.A. (507461150)</t>
  </si>
  <si>
    <t>SRE - Sociedade reciclagem de Évora Unipessoal, Lda (507322223)</t>
  </si>
  <si>
    <t>Eva Transportes, S.A.</t>
  </si>
  <si>
    <t>Carmona - Sociedade de Limpeza e Tratamento de Combustíveis, S.A. (501741380)</t>
  </si>
  <si>
    <t>Mistura de resíduos provenientes de desarenadores e de separadores óleos/água.</t>
  </si>
  <si>
    <t>Mistura de resíduoos urbanos e equiparados</t>
  </si>
  <si>
    <t>200140</t>
  </si>
  <si>
    <t>161002</t>
  </si>
  <si>
    <t>Resíduos liquidos aquosos não abrangidos em 16 10 01</t>
  </si>
  <si>
    <t>Absorventes materiais filtrantes (incluindo filtros de óleo sem outras especificações), panos de limpeza e vestuário de protecção, contaminados por substâncias perigosas.</t>
  </si>
  <si>
    <t>Outros óleos motores, transmissões e lubrificação</t>
  </si>
  <si>
    <t>Misturas resíduos SHC</t>
  </si>
  <si>
    <t>Embalagens contaminadas</t>
  </si>
  <si>
    <t>Embalagens de metal incluindo recipientes vazios sob pressão</t>
  </si>
  <si>
    <t>Absorventes contaminados</t>
  </si>
  <si>
    <t>Absorventes N Contaminados</t>
  </si>
  <si>
    <t>Borrachas contaminadas com óleo</t>
  </si>
  <si>
    <t>Calços travões</t>
  </si>
  <si>
    <t>Resíduos sem outras especificações (plástico tecnico diversos)</t>
  </si>
  <si>
    <t xml:space="preserve">REEE </t>
  </si>
  <si>
    <t xml:space="preserve">Tinteiros e toners fora de uso </t>
  </si>
  <si>
    <t>Baterias usadas</t>
  </si>
  <si>
    <t>Objetos cortantes e perfurantes Grupo IV</t>
  </si>
  <si>
    <t>Resíduos de enfermaria Grupo III</t>
  </si>
  <si>
    <t>Mistura de resíduos</t>
  </si>
  <si>
    <t>Lâmpadas</t>
  </si>
  <si>
    <t>Embalagens de pape e cartão</t>
  </si>
  <si>
    <t>Absorventes, materiasi filtrantes, panos de limpeza e vestuário de proteção não abrangidos em 150202</t>
  </si>
  <si>
    <t>águas negras - embarcações (EGEO)</t>
  </si>
  <si>
    <t>óleo usado? Devem ter no âmbito da manutenção.</t>
  </si>
  <si>
    <t>Tintas, produtos adesivos, colas e resinas, contendo substâncias perigosas</t>
  </si>
  <si>
    <t>Plasticos</t>
  </si>
  <si>
    <t xml:space="preserve">Metais </t>
  </si>
  <si>
    <t>Gases em recipientes sob pressão (incluindo halons) contendo substâncias perigosas</t>
  </si>
  <si>
    <t>Misturas de betão, tijolos, ladrilhos, telhas e materiais cerâmicos, não abrangidas em 17 01 06</t>
  </si>
  <si>
    <t>Resíduos da limpeza de esgotos</t>
  </si>
  <si>
    <t>Metais não ferrosos</t>
  </si>
  <si>
    <t>Misturas betuminosas não abrangidas em 17 03 01</t>
  </si>
  <si>
    <t>Terras e pedras</t>
  </si>
  <si>
    <t>Misturas de resíduos provenientes de desarenadores e de separadores óleo/água</t>
  </si>
  <si>
    <t>Monstros</t>
  </si>
  <si>
    <t>Resíduos urbanos e equiparados, sem outras especificações</t>
  </si>
  <si>
    <t>Outros óleos de motores, transmissões e lubrificação</t>
  </si>
  <si>
    <t>Suspensões aquosas contendo tintas ou vernizes, contendo solventes orgânicos ou outras substâncias perigosas</t>
  </si>
  <si>
    <t>Fluidos anticongelantes contendo substâncias perigosas</t>
  </si>
  <si>
    <t>Misturas de embalagens</t>
  </si>
  <si>
    <t>Fuelóleo e gasóleo</t>
  </si>
  <si>
    <t>Equipamento fora de uso não abrangido em 16 02 09 a 16 02 13</t>
  </si>
  <si>
    <t>Ambigroup residuos, SA (505371359)</t>
  </si>
  <si>
    <t>Ambigroup residuos, SA (505371359) // Eva Transportes, S.A. (502536071)</t>
  </si>
  <si>
    <t>Eva Transportes, S.A. (502536071)</t>
  </si>
  <si>
    <t>Hidrohelp - Serviços Técnicos de Hidroaspiração, Lda. (515916030)</t>
  </si>
  <si>
    <t>Multi Triagem e Valorização de Resíduos, Lda. (507247620)</t>
  </si>
  <si>
    <t>ODAGROM LDA. (507504836)</t>
  </si>
  <si>
    <t>Magenthipótese, Lda. (510634893)</t>
  </si>
  <si>
    <t>ALGAR - Valorização e Tratamento de Resíduos Sólidos, SA (503600270)</t>
  </si>
  <si>
    <t>ESTEVAO &amp; COSTA-CONSTRUÇÃO OBRAS PUBLICAS E TRANSPORTES, Lda (503319481)</t>
  </si>
  <si>
    <t>SISAV- Sistema Integrado de Tratamento e Eliminação de Resíduos, SA (507461150)</t>
  </si>
  <si>
    <t>SAFETYKLEEN PORTUGAL-Solventes e Gestão de Resíduos, S.A. (502006994)</t>
  </si>
  <si>
    <t>RIBEIRO &amp; FILHOS - COMÉRCIO DE SUCATA, Lda. (503849146)</t>
  </si>
  <si>
    <t>Reboques Amadora, Lda. (504081349)</t>
  </si>
  <si>
    <t>ERCI-EMPRESA RECICLAGEM CONSUMIVEIS INFORMATICA, LDA (503350982)</t>
  </si>
  <si>
    <t>EXIDE TECHNOLOGIES, LDA (501672796)</t>
  </si>
  <si>
    <t>Rentokil Initial Portugal - Serviços Protecção Ambiental, Lda. (501351167)</t>
  </si>
  <si>
    <t>SISAV - Sistema Integrado Tratamento e Eliminação Resíduos SA ( 507461150</t>
  </si>
  <si>
    <t>Correia &amp; Correia Lda. (502069732)</t>
  </si>
  <si>
    <t>Ambipombal</t>
  </si>
  <si>
    <t>Silimpa</t>
  </si>
  <si>
    <t>Correia e Correia</t>
  </si>
  <si>
    <t>Transportes Central Pombalense</t>
  </si>
  <si>
    <t>RSA</t>
  </si>
  <si>
    <t>Francisco e Adelaide</t>
  </si>
  <si>
    <t>Alternativas a Granel</t>
  </si>
  <si>
    <t>A Neves Reboques Fátima</t>
  </si>
  <si>
    <t>Manuel Morgado</t>
  </si>
  <si>
    <t>Revalor</t>
  </si>
  <si>
    <t>Sisav</t>
  </si>
  <si>
    <t>EGEO</t>
  </si>
  <si>
    <t>Egeo</t>
  </si>
  <si>
    <t>208 litros</t>
  </si>
  <si>
    <t>16 m3</t>
  </si>
  <si>
    <t>Barraqueiro Transportes, S.A. - Barraqueiro Alugueres</t>
  </si>
  <si>
    <t>Exclusões</t>
  </si>
  <si>
    <t>Comentários</t>
  </si>
  <si>
    <t>Melhorias Futuras</t>
  </si>
  <si>
    <t>Descrição</t>
  </si>
  <si>
    <t>EVA: recolha de dados com referência à frota ativa a 31/12/2022    //   16 viaturas excluidas (elétricas)    
VIA PORTO: A ViaPorto não tem frota produtiva com emissões diretas associadas ao uso de combustivel. A frota é constituida por material circulante movido a energia eletrica.</t>
  </si>
  <si>
    <t>EVA: recolha de dados com referência à frota ativa a 31/12/2022    //   16 viaturas excluidas (elétricas)    
MARQUES: norma de emissões estimada</t>
  </si>
  <si>
    <t>A1.1.1</t>
  </si>
  <si>
    <t>Emissões associadas à combustão de combustíveis na frota produtiva (detalhe)</t>
  </si>
  <si>
    <t xml:space="preserve">Emissões diretas, associadas à combustão de combustíveis na frota produtiva (Uso de Combustíveis) </t>
  </si>
  <si>
    <t>VIA PORTO:  frota automovel constituida por: 6 viaturas de serviço (ligeiro passageiros_gasóleo); 6 viaturas de serviço (ligeiro mercadorias_gasóleo); 7 viaturas de função (ligeiro)</t>
  </si>
  <si>
    <t>Integrar com ERP</t>
  </si>
  <si>
    <t>4 viaturas de função</t>
  </si>
  <si>
    <t>3 viaturas de função</t>
  </si>
  <si>
    <t>L060</t>
  </si>
  <si>
    <t>L073</t>
  </si>
  <si>
    <t>L074</t>
  </si>
  <si>
    <t>L075</t>
  </si>
  <si>
    <t>L092</t>
  </si>
  <si>
    <t>L093</t>
  </si>
  <si>
    <t>L134</t>
  </si>
  <si>
    <t>L135</t>
  </si>
  <si>
    <t>L136</t>
  </si>
  <si>
    <t>L143</t>
  </si>
  <si>
    <t>L147</t>
  </si>
  <si>
    <t>L149</t>
  </si>
  <si>
    <t>L157</t>
  </si>
  <si>
    <t>L164</t>
  </si>
  <si>
    <t>L166</t>
  </si>
  <si>
    <t>L167</t>
  </si>
  <si>
    <t>L178</t>
  </si>
  <si>
    <t>L198</t>
  </si>
  <si>
    <t>L318</t>
  </si>
  <si>
    <t>L319</t>
  </si>
  <si>
    <t>L320</t>
  </si>
  <si>
    <t>L327</t>
  </si>
  <si>
    <t>L328</t>
  </si>
  <si>
    <t>L329</t>
  </si>
  <si>
    <t>L330</t>
  </si>
  <si>
    <t>L331</t>
  </si>
  <si>
    <t>L344</t>
  </si>
  <si>
    <t>L345</t>
  </si>
  <si>
    <t>L364</t>
  </si>
  <si>
    <t>L367</t>
  </si>
  <si>
    <t>L402</t>
  </si>
  <si>
    <t>L404</t>
  </si>
  <si>
    <t>L407</t>
  </si>
  <si>
    <t>L420</t>
  </si>
  <si>
    <t>L440</t>
  </si>
  <si>
    <t>L448</t>
  </si>
  <si>
    <t>L449</t>
  </si>
  <si>
    <t>L470</t>
  </si>
  <si>
    <t>L472</t>
  </si>
  <si>
    <t>L473</t>
  </si>
  <si>
    <t>L474</t>
  </si>
  <si>
    <t>L475</t>
  </si>
  <si>
    <t>L477</t>
  </si>
  <si>
    <t>L514</t>
  </si>
  <si>
    <t>L553</t>
  </si>
  <si>
    <t>L626</t>
  </si>
  <si>
    <t>L652</t>
  </si>
  <si>
    <t>L668</t>
  </si>
  <si>
    <t>L674</t>
  </si>
  <si>
    <t>L675</t>
  </si>
  <si>
    <t>L676</t>
  </si>
  <si>
    <t>L677</t>
  </si>
  <si>
    <t>L678</t>
  </si>
  <si>
    <t>L679</t>
  </si>
  <si>
    <t>L680</t>
  </si>
  <si>
    <t>L681</t>
  </si>
  <si>
    <t>L682</t>
  </si>
  <si>
    <t>L683</t>
  </si>
  <si>
    <t>L684</t>
  </si>
  <si>
    <t>L685</t>
  </si>
  <si>
    <t>L686</t>
  </si>
  <si>
    <t>L687</t>
  </si>
  <si>
    <t>L689</t>
  </si>
  <si>
    <t>L690</t>
  </si>
  <si>
    <t>L691</t>
  </si>
  <si>
    <t>L694</t>
  </si>
  <si>
    <t>L699</t>
  </si>
  <si>
    <t>L700</t>
  </si>
  <si>
    <t>L701</t>
  </si>
  <si>
    <t>L703</t>
  </si>
  <si>
    <t>L727</t>
  </si>
  <si>
    <t>L732</t>
  </si>
  <si>
    <t>L734</t>
  </si>
  <si>
    <t>L735</t>
  </si>
  <si>
    <t>L756</t>
  </si>
  <si>
    <t>L765</t>
  </si>
  <si>
    <t>L766</t>
  </si>
  <si>
    <t>L776</t>
  </si>
  <si>
    <t>L777</t>
  </si>
  <si>
    <t>L778</t>
  </si>
  <si>
    <t>L789</t>
  </si>
  <si>
    <t>L793</t>
  </si>
  <si>
    <t>L794</t>
  </si>
  <si>
    <t>L795</t>
  </si>
  <si>
    <t>AS37GC</t>
  </si>
  <si>
    <t>AS51GC</t>
  </si>
  <si>
    <t>AR94OC</t>
  </si>
  <si>
    <t>AR85OC</t>
  </si>
  <si>
    <t>AR03OD</t>
  </si>
  <si>
    <t>AR01OD</t>
  </si>
  <si>
    <t>AR19VA</t>
  </si>
  <si>
    <t>AR40VA</t>
  </si>
  <si>
    <t>AS11QD</t>
  </si>
  <si>
    <t>AS86OA</t>
  </si>
  <si>
    <t>AS71OA</t>
  </si>
  <si>
    <t>AS84OA</t>
  </si>
  <si>
    <t>AS08FQ</t>
  </si>
  <si>
    <t>AS95OA</t>
  </si>
  <si>
    <t>AL97VS</t>
  </si>
  <si>
    <t>AR74DA</t>
  </si>
  <si>
    <t>AR01HO</t>
  </si>
  <si>
    <t>AR95HN</t>
  </si>
  <si>
    <t>AR70EV</t>
  </si>
  <si>
    <t>AR91LX</t>
  </si>
  <si>
    <t>AR92GV</t>
  </si>
  <si>
    <t>AS84QZ</t>
  </si>
  <si>
    <t>AS67PP</t>
  </si>
  <si>
    <t>AS87QZ</t>
  </si>
  <si>
    <t>AS83PP</t>
  </si>
  <si>
    <t>AS18RO</t>
  </si>
  <si>
    <t>AS18UA</t>
  </si>
  <si>
    <t>AU74DS</t>
  </si>
  <si>
    <t>AU24HS</t>
  </si>
  <si>
    <t>AS88QZ</t>
  </si>
  <si>
    <t>AU85GM</t>
  </si>
  <si>
    <t>AU24FV</t>
  </si>
  <si>
    <t>AR85LX</t>
  </si>
  <si>
    <t>AR46ZS</t>
  </si>
  <si>
    <t>AS36CE</t>
  </si>
  <si>
    <t>AT77FZ</t>
  </si>
  <si>
    <t>AU68DS</t>
  </si>
  <si>
    <t>AS07UA</t>
  </si>
  <si>
    <t>AS27SN</t>
  </si>
  <si>
    <t>AS13UA</t>
  </si>
  <si>
    <t>AT58AJ</t>
  </si>
  <si>
    <t>AT63AJ</t>
  </si>
  <si>
    <t>AT14EM</t>
  </si>
  <si>
    <t>AT41DV</t>
  </si>
  <si>
    <t>11SZ07</t>
  </si>
  <si>
    <t>82PN93</t>
  </si>
  <si>
    <t>3147LC</t>
  </si>
  <si>
    <t>3151LC</t>
  </si>
  <si>
    <t>3143LC</t>
  </si>
  <si>
    <t>AB16EA</t>
  </si>
  <si>
    <t>52ZN58</t>
  </si>
  <si>
    <t>98ZO08</t>
  </si>
  <si>
    <t>64SN28</t>
  </si>
  <si>
    <t>12ST44</t>
  </si>
  <si>
    <t>12ST51</t>
  </si>
  <si>
    <t>21TG87</t>
  </si>
  <si>
    <t>95TN65</t>
  </si>
  <si>
    <t>95TN59</t>
  </si>
  <si>
    <t>95TN62</t>
  </si>
  <si>
    <t>95TN60</t>
  </si>
  <si>
    <t>95TN64</t>
  </si>
  <si>
    <t>15TX18</t>
  </si>
  <si>
    <t>15TX19</t>
  </si>
  <si>
    <t>68UF45</t>
  </si>
  <si>
    <t>50UC03</t>
  </si>
  <si>
    <t>04UF12</t>
  </si>
  <si>
    <t>04AB35</t>
  </si>
  <si>
    <t>04AB38</t>
  </si>
  <si>
    <t>5524PJ</t>
  </si>
  <si>
    <t>17RZ87</t>
  </si>
  <si>
    <t>26FD82</t>
  </si>
  <si>
    <t>3137XV</t>
  </si>
  <si>
    <t>6680ZR</t>
  </si>
  <si>
    <t>00JC55</t>
  </si>
  <si>
    <t>48VB90</t>
  </si>
  <si>
    <t>04VH65</t>
  </si>
  <si>
    <t>35VR50</t>
  </si>
  <si>
    <t>73ZE12</t>
  </si>
  <si>
    <t>71DN79</t>
  </si>
  <si>
    <t>80RS67</t>
  </si>
  <si>
    <t>18XN06</t>
  </si>
  <si>
    <t>79OT07</t>
  </si>
  <si>
    <t>32BO22</t>
  </si>
  <si>
    <t>05NC03</t>
  </si>
  <si>
    <t>19NC78</t>
  </si>
  <si>
    <t>No futuro deverão ser investigadas outras fontes, como por exemplo a estufa de Frielas cujo consumo de gasóleo é necessário incluir. 
Também o consumo de gás e gasóleo de empilhadores e máquinas de lavagem deverá passar a ser registado de forma detalhada.</t>
  </si>
  <si>
    <t>Integrar com ERP
Criar Ficheiro de Frota detalhado com caracterização detalhada</t>
  </si>
  <si>
    <t>Emissões associadas à combustão de combustíveis em equipamentos estacionários
Emissões associadas à combustão de combustíveis em equipamentos móveis</t>
  </si>
  <si>
    <t>Emissões associadas à combustão de combustíveis na frota não-produtiva</t>
  </si>
  <si>
    <t>não existiram abastecimentos em 2022</t>
  </si>
  <si>
    <t>Pintura de Veículos</t>
  </si>
  <si>
    <t>Pintura</t>
  </si>
  <si>
    <t>Emissões fugitivas de gases fluorados em equipamentos de climatização e frio</t>
  </si>
  <si>
    <t>Criação de um listagem/parque de unidades estacionárias e formulário para recolha e centralização da informação relativa à sua gestão e manutenção.
Automatização do apuramento das perdas/carregamentos por viatura com base nas respetivas folhas de obra.
RA: Os consumos da TREVO estão incluidos na Rodoviária do Alentejo,pois todas as operações de manutenção são realizadas pelas oficinas de Évora.
BT: Em apuramento os consumos/carregamento/fugas de gás refrigerante por viatura através das obras de manutenção. A aguardar dados STM. Os consumos da DT e Cityrama estam incluídos nos consumos internos da BT, pois estas operações são efetuadas na ESEVEL.</t>
  </si>
  <si>
    <t>Barraqueiro Transportes, S.A. - Mafrense</t>
  </si>
  <si>
    <t>Barraqueiro Transportes, S.A. - Estremadura</t>
  </si>
  <si>
    <t>Barraqueiro Transportes, S.A. - Frota Azul</t>
  </si>
  <si>
    <t>Barraqueiro Transportes, S.A. - Barraqueiro Oeste</t>
  </si>
  <si>
    <t>Barraqueiro Transportes, S.A. - Boa Viagem</t>
  </si>
  <si>
    <t>PXM - Transportes Rodoviários Urbanos de Faro, S.A.</t>
  </si>
  <si>
    <t>CGDP, S.A.</t>
  </si>
  <si>
    <t>EBGB, S.A.</t>
  </si>
  <si>
    <t>Barraqueiro Transportes, S.A. - Sede</t>
  </si>
  <si>
    <t>Barraqueiro Transportes, S.A. - Esevel</t>
  </si>
  <si>
    <t>R 407C</t>
  </si>
  <si>
    <t>R 410A</t>
  </si>
  <si>
    <t>R 417A</t>
  </si>
  <si>
    <t>Rede Metro e/ou escritórios DAP</t>
  </si>
  <si>
    <t>material circulante - frota EuroTram</t>
  </si>
  <si>
    <t>material circulante - TramTrain</t>
  </si>
  <si>
    <t>HFC-407c</t>
  </si>
  <si>
    <t>HFC-410a</t>
  </si>
  <si>
    <t>HFC-417a</t>
  </si>
  <si>
    <t>A2</t>
  </si>
  <si>
    <t>Iberdrola</t>
  </si>
  <si>
    <t>SU</t>
  </si>
  <si>
    <t>Endesa</t>
  </si>
  <si>
    <t>MT jul a dez 2022</t>
  </si>
  <si>
    <t>MT jan a dez 2022</t>
  </si>
  <si>
    <t>MT jan a jun 2022</t>
  </si>
  <si>
    <t>Iberdrola Genérica</t>
  </si>
  <si>
    <t>Emissões decorrente do consumo de energia de fontes secundárias (e.g. energia elétrica)</t>
  </si>
  <si>
    <t>Criação de um listagem/parque de unidades estacionárias e formulário para recolha e centralização da informação relativa à sua gestão e manutenção.
Melhorar a avaliação detalhada e classificação das emissões A.2 vs. A3.6 no caso de instalações e modo ferroviário</t>
  </si>
  <si>
    <t>A3</t>
  </si>
  <si>
    <t>A3.1</t>
  </si>
  <si>
    <t>A3.2</t>
  </si>
  <si>
    <t>A3.3</t>
  </si>
  <si>
    <t>A3.4</t>
  </si>
  <si>
    <t>A3.5</t>
  </si>
  <si>
    <t>A3.6</t>
  </si>
  <si>
    <t>A3.7</t>
  </si>
  <si>
    <t>A3.8</t>
  </si>
  <si>
    <t>A3.9</t>
  </si>
  <si>
    <t>A3.10</t>
  </si>
  <si>
    <t>A3.11</t>
  </si>
  <si>
    <t>A3.12</t>
  </si>
  <si>
    <t>A3.13</t>
  </si>
  <si>
    <t>Ter em consideração os comentários das fontes A1.1, A1.2, A1.3 e A2</t>
  </si>
  <si>
    <t>Emissões indiretas associadas ao uso de combustíveis e energia de atividades relacionadas (tipicamentes as emissões associadas à extração de matérias primas (e.g. petróleo), transporte, refinamento de combustíveis e distribuição final)</t>
  </si>
  <si>
    <t>VIMECA: Não foram adquiridas viaturas para a Vimeca em 2022</t>
  </si>
  <si>
    <t xml:space="preserve">RA: Faltam apurar consumos relativos á oficina de Évora. Faturados posteriormente por Frotimo. Os consumos electricos da TREVO estão incluidos nos valores da RA uma vez que esta opera nas mesmas instalações. 
</t>
  </si>
  <si>
    <t>VIAPORTO: Recolha de dados da atividade: Eletricidade adquirida da rede para operação da frota de material circulante, propriedade da Metro do Porto + operação e manutenção das infraestruturas do sistema de metro.
VIAPORTO: Frota 2022: 72 veículos do modelo EuroTram e 30 veículos do modelo Tram Train</t>
  </si>
  <si>
    <t>RA: Não foram comunicados carregamentos de unidades estacionárias.
BT: Não foram comunicados carregamentos de unidades estacionárias
VIAPORTO: Recolha de dados da atividade: Viaturas de serviço e função são sujeitas a revisões em oficina externa (sem dados). Material Circulante (102 veículos movidos a electricidade) são sujeitos a manutenções em oficina do subcontratado. 
VIAPORTO: Dados das instalações Fixas - ViaPorto fornece os dados do subcontratado responsavel pela manutenção dos equipamentos de ar condicionado, instalados no DAP/Guifões e rede metro, para reporte à APA pela Metro do Porto.</t>
  </si>
  <si>
    <t>LISBOAT: A frota não possui Ar condicionado</t>
  </si>
  <si>
    <t xml:space="preserve">
ATLANTICARGO: Não foi considerado o consumo residual de gás e gasóleo de equipamentos auxiliares de oficina (empilhadores, máquina de lavagem, estufa de pintura).
RA: Falta apurar o consumo de gás natural da estufa de pintura da oficina de Évora. O imovel pertence à Frotimo e não temos informação nem de consumos nem de custos.
VIA PORTO: Em 2022 não existiram abastecimentos de combustivel para os geradores (num total de 3: DAP + NVT + TRD)).
RA: O aquecimento de águas sanitárias é realizado por paineis solares e/ou termoacumuladores.</t>
  </si>
  <si>
    <t>LISBOAT: Não temos equipamentos estacionarios que consumam combustível
Quando o valor em l/kg não estava disponível este foi estimado com base no valor (€) e preço médio conhecido de outras empresas do GB</t>
  </si>
  <si>
    <t>No futuro deverá se realizado um inquérito anual à mobilidade dos colaboradores das empresas
Paralelamente deverá ser calculado um FE médio para as diferentes localizações geográficas com recurso aos dados do CENSOS e Inquéritos de mobilidade (internos e/ou locais/regionais)</t>
  </si>
  <si>
    <t>TEJO: O peso das deslocações pendulares em viatura de serviço residual e desprezada. Não existem dados referentes à mobilidade dos colaboradores.
ATLANTICARGO: O peso das deslocações pendulares em viatura de serviço residual e desprezada
MARQUES: O peso das deslocações pendulares em viatura de serviço residual e desprezada
VIAPORTO: O peso das deslocações pendulares em viatura de serviço é desprezada - Amostra de 7 colaboradores num universo de 341.</t>
  </si>
  <si>
    <t>Barraqueiro Transportes, S.A. - ESEVEL</t>
  </si>
  <si>
    <t>Barraqueiro Transportes, S.A. - Frota Aul</t>
  </si>
  <si>
    <t>MMC | Contrato</t>
  </si>
  <si>
    <t>MMC | Contrato Limpeza</t>
  </si>
  <si>
    <t>MMC | Serviços Adicionais Limpeza</t>
  </si>
  <si>
    <t>MMC | Serviços Adicionais</t>
  </si>
  <si>
    <t>MIF | Contrato Bilhética</t>
  </si>
  <si>
    <t>MIF | Contrato Catenária, subestações e postos de transformação</t>
  </si>
  <si>
    <t>MIF | Contrato Edifícios, obras de arte e infraestruturas civis</t>
  </si>
  <si>
    <t>MIF | Contrato Elevadores e escadas rolantes</t>
  </si>
  <si>
    <t>MIF | Contrato Iluminação, bombagem e ventilação</t>
  </si>
  <si>
    <t>MIF | Contrato Limpeza e higiene IF</t>
  </si>
  <si>
    <t>MIF | Contrato Paisagismo</t>
  </si>
  <si>
    <t>MIF | Contrato Semaforização</t>
  </si>
  <si>
    <t>MIF | Contrato Sinalização</t>
  </si>
  <si>
    <t>MIF | Contrato Telecomunicações</t>
  </si>
  <si>
    <t>MIF | Contrato Via</t>
  </si>
  <si>
    <t>MIF | Serviços Adicionais Bilhética</t>
  </si>
  <si>
    <t>MIF | Serviços Adicionais Catenária, subestações e postos de transformação</t>
  </si>
  <si>
    <t>MIF | Serviços Adicionais Edifícios, obras de arte e infraestruturas civis</t>
  </si>
  <si>
    <t>MIF | Serviços Adicionais Iluminação, bombagem e ventilação</t>
  </si>
  <si>
    <t>MIF | Serviços Adicionais Limpeza e higiene IF</t>
  </si>
  <si>
    <t>MIF | Serviços Adicionais Paisagismo</t>
  </si>
  <si>
    <t>MIF | Serviços Adicionais Semaforização</t>
  </si>
  <si>
    <t>MIF | Serviços Adicionais Sinalética</t>
  </si>
  <si>
    <t>MIF | Serviços Adicionais Sinalização</t>
  </si>
  <si>
    <t>MIF | Serviços Adicionais Via</t>
  </si>
  <si>
    <t>MIF | Peças Bilhética</t>
  </si>
  <si>
    <t>MIF | Peças Catenária, subestações e postos de transformação</t>
  </si>
  <si>
    <t>MIF | Peças Edifícios, obras de arte e infraestruturas civis</t>
  </si>
  <si>
    <t>MIF | Peças Sinalização</t>
  </si>
  <si>
    <t>MIF | Peças Telecomunicações</t>
  </si>
  <si>
    <t>MIF | Peças Via</t>
  </si>
  <si>
    <t xml:space="preserve">MMC | Vandalismo Sinalética </t>
  </si>
  <si>
    <t>MMC | Vandalismo MC</t>
  </si>
  <si>
    <t>MIF | Vandalismo IF</t>
  </si>
  <si>
    <t>MIF | Vandalismo Bilhética IF</t>
  </si>
  <si>
    <t>Melhorar a qualidade e detalhes dos dados recolhidos. Potencial integração com ERP e MRP
Determinar FE com melhor qualidade e suporte (e.g. ECOINVENT)</t>
  </si>
  <si>
    <t>Emissões de GEE a montante associadas ativos alugados</t>
  </si>
  <si>
    <t>Melhorar a qualidade e detalhes dos dados recolhidos. Potencial integração com ERP e MRP</t>
  </si>
  <si>
    <t>Emissões de GEE associadas à subcontratação de serviços de transporte</t>
  </si>
  <si>
    <t>Emissões de GEE associadas à compra de bens e serviços, nomeadamente associadas à cadeia de valor da produção de materiais e serviços adquiridos pela organização nas suas atividades</t>
  </si>
  <si>
    <t>Emissões de GEE associadas ao transporte a montante dos bens adquiridos</t>
  </si>
  <si>
    <t>Emissões de GEE associadas ao uso dos produtos vendidos
Emissões de GEE associadas à transformação dos produtos vendidos
Emissões de GEE associadas ao abate dos produtos vendidos</t>
  </si>
  <si>
    <t>Aquisição de bens de capital (as emissões associadas à compra de bens ocorrem no ciclo de vida (extração, produção, transporte) dos bens de capital comprados ou adquiridos, até ao ponto de receção pela organização inventariante (tipicamente capex)</t>
  </si>
  <si>
    <t>Emissões de GEE associadas aos resíduos gerados da organização e geridos por terceiros</t>
  </si>
  <si>
    <t>A3.9.1</t>
  </si>
  <si>
    <t>A3.9.2</t>
  </si>
  <si>
    <t>Emissões de GEE associadas aos resíduos gerados da organização e geridos por terceiros: Resíduos Mapas MIRR</t>
  </si>
  <si>
    <t>Emissões de GEE associadas aos resíduos gerados da organização e geridos por terceiros: Uso e Tratamento de Águas</t>
  </si>
  <si>
    <t>Emissões de GEE associadas ao transporte a jusante dos produtos vendidos</t>
  </si>
  <si>
    <t>Emissões de GEE a jusante associadas a ativos alugados</t>
  </si>
  <si>
    <t>Emissões de GEE a montante associadas a operações de Franchise</t>
  </si>
  <si>
    <t>Emissões de GEE a montante associadas a investimentos</t>
  </si>
  <si>
    <t>Não conseguimos obter esta informação com o detalhe necessário. Só conseguimos obter o numero de encomendas (ou linhas de encomenda)</t>
  </si>
  <si>
    <t>Melhorar a qualidade e detalhes dos dados recolhidos. Potencial integração com ERP e MRP.
Passar a obtenção desta informação para o lado do fornecedor. O fornecedor deve conseguirnos indicar quantas entregas efectuou nas nossas instalações e se estas foram exclusivas
Criação de um portal para integração com os fornecedores (dados reais de emissões e dados sectoriais)</t>
  </si>
  <si>
    <t>VIAPORTO: Recolha de dados da atividade: os dados apresentados incluem, de forma distinta, os resíduos produzidos e geridos diretamente pela ViaPorto, bem como produzidos e gerados pelos subcontratados no âmbito dos contratos celebrados para prestação de serviço de manutenção e limpeza do material circulante (frota 102 veículos) e manutenção e limpeza das infraestruturas do sistema de metro.</t>
  </si>
  <si>
    <t>RA: A Trevo opera em instalações da Rodoviária do Alentejo. A oficina de Évora e correspondente lavagem não estão contabilizadas (Frotimo).</t>
  </si>
  <si>
    <t>VIAPORTO: Recolha de dados da atividade: A ViaPorto utiliza águas subterrâneas (10 furos e 2 minas), com a finalidade de rega de espaços verdes. A água publica utilizada para a rega de espaços verdes é paga pelo subcontratado responsavel pelo paisagismo. Água publica também é usada nas instalações dos sistema de metro, incluindo as ações de limpeza. CP (subcontratado) utiliza água industrial das captações da IP, para lavagem do material circulante.</t>
  </si>
  <si>
    <t>ATLANTICARGO/BT: Os produtos vendidos não carecem de transporte (fornecidos diretamente ao cliente nas instalações) ou são expedidos maioritariamente pelo OEM.</t>
  </si>
  <si>
    <t>Fonte BT</t>
  </si>
  <si>
    <t>Fonte GHG Protocol</t>
  </si>
  <si>
    <t>Baixa Tensão</t>
  </si>
  <si>
    <t>RA: A venda de gás refrigerante é realizada apenas na âmbito de reparação de viaturas do Grupo. Valores desprezáveis.
Foram desprezadas as emissões residuais associadas à venda de fardamento e de cartões físicos navegante</t>
  </si>
  <si>
    <t>Melhorar a qualidade e detalhes dos dados recolhidos. Potencial integração com ERP e com os fornecedores.
Os fornecedores devem fornece dados detalhados relativamente ao serviço prestado, nomeadamente sobre a viatura e produção km.
É importante também distinguir subcontração interna da externa ao grupo a fim de evitar a duplicação da contabilização de emissões.</t>
  </si>
  <si>
    <t>Nos casos em que a informação km não foi detalhada, esta é estimada com base num valor de referência para o serviço em €/km.</t>
  </si>
  <si>
    <t>Ver A3.9.1 e A.3.9.2</t>
  </si>
  <si>
    <t>Automatizar a integração dos mapas MIRR.
Em alguns casos a recolha de resíduos está associada a uma "empresa chapéu", sendo necessário detalhar a empresa geradora de resíduos e/ou as distribuição dos mesmos por empresas que partilham instalações cuja geração de resíduos é monitorizada.
Monitorizar a geração de resíduos das empresas sem tratamento de resíduos especiais, com gestão de terceiros certificados
Refinar os fatores de emissão associados aos diferentes tipos de resíduos (e.g. ECOINVENT)</t>
  </si>
  <si>
    <t>Scope Source</t>
  </si>
  <si>
    <t>Subcontratados da ViaPorto</t>
  </si>
  <si>
    <t>operadores licenciados</t>
  </si>
  <si>
    <t>transportadores licenciados/autorizados</t>
  </si>
  <si>
    <t>R</t>
  </si>
  <si>
    <t>D</t>
  </si>
  <si>
    <t>de acordo com as Egars emitidas</t>
  </si>
  <si>
    <t>Absorventes, panos, desperdícios contaminados</t>
  </si>
  <si>
    <t>Águas Oleosas</t>
  </si>
  <si>
    <t>Aparas e limalhas metálicas</t>
  </si>
  <si>
    <t>Calços Sintéticos</t>
  </si>
  <si>
    <t>Clorofluorcarbonetos, HCFC, HFC</t>
  </si>
  <si>
    <t>Componentes retirados de REEE’s fora de uso não abrangidos em 16 02 09 a 16 02 13</t>
  </si>
  <si>
    <t>Componentes retirados de REEE’s fora de uso não abrangidos em 16 02 15</t>
  </si>
  <si>
    <t>Embalagens (mistura)</t>
  </si>
  <si>
    <t>Embalagens de Metal</t>
  </si>
  <si>
    <t>Embalagens de vidro</t>
  </si>
  <si>
    <t>Equip.Elect.Elect</t>
  </si>
  <si>
    <t>Escória</t>
  </si>
  <si>
    <t>Escovas do Pantógrafo</t>
  </si>
  <si>
    <t>Ferro e Aço</t>
  </si>
  <si>
    <t>Filtros AVAC</t>
  </si>
  <si>
    <t>Gases em recipientes sob pressão, não abrangidos em 16 05 04</t>
  </si>
  <si>
    <t>Lamas de decantadores</t>
  </si>
  <si>
    <t>Outros Óleos de Motores, Transmissões e Lubrificação</t>
  </si>
  <si>
    <t>Resíduos Borracha</t>
  </si>
  <si>
    <t>Resíduos da remoção de tintas e vernizes</t>
  </si>
  <si>
    <t>Resíduos de Borracha</t>
  </si>
  <si>
    <t>Resíduos de tintas e vernizes, contendo solventes orgânicos ou outras substâncias perigosas</t>
  </si>
  <si>
    <t>Resíduos Limpeza da via</t>
  </si>
  <si>
    <t>Resíduos Sólidos Urbanos</t>
  </si>
  <si>
    <t>Resíduos Verdes</t>
  </si>
  <si>
    <t>Solos e Rochas</t>
  </si>
  <si>
    <t>Solvente</t>
  </si>
  <si>
    <t>Mós e materiais de rectificação usados</t>
  </si>
  <si>
    <t>Pilhas</t>
  </si>
  <si>
    <t>120101</t>
  </si>
  <si>
    <t>160602</t>
  </si>
  <si>
    <t>140601</t>
  </si>
  <si>
    <t>160214</t>
  </si>
  <si>
    <t>160216</t>
  </si>
  <si>
    <t>150107</t>
  </si>
  <si>
    <t>200135</t>
  </si>
  <si>
    <t>120113</t>
  </si>
  <si>
    <t>160118</t>
  </si>
  <si>
    <t>170405</t>
  </si>
  <si>
    <t>200111</t>
  </si>
  <si>
    <t>160505</t>
  </si>
  <si>
    <t>200138</t>
  </si>
  <si>
    <t>170407</t>
  </si>
  <si>
    <t>070299</t>
  </si>
  <si>
    <t>080111</t>
  </si>
  <si>
    <t>200303</t>
  </si>
  <si>
    <t>200199</t>
  </si>
  <si>
    <t>200201</t>
  </si>
  <si>
    <t>170504</t>
  </si>
  <si>
    <t>200202</t>
  </si>
  <si>
    <t>101112</t>
  </si>
  <si>
    <t>160213</t>
  </si>
  <si>
    <t>120121</t>
  </si>
  <si>
    <t>200134</t>
  </si>
  <si>
    <t>Gases AVAC</t>
  </si>
  <si>
    <t>água rega espaços verdes</t>
  </si>
  <si>
    <t>usada nas infrestruturas do sistema de metro</t>
  </si>
  <si>
    <t>Edificio Administrativo DAP/Guifões</t>
  </si>
  <si>
    <t>PMO - instalações sanitarias (2 ES e 1 LDL)</t>
  </si>
  <si>
    <t>água rega espaços verdes (resp. subcontratado)</t>
  </si>
  <si>
    <t>captações da resp. IP - água uso industrial (subcontratado)</t>
  </si>
  <si>
    <t>Integrar a recolha de dados com o sistema de faturação ou criação de formulários específicos para a automatização da recolha da informação.
Definir métrica para excluir a água consumida e contabilizada nos resíduos dos mapas MIRR (3.9.1) das emissões associadas ao tratamento de água.
Definir métrica para excluir a água utilizada para regas, que não implicam tratamento de águas.</t>
  </si>
  <si>
    <t>Henrique Leonardo Mota</t>
  </si>
  <si>
    <t>Barraqueiro TTransportes, S.A. - Mafrense</t>
  </si>
  <si>
    <t>Empresa/Indicador</t>
  </si>
  <si>
    <t>Caso aplicável, Produção quilométrica (*1000 km percorridos)</t>
  </si>
  <si>
    <t>Dimensão da frota auxiliar e não operacional</t>
  </si>
  <si>
    <t>pkt</t>
  </si>
  <si>
    <t>lko</t>
  </si>
  <si>
    <t>TxO</t>
  </si>
  <si>
    <t>Proveito/km</t>
  </si>
  <si>
    <t>validações/pax</t>
  </si>
  <si>
    <t>Volume de negócios / Receita operacional (k€) + Subs. Exploração</t>
  </si>
  <si>
    <t>Sector Actividade</t>
  </si>
  <si>
    <t>Rodoviária do Tejo - RDL</t>
  </si>
  <si>
    <t>Rodoviária do Tejo - RDO</t>
  </si>
  <si>
    <t>Rodoviária do Tejo - RMT</t>
  </si>
  <si>
    <t>Rodoviária do Tejo - RLZ</t>
  </si>
  <si>
    <t>ver mapas</t>
  </si>
  <si>
    <t>Proveito k€/colaborador</t>
  </si>
  <si>
    <t>Proveito k€/Veículo Op.</t>
  </si>
  <si>
    <t>Rodoviária do Alentejo, S.A. - RA</t>
  </si>
  <si>
    <t>Rodoviária do Alentejo, S.A. - ABA</t>
  </si>
  <si>
    <t>Rodoviária do Alentejo, S.A. - TAA</t>
  </si>
  <si>
    <t>Rodoviária do Alentejo, S.A. - TAC</t>
  </si>
  <si>
    <t>Rodoviária do Alentejo, S.A. - TRE</t>
  </si>
  <si>
    <t>Rodoviária do Tejo, S.A.</t>
  </si>
  <si>
    <t xml:space="preserve">RC 27970,888+194,003 // 34540,975 // AC 13705,933+148,521 </t>
  </si>
  <si>
    <t>Eliminar Consolidação</t>
  </si>
  <si>
    <t>Aparelhos de climatização</t>
  </si>
  <si>
    <t>Eliminar acc</t>
  </si>
  <si>
    <t>Barraqueiro Transportes, S.A. - Sede + Estremadura</t>
  </si>
  <si>
    <t>Barraqueiro Transportes, S.A. - CG (Mafrense; BO; BV)</t>
  </si>
  <si>
    <t>Barraqueiro Transportes, S.A. - Calc. Desterro (Isidoro?)</t>
  </si>
  <si>
    <t>Barraqueiro Transportes, S.A. - Boa Viagem agr</t>
  </si>
  <si>
    <t>Barraqueiro Transportes, S.A. - Mafrense agr</t>
  </si>
  <si>
    <t>TRANSOL - TRANSPORTES E TURISMO, S.A.</t>
  </si>
  <si>
    <t>Transporte Metro e/ou Ferroviário de Passageiros</t>
  </si>
  <si>
    <t>km/Veículo Op.</t>
  </si>
  <si>
    <t>Best Transfers 4U</t>
  </si>
  <si>
    <t>Follow Me Tours</t>
  </si>
  <si>
    <t>Distância</t>
  </si>
  <si>
    <t>02HV26</t>
  </si>
  <si>
    <t>53LL88</t>
  </si>
  <si>
    <t>78XA03</t>
  </si>
  <si>
    <t>78XA04</t>
  </si>
  <si>
    <t>61FH34</t>
  </si>
  <si>
    <t>61FH35</t>
  </si>
  <si>
    <t>61FH36</t>
  </si>
  <si>
    <t>61FH37</t>
  </si>
  <si>
    <t>61FH38</t>
  </si>
  <si>
    <t>94TG18</t>
  </si>
  <si>
    <t>6945OX</t>
  </si>
  <si>
    <t>04HJ41</t>
  </si>
  <si>
    <t>78XA08</t>
  </si>
  <si>
    <t>04HJ42</t>
  </si>
  <si>
    <t>3879ZE</t>
  </si>
  <si>
    <t>6467ZE</t>
  </si>
  <si>
    <t>54IX86</t>
  </si>
  <si>
    <t>78XA14</t>
  </si>
  <si>
    <t>62FN69</t>
  </si>
  <si>
    <t>59FL05</t>
  </si>
  <si>
    <t>53LL90</t>
  </si>
  <si>
    <t>86RM58</t>
  </si>
  <si>
    <t>52ZV78</t>
  </si>
  <si>
    <t>52ZV80</t>
  </si>
  <si>
    <t>41ZM91</t>
  </si>
  <si>
    <t>78XA17</t>
  </si>
  <si>
    <t>77SA52</t>
  </si>
  <si>
    <t>62FN70</t>
  </si>
  <si>
    <t>89PM57</t>
  </si>
  <si>
    <t>80ZR16</t>
  </si>
  <si>
    <t>80ZR30</t>
  </si>
  <si>
    <t>94TG15</t>
  </si>
  <si>
    <t>94TG16</t>
  </si>
  <si>
    <t>86RM83</t>
  </si>
  <si>
    <t>86RM84</t>
  </si>
  <si>
    <t>38RO85</t>
  </si>
  <si>
    <t>52ZV81</t>
  </si>
  <si>
    <t>76ZV31</t>
  </si>
  <si>
    <t>89XA20</t>
  </si>
  <si>
    <t>94RO40</t>
  </si>
  <si>
    <t>46VC08</t>
  </si>
  <si>
    <t>56FP33</t>
  </si>
  <si>
    <t>56FP34</t>
  </si>
  <si>
    <t>56FP35</t>
  </si>
  <si>
    <t>56FP36</t>
  </si>
  <si>
    <t>56FP37</t>
  </si>
  <si>
    <t>2619XL</t>
  </si>
  <si>
    <t>2747ZN</t>
  </si>
  <si>
    <t>2749ZN</t>
  </si>
  <si>
    <t>11CV71</t>
  </si>
  <si>
    <t>27DA92</t>
  </si>
  <si>
    <t>89XA53</t>
  </si>
  <si>
    <t>00UA72</t>
  </si>
  <si>
    <t>97FA45</t>
  </si>
  <si>
    <t>47OQ04</t>
  </si>
  <si>
    <t>46PC72</t>
  </si>
  <si>
    <t>59PI86</t>
  </si>
  <si>
    <t>59PI87</t>
  </si>
  <si>
    <t>73PI24</t>
  </si>
  <si>
    <t>19PR67</t>
  </si>
  <si>
    <t>91XA00</t>
  </si>
  <si>
    <t>81VV75</t>
  </si>
  <si>
    <t>94TG19</t>
  </si>
  <si>
    <t>94TG20</t>
  </si>
  <si>
    <t>17FJ60</t>
  </si>
  <si>
    <t>17FJ62</t>
  </si>
  <si>
    <t>35QT59</t>
  </si>
  <si>
    <t>29RC44</t>
  </si>
  <si>
    <t>20RB92</t>
  </si>
  <si>
    <t>63RE72</t>
  </si>
  <si>
    <t>63RE73</t>
  </si>
  <si>
    <t>31RF74</t>
  </si>
  <si>
    <t>31RF77</t>
  </si>
  <si>
    <t>04RG27</t>
  </si>
  <si>
    <t>04RG25</t>
  </si>
  <si>
    <t>00SR77</t>
  </si>
  <si>
    <t>00SR78</t>
  </si>
  <si>
    <t>00SR79</t>
  </si>
  <si>
    <t>73SX88</t>
  </si>
  <si>
    <t>86SX23</t>
  </si>
  <si>
    <t>22TE92</t>
  </si>
  <si>
    <t>66TG59</t>
  </si>
  <si>
    <t>01UF32</t>
  </si>
  <si>
    <t>10PQ62</t>
  </si>
  <si>
    <t>10PQ64</t>
  </si>
  <si>
    <t>87ST60</t>
  </si>
  <si>
    <t>87ST61</t>
  </si>
  <si>
    <t>09SX14</t>
  </si>
  <si>
    <t>84UO50</t>
  </si>
  <si>
    <t>65ZQ44</t>
  </si>
  <si>
    <t>65ZQ55</t>
  </si>
  <si>
    <t>65ZQ78</t>
  </si>
  <si>
    <t>66ZQ00</t>
  </si>
  <si>
    <t>66ZQ07</t>
  </si>
  <si>
    <t>66ZQ10</t>
  </si>
  <si>
    <t>66ZQ26</t>
  </si>
  <si>
    <t>66ZQ62</t>
  </si>
  <si>
    <t>41ZQ84</t>
  </si>
  <si>
    <t>10PQ63</t>
  </si>
  <si>
    <t>10PQ65</t>
  </si>
  <si>
    <t>21ZQ84</t>
  </si>
  <si>
    <t>22RO60</t>
  </si>
  <si>
    <t>22ZQ68</t>
  </si>
  <si>
    <t>23ZQ02</t>
  </si>
  <si>
    <t>23ZQ27</t>
  </si>
  <si>
    <t>23ZQ59</t>
  </si>
  <si>
    <t>23ZQ65</t>
  </si>
  <si>
    <t>24ZQ34</t>
  </si>
  <si>
    <t>24ZQ44</t>
  </si>
  <si>
    <t>24ZQ73</t>
  </si>
  <si>
    <t>62ZP96</t>
  </si>
  <si>
    <t>63ZP12</t>
  </si>
  <si>
    <t>63ZP13</t>
  </si>
  <si>
    <t>63ZP58</t>
  </si>
  <si>
    <t>63ZP59</t>
  </si>
  <si>
    <t>63ZP69</t>
  </si>
  <si>
    <t>63ZP83</t>
  </si>
  <si>
    <t>63ZP86</t>
  </si>
  <si>
    <t>63ZP92</t>
  </si>
  <si>
    <t>64ZP23</t>
  </si>
  <si>
    <t>65ZQ40</t>
  </si>
  <si>
    <t>65ZQ41</t>
  </si>
  <si>
    <t>65ZQ42</t>
  </si>
  <si>
    <t>65ZQ81</t>
  </si>
  <si>
    <t>65ZQ96</t>
  </si>
  <si>
    <t>66ZQ14</t>
  </si>
  <si>
    <t>66ZQ24</t>
  </si>
  <si>
    <t>66ZQ48</t>
  </si>
  <si>
    <t>66ZQ49</t>
  </si>
  <si>
    <t>66ZQ66</t>
  </si>
  <si>
    <t>66ZQ78</t>
  </si>
  <si>
    <t>66ZQ81</t>
  </si>
  <si>
    <t>66ZQ95</t>
  </si>
  <si>
    <t>67MO82</t>
  </si>
  <si>
    <t>75ST63</t>
  </si>
  <si>
    <t>75ST64</t>
  </si>
  <si>
    <t>85U038</t>
  </si>
  <si>
    <t>93SS62</t>
  </si>
  <si>
    <t>93SS63</t>
  </si>
  <si>
    <t>31LI39</t>
  </si>
  <si>
    <t>98NM77</t>
  </si>
  <si>
    <t>70PO51</t>
  </si>
  <si>
    <t>11QU33</t>
  </si>
  <si>
    <t>11QU34</t>
  </si>
  <si>
    <t>17RE71</t>
  </si>
  <si>
    <t>99SP58</t>
  </si>
  <si>
    <t>99SP57</t>
  </si>
  <si>
    <t>20UJ15</t>
  </si>
  <si>
    <t>88UJ43</t>
  </si>
  <si>
    <t>80ZR13</t>
  </si>
  <si>
    <t>94RE82</t>
  </si>
  <si>
    <t>65ZQ47</t>
  </si>
  <si>
    <t>65ZQ83</t>
  </si>
  <si>
    <t>66ZQ04</t>
  </si>
  <si>
    <t>65QI64</t>
  </si>
  <si>
    <t>22RP78</t>
  </si>
  <si>
    <t>Viaporto - Operação e Manutenção de Transportes, Unipessoal Lda.</t>
  </si>
  <si>
    <t>Viatura de Assistência</t>
  </si>
  <si>
    <t>Viaturas Promoção Comercial</t>
  </si>
  <si>
    <t>oficina - Balneario</t>
  </si>
  <si>
    <t>ano 2022</t>
  </si>
  <si>
    <t>Mercedes Travego (usado)</t>
  </si>
  <si>
    <t>Irizar I6 (usado)</t>
  </si>
  <si>
    <t>transol + follow me tours + bestransfer4u</t>
  </si>
  <si>
    <t>Fertagus - Travessia do Tejo, Transportes, S.A.</t>
  </si>
  <si>
    <t>Viatura de apoio a manutenção</t>
  </si>
  <si>
    <t>Viatura de apoio à produção, transporte de pessoal</t>
  </si>
  <si>
    <t>Fertagus - Complexo Ferroviário de Coina</t>
  </si>
  <si>
    <t>Complexo Ferroviário de Coina</t>
  </si>
  <si>
    <t>Sede</t>
  </si>
  <si>
    <t>Estação de Palmela</t>
  </si>
  <si>
    <t>Estação de Venda do Alcaide</t>
  </si>
  <si>
    <t>Não ocorreram fugas/carregamentos</t>
  </si>
  <si>
    <t>Fertagus - UQE</t>
  </si>
  <si>
    <t>Fertagus - Estações Fertagus</t>
  </si>
  <si>
    <t>Fertagus - Parques Fertagus</t>
  </si>
  <si>
    <t>Fertagus - Estações Norte e Sul</t>
  </si>
  <si>
    <t>Fertagus - PMC</t>
  </si>
  <si>
    <t>Emissões de GEE associadas às viagens pendulares dos colaboradores (deslocação: casa-trabalho-casa)
Fertagus: O peso das deslocações pendulares em viatura de serviço é residual pois o transporte é maioritariamente em viaturas elétricas</t>
  </si>
  <si>
    <t>Serviços Externos de Manutenção</t>
  </si>
  <si>
    <t>Lubrificantes</t>
  </si>
  <si>
    <t>Oleos</t>
  </si>
  <si>
    <t>Tintas e Solventes</t>
  </si>
  <si>
    <t>Total de materiais consumidos</t>
  </si>
  <si>
    <t>Sulfertagus</t>
  </si>
  <si>
    <t>Descaga Específica</t>
  </si>
  <si>
    <t>Taxa descarga</t>
  </si>
  <si>
    <t>Fertagus - Estação Coina</t>
  </si>
  <si>
    <t>160122</t>
  </si>
  <si>
    <t>(*) Outros óleos de motores, transmissões e lubrificação</t>
  </si>
  <si>
    <t>(*) Lamas provenientes dos separadores óleo /água</t>
  </si>
  <si>
    <t>(*) Embalagens de metal, incluindo recipientes vazios sob pressão, contendo uma matriz porosa sólida perigosa (por exemplo, amianto)</t>
  </si>
  <si>
    <t>(*) Absorventes, materiais filtrantes (incluindo filtros de óleo sem outras especificações), panos de limpeza e vestuário de proteção, contaminados por substâncias perigosas</t>
  </si>
  <si>
    <t>(*) Filtros de óleo</t>
  </si>
  <si>
    <t>(*) Componentes perigosos não abrangidos em 16 01 07 a 16 01 11, 16 01 13 e 16 01 14</t>
  </si>
  <si>
    <t>Componentes sem outras especificações</t>
  </si>
  <si>
    <t>Têxteis</t>
  </si>
  <si>
    <t>(*) Lâmpadas fluorescentes e outros resíduos contendo mercúrio</t>
  </si>
  <si>
    <t>Madeira não abrangida em 20 01 37</t>
  </si>
  <si>
    <t>Carmona</t>
  </si>
  <si>
    <t>Mundirecicla, lda</t>
  </si>
  <si>
    <t>Limpersado</t>
  </si>
  <si>
    <t>Carmona/Ecosourcing II</t>
  </si>
  <si>
    <t xml:space="preserve">Carmona </t>
  </si>
  <si>
    <t>Ecosourcing II</t>
  </si>
  <si>
    <t>Ambigroup</t>
  </si>
  <si>
    <t>Componatura</t>
  </si>
  <si>
    <t>Hidrotrans</t>
  </si>
  <si>
    <t>SGR</t>
  </si>
  <si>
    <t>Jocate</t>
  </si>
  <si>
    <t>MTS - METRO, TRANSPORTES DO SUL , S.A.</t>
  </si>
  <si>
    <t>Viatura de Socorro Unimog</t>
  </si>
  <si>
    <t>Viatura Multiusos com Barquinha</t>
  </si>
  <si>
    <t>SF6</t>
  </si>
  <si>
    <t>SF6 (vassilhame)</t>
  </si>
  <si>
    <t>MTS - ILD's Inclui todas as instalações fixas (Parque de Material e Oficinas, Subestações, Postos de Atendimento e Paragens)</t>
  </si>
  <si>
    <t>MTS-MC Energia de tração</t>
  </si>
  <si>
    <t>Lampadas</t>
  </si>
  <si>
    <t>Aparas e limalhas de metais ferrosos</t>
  </si>
  <si>
    <t>(*) Água com óleo proveniente dos separadores óleo/água</t>
  </si>
  <si>
    <t>(*) Embalagens contendo ou contaminadas por resíduos de substâncias perigosas</t>
  </si>
  <si>
    <t>170107</t>
  </si>
  <si>
    <t>170201</t>
  </si>
  <si>
    <t>200399</t>
  </si>
  <si>
    <t>Transucatas</t>
  </si>
  <si>
    <t>SISAV</t>
  </si>
  <si>
    <t>Safetykleen</t>
  </si>
  <si>
    <t>Jose da Silva Crispim &amp; Filhos</t>
  </si>
  <si>
    <t>GRILUS II</t>
  </si>
  <si>
    <t>Soarvamil</t>
  </si>
  <si>
    <t>TRIU</t>
  </si>
  <si>
    <t>Resíduos Construção</t>
  </si>
  <si>
    <t>00PN65</t>
  </si>
  <si>
    <t>00PV87</t>
  </si>
  <si>
    <t>00PV88</t>
  </si>
  <si>
    <t>00QI20</t>
  </si>
  <si>
    <t>00ZH80</t>
  </si>
  <si>
    <t>01MC11</t>
  </si>
  <si>
    <t>0232IQ</t>
  </si>
  <si>
    <t>0234IQ</t>
  </si>
  <si>
    <t>0240IQ</t>
  </si>
  <si>
    <t>0242IQ</t>
  </si>
  <si>
    <t>02QG47</t>
  </si>
  <si>
    <t>02QG48</t>
  </si>
  <si>
    <t>02ZH18</t>
  </si>
  <si>
    <t>02ZP57</t>
  </si>
  <si>
    <t>03SM37</t>
  </si>
  <si>
    <t>03SM38</t>
  </si>
  <si>
    <t>03SM40</t>
  </si>
  <si>
    <t>0434JD</t>
  </si>
  <si>
    <t>0435JD</t>
  </si>
  <si>
    <t>0437JD</t>
  </si>
  <si>
    <t>0438JD</t>
  </si>
  <si>
    <t>0450JD</t>
  </si>
  <si>
    <t>0454JD</t>
  </si>
  <si>
    <t>0456JD</t>
  </si>
  <si>
    <t>04AB33</t>
  </si>
  <si>
    <t>04AB36</t>
  </si>
  <si>
    <t>04AB37</t>
  </si>
  <si>
    <t>04AB39</t>
  </si>
  <si>
    <t>04DG44</t>
  </si>
  <si>
    <t>04HX43</t>
  </si>
  <si>
    <t>04UF04</t>
  </si>
  <si>
    <t>05NN71</t>
  </si>
  <si>
    <t>05SQ62</t>
  </si>
  <si>
    <t>05SQ63</t>
  </si>
  <si>
    <t>05SQ65</t>
  </si>
  <si>
    <t>05UF73</t>
  </si>
  <si>
    <t>07IT92</t>
  </si>
  <si>
    <t>07XS81</t>
  </si>
  <si>
    <t>07ZG86</t>
  </si>
  <si>
    <t>0809XS</t>
  </si>
  <si>
    <t>0813XS</t>
  </si>
  <si>
    <t>08FO39</t>
  </si>
  <si>
    <t>08GN27</t>
  </si>
  <si>
    <t>08ZG94</t>
  </si>
  <si>
    <t>09RI82</t>
  </si>
  <si>
    <t>10GU52</t>
  </si>
  <si>
    <t>10LO15</t>
  </si>
  <si>
    <t>11SZ04</t>
  </si>
  <si>
    <t>11SZ08</t>
  </si>
  <si>
    <t>12ST41</t>
  </si>
  <si>
    <t>13JT11</t>
  </si>
  <si>
    <t>1405JT</t>
  </si>
  <si>
    <t>1406JT</t>
  </si>
  <si>
    <t>1408JT</t>
  </si>
  <si>
    <t>1435JB</t>
  </si>
  <si>
    <t>1446JB</t>
  </si>
  <si>
    <t>1448JB</t>
  </si>
  <si>
    <t>1450JQ</t>
  </si>
  <si>
    <t>1453JQ</t>
  </si>
  <si>
    <t>1457JQ</t>
  </si>
  <si>
    <t>15TX20</t>
  </si>
  <si>
    <t>16XN52</t>
  </si>
  <si>
    <t>17AC97</t>
  </si>
  <si>
    <t>17NH85</t>
  </si>
  <si>
    <t>17PI91</t>
  </si>
  <si>
    <t>17PI92</t>
  </si>
  <si>
    <t>17RQ86</t>
  </si>
  <si>
    <t>17UF00</t>
  </si>
  <si>
    <t>19UA45</t>
  </si>
  <si>
    <t>19UA48</t>
  </si>
  <si>
    <t>19XP79</t>
  </si>
  <si>
    <t>21AO38</t>
  </si>
  <si>
    <t>22TE95</t>
  </si>
  <si>
    <t>22ZH45</t>
  </si>
  <si>
    <t>22ZH98</t>
  </si>
  <si>
    <t>23HP54</t>
  </si>
  <si>
    <t>23ZH79</t>
  </si>
  <si>
    <t>24UV97</t>
  </si>
  <si>
    <t>25ZF53</t>
  </si>
  <si>
    <t>26FD81</t>
  </si>
  <si>
    <t>26NM48</t>
  </si>
  <si>
    <t>26NM49</t>
  </si>
  <si>
    <t>26NM50</t>
  </si>
  <si>
    <t>26RT14</t>
  </si>
  <si>
    <t>27NO79</t>
  </si>
  <si>
    <t>27NO80</t>
  </si>
  <si>
    <t>28TQ60</t>
  </si>
  <si>
    <t>28TQ62</t>
  </si>
  <si>
    <t>28ZE38</t>
  </si>
  <si>
    <t>28ZE78</t>
  </si>
  <si>
    <t>29DN05</t>
  </si>
  <si>
    <t>29SS98</t>
  </si>
  <si>
    <t>29ZE35</t>
  </si>
  <si>
    <t>29ZE58</t>
  </si>
  <si>
    <t>30GQ69</t>
  </si>
  <si>
    <t>30MZ06</t>
  </si>
  <si>
    <t>30SS00</t>
  </si>
  <si>
    <t>3146LC</t>
  </si>
  <si>
    <t>3153LC</t>
  </si>
  <si>
    <t>3156LC</t>
  </si>
  <si>
    <t>32BO18</t>
  </si>
  <si>
    <t>32BO21</t>
  </si>
  <si>
    <t>32LM38</t>
  </si>
  <si>
    <t>32XN11</t>
  </si>
  <si>
    <t>33GH61</t>
  </si>
  <si>
    <t>33UX99</t>
  </si>
  <si>
    <t>34ZG42</t>
  </si>
  <si>
    <t>34ZG44</t>
  </si>
  <si>
    <t>34ZG75</t>
  </si>
  <si>
    <t>35UC89</t>
  </si>
  <si>
    <t>36SF02</t>
  </si>
  <si>
    <t>36SG45</t>
  </si>
  <si>
    <t>36UC01</t>
  </si>
  <si>
    <t>36VR93</t>
  </si>
  <si>
    <t>36ZF46</t>
  </si>
  <si>
    <t>37SN14</t>
  </si>
  <si>
    <t>37ST55</t>
  </si>
  <si>
    <t>38QS13</t>
  </si>
  <si>
    <t>38QS14</t>
  </si>
  <si>
    <t>38QS15</t>
  </si>
  <si>
    <t>38ZE38</t>
  </si>
  <si>
    <t>40ZE86</t>
  </si>
  <si>
    <t>40ZE96</t>
  </si>
  <si>
    <t>41CB30</t>
  </si>
  <si>
    <t>41TP63</t>
  </si>
  <si>
    <t>43ZH77</t>
  </si>
  <si>
    <t>4431JG</t>
  </si>
  <si>
    <t>4434JG</t>
  </si>
  <si>
    <t>44RM74</t>
  </si>
  <si>
    <t>44ZO26</t>
  </si>
  <si>
    <t>45TV43</t>
  </si>
  <si>
    <t>45TV45</t>
  </si>
  <si>
    <t>45TV46</t>
  </si>
  <si>
    <t>45TV47</t>
  </si>
  <si>
    <t>47RU72</t>
  </si>
  <si>
    <t>47TG41</t>
  </si>
  <si>
    <t>47TG42</t>
  </si>
  <si>
    <t>47TG43</t>
  </si>
  <si>
    <t>47UV32</t>
  </si>
  <si>
    <t>48SI28</t>
  </si>
  <si>
    <t>48UP24</t>
  </si>
  <si>
    <t>49ZF71</t>
  </si>
  <si>
    <t>5140IL</t>
  </si>
  <si>
    <t>5145IL</t>
  </si>
  <si>
    <t>51ZF11</t>
  </si>
  <si>
    <t>53CE01</t>
  </si>
  <si>
    <t>53IG95</t>
  </si>
  <si>
    <t>53MU41</t>
  </si>
  <si>
    <t>53MU43</t>
  </si>
  <si>
    <t>53TR02</t>
  </si>
  <si>
    <t>53TR03</t>
  </si>
  <si>
    <t>53ZN02</t>
  </si>
  <si>
    <t>5471JM</t>
  </si>
  <si>
    <t>54XV85</t>
  </si>
  <si>
    <t>54ZH32</t>
  </si>
  <si>
    <t>5541SM</t>
  </si>
  <si>
    <t>5542SM</t>
  </si>
  <si>
    <t>5593SM</t>
  </si>
  <si>
    <t>5594SM</t>
  </si>
  <si>
    <t>5595SM</t>
  </si>
  <si>
    <t>5597SM</t>
  </si>
  <si>
    <t>55FI31</t>
  </si>
  <si>
    <t>55FO26</t>
  </si>
  <si>
    <t>55FO29</t>
  </si>
  <si>
    <t>55IO56</t>
  </si>
  <si>
    <t>55SJ91</t>
  </si>
  <si>
    <t>55UZ86</t>
  </si>
  <si>
    <t>56GL17</t>
  </si>
  <si>
    <t>56RU45</t>
  </si>
  <si>
    <t>56US92</t>
  </si>
  <si>
    <t>57BG28</t>
  </si>
  <si>
    <t>57UR20</t>
  </si>
  <si>
    <t>57XS19</t>
  </si>
  <si>
    <t>58IQ12</t>
  </si>
  <si>
    <t>58IQ13</t>
  </si>
  <si>
    <t>58IX45</t>
  </si>
  <si>
    <t>58LO19</t>
  </si>
  <si>
    <t>58US86</t>
  </si>
  <si>
    <t>59NA38</t>
  </si>
  <si>
    <t>60US19</t>
  </si>
  <si>
    <t>62ZB48</t>
  </si>
  <si>
    <t>6327ZX</t>
  </si>
  <si>
    <t>63FZ22</t>
  </si>
  <si>
    <t>64RJ87</t>
  </si>
  <si>
    <t>64SN30</t>
  </si>
  <si>
    <t>64SV73</t>
  </si>
  <si>
    <t>64SV74</t>
  </si>
  <si>
    <t>65TQ44</t>
  </si>
  <si>
    <t>65TX80</t>
  </si>
  <si>
    <t>65TX81</t>
  </si>
  <si>
    <t>65TX82</t>
  </si>
  <si>
    <t>66BN38</t>
  </si>
  <si>
    <t>66BN39</t>
  </si>
  <si>
    <t>66BN41</t>
  </si>
  <si>
    <t>67ZH47</t>
  </si>
  <si>
    <t>68HC79</t>
  </si>
  <si>
    <t>68QS37</t>
  </si>
  <si>
    <t>68QS38</t>
  </si>
  <si>
    <t>68XV84</t>
  </si>
  <si>
    <t>68ZH89</t>
  </si>
  <si>
    <t>70IQ12</t>
  </si>
  <si>
    <t>70IQ13</t>
  </si>
  <si>
    <t>70IQ14</t>
  </si>
  <si>
    <t>70IQ15</t>
  </si>
  <si>
    <t>70ST27</t>
  </si>
  <si>
    <t>71JA65</t>
  </si>
  <si>
    <t>72HN41</t>
  </si>
  <si>
    <t>72RS82</t>
  </si>
  <si>
    <t>72TG48</t>
  </si>
  <si>
    <t>72ZE64</t>
  </si>
  <si>
    <t>73ZE15</t>
  </si>
  <si>
    <t>73ZE24</t>
  </si>
  <si>
    <t>73ZE57</t>
  </si>
  <si>
    <t>73ZE62</t>
  </si>
  <si>
    <t>74ZB21</t>
  </si>
  <si>
    <t>75ZB65</t>
  </si>
  <si>
    <t>76FB94</t>
  </si>
  <si>
    <t>76FE00</t>
  </si>
  <si>
    <t>76IG10</t>
  </si>
  <si>
    <t>76IO15</t>
  </si>
  <si>
    <t>76PH39</t>
  </si>
  <si>
    <t>76PH41</t>
  </si>
  <si>
    <t>76PH44</t>
  </si>
  <si>
    <t>77TR40</t>
  </si>
  <si>
    <t>77TR41</t>
  </si>
  <si>
    <t>78FP74</t>
  </si>
  <si>
    <t>78HN41</t>
  </si>
  <si>
    <t>79OT06</t>
  </si>
  <si>
    <t>79UG05</t>
  </si>
  <si>
    <t>79ZH06</t>
  </si>
  <si>
    <t>80IQ73</t>
  </si>
  <si>
    <t>80VU79</t>
  </si>
  <si>
    <t>80ZR18</t>
  </si>
  <si>
    <t>80ZR40</t>
  </si>
  <si>
    <t>82DL28</t>
  </si>
  <si>
    <t>82PN92</t>
  </si>
  <si>
    <t>82PN94</t>
  </si>
  <si>
    <t>82PN95</t>
  </si>
  <si>
    <t>83RF21</t>
  </si>
  <si>
    <t>8448XQ</t>
  </si>
  <si>
    <t>84DC25</t>
  </si>
  <si>
    <t>84SJ12</t>
  </si>
  <si>
    <t>84ZF75</t>
  </si>
  <si>
    <t>85SR01</t>
  </si>
  <si>
    <t>85SR03</t>
  </si>
  <si>
    <t>85SR04</t>
  </si>
  <si>
    <t>85SR08</t>
  </si>
  <si>
    <t>85ZF57</t>
  </si>
  <si>
    <t>85ZF90</t>
  </si>
  <si>
    <t>86EQ75</t>
  </si>
  <si>
    <t>86ID41</t>
  </si>
  <si>
    <t>86ID42</t>
  </si>
  <si>
    <t>86QT83</t>
  </si>
  <si>
    <t>86ZF05</t>
  </si>
  <si>
    <t>86ZF75</t>
  </si>
  <si>
    <t>87ZF10</t>
  </si>
  <si>
    <t>87ZF53</t>
  </si>
  <si>
    <t>87ZF61</t>
  </si>
  <si>
    <t>87ZF66</t>
  </si>
  <si>
    <t>89BN30</t>
  </si>
  <si>
    <t>89BN31</t>
  </si>
  <si>
    <t>90NA09</t>
  </si>
  <si>
    <t>90XA39</t>
  </si>
  <si>
    <t>90XA79</t>
  </si>
  <si>
    <t>91ZG27</t>
  </si>
  <si>
    <t>93UR65</t>
  </si>
  <si>
    <t>94LE37</t>
  </si>
  <si>
    <t>94LE38</t>
  </si>
  <si>
    <t>94LE40</t>
  </si>
  <si>
    <t>94LE41</t>
  </si>
  <si>
    <t>94LE42</t>
  </si>
  <si>
    <t>94NE16</t>
  </si>
  <si>
    <t>95ES74</t>
  </si>
  <si>
    <t>95FB62</t>
  </si>
  <si>
    <t>95JA93</t>
  </si>
  <si>
    <t>95RA00</t>
  </si>
  <si>
    <t>95RA02</t>
  </si>
  <si>
    <t>95SG24</t>
  </si>
  <si>
    <t>95TN58</t>
  </si>
  <si>
    <t>96GJ06</t>
  </si>
  <si>
    <t>97XU29</t>
  </si>
  <si>
    <t>97ZE67</t>
  </si>
  <si>
    <t>98FF02</t>
  </si>
  <si>
    <t>98LX98</t>
  </si>
  <si>
    <t>98QS10</t>
  </si>
  <si>
    <t>98SQ87</t>
  </si>
  <si>
    <t>AB15EA</t>
  </si>
  <si>
    <t>AB17EA</t>
  </si>
  <si>
    <t>AB18EA</t>
  </si>
  <si>
    <t>AB19EA</t>
  </si>
  <si>
    <t>AC34SL</t>
  </si>
  <si>
    <t>AF51NB</t>
  </si>
  <si>
    <t>AL01VT</t>
  </si>
  <si>
    <t>AL03VT</t>
  </si>
  <si>
    <t>AL09VT</t>
  </si>
  <si>
    <t>AL10VT</t>
  </si>
  <si>
    <t>AL12VT</t>
  </si>
  <si>
    <t>AL14VT</t>
  </si>
  <si>
    <t>AL16VT</t>
  </si>
  <si>
    <t>AL24VT</t>
  </si>
  <si>
    <t>AL25VT</t>
  </si>
  <si>
    <t>AL26VT</t>
  </si>
  <si>
    <t>AL29VT</t>
  </si>
  <si>
    <t>AL31VT</t>
  </si>
  <si>
    <t>AL32VT</t>
  </si>
  <si>
    <t>AL33VT</t>
  </si>
  <si>
    <t>AL44VT</t>
  </si>
  <si>
    <t>AL48VT</t>
  </si>
  <si>
    <t>AL49VT</t>
  </si>
  <si>
    <t>AL50VT</t>
  </si>
  <si>
    <t>AL57VT</t>
  </si>
  <si>
    <t>AL61VT</t>
  </si>
  <si>
    <t>AL62VT</t>
  </si>
  <si>
    <t>AL63VT</t>
  </si>
  <si>
    <t>AL64VT</t>
  </si>
  <si>
    <t>AL65VT</t>
  </si>
  <si>
    <t>AL67VT</t>
  </si>
  <si>
    <t>AL69VT</t>
  </si>
  <si>
    <t>AL74VS</t>
  </si>
  <si>
    <t>AL77VS</t>
  </si>
  <si>
    <t>AL81VS</t>
  </si>
  <si>
    <t>AL83VS</t>
  </si>
  <si>
    <t>AL85VS</t>
  </si>
  <si>
    <t>AL89VS</t>
  </si>
  <si>
    <t>AL94VS</t>
  </si>
  <si>
    <t>AQ19FI</t>
  </si>
  <si>
    <t>AQ23ME</t>
  </si>
  <si>
    <t>AQ54QI</t>
  </si>
  <si>
    <t>AQ58QI</t>
  </si>
  <si>
    <t>AQ60QI</t>
  </si>
  <si>
    <t>AQ61QI</t>
  </si>
  <si>
    <t>AQ64QI</t>
  </si>
  <si>
    <t>AQ66QI</t>
  </si>
  <si>
    <t>AQ79DS</t>
  </si>
  <si>
    <t>AQ80DS</t>
  </si>
  <si>
    <t>AQ81DS</t>
  </si>
  <si>
    <t>AQ83DS</t>
  </si>
  <si>
    <t>AR00HO</t>
  </si>
  <si>
    <t>AR00PH</t>
  </si>
  <si>
    <t>AR01GX</t>
  </si>
  <si>
    <t>AR02HO</t>
  </si>
  <si>
    <t>AR03HO</t>
  </si>
  <si>
    <t>AR03PH</t>
  </si>
  <si>
    <t>AR04PH</t>
  </si>
  <si>
    <t>AR09PH</t>
  </si>
  <si>
    <t>AR10GX</t>
  </si>
  <si>
    <t>AR10PH</t>
  </si>
  <si>
    <t>AR12GX</t>
  </si>
  <si>
    <t>AR16VA</t>
  </si>
  <si>
    <t>AR21VA</t>
  </si>
  <si>
    <t>AR26ZS</t>
  </si>
  <si>
    <t>AR26ZX</t>
  </si>
  <si>
    <t>AR29ZS</t>
  </si>
  <si>
    <t>AR30.GI</t>
  </si>
  <si>
    <t>AR30ZS</t>
  </si>
  <si>
    <t>AR32ZS</t>
  </si>
  <si>
    <t>AR34GI</t>
  </si>
  <si>
    <t>AR35ZS</t>
  </si>
  <si>
    <t>AR37VA</t>
  </si>
  <si>
    <t>AR38GI</t>
  </si>
  <si>
    <t>AR42GI</t>
  </si>
  <si>
    <t>AR48GI</t>
  </si>
  <si>
    <t>AR48TF</t>
  </si>
  <si>
    <t>AR48ZS</t>
  </si>
  <si>
    <t>AR50GI</t>
  </si>
  <si>
    <t>AR51GI</t>
  </si>
  <si>
    <t>AR53GI</t>
  </si>
  <si>
    <t>AR54GI</t>
  </si>
  <si>
    <t>AR55TF</t>
  </si>
  <si>
    <t>AR58LX</t>
  </si>
  <si>
    <t>AR59LX</t>
  </si>
  <si>
    <t>AR60EV</t>
  </si>
  <si>
    <t>AR64EV</t>
  </si>
  <si>
    <t>AR64RA</t>
  </si>
  <si>
    <t>AR66EV</t>
  </si>
  <si>
    <t>AR66NL</t>
  </si>
  <si>
    <t>AR66RA</t>
  </si>
  <si>
    <t>AR67LX</t>
  </si>
  <si>
    <t>AR68LX</t>
  </si>
  <si>
    <t>AR69EV</t>
  </si>
  <si>
    <t>AR70DA</t>
  </si>
  <si>
    <t>AR72LX</t>
  </si>
  <si>
    <t>AR74LX</t>
  </si>
  <si>
    <t>AR74NL</t>
  </si>
  <si>
    <t>AR76DA</t>
  </si>
  <si>
    <t>AR76EV</t>
  </si>
  <si>
    <t>AR76LX</t>
  </si>
  <si>
    <t>AR77DA</t>
  </si>
  <si>
    <t>AR77EV</t>
  </si>
  <si>
    <t>AR78AG</t>
  </si>
  <si>
    <t>AR78LX</t>
  </si>
  <si>
    <t>AR80AG</t>
  </si>
  <si>
    <t>AR80DA</t>
  </si>
  <si>
    <t>AR80EV</t>
  </si>
  <si>
    <t>AR81AG</t>
  </si>
  <si>
    <t>AR81DA</t>
  </si>
  <si>
    <t>AR82AG</t>
  </si>
  <si>
    <t>AR83AG</t>
  </si>
  <si>
    <t>AR84AG</t>
  </si>
  <si>
    <t>AR85AG</t>
  </si>
  <si>
    <t>AR86LX</t>
  </si>
  <si>
    <t>AR87AG</t>
  </si>
  <si>
    <t>AR87LX</t>
  </si>
  <si>
    <t>AR89AG</t>
  </si>
  <si>
    <t>AR91AG</t>
  </si>
  <si>
    <t>AR92LX</t>
  </si>
  <si>
    <t>AR93GV</t>
  </si>
  <si>
    <t>AR94AG</t>
  </si>
  <si>
    <t>AR94GV</t>
  </si>
  <si>
    <t>AR95AG</t>
  </si>
  <si>
    <t>AR95PG</t>
  </si>
  <si>
    <t>AR96HN</t>
  </si>
  <si>
    <t>AR96OC</t>
  </si>
  <si>
    <t>AR97AG</t>
  </si>
  <si>
    <t>AR97GV</t>
  </si>
  <si>
    <t>AR97HN</t>
  </si>
  <si>
    <t>AR98GV</t>
  </si>
  <si>
    <t>AR99OC</t>
  </si>
  <si>
    <t>AS00FQ</t>
  </si>
  <si>
    <t>AS00PA</t>
  </si>
  <si>
    <t>AS01FQ</t>
  </si>
  <si>
    <t>AS02PA</t>
  </si>
  <si>
    <t>AS03FQ</t>
  </si>
  <si>
    <t>AS05FQ</t>
  </si>
  <si>
    <t>AS05UA</t>
  </si>
  <si>
    <t>AS06FQ</t>
  </si>
  <si>
    <t>AS06MU</t>
  </si>
  <si>
    <t>AS06UA</t>
  </si>
  <si>
    <t>AS07FQ</t>
  </si>
  <si>
    <t>AS07RO</t>
  </si>
  <si>
    <t>AS08MU</t>
  </si>
  <si>
    <t>AS08UA</t>
  </si>
  <si>
    <t>AS09UA</t>
  </si>
  <si>
    <t>AS10FQ</t>
  </si>
  <si>
    <t>AS10UA</t>
  </si>
  <si>
    <t>AS11FQ</t>
  </si>
  <si>
    <t>AS11UA</t>
  </si>
  <si>
    <t>AS12FQ</t>
  </si>
  <si>
    <t>AS12QD</t>
  </si>
  <si>
    <t>AS12UA</t>
  </si>
  <si>
    <t>AS15UA</t>
  </si>
  <si>
    <t>AS16UA</t>
  </si>
  <si>
    <t>AS20UA</t>
  </si>
  <si>
    <t>AS21UA</t>
  </si>
  <si>
    <t>AS22UA</t>
  </si>
  <si>
    <t>AS23UA</t>
  </si>
  <si>
    <t>AS26SN</t>
  </si>
  <si>
    <t>AS29RL</t>
  </si>
  <si>
    <t>AS30GC</t>
  </si>
  <si>
    <t>AS30RL</t>
  </si>
  <si>
    <t>AS32CE</t>
  </si>
  <si>
    <t>AS32RL</t>
  </si>
  <si>
    <t>AS32SN</t>
  </si>
  <si>
    <t>AS33GC</t>
  </si>
  <si>
    <t>AS33SN</t>
  </si>
  <si>
    <t>AS34GC</t>
  </si>
  <si>
    <t>AS34SN</t>
  </si>
  <si>
    <t>AS35SN</t>
  </si>
  <si>
    <t>AS40CE</t>
  </si>
  <si>
    <t>AS42GC</t>
  </si>
  <si>
    <t>AS43GC</t>
  </si>
  <si>
    <t>AS44GC</t>
  </si>
  <si>
    <t>AS45GC</t>
  </si>
  <si>
    <t>AS47GC</t>
  </si>
  <si>
    <t>AS48GC</t>
  </si>
  <si>
    <t>AS55NL</t>
  </si>
  <si>
    <t>AS61NL</t>
  </si>
  <si>
    <t>AS64PP</t>
  </si>
  <si>
    <t>AS68PP</t>
  </si>
  <si>
    <t>AS70PP</t>
  </si>
  <si>
    <t>AS72OA</t>
  </si>
  <si>
    <t>AS73PP</t>
  </si>
  <si>
    <t>AS74CT</t>
  </si>
  <si>
    <t>AS74OA</t>
  </si>
  <si>
    <t>AS75OA</t>
  </si>
  <si>
    <t>AS79OA</t>
  </si>
  <si>
    <t>AS80OA</t>
  </si>
  <si>
    <t>AS81OA</t>
  </si>
  <si>
    <t>AS82QZ</t>
  </si>
  <si>
    <t>AS83QZ</t>
  </si>
  <si>
    <t>AS85OA</t>
  </si>
  <si>
    <t>AS85PP</t>
  </si>
  <si>
    <t>AS85QZ</t>
  </si>
  <si>
    <t>AS86QZ</t>
  </si>
  <si>
    <t>AS87OA</t>
  </si>
  <si>
    <t>AS88OA</t>
  </si>
  <si>
    <t>AS89OA</t>
  </si>
  <si>
    <t>AS89QZ</t>
  </si>
  <si>
    <t>AS90OA</t>
  </si>
  <si>
    <t>AS90OO</t>
  </si>
  <si>
    <t>AS92BL</t>
  </si>
  <si>
    <t>AS93OA</t>
  </si>
  <si>
    <t>AS94OA</t>
  </si>
  <si>
    <t>AS95OO</t>
  </si>
  <si>
    <t>AS96OA</t>
  </si>
  <si>
    <t>AS96OO</t>
  </si>
  <si>
    <t>AS96OZ</t>
  </si>
  <si>
    <t>AS97FP</t>
  </si>
  <si>
    <t>AS97OZ</t>
  </si>
  <si>
    <t>AS98FP</t>
  </si>
  <si>
    <t>AS99OA</t>
  </si>
  <si>
    <t>AS99OZ</t>
  </si>
  <si>
    <t>AT13EM</t>
  </si>
  <si>
    <t>AT59AJ</t>
  </si>
  <si>
    <t>AT61AJ</t>
  </si>
  <si>
    <t>AT74FZ</t>
  </si>
  <si>
    <t>AT76FZ</t>
  </si>
  <si>
    <t>AT78FZ</t>
  </si>
  <si>
    <t>AT79FZ</t>
  </si>
  <si>
    <t>AU12TX</t>
  </si>
  <si>
    <t>AU17FV</t>
  </si>
  <si>
    <t>AU21HS</t>
  </si>
  <si>
    <t>AU22FV</t>
  </si>
  <si>
    <t>AU23HS</t>
  </si>
  <si>
    <t>AU25HS</t>
  </si>
  <si>
    <t>AU27FV</t>
  </si>
  <si>
    <t>AU29FV</t>
  </si>
  <si>
    <t>AU32CH</t>
  </si>
  <si>
    <t>AU34CH</t>
  </si>
  <si>
    <t>AU37CH</t>
  </si>
  <si>
    <t>AU69DS</t>
  </si>
  <si>
    <t>AU71DS</t>
  </si>
  <si>
    <t>AU86GM</t>
  </si>
  <si>
    <t>AU87GM</t>
  </si>
  <si>
    <t>AU88GM</t>
  </si>
  <si>
    <t>543</t>
  </si>
  <si>
    <t>3692</t>
  </si>
  <si>
    <t>9209</t>
  </si>
  <si>
    <t>9210</t>
  </si>
  <si>
    <t>9211</t>
  </si>
  <si>
    <t>9212</t>
  </si>
  <si>
    <t>9414</t>
  </si>
  <si>
    <t>9415</t>
  </si>
  <si>
    <t>2520</t>
  </si>
  <si>
    <t>2524</t>
  </si>
  <si>
    <t>2523</t>
  </si>
  <si>
    <t>2514</t>
  </si>
  <si>
    <t>2515</t>
  </si>
  <si>
    <t>2512</t>
  </si>
  <si>
    <t>2513</t>
  </si>
  <si>
    <t>2516</t>
  </si>
  <si>
    <t>2521</t>
  </si>
  <si>
    <t>2517</t>
  </si>
  <si>
    <t>2522</t>
  </si>
  <si>
    <t>2527</t>
  </si>
  <si>
    <t>2528</t>
  </si>
  <si>
    <t>2529</t>
  </si>
  <si>
    <t>2530</t>
  </si>
  <si>
    <t>2525</t>
  </si>
  <si>
    <t>2526</t>
  </si>
  <si>
    <t>2550</t>
  </si>
  <si>
    <t>2346</t>
  </si>
  <si>
    <t>2556</t>
  </si>
  <si>
    <t>2540</t>
  </si>
  <si>
    <t>2033</t>
  </si>
  <si>
    <t>2545</t>
  </si>
  <si>
    <t>2544</t>
  </si>
  <si>
    <t>2032</t>
  </si>
  <si>
    <t>2354</t>
  </si>
  <si>
    <t>2344</t>
  </si>
  <si>
    <t>2554</t>
  </si>
  <si>
    <t>2034</t>
  </si>
  <si>
    <t>2036</t>
  </si>
  <si>
    <t>2037</t>
  </si>
  <si>
    <t>2751</t>
  </si>
  <si>
    <t>2356</t>
  </si>
  <si>
    <t>2359</t>
  </si>
  <si>
    <t>2361</t>
  </si>
  <si>
    <t>2557</t>
  </si>
  <si>
    <t>2360</t>
  </si>
  <si>
    <t>2035</t>
  </si>
  <si>
    <t>2551</t>
  </si>
  <si>
    <t>2038</t>
  </si>
  <si>
    <t>2558</t>
  </si>
  <si>
    <t>2752</t>
  </si>
  <si>
    <t>2559</t>
  </si>
  <si>
    <t>2352</t>
  </si>
  <si>
    <t>2538</t>
  </si>
  <si>
    <t>2560</t>
  </si>
  <si>
    <t>2347</t>
  </si>
  <si>
    <t>2700</t>
  </si>
  <si>
    <t>2547</t>
  </si>
  <si>
    <t>2561</t>
  </si>
  <si>
    <t>2537</t>
  </si>
  <si>
    <t>2756</t>
  </si>
  <si>
    <t>2327</t>
  </si>
  <si>
    <t>2535</t>
  </si>
  <si>
    <t>2531</t>
  </si>
  <si>
    <t>2532</t>
  </si>
  <si>
    <t>2750</t>
  </si>
  <si>
    <t>2031</t>
  </si>
  <si>
    <t>2536</t>
  </si>
  <si>
    <t>2562</t>
  </si>
  <si>
    <t>2563</t>
  </si>
  <si>
    <t>2552</t>
  </si>
  <si>
    <t>2323</t>
  </si>
  <si>
    <t>2030</t>
  </si>
  <si>
    <t>2534</t>
  </si>
  <si>
    <t>2553</t>
  </si>
  <si>
    <t>2353</t>
  </si>
  <si>
    <t>2533</t>
  </si>
  <si>
    <t>2343</t>
  </si>
  <si>
    <t>2542</t>
  </si>
  <si>
    <t>2555</t>
  </si>
  <si>
    <t>2052</t>
  </si>
  <si>
    <t>2101</t>
  </si>
  <si>
    <t>2209</t>
  </si>
  <si>
    <t>2203</t>
  </si>
  <si>
    <t>2372</t>
  </si>
  <si>
    <t>2210</t>
  </si>
  <si>
    <t>2585</t>
  </si>
  <si>
    <t>2100</t>
  </si>
  <si>
    <t>2577</t>
  </si>
  <si>
    <t>2770</t>
  </si>
  <si>
    <t>2206</t>
  </si>
  <si>
    <t>2373</t>
  </si>
  <si>
    <t>2589</t>
  </si>
  <si>
    <t>2205</t>
  </si>
  <si>
    <t>2763</t>
  </si>
  <si>
    <t>2204</t>
  </si>
  <si>
    <t>2102</t>
  </si>
  <si>
    <t>2103</t>
  </si>
  <si>
    <t>2376</t>
  </si>
  <si>
    <t>2772</t>
  </si>
  <si>
    <t>2375</t>
  </si>
  <si>
    <t>2586</t>
  </si>
  <si>
    <t>2575</t>
  </si>
  <si>
    <t>2587</t>
  </si>
  <si>
    <t>2591</t>
  </si>
  <si>
    <t>2379</t>
  </si>
  <si>
    <t>2374</t>
  </si>
  <si>
    <t>2588</t>
  </si>
  <si>
    <t>2581</t>
  </si>
  <si>
    <t>2771</t>
  </si>
  <si>
    <t>2021</t>
  </si>
  <si>
    <t>2582</t>
  </si>
  <si>
    <t>2753</t>
  </si>
  <si>
    <t>2755</t>
  </si>
  <si>
    <t>2565</t>
  </si>
  <si>
    <t>2564</t>
  </si>
  <si>
    <t>2377</t>
  </si>
  <si>
    <t>2572</t>
  </si>
  <si>
    <t>2378</t>
  </si>
  <si>
    <t>2570</t>
  </si>
  <si>
    <t>2113</t>
  </si>
  <si>
    <t>2213</t>
  </si>
  <si>
    <t>2579</t>
  </si>
  <si>
    <t>2754</t>
  </si>
  <si>
    <t>2212</t>
  </si>
  <si>
    <t>2104</t>
  </si>
  <si>
    <t>2220</t>
  </si>
  <si>
    <t>2214</t>
  </si>
  <si>
    <t>2107</t>
  </si>
  <si>
    <t>2574</t>
  </si>
  <si>
    <t>2580</t>
  </si>
  <si>
    <t>2114</t>
  </si>
  <si>
    <t>2571</t>
  </si>
  <si>
    <t>2111</t>
  </si>
  <si>
    <t>2583</t>
  </si>
  <si>
    <t>2576</t>
  </si>
  <si>
    <t>2110</t>
  </si>
  <si>
    <t>2578</t>
  </si>
  <si>
    <t>2221</t>
  </si>
  <si>
    <t>2573</t>
  </si>
  <si>
    <t>2115</t>
  </si>
  <si>
    <t>2598</t>
  </si>
  <si>
    <t>2215</t>
  </si>
  <si>
    <t>2584</t>
  </si>
  <si>
    <t>2217</t>
  </si>
  <si>
    <t>2569</t>
  </si>
  <si>
    <t>2050</t>
  </si>
  <si>
    <t>2108</t>
  </si>
  <si>
    <t>2216</t>
  </si>
  <si>
    <t>2218</t>
  </si>
  <si>
    <t>2566</t>
  </si>
  <si>
    <t>2219</t>
  </si>
  <si>
    <t>2567</t>
  </si>
  <si>
    <t>2208</t>
  </si>
  <si>
    <t>2207</t>
  </si>
  <si>
    <t>2211</t>
  </si>
  <si>
    <t>2778</t>
  </si>
  <si>
    <t>2775</t>
  </si>
  <si>
    <t>2780</t>
  </si>
  <si>
    <t>2773</t>
  </si>
  <si>
    <t>2721</t>
  </si>
  <si>
    <t>2776</t>
  </si>
  <si>
    <t>2774</t>
  </si>
  <si>
    <t>2764</t>
  </si>
  <si>
    <t>2777</t>
  </si>
  <si>
    <t>2768</t>
  </si>
  <si>
    <t>2766</t>
  </si>
  <si>
    <t>2779</t>
  </si>
  <si>
    <t>2722</t>
  </si>
  <si>
    <t>2710</t>
  </si>
  <si>
    <t>2596</t>
  </si>
  <si>
    <t>2709</t>
  </si>
  <si>
    <t>2784</t>
  </si>
  <si>
    <t>2720</t>
  </si>
  <si>
    <t>2595</t>
  </si>
  <si>
    <t>2593</t>
  </si>
  <si>
    <t>2711</t>
  </si>
  <si>
    <t>2712</t>
  </si>
  <si>
    <t>2708</t>
  </si>
  <si>
    <t>2783</t>
  </si>
  <si>
    <t>2782</t>
  </si>
  <si>
    <t>2769</t>
  </si>
  <si>
    <t>2781</t>
  </si>
  <si>
    <t>2707</t>
  </si>
  <si>
    <t>2592</t>
  </si>
  <si>
    <t>2713</t>
  </si>
  <si>
    <t>2594</t>
  </si>
  <si>
    <t>2785</t>
  </si>
  <si>
    <t>2787</t>
  </si>
  <si>
    <t>2597</t>
  </si>
  <si>
    <t>Ribatejana Verde - Transportes Rodoviários de Passageiros, Unipessoal LDA.</t>
  </si>
  <si>
    <t>CITIRAMA - Viagens e Turismo,  S.A.</t>
  </si>
  <si>
    <t>DIANATOURS - Viagens e Turismo, LDA.</t>
  </si>
  <si>
    <t>EVA - Transportes, S.A.</t>
  </si>
  <si>
    <t>Frota Azul Algarve - Transportes e Turismo, LDA.</t>
  </si>
  <si>
    <t>Sandbus Transportes, Unipessoal LDA.</t>
  </si>
  <si>
    <t>Translagos - Transportes Publicos, LDA.</t>
  </si>
  <si>
    <t>Vizur Transportes, Unipessoal LDA.</t>
  </si>
  <si>
    <t>Mundial Turismo, S.A.</t>
  </si>
  <si>
    <t>LISBOAT, Lda.</t>
  </si>
  <si>
    <t>Vimeca Transporte - Viação Mecânica de Carnaxide, LDA.</t>
  </si>
  <si>
    <t>Atlantic Cargo - Sociedade de Transportes, S.A.</t>
  </si>
  <si>
    <t>RDO - Rodoviária do Oeste, LDA.</t>
  </si>
  <si>
    <t>RDL - Rodoviária do Lis, LDA.</t>
  </si>
  <si>
    <t>Rodolezíria - Transportes Rodoviários de Passageiros, Unipessoal LDA.</t>
  </si>
  <si>
    <t>RMTejo - Transportes Rodoviários de Passageiros, Unipessoal LDA.</t>
  </si>
  <si>
    <t>Transportes Central de Santa Apolónia, LDA.</t>
  </si>
  <si>
    <t>SOTAC - Sociedade de Turismo e Agricultura S.A.</t>
  </si>
  <si>
    <t>Transol - Transportes e Turismo, S.A.</t>
  </si>
  <si>
    <t>ViaNorbus - Transporte Rodoviário de Passageiros, LDA.</t>
  </si>
  <si>
    <t>MTS - Metro, Transportes do Sul, S.A.</t>
  </si>
  <si>
    <t>FERTAGUS - Travessia do Tejo, Transportes, S. A.</t>
  </si>
  <si>
    <t>Viaporto - Operação e Manutenção de Transportes, Unipessoal LDA.</t>
  </si>
  <si>
    <t>FROTIMO - Frota Imobiliária, LDA.</t>
  </si>
  <si>
    <t>ROTAGUS – SGPS, S.A.</t>
  </si>
  <si>
    <t>RODINFORM – Informática aplicada aos Transportes, S.A.</t>
  </si>
  <si>
    <t>Outvalue, LDA.</t>
  </si>
  <si>
    <t>ADMIL - Sociedade Civil de Administração S.A.</t>
  </si>
  <si>
    <t>EVA - Transportes, S.A. - oficina LOULÉ</t>
  </si>
  <si>
    <t>EVA - Transportes, S.A. - oficina LAGOS</t>
  </si>
  <si>
    <t>EVA - Transportes, S.A. - oficina GAMBELAS</t>
  </si>
  <si>
    <t>EVA - Transportes, S.A. - oficina FERREIRAS</t>
  </si>
  <si>
    <t>EVA - Transportes, S.A. - oficina PORTIMAO</t>
  </si>
  <si>
    <t>EVA - Transportes, S.A. - oficina VRSA</t>
  </si>
  <si>
    <t>MixIP</t>
  </si>
  <si>
    <t>RNE - Rede Nacional de Expressos, Lda.</t>
  </si>
  <si>
    <t>Energia Elétrica Terminal Sete Rios</t>
  </si>
  <si>
    <t>Eva Transportes</t>
  </si>
  <si>
    <t>Isidoro Duarte</t>
  </si>
  <si>
    <t>Transviagens</t>
  </si>
  <si>
    <t>Rodoviária Beira Litoral</t>
  </si>
  <si>
    <t>Rodoviária Beira Interior</t>
  </si>
  <si>
    <t>Transdev Interior</t>
  </si>
  <si>
    <t>Transdev Douro</t>
  </si>
  <si>
    <t>Transdev Norte</t>
  </si>
  <si>
    <t>RMTejo</t>
  </si>
  <si>
    <t>RDL - Rodoviária do Lis</t>
  </si>
  <si>
    <t>RDO - Rodoviária do Oeste</t>
  </si>
  <si>
    <t>Rodolezíria</t>
  </si>
  <si>
    <t>Auto Viação Aveirense</t>
  </si>
  <si>
    <t>Resende</t>
  </si>
  <si>
    <t>Frota Azul Algarve</t>
  </si>
  <si>
    <t>António dos Prazeres Silva &amp; Filhos</t>
  </si>
  <si>
    <t>Auto Viação Cura</t>
  </si>
  <si>
    <t>Auto Viação do Tâmega</t>
  </si>
  <si>
    <t>Rodonorte</t>
  </si>
  <si>
    <t>Empresa Berrelhas</t>
  </si>
  <si>
    <t>Ovnitur</t>
  </si>
  <si>
    <t>Lopes &amp; Filhos</t>
  </si>
  <si>
    <t>Vale do Ave</t>
  </si>
  <si>
    <t>Pesado de Passageiros M3: III : Gasóleo : E6</t>
  </si>
  <si>
    <t>Só existem dados dos kms</t>
  </si>
  <si>
    <t>A4</t>
  </si>
  <si>
    <t>A5</t>
  </si>
  <si>
    <t>A6</t>
  </si>
  <si>
    <t>A7</t>
  </si>
  <si>
    <t>A8</t>
  </si>
  <si>
    <t>A9</t>
  </si>
  <si>
    <t>A3.14</t>
  </si>
  <si>
    <t>A10</t>
  </si>
  <si>
    <t>A3.15</t>
  </si>
  <si>
    <t>A11</t>
  </si>
  <si>
    <t>A3.16</t>
  </si>
  <si>
    <t>A12</t>
  </si>
  <si>
    <t>A3.17</t>
  </si>
  <si>
    <t>A13</t>
  </si>
  <si>
    <t>A3.18</t>
  </si>
  <si>
    <t>A14</t>
  </si>
  <si>
    <t>A3.19</t>
  </si>
  <si>
    <t>A15</t>
  </si>
  <si>
    <t>A3.20</t>
  </si>
  <si>
    <t>A16</t>
  </si>
  <si>
    <t>A3.21</t>
  </si>
  <si>
    <t>A17</t>
  </si>
  <si>
    <t>A3.22</t>
  </si>
  <si>
    <t>A18</t>
  </si>
  <si>
    <t>A3.23</t>
  </si>
  <si>
    <t>A19</t>
  </si>
  <si>
    <t>A3.24</t>
  </si>
  <si>
    <t>A20</t>
  </si>
  <si>
    <t>A3.25</t>
  </si>
  <si>
    <t>A21</t>
  </si>
  <si>
    <t>A3.26</t>
  </si>
  <si>
    <t>A22</t>
  </si>
  <si>
    <t>A3.27</t>
  </si>
  <si>
    <t>A23</t>
  </si>
  <si>
    <t>A3.28</t>
  </si>
  <si>
    <t>A24</t>
  </si>
  <si>
    <t>A3.29</t>
  </si>
  <si>
    <t>A25</t>
  </si>
  <si>
    <t>A3.30</t>
  </si>
  <si>
    <t>A26</t>
  </si>
  <si>
    <t>A3.31</t>
  </si>
  <si>
    <t>A27</t>
  </si>
  <si>
    <t>A3.32</t>
  </si>
  <si>
    <t>A28</t>
  </si>
  <si>
    <t>A3.33</t>
  </si>
  <si>
    <t>A29</t>
  </si>
  <si>
    <t>A3.34</t>
  </si>
  <si>
    <t>FOLLOW ME TOURS, UNIPESSOAL, LDA.</t>
  </si>
  <si>
    <t>BEST TRANSFERS 4 U - VIAGENS E TURISMO,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</si>
</sst>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8" formatCode="#,##0.00\ &quot;€&quot;;[Red]\-#,##0.00\ &quot;€&quot;"/>
    <numFmt numFmtId="41" formatCode="_-* #,##0_-;\-* #,##0_-;_-* &quot;-&quot;_-;_-@_-"/>
    <numFmt numFmtId="44" formatCode="_-* #,##0.00\ &quot;€&quot;_-;\-* #,##0.00\ &quot;€&quot;_-;_-* &quot;-&quot;??\ &quot;€&quot;_-;_-@_-"/>
    <numFmt numFmtId="164" formatCode="_-* #,##0.00\ _€_-;\-* #,##0.00\ _€_-;_-* &quot;-&quot;??\ _€_-;_-@_-"/>
    <numFmt numFmtId="165" formatCode="0.0"/>
    <numFmt numFmtId="166" formatCode="_-* #,##0.0\ _€_-;\-* #,##0.0\ _€_-;_-* &quot;-&quot;??\ _€_-;_-@_-"/>
    <numFmt numFmtId="167" formatCode="_-* #,##0\ _€_-;\-* #,##0\ _€_-;_-* &quot;-&quot;??\ _€_-;_-@_-"/>
    <numFmt numFmtId="168" formatCode="0.000"/>
    <numFmt numFmtId="169" formatCode="_-* #,##0.0\ _C_F_A_-;\-* #,##0.0\ _C_F_A_-;_-* &quot;-&quot;?\ _C_F_A_-;_-@_-"/>
    <numFmt numFmtId="170" formatCode="_-* #,##0.0\ _€_-;\-* #,##0.0\ _€_-;_-* &quot;-&quot;?\ _€_-;_-@_-"/>
    <numFmt numFmtId="171" formatCode="#,##0.00\ &quot;€&quot;"/>
    <numFmt numFmtId="172" formatCode="_-* #,##0.000\ &quot;€&quot;_-;\-* #,##0.000\ &quot;€&quot;_-;_-* &quot;-&quot;??\ &quot;€&quot;_-;_-@_-"/>
    <numFmt numFmtId="173" formatCode="#,##0.0"/>
    <numFmt numFmtId="174" formatCode="0.0%"/>
  </numFmts>
  <fonts count="35" x14ac:knownFonts="1">
    <font>
      <sz val="11"/>
      <color theme="1"/>
      <name val="Calibri"/>
      <family val="2"/>
      <scheme val="minor"/>
    </font>
    <font>
      <b/>
      <sz val="12"/>
      <color theme="0"/>
      <name val="Calibri"/>
      <family val="2"/>
      <scheme val="minor"/>
    </font>
    <font>
      <sz val="12"/>
      <color theme="1"/>
      <name val="Calibri"/>
      <family val="2"/>
      <scheme val="minor"/>
    </font>
    <font>
      <b/>
      <sz val="20"/>
      <color theme="0"/>
      <name val="Calibri"/>
      <family val="2"/>
      <scheme val="minor"/>
    </font>
    <font>
      <sz val="11"/>
      <name val="Calibri"/>
      <family val="2"/>
      <scheme val="minor"/>
    </font>
    <font>
      <b/>
      <sz val="26"/>
      <color theme="0"/>
      <name val="Calibri"/>
      <family val="2"/>
      <scheme val="minor"/>
    </font>
    <font>
      <b/>
      <sz val="12"/>
      <color theme="1"/>
      <name val="Calibri"/>
      <family val="2"/>
      <scheme val="minor"/>
    </font>
    <font>
      <sz val="10"/>
      <color theme="1"/>
      <name val="Calibri"/>
      <family val="2"/>
      <scheme val="minor"/>
    </font>
    <font>
      <b/>
      <sz val="12"/>
      <color theme="4"/>
      <name val="Calibri"/>
      <family val="2"/>
      <scheme val="minor"/>
    </font>
    <font>
      <b/>
      <sz val="11"/>
      <color theme="0"/>
      <name val="Calibri"/>
      <family val="2"/>
      <scheme val="minor"/>
    </font>
    <font>
      <sz val="11"/>
      <color theme="0"/>
      <name val="Calibri"/>
      <family val="2"/>
      <scheme val="minor"/>
    </font>
    <font>
      <sz val="10"/>
      <color rgb="FF000000"/>
      <name val="Calibri"/>
      <family val="2"/>
    </font>
    <font>
      <sz val="10"/>
      <color theme="1"/>
      <name val="Calibri"/>
      <family val="2"/>
    </font>
    <font>
      <b/>
      <i/>
      <sz val="28"/>
      <color rgb="FF002060"/>
      <name val="Calibri"/>
      <family val="2"/>
    </font>
    <font>
      <sz val="28"/>
      <color theme="1"/>
      <name val="Calibri"/>
      <family val="2"/>
    </font>
    <font>
      <b/>
      <sz val="20"/>
      <color rgb="FF002060"/>
      <name val="Calibri"/>
      <family val="2"/>
      <scheme val="minor"/>
    </font>
    <font>
      <sz val="11"/>
      <color rgb="FF002060"/>
      <name val="Calibri"/>
      <family val="2"/>
      <scheme val="minor"/>
    </font>
    <font>
      <b/>
      <sz val="11"/>
      <color rgb="FF002060"/>
      <name val="Calibri"/>
      <family val="2"/>
      <scheme val="minor"/>
    </font>
    <font>
      <sz val="9"/>
      <color theme="1"/>
      <name val="Calibri"/>
      <family val="2"/>
      <scheme val="minor"/>
    </font>
    <font>
      <sz val="9"/>
      <name val="Calibri"/>
      <family val="2"/>
      <scheme val="minor"/>
    </font>
    <font>
      <b/>
      <sz val="9"/>
      <color indexed="81"/>
      <name val="Tahoma"/>
      <family val="2"/>
    </font>
    <font>
      <sz val="9"/>
      <color indexed="81"/>
      <name val="Tahoma"/>
      <family val="2"/>
    </font>
    <font>
      <sz val="11"/>
      <color theme="1"/>
      <name val="Calibri"/>
      <family val="2"/>
      <scheme val="minor"/>
    </font>
    <font>
      <u/>
      <sz val="11"/>
      <color theme="10"/>
      <name val="Calibri"/>
      <family val="2"/>
      <scheme val="minor"/>
    </font>
    <font>
      <b/>
      <sz val="11"/>
      <name val="Calibri"/>
      <family val="2"/>
      <scheme val="minor"/>
    </font>
    <font>
      <sz val="10"/>
      <color theme="1"/>
      <name val="Symbol"/>
      <family val="1"/>
      <charset val="2"/>
    </font>
    <font>
      <u/>
      <sz val="10"/>
      <color theme="10"/>
      <name val="Calibri"/>
      <family val="2"/>
      <scheme val="minor"/>
    </font>
    <font>
      <b/>
      <sz val="12"/>
      <name val="Calibri"/>
      <family val="2"/>
      <scheme val="minor"/>
    </font>
    <font>
      <sz val="12"/>
      <name val="Calibri"/>
      <family val="2"/>
      <scheme val="minor"/>
    </font>
    <font>
      <sz val="8"/>
      <color rgb="FF000000"/>
      <name val="Arial"/>
      <family val="2"/>
    </font>
    <font>
      <sz val="11"/>
      <color rgb="FFFF0000"/>
      <name val="Calibri"/>
      <family val="2"/>
      <scheme val="minor"/>
    </font>
    <font>
      <b/>
      <sz val="11"/>
      <color theme="1"/>
      <name val="Calibri"/>
      <family val="2"/>
      <scheme val="minor"/>
    </font>
    <font>
      <sz val="11"/>
      <color theme="4" tint="-0.249977111117893"/>
      <name val="Calibri"/>
      <family val="2"/>
      <scheme val="minor"/>
    </font>
    <font>
      <sz val="11"/>
      <color rgb="FFC00000"/>
      <name val="Calibri"/>
      <family val="2"/>
      <scheme val="minor"/>
    </font>
    <font>
      <b/>
      <sz val="11"/>
      <color rgb="FFC00000"/>
      <name val="Calibri"/>
      <family val="2"/>
      <scheme val="minor"/>
    </font>
  </fonts>
  <fills count="28">
    <fill>
      <patternFill patternType="none"/>
    </fill>
    <fill>
      <patternFill patternType="gray125"/>
    </fill>
    <fill>
      <patternFill patternType="solid">
        <fgColor theme="8" tint="-0.249977111117893"/>
        <bgColor indexed="64"/>
      </patternFill>
    </fill>
    <fill>
      <patternFill patternType="solid">
        <fgColor theme="8" tint="-0.499984740745262"/>
        <bgColor indexed="64"/>
      </patternFill>
    </fill>
    <fill>
      <patternFill patternType="solid">
        <fgColor theme="9" tint="0.79998168889431442"/>
        <bgColor indexed="64"/>
      </patternFill>
    </fill>
    <fill>
      <patternFill patternType="solid">
        <fgColor theme="0"/>
        <bgColor indexed="64"/>
      </patternFill>
    </fill>
    <fill>
      <patternFill patternType="solid">
        <fgColor rgb="FF002060"/>
        <bgColor indexed="64"/>
      </patternFill>
    </fill>
    <fill>
      <patternFill patternType="solid">
        <fgColor theme="8" tint="0.79998168889431442"/>
        <bgColor indexed="64"/>
      </patternFill>
    </fill>
    <fill>
      <patternFill patternType="solid">
        <fgColor rgb="FF0070C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5"/>
        <bgColor indexed="64"/>
      </patternFill>
    </fill>
    <fill>
      <patternFill patternType="solid">
        <fgColor rgb="FFC00000"/>
        <bgColor indexed="64"/>
      </patternFill>
    </fill>
    <fill>
      <patternFill patternType="solid">
        <fgColor theme="4" tint="0.79998168889431442"/>
        <bgColor theme="4" tint="0.79998168889431442"/>
      </patternFill>
    </fill>
    <fill>
      <patternFill patternType="solid">
        <fgColor theme="5" tint="0.59999389629810485"/>
        <bgColor indexed="64"/>
      </patternFill>
    </fill>
    <fill>
      <patternFill patternType="solid">
        <fgColor theme="8"/>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rgb="FFE3B7B7"/>
        <bgColor indexed="64"/>
      </patternFill>
    </fill>
    <fill>
      <patternFill patternType="solid">
        <fgColor rgb="FFFFFF00"/>
        <bgColor indexed="64"/>
      </patternFill>
    </fill>
    <fill>
      <patternFill patternType="solid">
        <fgColor rgb="FFFF0000"/>
        <bgColor indexed="64"/>
      </patternFill>
    </fill>
  </fills>
  <borders count="124">
    <border>
      <left/>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top style="dashed">
        <color indexed="64"/>
      </top>
      <bottom style="medium">
        <color theme="8" tint="-0.24994659260841701"/>
      </bottom>
      <diagonal/>
    </border>
    <border>
      <left/>
      <right/>
      <top/>
      <bottom style="medium">
        <color theme="8" tint="-0.24994659260841701"/>
      </bottom>
      <diagonal/>
    </border>
    <border>
      <left style="thick">
        <color theme="8" tint="-0.499984740745262"/>
      </left>
      <right/>
      <top style="thick">
        <color theme="8" tint="-0.499984740745262"/>
      </top>
      <bottom/>
      <diagonal/>
    </border>
    <border>
      <left/>
      <right/>
      <top style="thick">
        <color theme="8" tint="-0.499984740745262"/>
      </top>
      <bottom/>
      <diagonal/>
    </border>
    <border>
      <left style="thick">
        <color theme="8" tint="-0.499984740745262"/>
      </left>
      <right/>
      <top/>
      <bottom/>
      <diagonal/>
    </border>
    <border>
      <left/>
      <right style="thick">
        <color theme="8" tint="-0.499984740745262"/>
      </right>
      <top/>
      <bottom/>
      <diagonal/>
    </border>
    <border>
      <left style="thick">
        <color theme="8" tint="-0.499984740745262"/>
      </left>
      <right/>
      <top/>
      <bottom style="dashed">
        <color indexed="64"/>
      </bottom>
      <diagonal/>
    </border>
    <border>
      <left/>
      <right style="thick">
        <color theme="8" tint="-0.499984740745262"/>
      </right>
      <top/>
      <bottom style="dashed">
        <color indexed="64"/>
      </bottom>
      <diagonal/>
    </border>
    <border>
      <left style="thick">
        <color theme="8" tint="-0.499984740745262"/>
      </left>
      <right/>
      <top style="dashed">
        <color indexed="64"/>
      </top>
      <bottom style="dashed">
        <color indexed="64"/>
      </bottom>
      <diagonal/>
    </border>
    <border>
      <left/>
      <right style="thick">
        <color theme="8" tint="-0.499984740745262"/>
      </right>
      <top style="dashed">
        <color indexed="64"/>
      </top>
      <bottom style="dashed">
        <color indexed="64"/>
      </bottom>
      <diagonal/>
    </border>
    <border>
      <left style="thick">
        <color theme="8" tint="-0.499984740745262"/>
      </left>
      <right/>
      <top style="dashed">
        <color indexed="64"/>
      </top>
      <bottom style="medium">
        <color theme="8" tint="-0.24994659260841701"/>
      </bottom>
      <diagonal/>
    </border>
    <border>
      <left/>
      <right style="thick">
        <color theme="8" tint="-0.499984740745262"/>
      </right>
      <top style="dashed">
        <color indexed="64"/>
      </top>
      <bottom style="medium">
        <color theme="8" tint="-0.24994659260841701"/>
      </bottom>
      <diagonal/>
    </border>
    <border>
      <left style="thick">
        <color theme="8" tint="-0.499984740745262"/>
      </left>
      <right/>
      <top/>
      <bottom style="medium">
        <color theme="8" tint="-0.24994659260841701"/>
      </bottom>
      <diagonal/>
    </border>
    <border>
      <left/>
      <right style="thick">
        <color theme="8" tint="-0.499984740745262"/>
      </right>
      <top/>
      <bottom style="medium">
        <color theme="8" tint="-0.24994659260841701"/>
      </bottom>
      <diagonal/>
    </border>
    <border>
      <left/>
      <right/>
      <top/>
      <bottom style="medium">
        <color theme="8" tint="-0.499984740745262"/>
      </bottom>
      <diagonal/>
    </border>
    <border>
      <left/>
      <right style="thick">
        <color theme="8" tint="-0.499984740745262"/>
      </right>
      <top style="thick">
        <color theme="8" tint="-0.499984740745262"/>
      </top>
      <bottom/>
      <diagonal/>
    </border>
    <border>
      <left/>
      <right style="thick">
        <color theme="8" tint="-0.499984740745262"/>
      </right>
      <top/>
      <bottom style="medium">
        <color theme="8" tint="-0.499984740745262"/>
      </bottom>
      <diagonal/>
    </border>
    <border>
      <left/>
      <right style="dotted">
        <color theme="8" tint="-0.499984740745262"/>
      </right>
      <top style="dotted">
        <color theme="8" tint="-0.499984740745262"/>
      </top>
      <bottom style="dotted">
        <color theme="8" tint="-0.499984740745262"/>
      </bottom>
      <diagonal/>
    </border>
    <border>
      <left/>
      <right style="dotted">
        <color theme="8" tint="-0.499984740745262"/>
      </right>
      <top style="dotted">
        <color theme="8" tint="-0.499984740745262"/>
      </top>
      <bottom style="medium">
        <color theme="8" tint="-0.499984740745262"/>
      </bottom>
      <diagonal/>
    </border>
    <border>
      <left style="dashed">
        <color indexed="64"/>
      </left>
      <right/>
      <top style="medium">
        <color theme="8" tint="-0.499984740745262"/>
      </top>
      <bottom/>
      <diagonal/>
    </border>
    <border>
      <left/>
      <right style="dashed">
        <color indexed="64"/>
      </right>
      <top style="medium">
        <color theme="8" tint="-0.499984740745262"/>
      </top>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theme="8" tint="-0.24994659260841701"/>
      </bottom>
      <diagonal/>
    </border>
    <border>
      <left/>
      <right style="dashed">
        <color indexed="64"/>
      </right>
      <top style="dashed">
        <color indexed="64"/>
      </top>
      <bottom style="medium">
        <color theme="8" tint="-0.24994659260841701"/>
      </bottom>
      <diagonal/>
    </border>
    <border>
      <left style="dashed">
        <color indexed="64"/>
      </left>
      <right/>
      <top/>
      <bottom style="medium">
        <color theme="8" tint="-0.24994659260841701"/>
      </bottom>
      <diagonal/>
    </border>
    <border>
      <left/>
      <right style="dashed">
        <color indexed="64"/>
      </right>
      <top/>
      <bottom style="medium">
        <color theme="8" tint="-0.24994659260841701"/>
      </bottom>
      <diagonal/>
    </border>
    <border>
      <left/>
      <right style="medium">
        <color theme="8" tint="-0.499984740745262"/>
      </right>
      <top style="thick">
        <color theme="8" tint="-0.499984740745262"/>
      </top>
      <bottom/>
      <diagonal/>
    </border>
    <border>
      <left/>
      <right style="medium">
        <color theme="8" tint="-0.499984740745262"/>
      </right>
      <top/>
      <bottom/>
      <diagonal/>
    </border>
    <border>
      <left style="thick">
        <color theme="8" tint="-0.499984740745262"/>
      </left>
      <right/>
      <top style="dashed">
        <color theme="8" tint="-0.499984740745262"/>
      </top>
      <bottom style="medium">
        <color theme="8" tint="-0.499984740745262"/>
      </bottom>
      <diagonal/>
    </border>
    <border>
      <left/>
      <right/>
      <top style="dashed">
        <color theme="8" tint="-0.499984740745262"/>
      </top>
      <bottom style="medium">
        <color theme="8" tint="-0.499984740745262"/>
      </bottom>
      <diagonal/>
    </border>
    <border>
      <left/>
      <right style="medium">
        <color theme="8" tint="-0.499984740745262"/>
      </right>
      <top style="dashed">
        <color theme="8" tint="-0.499984740745262"/>
      </top>
      <bottom style="medium">
        <color theme="8" tint="-0.499984740745262"/>
      </bottom>
      <diagonal/>
    </border>
    <border>
      <left style="medium">
        <color theme="8" tint="-0.499984740745262"/>
      </left>
      <right/>
      <top style="thick">
        <color theme="8" tint="-0.499984740745262"/>
      </top>
      <bottom/>
      <diagonal/>
    </border>
    <border>
      <left/>
      <right style="dotted">
        <color theme="8" tint="-0.499984740745262"/>
      </right>
      <top style="thick">
        <color theme="8" tint="-0.499984740745262"/>
      </top>
      <bottom/>
      <diagonal/>
    </border>
    <border>
      <left/>
      <right style="dotted">
        <color theme="8" tint="-0.499984740745262"/>
      </right>
      <top/>
      <bottom style="dotted">
        <color theme="8" tint="-0.499984740745262"/>
      </bottom>
      <diagonal/>
    </border>
    <border>
      <left/>
      <right/>
      <top style="dotted">
        <color theme="8" tint="-0.499984740745262"/>
      </top>
      <bottom/>
      <diagonal/>
    </border>
    <border>
      <left/>
      <right/>
      <top style="medium">
        <color theme="8" tint="-0.499984740745262"/>
      </top>
      <bottom/>
      <diagonal/>
    </border>
    <border>
      <left style="medium">
        <color theme="8" tint="-0.499984740745262"/>
      </left>
      <right/>
      <top style="dotted">
        <color theme="8" tint="-0.499984740745262"/>
      </top>
      <bottom/>
      <diagonal/>
    </border>
    <border>
      <left style="medium">
        <color theme="8" tint="-0.499984740745262"/>
      </left>
      <right/>
      <top/>
      <bottom style="medium">
        <color theme="8" tint="-0.499984740745262"/>
      </bottom>
      <diagonal/>
    </border>
    <border>
      <left style="medium">
        <color theme="8" tint="-0.499984740745262"/>
      </left>
      <right/>
      <top/>
      <bottom style="dotted">
        <color theme="8" tint="-0.499984740745262"/>
      </bottom>
      <diagonal/>
    </border>
    <border>
      <left/>
      <right/>
      <top/>
      <bottom style="dotted">
        <color theme="8" tint="-0.499984740745262"/>
      </bottom>
      <diagonal/>
    </border>
    <border>
      <left style="thick">
        <color theme="8" tint="-0.499984740745262"/>
      </left>
      <right/>
      <top style="medium">
        <color theme="8" tint="-0.24994659260841701"/>
      </top>
      <bottom style="dashed">
        <color theme="8" tint="-0.499984740745262"/>
      </bottom>
      <diagonal/>
    </border>
    <border>
      <left/>
      <right/>
      <top style="medium">
        <color theme="8" tint="-0.24994659260841701"/>
      </top>
      <bottom style="dashed">
        <color theme="8" tint="-0.499984740745262"/>
      </bottom>
      <diagonal/>
    </border>
    <border>
      <left style="dashed">
        <color indexed="64"/>
      </left>
      <right/>
      <top style="medium">
        <color theme="8" tint="-0.24994659260841701"/>
      </top>
      <bottom style="dashed">
        <color theme="8" tint="-0.499984740745262"/>
      </bottom>
      <diagonal/>
    </border>
    <border>
      <left/>
      <right style="dashed">
        <color indexed="64"/>
      </right>
      <top style="medium">
        <color theme="8" tint="-0.24994659260841701"/>
      </top>
      <bottom style="dashed">
        <color theme="8" tint="-0.499984740745262"/>
      </bottom>
      <diagonal/>
    </border>
    <border>
      <left/>
      <right style="thick">
        <color theme="8" tint="-0.499984740745262"/>
      </right>
      <top style="medium">
        <color theme="8" tint="-0.24994659260841701"/>
      </top>
      <bottom style="dashed">
        <color theme="8" tint="-0.499984740745262"/>
      </bottom>
      <diagonal/>
    </border>
    <border>
      <left style="thick">
        <color theme="8" tint="-0.499984740745262"/>
      </left>
      <right/>
      <top style="dashed">
        <color theme="8" tint="-0.499984740745262"/>
      </top>
      <bottom style="dashed">
        <color theme="8" tint="-0.499984740745262"/>
      </bottom>
      <diagonal/>
    </border>
    <border>
      <left/>
      <right/>
      <top style="dashed">
        <color theme="8" tint="-0.499984740745262"/>
      </top>
      <bottom style="dashed">
        <color theme="8" tint="-0.499984740745262"/>
      </bottom>
      <diagonal/>
    </border>
    <border>
      <left style="dashed">
        <color indexed="64"/>
      </left>
      <right/>
      <top style="dashed">
        <color theme="8" tint="-0.499984740745262"/>
      </top>
      <bottom style="dashed">
        <color theme="8" tint="-0.499984740745262"/>
      </bottom>
      <diagonal/>
    </border>
    <border>
      <left/>
      <right style="dashed">
        <color indexed="64"/>
      </right>
      <top style="dashed">
        <color theme="8" tint="-0.499984740745262"/>
      </top>
      <bottom style="dashed">
        <color theme="8" tint="-0.499984740745262"/>
      </bottom>
      <diagonal/>
    </border>
    <border>
      <left/>
      <right style="thick">
        <color theme="8" tint="-0.499984740745262"/>
      </right>
      <top style="dashed">
        <color theme="8" tint="-0.499984740745262"/>
      </top>
      <bottom style="dashed">
        <color theme="8" tint="-0.499984740745262"/>
      </bottom>
      <diagonal/>
    </border>
    <border>
      <left style="thick">
        <color theme="8" tint="-0.499984740745262"/>
      </left>
      <right/>
      <top style="dashed">
        <color theme="8" tint="-0.499984740745262"/>
      </top>
      <bottom style="thick">
        <color theme="8" tint="-0.499984740745262"/>
      </bottom>
      <diagonal/>
    </border>
    <border>
      <left/>
      <right/>
      <top style="dashed">
        <color theme="8" tint="-0.499984740745262"/>
      </top>
      <bottom style="thick">
        <color theme="8" tint="-0.499984740745262"/>
      </bottom>
      <diagonal/>
    </border>
    <border>
      <left style="dashed">
        <color indexed="64"/>
      </left>
      <right/>
      <top style="dashed">
        <color theme="8" tint="-0.499984740745262"/>
      </top>
      <bottom style="thick">
        <color theme="8" tint="-0.499984740745262"/>
      </bottom>
      <diagonal/>
    </border>
    <border>
      <left/>
      <right style="dashed">
        <color indexed="64"/>
      </right>
      <top style="dashed">
        <color theme="8" tint="-0.499984740745262"/>
      </top>
      <bottom style="thick">
        <color theme="8" tint="-0.499984740745262"/>
      </bottom>
      <diagonal/>
    </border>
    <border>
      <left/>
      <right style="thick">
        <color theme="8" tint="-0.499984740745262"/>
      </right>
      <top style="dashed">
        <color theme="8" tint="-0.499984740745262"/>
      </top>
      <bottom style="thick">
        <color theme="8" tint="-0.499984740745262"/>
      </bottom>
      <diagonal/>
    </border>
    <border>
      <left style="dotted">
        <color theme="8" tint="-0.499984740745262"/>
      </left>
      <right/>
      <top style="thick">
        <color theme="8" tint="-0.499984740745262"/>
      </top>
      <bottom/>
      <diagonal/>
    </border>
    <border>
      <left style="dotted">
        <color theme="8" tint="-0.499984740745262"/>
      </left>
      <right/>
      <top/>
      <bottom/>
      <diagonal/>
    </border>
    <border>
      <left style="dotted">
        <color theme="8" tint="-0.499984740745262"/>
      </left>
      <right/>
      <top/>
      <bottom style="medium">
        <color theme="8"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medium">
        <color theme="0"/>
      </left>
      <right/>
      <top style="medium">
        <color theme="0"/>
      </top>
      <bottom/>
      <diagonal/>
    </border>
    <border>
      <left style="dashed">
        <color rgb="FF0166A4"/>
      </left>
      <right style="dashed">
        <color rgb="FF0166A4"/>
      </right>
      <top style="dashed">
        <color rgb="FF0166A4"/>
      </top>
      <bottom style="dashed">
        <color rgb="FF0166A4"/>
      </bottom>
      <diagonal/>
    </border>
    <border>
      <left style="thin">
        <color indexed="64"/>
      </left>
      <right style="thin">
        <color indexed="64"/>
      </right>
      <top style="thin">
        <color indexed="64"/>
      </top>
      <bottom style="thin">
        <color indexed="64"/>
      </bottom>
      <diagonal/>
    </border>
    <border>
      <left/>
      <right style="thin">
        <color theme="1" tint="0.499984740745262"/>
      </right>
      <top style="medium">
        <color theme="1" tint="0.499984740745262"/>
      </top>
      <bottom style="medium">
        <color theme="1" tint="0.499984740745262"/>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medium">
        <color theme="1" tint="0.499984740745262"/>
      </right>
      <top style="medium">
        <color theme="1" tint="0.499984740745262"/>
      </top>
      <bottom style="medium">
        <color theme="1" tint="0.499984740745262"/>
      </bottom>
      <diagonal/>
    </border>
    <border>
      <left style="thin">
        <color indexed="64"/>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bottom/>
      <diagonal/>
    </border>
    <border>
      <left style="medium">
        <color theme="0"/>
      </left>
      <right style="medium">
        <color theme="0"/>
      </right>
      <top/>
      <bottom/>
      <diagonal/>
    </border>
    <border>
      <left/>
      <right/>
      <top style="dashed">
        <color theme="8" tint="-0.499984740745262"/>
      </top>
      <bottom/>
      <diagonal/>
    </border>
    <border>
      <left/>
      <right/>
      <top/>
      <bottom style="dashed">
        <color theme="8" tint="-0.499984740745262"/>
      </bottom>
      <diagonal/>
    </border>
    <border>
      <left/>
      <right style="dashed">
        <color indexed="64"/>
      </right>
      <top style="dashed">
        <color theme="8" tint="-0.499984740745262"/>
      </top>
      <bottom/>
      <diagonal/>
    </border>
    <border>
      <left/>
      <right style="dashed">
        <color indexed="64"/>
      </right>
      <top/>
      <bottom/>
      <diagonal/>
    </border>
    <border>
      <left/>
      <right style="dashed">
        <color indexed="64"/>
      </right>
      <top/>
      <bottom style="dashed">
        <color theme="8" tint="-0.499984740745262"/>
      </bottom>
      <diagonal/>
    </border>
    <border>
      <left/>
      <right style="medium">
        <color theme="1" tint="0.499984740745262"/>
      </right>
      <top style="medium">
        <color theme="1" tint="0.499984740745262"/>
      </top>
      <bottom style="medium">
        <color theme="1"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auto="1"/>
      </right>
      <top/>
      <bottom style="dotted">
        <color auto="1"/>
      </bottom>
      <diagonal/>
    </border>
    <border>
      <left style="dotted">
        <color auto="1"/>
      </left>
      <right style="dotted">
        <color auto="1"/>
      </right>
      <top/>
      <bottom style="dotted">
        <color auto="1"/>
      </bottom>
      <diagonal/>
    </border>
    <border>
      <left style="dotted">
        <color auto="1"/>
      </left>
      <right/>
      <top/>
      <bottom style="dotted">
        <color auto="1"/>
      </bottom>
      <diagonal/>
    </border>
    <border>
      <left style="medium">
        <color indexed="64"/>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medium">
        <color indexed="64"/>
      </left>
      <right style="dotted">
        <color auto="1"/>
      </right>
      <top style="dotted">
        <color auto="1"/>
      </top>
      <bottom/>
      <diagonal/>
    </border>
    <border>
      <left style="dotted">
        <color auto="1"/>
      </left>
      <right style="dotted">
        <color auto="1"/>
      </right>
      <top style="dotted">
        <color auto="1"/>
      </top>
      <bottom/>
      <diagonal/>
    </border>
    <border>
      <left style="dotted">
        <color auto="1"/>
      </left>
      <right/>
      <top style="dotted">
        <color auto="1"/>
      </top>
      <bottom/>
      <diagonal/>
    </border>
    <border>
      <left/>
      <right style="dotted">
        <color theme="8" tint="-0.499984740745262"/>
      </right>
      <top style="medium">
        <color indexed="64"/>
      </top>
      <bottom/>
      <diagonal/>
    </border>
    <border>
      <left style="dotted">
        <color theme="8" tint="-0.499984740745262"/>
      </left>
      <right/>
      <top style="medium">
        <color indexed="64"/>
      </top>
      <bottom/>
      <diagonal/>
    </border>
    <border>
      <left style="medium">
        <color indexed="64"/>
      </left>
      <right/>
      <top/>
      <bottom style="dotted">
        <color theme="8" tint="-0.499984740745262"/>
      </bottom>
      <diagonal/>
    </border>
    <border>
      <left style="medium">
        <color indexed="64"/>
      </left>
      <right/>
      <top style="dotted">
        <color theme="8" tint="-0.499984740745262"/>
      </top>
      <bottom/>
      <diagonal/>
    </border>
    <border>
      <left style="medium">
        <color indexed="64"/>
      </left>
      <right/>
      <top/>
      <bottom style="medium">
        <color theme="8" tint="-0.499984740745262"/>
      </bottom>
      <diagonal/>
    </border>
    <border>
      <left/>
      <right style="medium">
        <color indexed="64"/>
      </right>
      <top/>
      <bottom style="medium">
        <color theme="8" tint="-0.499984740745262"/>
      </bottom>
      <diagonal/>
    </border>
    <border>
      <left style="medium">
        <color indexed="64"/>
      </left>
      <right/>
      <top style="medium">
        <color theme="8" tint="-0.499984740745262"/>
      </top>
      <bottom style="medium">
        <color indexed="64"/>
      </bottom>
      <diagonal/>
    </border>
    <border>
      <left/>
      <right/>
      <top style="medium">
        <color theme="8" tint="-0.499984740745262"/>
      </top>
      <bottom style="medium">
        <color indexed="64"/>
      </bottom>
      <diagonal/>
    </border>
    <border>
      <left/>
      <right style="dashed">
        <color indexed="64"/>
      </right>
      <top style="medium">
        <color theme="8" tint="-0.499984740745262"/>
      </top>
      <bottom style="medium">
        <color indexed="64"/>
      </bottom>
      <diagonal/>
    </border>
    <border>
      <left style="dotted">
        <color indexed="64"/>
      </left>
      <right/>
      <top style="medium">
        <color indexed="64"/>
      </top>
      <bottom/>
      <diagonal/>
    </border>
    <border>
      <left/>
      <right style="medium">
        <color indexed="64"/>
      </right>
      <top/>
      <bottom style="dotted">
        <color auto="1"/>
      </bottom>
      <diagonal/>
    </border>
    <border>
      <left/>
      <right style="medium">
        <color indexed="64"/>
      </right>
      <top style="dotted">
        <color auto="1"/>
      </top>
      <bottom style="dotted">
        <color auto="1"/>
      </bottom>
      <diagonal/>
    </border>
    <border>
      <left/>
      <right style="medium">
        <color indexed="64"/>
      </right>
      <top style="dotted">
        <color auto="1"/>
      </top>
      <bottom/>
      <diagonal/>
    </border>
    <border>
      <left style="dotted">
        <color indexed="64"/>
      </left>
      <right/>
      <top/>
      <bottom style="medium">
        <color indexed="64"/>
      </bottom>
      <diagonal/>
    </border>
    <border>
      <left style="thin">
        <color indexed="64"/>
      </left>
      <right style="thin">
        <color indexed="64"/>
      </right>
      <top/>
      <bottom/>
      <diagonal/>
    </border>
    <border>
      <left style="medium">
        <color theme="0"/>
      </left>
      <right style="medium">
        <color theme="0"/>
      </right>
      <top style="medium">
        <color theme="0"/>
      </top>
      <bottom style="thin">
        <color theme="4" tint="0.39997558519241921"/>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s>
  <cellStyleXfs count="6">
    <xf numFmtId="0" fontId="0" fillId="0" borderId="0"/>
    <xf numFmtId="164" fontId="22" fillId="0" borderId="0" applyFont="0" applyFill="0" applyBorder="0" applyAlignment="0" applyProtection="0"/>
    <xf numFmtId="0" fontId="23" fillId="0" borderId="0" applyNumberFormat="0" applyFill="0" applyBorder="0" applyAlignment="0" applyProtection="0"/>
    <xf numFmtId="44" fontId="22" fillId="0" borderId="0" applyFont="0" applyFill="0" applyBorder="0" applyAlignment="0" applyProtection="0"/>
    <xf numFmtId="41" fontId="22" fillId="0" borderId="0" applyFont="0" applyFill="0" applyBorder="0" applyAlignment="0" applyProtection="0"/>
    <xf numFmtId="9" fontId="22" fillId="0" borderId="0" applyFont="0" applyFill="0" applyBorder="0" applyAlignment="0" applyProtection="0"/>
  </cellStyleXfs>
  <cellXfs count="583">
    <xf numFmtId="0" fontId="0" fillId="0" borderId="0" xfId="0"/>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vertical="center"/>
    </xf>
    <xf numFmtId="0" fontId="0" fillId="0" borderId="0" xfId="0" applyBorder="1" applyAlignment="1">
      <alignment horizontal="center" vertical="center"/>
    </xf>
    <xf numFmtId="0" fontId="4" fillId="0" borderId="0" xfId="0" applyFont="1" applyAlignment="1">
      <alignment horizontal="center" vertical="center"/>
    </xf>
    <xf numFmtId="0" fontId="1" fillId="2" borderId="1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0" xfId="0" applyFont="1" applyFill="1" applyBorder="1" applyAlignment="1">
      <alignment horizontal="center" vertical="center"/>
    </xf>
    <xf numFmtId="0" fontId="0" fillId="0" borderId="23" xfId="0" applyBorder="1" applyAlignment="1">
      <alignment horizontal="center" vertical="center"/>
    </xf>
    <xf numFmtId="0" fontId="1" fillId="2" borderId="24" xfId="0" applyFont="1" applyFill="1" applyBorder="1" applyAlignment="1">
      <alignment horizontal="center" vertical="center"/>
    </xf>
    <xf numFmtId="0" fontId="1" fillId="2" borderId="25" xfId="0" applyFont="1" applyFill="1" applyBorder="1" applyAlignment="1">
      <alignment horizontal="center" vertical="center"/>
    </xf>
    <xf numFmtId="0" fontId="0" fillId="0" borderId="35" xfId="0" applyBorder="1" applyAlignment="1">
      <alignment horizontal="center" vertical="center"/>
    </xf>
    <xf numFmtId="0" fontId="0" fillId="0" borderId="22" xfId="0" applyBorder="1" applyAlignment="1">
      <alignment horizontal="center" vertical="center"/>
    </xf>
    <xf numFmtId="0" fontId="6" fillId="0" borderId="6" xfId="0" applyFont="1" applyBorder="1" applyAlignment="1">
      <alignment horizontal="left" vertical="center"/>
    </xf>
    <xf numFmtId="0" fontId="2" fillId="0" borderId="1" xfId="0" applyFont="1" applyBorder="1" applyAlignment="1">
      <alignment horizontal="center"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9" xfId="0" applyFont="1" applyBorder="1" applyAlignment="1">
      <alignment horizontal="center" vertical="center"/>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7" fillId="0" borderId="16" xfId="0" applyFont="1" applyBorder="1" applyAlignment="1">
      <alignment horizontal="left" vertical="center" wrapText="1"/>
    </xf>
    <xf numFmtId="0" fontId="7" fillId="0" borderId="18" xfId="0" applyFont="1" applyBorder="1" applyAlignment="1">
      <alignment horizontal="left" vertical="center" wrapText="1"/>
    </xf>
    <xf numFmtId="0" fontId="0" fillId="0" borderId="8" xfId="0" applyBorder="1" applyAlignment="1">
      <alignment horizontal="center" vertical="center"/>
    </xf>
    <xf numFmtId="0" fontId="0" fillId="0" borderId="19" xfId="0" applyBorder="1" applyAlignment="1">
      <alignment horizontal="center" vertical="center"/>
    </xf>
    <xf numFmtId="0" fontId="1" fillId="2" borderId="40" xfId="0" applyFont="1" applyFill="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8" xfId="0" applyFont="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6" fillId="0" borderId="46" xfId="0" applyFont="1" applyBorder="1" applyAlignment="1">
      <alignment horizontal="left" vertical="center"/>
    </xf>
    <xf numFmtId="0" fontId="6" fillId="0" borderId="46" xfId="0" applyFont="1" applyBorder="1" applyAlignment="1">
      <alignment vertical="center" wrapText="1"/>
    </xf>
    <xf numFmtId="0" fontId="2" fillId="0" borderId="47" xfId="0" applyFont="1" applyBorder="1" applyAlignment="1">
      <alignment horizontal="center" vertical="center"/>
    </xf>
    <xf numFmtId="0" fontId="2" fillId="0" borderId="46" xfId="0" applyFont="1" applyBorder="1" applyAlignment="1">
      <alignment horizontal="center" vertical="center" wrapText="1"/>
    </xf>
    <xf numFmtId="0" fontId="2" fillId="0" borderId="48" xfId="0" applyFont="1" applyBorder="1" applyAlignment="1">
      <alignment horizontal="center" vertical="center" wrapText="1"/>
    </xf>
    <xf numFmtId="0" fontId="7" fillId="0" borderId="49" xfId="0" applyFont="1" applyBorder="1" applyAlignment="1">
      <alignment horizontal="left" vertical="center" wrapText="1"/>
    </xf>
    <xf numFmtId="0" fontId="6" fillId="0" borderId="51" xfId="0" applyFont="1" applyBorder="1" applyAlignment="1">
      <alignment horizontal="left" vertical="center"/>
    </xf>
    <xf numFmtId="0" fontId="6" fillId="0" borderId="51" xfId="0" applyFont="1" applyBorder="1" applyAlignment="1">
      <alignment vertical="center" wrapText="1"/>
    </xf>
    <xf numFmtId="0" fontId="2" fillId="0" borderId="52" xfId="0" applyFont="1" applyBorder="1" applyAlignment="1">
      <alignment horizontal="center" vertical="center"/>
    </xf>
    <xf numFmtId="0" fontId="2" fillId="0" borderId="51" xfId="0" applyFont="1" applyBorder="1" applyAlignment="1">
      <alignment horizontal="center" vertical="center" wrapText="1"/>
    </xf>
    <xf numFmtId="0" fontId="2" fillId="0" borderId="53" xfId="0" applyFont="1" applyBorder="1" applyAlignment="1">
      <alignment horizontal="center" vertical="center" wrapText="1"/>
    </xf>
    <xf numFmtId="0" fontId="7" fillId="0" borderId="54" xfId="0" applyFont="1" applyBorder="1" applyAlignment="1">
      <alignment horizontal="left" vertical="center"/>
    </xf>
    <xf numFmtId="0" fontId="2" fillId="0" borderId="51" xfId="0" applyFont="1" applyBorder="1" applyAlignment="1">
      <alignment horizontal="center" vertical="center"/>
    </xf>
    <xf numFmtId="0" fontId="2" fillId="0" borderId="53" xfId="0" applyFont="1" applyBorder="1" applyAlignment="1">
      <alignment horizontal="center" vertical="center"/>
    </xf>
    <xf numFmtId="0" fontId="7" fillId="0" borderId="54" xfId="0" applyFont="1" applyBorder="1" applyAlignment="1">
      <alignment horizontal="left" vertical="center" wrapText="1"/>
    </xf>
    <xf numFmtId="0" fontId="7" fillId="0" borderId="54" xfId="0" applyFont="1" applyBorder="1" applyAlignment="1">
      <alignment horizontal="center" vertical="center"/>
    </xf>
    <xf numFmtId="0" fontId="6" fillId="0" borderId="56" xfId="0" applyFont="1" applyBorder="1" applyAlignment="1">
      <alignment horizontal="left" vertical="center"/>
    </xf>
    <xf numFmtId="0" fontId="2" fillId="0" borderId="57" xfId="0" applyFont="1" applyBorder="1" applyAlignment="1">
      <alignment horizontal="center" vertical="center"/>
    </xf>
    <xf numFmtId="0" fontId="2" fillId="0" borderId="56" xfId="0" applyFont="1" applyBorder="1" applyAlignment="1">
      <alignment horizontal="center" vertical="center"/>
    </xf>
    <xf numFmtId="0" fontId="2" fillId="0" borderId="58" xfId="0" applyFont="1" applyBorder="1" applyAlignment="1">
      <alignment horizontal="center" vertical="center"/>
    </xf>
    <xf numFmtId="0" fontId="7" fillId="0" borderId="59" xfId="0" applyFont="1" applyBorder="1" applyAlignment="1">
      <alignment horizontal="left" vertical="center"/>
    </xf>
    <xf numFmtId="0" fontId="2" fillId="0" borderId="5" xfId="0" applyFont="1" applyBorder="1" applyAlignment="1">
      <alignment horizontal="center" vertical="center" wrapText="1"/>
    </xf>
    <xf numFmtId="0" fontId="1" fillId="2" borderId="0" xfId="0" applyFont="1" applyFill="1" applyBorder="1" applyAlignment="1">
      <alignment horizontal="center" vertical="center" wrapText="1"/>
    </xf>
    <xf numFmtId="0" fontId="6" fillId="0" borderId="2" xfId="0" applyFont="1" applyBorder="1" applyAlignment="1">
      <alignment vertical="center" wrapText="1"/>
    </xf>
    <xf numFmtId="0" fontId="6" fillId="0" borderId="4" xfId="0" applyFont="1" applyBorder="1" applyAlignment="1">
      <alignment vertical="center" wrapText="1"/>
    </xf>
    <xf numFmtId="0" fontId="6" fillId="0" borderId="5" xfId="0" applyFont="1" applyBorder="1" applyAlignment="1">
      <alignment vertical="center" wrapText="1"/>
    </xf>
    <xf numFmtId="0" fontId="6" fillId="0" borderId="6" xfId="0" applyFont="1" applyBorder="1" applyAlignment="1">
      <alignment vertical="center" wrapText="1"/>
    </xf>
    <xf numFmtId="0" fontId="6" fillId="0" borderId="56" xfId="0" applyFont="1" applyBorder="1" applyAlignment="1">
      <alignment horizontal="left" vertical="center" wrapText="1"/>
    </xf>
    <xf numFmtId="0" fontId="6" fillId="0" borderId="17"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59" xfId="0" applyFont="1" applyBorder="1" applyAlignment="1">
      <alignment horizontal="left" vertical="center" wrapText="1"/>
    </xf>
    <xf numFmtId="0" fontId="0" fillId="5" borderId="0" xfId="0" applyFill="1"/>
    <xf numFmtId="0" fontId="11" fillId="5" borderId="0" xfId="0" applyFont="1" applyFill="1"/>
    <xf numFmtId="0" fontId="11" fillId="0" borderId="0" xfId="0" applyFont="1"/>
    <xf numFmtId="0" fontId="11" fillId="5" borderId="63" xfId="0" applyFont="1" applyFill="1" applyBorder="1"/>
    <xf numFmtId="0" fontId="12" fillId="5" borderId="64" xfId="0" applyFont="1" applyFill="1" applyBorder="1"/>
    <xf numFmtId="0" fontId="13" fillId="5" borderId="0" xfId="0" applyFont="1" applyFill="1" applyAlignment="1">
      <alignment vertical="center"/>
    </xf>
    <xf numFmtId="0" fontId="14" fillId="5" borderId="0" xfId="0" applyFont="1" applyFill="1"/>
    <xf numFmtId="0" fontId="15" fillId="5" borderId="0" xfId="0" applyFont="1" applyFill="1"/>
    <xf numFmtId="0" fontId="16" fillId="5" borderId="0" xfId="0" applyFont="1" applyFill="1"/>
    <xf numFmtId="0" fontId="17" fillId="5" borderId="0" xfId="0" applyFont="1" applyFill="1" applyAlignment="1">
      <alignment horizontal="right"/>
    </xf>
    <xf numFmtId="0" fontId="16" fillId="5" borderId="0" xfId="0" quotePrefix="1" applyFont="1" applyFill="1" applyAlignment="1">
      <alignment horizontal="left"/>
    </xf>
    <xf numFmtId="17" fontId="16" fillId="5" borderId="0" xfId="0" applyNumberFormat="1" applyFont="1" applyFill="1" applyAlignment="1">
      <alignment horizontal="left"/>
    </xf>
    <xf numFmtId="0" fontId="9" fillId="6" borderId="65" xfId="0" applyFont="1" applyFill="1" applyBorder="1" applyAlignment="1">
      <alignment vertical="center" wrapText="1"/>
    </xf>
    <xf numFmtId="0" fontId="0" fillId="0" borderId="66" xfId="0" applyBorder="1"/>
    <xf numFmtId="14" fontId="0" fillId="0" borderId="66" xfId="0" applyNumberFormat="1" applyBorder="1"/>
    <xf numFmtId="0" fontId="10" fillId="2" borderId="0" xfId="0" applyFont="1" applyFill="1"/>
    <xf numFmtId="0" fontId="0" fillId="7" borderId="74" xfId="0" applyFill="1" applyBorder="1" applyAlignment="1">
      <alignment horizontal="left" vertical="center" wrapText="1"/>
    </xf>
    <xf numFmtId="0" fontId="0" fillId="7" borderId="74" xfId="0" applyFill="1" applyBorder="1" applyAlignment="1">
      <alignment horizontal="left" vertical="center"/>
    </xf>
    <xf numFmtId="3" fontId="0" fillId="7" borderId="75" xfId="0" applyNumberFormat="1" applyFill="1" applyBorder="1" applyAlignment="1">
      <alignment horizontal="right" vertical="center"/>
    </xf>
    <xf numFmtId="0" fontId="0" fillId="7" borderId="75" xfId="0" applyFill="1" applyBorder="1" applyAlignment="1">
      <alignment vertical="center"/>
    </xf>
    <xf numFmtId="0" fontId="10" fillId="3" borderId="0" xfId="0" applyFont="1" applyFill="1"/>
    <xf numFmtId="0" fontId="0" fillId="6" borderId="0" xfId="0" applyFill="1"/>
    <xf numFmtId="0" fontId="10" fillId="3" borderId="0" xfId="0" applyFont="1" applyFill="1" applyAlignment="1">
      <alignment horizontal="center"/>
    </xf>
    <xf numFmtId="0" fontId="0" fillId="0" borderId="0" xfId="0" applyAlignment="1">
      <alignment horizontal="center"/>
    </xf>
    <xf numFmtId="0" fontId="0" fillId="0" borderId="0" xfId="0" applyAlignment="1">
      <alignment horizontal="center" wrapText="1"/>
    </xf>
    <xf numFmtId="0" fontId="0" fillId="7" borderId="75" xfId="0" applyFill="1" applyBorder="1" applyAlignment="1">
      <alignment horizontal="left" vertical="center"/>
    </xf>
    <xf numFmtId="0" fontId="0" fillId="0" borderId="0" xfId="0" applyAlignment="1">
      <alignment wrapText="1"/>
    </xf>
    <xf numFmtId="0" fontId="0" fillId="0" borderId="0" xfId="0" applyBorder="1"/>
    <xf numFmtId="0" fontId="0" fillId="0" borderId="0" xfId="0" applyAlignment="1">
      <alignment horizontal="left"/>
    </xf>
    <xf numFmtId="0" fontId="0" fillId="0" borderId="0" xfId="0" applyFont="1" applyAlignment="1">
      <alignment horizontal="justify" vertical="center"/>
    </xf>
    <xf numFmtId="0" fontId="0" fillId="0" borderId="0" xfId="0" applyFont="1" applyAlignment="1">
      <alignment horizontal="left" vertical="center"/>
    </xf>
    <xf numFmtId="0" fontId="0" fillId="0" borderId="0" xfId="0" applyFont="1" applyAlignment="1">
      <alignment horizontal="left" vertical="center" wrapText="1"/>
    </xf>
    <xf numFmtId="0" fontId="0" fillId="0" borderId="22" xfId="0" applyBorder="1" applyAlignment="1">
      <alignment vertical="center"/>
    </xf>
    <xf numFmtId="0" fontId="0" fillId="0" borderId="23" xfId="0" applyBorder="1" applyAlignment="1">
      <alignment vertical="center"/>
    </xf>
    <xf numFmtId="0" fontId="1" fillId="2" borderId="40" xfId="0" applyFont="1" applyFill="1" applyBorder="1" applyAlignment="1">
      <alignment vertical="center"/>
    </xf>
    <xf numFmtId="0" fontId="1" fillId="2" borderId="25" xfId="0" applyFont="1" applyFill="1" applyBorder="1" applyAlignment="1">
      <alignment vertical="center"/>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28" xfId="0" applyFont="1" applyBorder="1" applyAlignment="1">
      <alignment vertical="center" wrapText="1"/>
    </xf>
    <xf numFmtId="0" fontId="2" fillId="0" borderId="6" xfId="0" applyFont="1" applyBorder="1" applyAlignment="1">
      <alignment vertical="center" wrapText="1"/>
    </xf>
    <xf numFmtId="0" fontId="2" fillId="0" borderId="30" xfId="0" applyFont="1" applyBorder="1" applyAlignment="1">
      <alignment vertical="center" wrapText="1"/>
    </xf>
    <xf numFmtId="0" fontId="2" fillId="0" borderId="46" xfId="0" applyFont="1" applyBorder="1" applyAlignment="1">
      <alignment vertical="center" wrapText="1"/>
    </xf>
    <xf numFmtId="0" fontId="2" fillId="0" borderId="48" xfId="0" applyFont="1" applyBorder="1" applyAlignment="1">
      <alignment vertical="center" wrapText="1"/>
    </xf>
    <xf numFmtId="0" fontId="2" fillId="0" borderId="51" xfId="0" applyFont="1" applyBorder="1" applyAlignment="1">
      <alignment vertical="center" wrapText="1"/>
    </xf>
    <xf numFmtId="0" fontId="2" fillId="0" borderId="53" xfId="0" applyFont="1" applyBorder="1" applyAlignment="1">
      <alignment vertical="center" wrapText="1"/>
    </xf>
    <xf numFmtId="0" fontId="2" fillId="0" borderId="56" xfId="0" applyFont="1" applyBorder="1" applyAlignment="1">
      <alignment vertical="center" wrapText="1"/>
    </xf>
    <xf numFmtId="0" fontId="2" fillId="0" borderId="58" xfId="0" applyFont="1" applyBorder="1" applyAlignment="1">
      <alignment vertical="center" wrapText="1"/>
    </xf>
    <xf numFmtId="0" fontId="0" fillId="10" borderId="74" xfId="0" applyFill="1" applyBorder="1" applyAlignment="1">
      <alignment horizontal="left" vertical="center" wrapText="1"/>
    </xf>
    <xf numFmtId="0" fontId="0" fillId="10" borderId="74" xfId="0" applyFill="1" applyBorder="1" applyAlignment="1">
      <alignment horizontal="left" vertical="center"/>
    </xf>
    <xf numFmtId="3" fontId="0" fillId="10" borderId="75" xfId="0" applyNumberFormat="1" applyFill="1" applyBorder="1" applyAlignment="1">
      <alignment horizontal="right" vertical="center"/>
    </xf>
    <xf numFmtId="0" fontId="0" fillId="10" borderId="75" xfId="0" applyFill="1" applyBorder="1" applyAlignment="1">
      <alignment vertical="center"/>
    </xf>
    <xf numFmtId="165" fontId="0" fillId="7" borderId="75" xfId="0" applyNumberFormat="1" applyFill="1" applyBorder="1" applyAlignment="1">
      <alignment vertical="center"/>
    </xf>
    <xf numFmtId="0" fontId="0" fillId="7" borderId="74" xfId="0" applyFont="1" applyFill="1" applyBorder="1" applyAlignment="1">
      <alignment horizontal="left" vertical="center"/>
    </xf>
    <xf numFmtId="165" fontId="0" fillId="7" borderId="74" xfId="0" applyNumberFormat="1" applyFill="1" applyBorder="1" applyAlignment="1">
      <alignment horizontal="center" vertical="center"/>
    </xf>
    <xf numFmtId="1" fontId="0" fillId="10" borderId="74" xfId="0" applyNumberFormat="1" applyFill="1" applyBorder="1" applyAlignment="1">
      <alignment horizontal="center" vertical="center"/>
    </xf>
    <xf numFmtId="3" fontId="0" fillId="7" borderId="75" xfId="0" applyNumberFormat="1" applyFill="1" applyBorder="1" applyAlignment="1">
      <alignment horizontal="left" vertical="center"/>
    </xf>
    <xf numFmtId="0" fontId="0" fillId="7" borderId="74" xfId="0" applyFill="1" applyBorder="1" applyAlignment="1">
      <alignment horizontal="center" vertical="center"/>
    </xf>
    <xf numFmtId="3" fontId="0" fillId="7" borderId="75" xfId="0" applyNumberFormat="1" applyFill="1" applyBorder="1" applyAlignment="1">
      <alignment horizontal="center" vertical="center"/>
    </xf>
    <xf numFmtId="0" fontId="0" fillId="7" borderId="75" xfId="0" applyFill="1" applyBorder="1" applyAlignment="1">
      <alignment horizontal="center" vertical="center"/>
    </xf>
    <xf numFmtId="0" fontId="23" fillId="0" borderId="0" xfId="2"/>
    <xf numFmtId="166" fontId="0" fillId="7" borderId="75" xfId="1" applyNumberFormat="1" applyFont="1" applyFill="1" applyBorder="1" applyAlignment="1">
      <alignment vertical="center"/>
    </xf>
    <xf numFmtId="167" fontId="0" fillId="7" borderId="75" xfId="1" applyNumberFormat="1" applyFont="1" applyFill="1" applyBorder="1" applyAlignment="1">
      <alignment vertical="center"/>
    </xf>
    <xf numFmtId="2" fontId="0" fillId="7" borderId="75" xfId="0" applyNumberFormat="1" applyFill="1" applyBorder="1" applyAlignment="1">
      <alignment vertical="center"/>
    </xf>
    <xf numFmtId="1" fontId="0" fillId="7" borderId="75" xfId="0" applyNumberFormat="1" applyFill="1" applyBorder="1" applyAlignment="1">
      <alignment horizontal="center" vertical="center"/>
    </xf>
    <xf numFmtId="167" fontId="0" fillId="0" borderId="0" xfId="1" applyNumberFormat="1" applyFont="1"/>
    <xf numFmtId="166" fontId="0" fillId="7" borderId="75" xfId="0" applyNumberFormat="1" applyFill="1" applyBorder="1" applyAlignment="1">
      <alignment vertical="center"/>
    </xf>
    <xf numFmtId="2" fontId="0" fillId="7" borderId="75" xfId="0" applyNumberFormat="1" applyFill="1" applyBorder="1" applyAlignment="1">
      <alignment horizontal="center" vertical="center"/>
    </xf>
    <xf numFmtId="165" fontId="0" fillId="7" borderId="74" xfId="1" applyNumberFormat="1" applyFont="1" applyFill="1" applyBorder="1" applyAlignment="1">
      <alignment horizontal="center" vertical="center"/>
    </xf>
    <xf numFmtId="165" fontId="0" fillId="10" borderId="74" xfId="0" applyNumberFormat="1" applyFill="1" applyBorder="1" applyAlignment="1">
      <alignment horizontal="center" vertical="center"/>
    </xf>
    <xf numFmtId="0" fontId="0" fillId="10" borderId="75" xfId="0" applyFill="1" applyBorder="1" applyAlignment="1">
      <alignment horizontal="left" vertical="center"/>
    </xf>
    <xf numFmtId="0" fontId="0" fillId="11" borderId="74" xfId="0" applyFill="1" applyBorder="1" applyAlignment="1">
      <alignment horizontal="left" vertical="center" wrapText="1"/>
    </xf>
    <xf numFmtId="0" fontId="0" fillId="10" borderId="74" xfId="0" applyFill="1" applyBorder="1" applyAlignment="1">
      <alignment horizontal="center" vertical="center" wrapText="1"/>
    </xf>
    <xf numFmtId="168" fontId="0" fillId="7" borderId="75" xfId="0" applyNumberFormat="1" applyFill="1" applyBorder="1" applyAlignment="1">
      <alignment horizontal="center" vertical="center"/>
    </xf>
    <xf numFmtId="168" fontId="0" fillId="10" borderId="74" xfId="0" applyNumberFormat="1" applyFill="1" applyBorder="1" applyAlignment="1">
      <alignment horizontal="center" vertical="center" wrapText="1"/>
    </xf>
    <xf numFmtId="0" fontId="0" fillId="11" borderId="74" xfId="0" applyFill="1" applyBorder="1" applyAlignment="1">
      <alignment horizontal="left" vertical="center"/>
    </xf>
    <xf numFmtId="49" fontId="0" fillId="7" borderId="74" xfId="0" applyNumberFormat="1" applyFill="1" applyBorder="1" applyAlignment="1">
      <alignment horizontal="center" vertical="center"/>
    </xf>
    <xf numFmtId="49" fontId="0" fillId="11" borderId="74" xfId="0" applyNumberFormat="1" applyFill="1" applyBorder="1" applyAlignment="1">
      <alignment horizontal="center" vertical="center" wrapText="1"/>
    </xf>
    <xf numFmtId="49" fontId="0" fillId="10" borderId="74" xfId="0" applyNumberFormat="1" applyFill="1" applyBorder="1" applyAlignment="1">
      <alignment horizontal="center" vertical="center" wrapText="1"/>
    </xf>
    <xf numFmtId="0" fontId="4" fillId="10" borderId="74" xfId="0" applyFont="1" applyFill="1" applyBorder="1" applyAlignment="1">
      <alignment horizontal="center" vertical="center" wrapText="1"/>
    </xf>
    <xf numFmtId="0" fontId="0" fillId="0" borderId="0" xfId="0" applyAlignment="1"/>
    <xf numFmtId="49" fontId="0" fillId="0" borderId="86" xfId="0" applyNumberFormat="1" applyFill="1" applyBorder="1" applyAlignment="1">
      <alignment horizontal="center" vertical="center"/>
    </xf>
    <xf numFmtId="0" fontId="0" fillId="0" borderId="87" xfId="0" applyFill="1" applyBorder="1" applyAlignment="1">
      <alignment horizontal="left" vertical="center"/>
    </xf>
    <xf numFmtId="0" fontId="24" fillId="0" borderId="88" xfId="0" applyFont="1" applyFill="1" applyBorder="1" applyAlignment="1">
      <alignment horizontal="left" vertical="center" wrapText="1"/>
    </xf>
    <xf numFmtId="0" fontId="24" fillId="0" borderId="76" xfId="0" applyFont="1" applyFill="1" applyBorder="1" applyAlignment="1">
      <alignment horizontal="left" vertical="center"/>
    </xf>
    <xf numFmtId="168" fontId="0" fillId="0" borderId="0" xfId="0" applyNumberFormat="1" applyAlignment="1">
      <alignment horizontal="center" vertical="center"/>
    </xf>
    <xf numFmtId="168" fontId="0" fillId="7" borderId="74" xfId="0" applyNumberFormat="1" applyFill="1" applyBorder="1" applyAlignment="1">
      <alignment horizontal="center" vertical="center"/>
    </xf>
    <xf numFmtId="14" fontId="0" fillId="7" borderId="75" xfId="0" applyNumberFormat="1" applyFill="1" applyBorder="1" applyAlignment="1">
      <alignment horizontal="center" vertical="center"/>
    </xf>
    <xf numFmtId="0" fontId="0" fillId="12" borderId="74" xfId="0" applyFill="1" applyBorder="1" applyAlignment="1">
      <alignment horizontal="left" vertical="center" wrapText="1"/>
    </xf>
    <xf numFmtId="0" fontId="0" fillId="12" borderId="74" xfId="0" applyFill="1" applyBorder="1" applyAlignment="1">
      <alignment horizontal="left" vertical="center"/>
    </xf>
    <xf numFmtId="0" fontId="0" fillId="12" borderId="75" xfId="0" applyFill="1" applyBorder="1" applyAlignment="1">
      <alignment horizontal="left" vertical="center"/>
    </xf>
    <xf numFmtId="0" fontId="4" fillId="10" borderId="74" xfId="0" applyFont="1" applyFill="1" applyBorder="1" applyAlignment="1">
      <alignment horizontal="left" vertical="center" wrapText="1"/>
    </xf>
    <xf numFmtId="0" fontId="4" fillId="10" borderId="74" xfId="0" applyFont="1" applyFill="1" applyBorder="1" applyAlignment="1">
      <alignment horizontal="left" vertical="center"/>
    </xf>
    <xf numFmtId="0" fontId="4" fillId="10" borderId="75" xfId="0" applyFont="1" applyFill="1" applyBorder="1" applyAlignment="1">
      <alignment horizontal="left" vertical="center"/>
    </xf>
    <xf numFmtId="44" fontId="0" fillId="7" borderId="74" xfId="3" applyFont="1" applyFill="1" applyBorder="1" applyAlignment="1">
      <alignment horizontal="left" vertical="center"/>
    </xf>
    <xf numFmtId="0" fontId="0" fillId="13" borderId="74" xfId="0" applyFill="1" applyBorder="1" applyAlignment="1">
      <alignment horizontal="left" vertical="center" wrapText="1"/>
    </xf>
    <xf numFmtId="0" fontId="0" fillId="13" borderId="74" xfId="0" applyFill="1" applyBorder="1" applyAlignment="1">
      <alignment horizontal="left" vertical="center"/>
    </xf>
    <xf numFmtId="0" fontId="0" fillId="13" borderId="75" xfId="0" applyFill="1" applyBorder="1" applyAlignment="1">
      <alignment vertical="center"/>
    </xf>
    <xf numFmtId="44" fontId="0" fillId="13" borderId="74" xfId="3" applyFont="1" applyFill="1" applyBorder="1" applyAlignment="1">
      <alignment horizontal="left" vertical="center"/>
    </xf>
    <xf numFmtId="44" fontId="0" fillId="7" borderId="74" xfId="0" applyNumberFormat="1" applyFill="1" applyBorder="1" applyAlignment="1">
      <alignment horizontal="left" vertical="center"/>
    </xf>
    <xf numFmtId="17" fontId="0" fillId="7" borderId="75" xfId="0" applyNumberFormat="1" applyFill="1" applyBorder="1" applyAlignment="1">
      <alignment vertical="center"/>
    </xf>
    <xf numFmtId="0" fontId="0" fillId="0" borderId="0" xfId="0" applyAlignment="1">
      <alignment horizontal="left" wrapText="1"/>
    </xf>
    <xf numFmtId="0" fontId="0" fillId="0" borderId="0" xfId="0" applyNumberFormat="1" applyAlignment="1">
      <alignment wrapText="1"/>
    </xf>
    <xf numFmtId="0" fontId="0" fillId="0" borderId="0" xfId="0" applyAlignment="1">
      <alignment horizontal="center" vertical="center" wrapText="1"/>
    </xf>
    <xf numFmtId="0" fontId="0" fillId="0" borderId="0" xfId="0" applyNumberFormat="1" applyAlignment="1">
      <alignment horizontal="center" vertical="center" wrapText="1"/>
    </xf>
    <xf numFmtId="166" fontId="0" fillId="7" borderId="74" xfId="1" applyNumberFormat="1" applyFont="1" applyFill="1" applyBorder="1" applyAlignment="1">
      <alignment horizontal="left" vertical="center" wrapText="1"/>
    </xf>
    <xf numFmtId="165" fontId="0" fillId="0" borderId="0" xfId="0" applyNumberFormat="1" applyAlignment="1">
      <alignment horizontal="center" vertical="center"/>
    </xf>
    <xf numFmtId="165" fontId="0" fillId="7" borderId="74" xfId="0" applyNumberFormat="1" applyFill="1" applyBorder="1" applyAlignment="1">
      <alignment horizontal="center" vertical="center" wrapText="1"/>
    </xf>
    <xf numFmtId="165" fontId="0" fillId="0" borderId="0" xfId="0" applyNumberFormat="1" applyAlignment="1">
      <alignment horizontal="center"/>
    </xf>
    <xf numFmtId="165" fontId="0" fillId="7" borderId="75" xfId="0" applyNumberFormat="1" applyFill="1" applyBorder="1" applyAlignment="1">
      <alignment horizontal="center" vertical="center"/>
    </xf>
    <xf numFmtId="166" fontId="0" fillId="0" borderId="0" xfId="0" applyNumberFormat="1"/>
    <xf numFmtId="165" fontId="0" fillId="0" borderId="0" xfId="0" applyNumberFormat="1"/>
    <xf numFmtId="0" fontId="7" fillId="0" borderId="0" xfId="0" applyFont="1"/>
    <xf numFmtId="0" fontId="0" fillId="0" borderId="89" xfId="0" applyBorder="1"/>
    <xf numFmtId="0" fontId="0" fillId="0" borderId="90" xfId="0" applyBorder="1"/>
    <xf numFmtId="0" fontId="0" fillId="0" borderId="93" xfId="0" applyBorder="1"/>
    <xf numFmtId="0" fontId="0" fillId="0" borderId="94" xfId="0" applyBorder="1"/>
    <xf numFmtId="0" fontId="1" fillId="2" borderId="111" xfId="0" applyFont="1" applyFill="1" applyBorder="1" applyAlignment="1">
      <alignment horizontal="center" vertical="center"/>
    </xf>
    <xf numFmtId="0" fontId="1" fillId="2" borderId="112" xfId="0" applyFont="1" applyFill="1" applyBorder="1" applyAlignment="1">
      <alignment vertical="center"/>
    </xf>
    <xf numFmtId="0" fontId="1" fillId="2" borderId="113" xfId="0" applyFont="1" applyFill="1" applyBorder="1" applyAlignment="1">
      <alignment vertical="center"/>
    </xf>
    <xf numFmtId="0" fontId="1" fillId="2" borderId="94" xfId="0" applyFont="1" applyFill="1" applyBorder="1" applyAlignment="1">
      <alignment horizontal="center" vertical="center" wrapText="1"/>
    </xf>
    <xf numFmtId="0" fontId="1" fillId="2" borderId="95" xfId="0" applyFont="1" applyFill="1" applyBorder="1" applyAlignment="1">
      <alignment horizontal="center" vertical="center"/>
    </xf>
    <xf numFmtId="0" fontId="27" fillId="0" borderId="2" xfId="2" applyFont="1" applyBorder="1" applyAlignment="1">
      <alignment vertical="center" wrapText="1"/>
    </xf>
    <xf numFmtId="0" fontId="27" fillId="0" borderId="4" xfId="2" applyFont="1" applyBorder="1" applyAlignment="1">
      <alignment vertical="center" wrapText="1"/>
    </xf>
    <xf numFmtId="0" fontId="27" fillId="0" borderId="5" xfId="2" applyFont="1" applyBorder="1" applyAlignment="1">
      <alignment vertical="center" wrapText="1"/>
    </xf>
    <xf numFmtId="0" fontId="28" fillId="0" borderId="6" xfId="2" applyFont="1" applyBorder="1" applyAlignment="1">
      <alignment vertical="center" wrapText="1"/>
    </xf>
    <xf numFmtId="0" fontId="28" fillId="0" borderId="46" xfId="2" applyFont="1" applyBorder="1" applyAlignment="1">
      <alignment vertical="center" wrapText="1"/>
    </xf>
    <xf numFmtId="0" fontId="28" fillId="0" borderId="51" xfId="2" applyFont="1" applyBorder="1" applyAlignment="1">
      <alignment vertical="center" wrapText="1"/>
    </xf>
    <xf numFmtId="0" fontId="28" fillId="0" borderId="56" xfId="2" applyFont="1" applyBorder="1" applyAlignment="1">
      <alignment horizontal="left" vertical="center" wrapText="1"/>
    </xf>
    <xf numFmtId="3" fontId="29" fillId="0" borderId="0" xfId="0" applyNumberFormat="1" applyFont="1" applyAlignment="1">
      <alignment horizontal="right" vertical="center"/>
    </xf>
    <xf numFmtId="0" fontId="29" fillId="0" borderId="0" xfId="0" applyFont="1" applyAlignment="1">
      <alignment horizontal="right" vertical="center"/>
    </xf>
    <xf numFmtId="0" fontId="0" fillId="0" borderId="114" xfId="0" applyBorder="1" applyAlignment="1">
      <alignment vertical="center"/>
    </xf>
    <xf numFmtId="0" fontId="0" fillId="0" borderId="91" xfId="0" applyBorder="1" applyAlignment="1">
      <alignment vertical="center"/>
    </xf>
    <xf numFmtId="0" fontId="0" fillId="0" borderId="118" xfId="0" applyBorder="1" applyAlignment="1">
      <alignment vertical="center"/>
    </xf>
    <xf numFmtId="0" fontId="0" fillId="0" borderId="95" xfId="0" applyBorder="1" applyAlignment="1">
      <alignment vertical="center"/>
    </xf>
    <xf numFmtId="46" fontId="0" fillId="7" borderId="75" xfId="0" applyNumberFormat="1" applyFill="1" applyBorder="1" applyAlignment="1">
      <alignment horizontal="left" vertical="center"/>
    </xf>
    <xf numFmtId="0" fontId="9" fillId="6" borderId="73" xfId="0" applyFont="1" applyFill="1" applyBorder="1" applyAlignment="1">
      <alignment horizontal="left" vertical="center" wrapText="1"/>
    </xf>
    <xf numFmtId="0" fontId="9" fillId="6" borderId="75" xfId="0" applyFont="1" applyFill="1" applyBorder="1" applyAlignment="1">
      <alignment horizontal="left" vertical="center" wrapText="1"/>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0" fontId="9" fillId="6" borderId="73" xfId="0" applyFont="1" applyFill="1" applyBorder="1" applyAlignment="1">
      <alignment vertical="center" wrapText="1"/>
    </xf>
    <xf numFmtId="0" fontId="9" fillId="6" borderId="75" xfId="0" applyFont="1" applyFill="1" applyBorder="1" applyAlignment="1">
      <alignment vertical="center" wrapText="1"/>
    </xf>
    <xf numFmtId="0" fontId="9" fillId="6" borderId="77" xfId="0" applyFont="1" applyFill="1" applyBorder="1" applyAlignment="1">
      <alignment horizontal="left" vertical="center" wrapText="1"/>
    </xf>
    <xf numFmtId="0" fontId="9" fillId="6" borderId="73" xfId="0" applyFont="1" applyFill="1" applyBorder="1" applyAlignment="1">
      <alignment horizontal="left" vertical="center" wrapText="1"/>
    </xf>
    <xf numFmtId="0" fontId="9" fillId="6" borderId="75" xfId="0" applyFont="1" applyFill="1" applyBorder="1" applyAlignment="1">
      <alignment horizontal="left" vertical="center" wrapText="1"/>
    </xf>
    <xf numFmtId="0" fontId="9" fillId="6" borderId="74" xfId="0" applyFont="1" applyFill="1" applyBorder="1" applyAlignment="1">
      <alignment horizontal="left" vertical="center" wrapText="1"/>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0" fontId="9" fillId="6" borderId="73" xfId="0" applyFont="1" applyFill="1" applyBorder="1" applyAlignment="1">
      <alignment vertical="center" wrapText="1"/>
    </xf>
    <xf numFmtId="0" fontId="9" fillId="6" borderId="75" xfId="0" applyFont="1" applyFill="1" applyBorder="1" applyAlignment="1">
      <alignment vertical="center" wrapText="1"/>
    </xf>
    <xf numFmtId="0" fontId="9" fillId="6" borderId="77" xfId="0" applyFont="1" applyFill="1" applyBorder="1" applyAlignment="1">
      <alignment horizontal="left" vertical="center" wrapText="1"/>
    </xf>
    <xf numFmtId="49" fontId="0" fillId="7" borderId="74" xfId="0" quotePrefix="1" applyNumberFormat="1" applyFill="1" applyBorder="1" applyAlignment="1">
      <alignment horizontal="center" vertical="center"/>
    </xf>
    <xf numFmtId="49" fontId="0" fillId="10" borderId="74" xfId="0" quotePrefix="1" applyNumberFormat="1" applyFill="1" applyBorder="1" applyAlignment="1">
      <alignment horizontal="center" vertical="center" wrapText="1"/>
    </xf>
    <xf numFmtId="49" fontId="0" fillId="11" borderId="74" xfId="0" quotePrefix="1" applyNumberFormat="1" applyFill="1" applyBorder="1" applyAlignment="1">
      <alignment horizontal="center" vertical="center" wrapText="1"/>
    </xf>
    <xf numFmtId="0" fontId="0" fillId="14" borderId="0" xfId="0" applyFill="1"/>
    <xf numFmtId="3" fontId="0" fillId="14" borderId="75" xfId="0" applyNumberFormat="1" applyFill="1" applyBorder="1" applyAlignment="1">
      <alignment horizontal="left" vertical="center"/>
    </xf>
    <xf numFmtId="0" fontId="0" fillId="14" borderId="74" xfId="0" applyFill="1" applyBorder="1" applyAlignment="1">
      <alignment horizontal="left" vertical="center" wrapText="1"/>
    </xf>
    <xf numFmtId="0" fontId="0" fillId="14" borderId="75" xfId="0" applyFill="1" applyBorder="1" applyAlignment="1">
      <alignment vertical="center"/>
    </xf>
    <xf numFmtId="3" fontId="0" fillId="14" borderId="75" xfId="0" applyNumberFormat="1" applyFill="1" applyBorder="1" applyAlignment="1">
      <alignment horizontal="right" vertical="center"/>
    </xf>
    <xf numFmtId="0" fontId="9" fillId="6" borderId="73" xfId="0" applyFont="1" applyFill="1" applyBorder="1" applyAlignment="1">
      <alignment horizontal="left" vertical="center" wrapText="1"/>
    </xf>
    <xf numFmtId="0" fontId="9" fillId="6" borderId="75" xfId="0" applyFont="1" applyFill="1" applyBorder="1" applyAlignment="1">
      <alignment horizontal="left" vertical="center" wrapText="1"/>
    </xf>
    <xf numFmtId="0" fontId="9" fillId="6" borderId="74" xfId="0" applyFont="1" applyFill="1" applyBorder="1" applyAlignment="1">
      <alignment horizontal="left" vertical="center" wrapText="1"/>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0" fontId="9" fillId="8" borderId="76" xfId="0" applyFont="1" applyFill="1" applyBorder="1" applyAlignment="1">
      <alignment vertical="center"/>
    </xf>
    <xf numFmtId="0" fontId="9" fillId="6" borderId="73" xfId="0" applyFont="1" applyFill="1" applyBorder="1" applyAlignment="1">
      <alignment vertical="center" wrapText="1"/>
    </xf>
    <xf numFmtId="0" fontId="9" fillId="6" borderId="75" xfId="0" applyFont="1" applyFill="1" applyBorder="1" applyAlignment="1">
      <alignment vertical="center" wrapText="1"/>
    </xf>
    <xf numFmtId="0" fontId="9" fillId="6" borderId="77" xfId="0" applyFont="1" applyFill="1" applyBorder="1" applyAlignment="1">
      <alignment horizontal="left" vertical="center" wrapText="1"/>
    </xf>
    <xf numFmtId="0" fontId="0" fillId="15" borderId="0" xfId="0" applyFill="1"/>
    <xf numFmtId="0" fontId="0" fillId="15" borderId="74" xfId="0" applyFill="1" applyBorder="1" applyAlignment="1">
      <alignment horizontal="left" vertical="center" wrapText="1"/>
    </xf>
    <xf numFmtId="0" fontId="0" fillId="15" borderId="74" xfId="0" applyFill="1" applyBorder="1" applyAlignment="1">
      <alignment horizontal="left" vertical="center"/>
    </xf>
    <xf numFmtId="0" fontId="7" fillId="0" borderId="0" xfId="0" applyFont="1" applyAlignment="1">
      <alignment horizontal="center"/>
    </xf>
    <xf numFmtId="168" fontId="0" fillId="15" borderId="75" xfId="0" applyNumberFormat="1" applyFill="1" applyBorder="1" applyAlignment="1">
      <alignment horizontal="center" vertical="center"/>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169" fontId="0" fillId="7" borderId="75" xfId="0" applyNumberFormat="1" applyFill="1" applyBorder="1" applyAlignment="1">
      <alignment vertical="center"/>
    </xf>
    <xf numFmtId="1" fontId="0" fillId="7" borderId="75" xfId="0" applyNumberFormat="1" applyFill="1" applyBorder="1" applyAlignment="1">
      <alignment vertical="center"/>
    </xf>
    <xf numFmtId="167" fontId="0" fillId="7" borderId="75" xfId="0" applyNumberFormat="1" applyFill="1" applyBorder="1" applyAlignment="1">
      <alignment vertical="center"/>
    </xf>
    <xf numFmtId="170" fontId="0" fillId="7" borderId="75" xfId="0" applyNumberFormat="1" applyFill="1" applyBorder="1" applyAlignment="1">
      <alignment horizontal="center" vertical="center"/>
    </xf>
    <xf numFmtId="3" fontId="0" fillId="7" borderId="75" xfId="0" applyNumberFormat="1" applyFill="1" applyBorder="1" applyAlignment="1">
      <alignment vertical="center"/>
    </xf>
    <xf numFmtId="0" fontId="31" fillId="7" borderId="74" xfId="0" applyFont="1" applyFill="1" applyBorder="1" applyAlignment="1">
      <alignment horizontal="left" vertical="center" wrapText="1"/>
    </xf>
    <xf numFmtId="167" fontId="0" fillId="7" borderId="75" xfId="1" applyNumberFormat="1" applyFont="1" applyFill="1" applyBorder="1" applyAlignment="1">
      <alignment horizontal="left" vertical="center"/>
    </xf>
    <xf numFmtId="0" fontId="0" fillId="7" borderId="75" xfId="1" applyNumberFormat="1" applyFont="1" applyFill="1" applyBorder="1" applyAlignment="1">
      <alignment horizontal="center" vertical="center"/>
    </xf>
    <xf numFmtId="0" fontId="0" fillId="16" borderId="0" xfId="0" applyFill="1"/>
    <xf numFmtId="0" fontId="0" fillId="11" borderId="0" xfId="0" applyFill="1"/>
    <xf numFmtId="0" fontId="0" fillId="7" borderId="0" xfId="0" applyFill="1"/>
    <xf numFmtId="166" fontId="0" fillId="17" borderId="75" xfId="1" applyNumberFormat="1" applyFont="1" applyFill="1" applyBorder="1" applyAlignment="1">
      <alignment vertical="center"/>
    </xf>
    <xf numFmtId="0" fontId="0" fillId="17" borderId="75" xfId="0" applyFill="1" applyBorder="1" applyAlignment="1">
      <alignment vertical="center"/>
    </xf>
    <xf numFmtId="167" fontId="0" fillId="17" borderId="75" xfId="1" applyNumberFormat="1" applyFont="1" applyFill="1" applyBorder="1" applyAlignment="1">
      <alignment vertical="center"/>
    </xf>
    <xf numFmtId="0" fontId="0" fillId="15" borderId="0" xfId="0" applyFill="1" applyBorder="1" applyAlignment="1">
      <alignment horizontal="left" vertical="center" wrapText="1"/>
    </xf>
    <xf numFmtId="2" fontId="0" fillId="7" borderId="75" xfId="1" applyNumberFormat="1" applyFont="1" applyFill="1" applyBorder="1" applyAlignment="1">
      <alignment horizontal="center" vertical="center"/>
    </xf>
    <xf numFmtId="2" fontId="0" fillId="7" borderId="74" xfId="0" applyNumberFormat="1" applyFill="1" applyBorder="1" applyAlignment="1">
      <alignment horizontal="center" vertical="center"/>
    </xf>
    <xf numFmtId="2" fontId="0" fillId="0" borderId="0" xfId="0" applyNumberFormat="1" applyAlignment="1">
      <alignment horizontal="center"/>
    </xf>
    <xf numFmtId="0" fontId="0" fillId="15" borderId="75" xfId="0" applyFill="1" applyBorder="1" applyAlignment="1">
      <alignment horizontal="left" vertical="center"/>
    </xf>
    <xf numFmtId="0" fontId="0" fillId="15" borderId="75" xfId="0" applyFill="1" applyBorder="1" applyAlignment="1">
      <alignment horizontal="center" vertical="center"/>
    </xf>
    <xf numFmtId="0" fontId="0" fillId="15" borderId="0" xfId="0" applyFill="1" applyAlignment="1">
      <alignment horizontal="center"/>
    </xf>
    <xf numFmtId="0" fontId="0" fillId="15" borderId="77" xfId="0" applyFill="1" applyBorder="1" applyAlignment="1">
      <alignment horizontal="left" vertical="center"/>
    </xf>
    <xf numFmtId="0" fontId="0" fillId="16" borderId="75" xfId="0" applyFill="1" applyBorder="1" applyAlignment="1">
      <alignment horizontal="center" vertical="center"/>
    </xf>
    <xf numFmtId="0" fontId="0" fillId="15" borderId="77" xfId="0" applyFill="1" applyBorder="1" applyAlignment="1">
      <alignment horizontal="center" vertical="center"/>
    </xf>
    <xf numFmtId="0" fontId="0" fillId="7" borderId="67" xfId="0" applyFill="1" applyBorder="1" applyAlignment="1">
      <alignment horizontal="center" vertical="center"/>
    </xf>
    <xf numFmtId="0" fontId="0" fillId="7" borderId="119" xfId="0" applyFill="1" applyBorder="1" applyAlignment="1">
      <alignment horizontal="center" vertical="center"/>
    </xf>
    <xf numFmtId="0" fontId="0" fillId="16" borderId="77" xfId="0" applyFill="1" applyBorder="1" applyAlignment="1">
      <alignment horizontal="left" vertical="center"/>
    </xf>
    <xf numFmtId="0" fontId="0" fillId="17" borderId="75" xfId="0" applyFill="1" applyBorder="1" applyAlignment="1">
      <alignment horizontal="center" vertical="center"/>
    </xf>
    <xf numFmtId="1" fontId="0" fillId="7" borderId="75" xfId="0" applyNumberFormat="1" applyFill="1" applyBorder="1" applyAlignment="1">
      <alignment horizontal="right" vertical="center"/>
    </xf>
    <xf numFmtId="2" fontId="0" fillId="0" borderId="0" xfId="0" applyNumberFormat="1"/>
    <xf numFmtId="2" fontId="0" fillId="0" borderId="0" xfId="0" applyNumberFormat="1" applyAlignment="1">
      <alignment vertical="center"/>
    </xf>
    <xf numFmtId="2" fontId="0" fillId="0" borderId="0" xfId="0" applyNumberFormat="1" applyAlignment="1">
      <alignment horizontal="center" vertical="center"/>
    </xf>
    <xf numFmtId="0" fontId="0" fillId="14" borderId="0" xfId="0" applyFill="1" applyBorder="1" applyAlignment="1">
      <alignment vertical="center"/>
    </xf>
    <xf numFmtId="0" fontId="0" fillId="7" borderId="0" xfId="0" applyFill="1" applyAlignment="1">
      <alignment vertical="center"/>
    </xf>
    <xf numFmtId="0" fontId="30" fillId="7" borderId="74" xfId="0" applyFont="1" applyFill="1" applyBorder="1" applyAlignment="1">
      <alignment horizontal="left" vertical="center"/>
    </xf>
    <xf numFmtId="0" fontId="0" fillId="17" borderId="74" xfId="0" applyFill="1" applyBorder="1" applyAlignment="1">
      <alignment horizontal="left" vertical="center"/>
    </xf>
    <xf numFmtId="0" fontId="0" fillId="19" borderId="74" xfId="0" applyFill="1" applyBorder="1" applyAlignment="1">
      <alignment horizontal="left" vertical="center" wrapText="1"/>
    </xf>
    <xf numFmtId="1" fontId="0" fillId="7" borderId="74" xfId="0" applyNumberFormat="1" applyFill="1" applyBorder="1" applyAlignment="1">
      <alignment horizontal="center" vertical="center"/>
    </xf>
    <xf numFmtId="0" fontId="0" fillId="17" borderId="75" xfId="0" applyFill="1" applyBorder="1" applyAlignment="1">
      <alignment horizontal="left" vertical="center"/>
    </xf>
    <xf numFmtId="0" fontId="0" fillId="10" borderId="77" xfId="0" applyFill="1" applyBorder="1" applyAlignment="1">
      <alignment horizontal="left" vertical="center"/>
    </xf>
    <xf numFmtId="4" fontId="0" fillId="7" borderId="75" xfId="0" applyNumberFormat="1" applyFill="1" applyBorder="1" applyAlignment="1">
      <alignment horizontal="right" vertical="center"/>
    </xf>
    <xf numFmtId="41" fontId="0" fillId="7" borderId="75" xfId="4" applyFont="1" applyFill="1" applyBorder="1" applyAlignment="1">
      <alignment horizontal="left" vertical="center"/>
    </xf>
    <xf numFmtId="41" fontId="0" fillId="7" borderId="75" xfId="4" applyFont="1" applyFill="1" applyBorder="1" applyAlignment="1">
      <alignment horizontal="right" vertical="center"/>
    </xf>
    <xf numFmtId="0" fontId="0" fillId="15" borderId="0" xfId="0" applyFill="1" applyBorder="1" applyAlignment="1">
      <alignment horizontal="left" vertical="center"/>
    </xf>
    <xf numFmtId="0" fontId="0" fillId="7" borderId="74" xfId="0" applyFill="1" applyBorder="1" applyAlignment="1">
      <alignment horizontal="center" vertical="center" wrapText="1"/>
    </xf>
    <xf numFmtId="171" fontId="0" fillId="7" borderId="74" xfId="0" applyNumberFormat="1" applyFill="1" applyBorder="1" applyAlignment="1">
      <alignment horizontal="center" vertical="center" wrapText="1"/>
    </xf>
    <xf numFmtId="3" fontId="0" fillId="7" borderId="74" xfId="0" applyNumberFormat="1" applyFill="1" applyBorder="1" applyAlignment="1">
      <alignment horizontal="left" vertical="center"/>
    </xf>
    <xf numFmtId="0" fontId="0" fillId="7" borderId="74" xfId="0" applyFill="1" applyBorder="1" applyAlignment="1">
      <alignment horizontal="left" wrapText="1"/>
    </xf>
    <xf numFmtId="0" fontId="0" fillId="10" borderId="120" xfId="0" applyFont="1" applyFill="1" applyBorder="1" applyAlignment="1">
      <alignment horizontal="left" vertical="center" wrapText="1"/>
    </xf>
    <xf numFmtId="0" fontId="0" fillId="10" borderId="74" xfId="0" applyFont="1" applyFill="1" applyBorder="1" applyAlignment="1">
      <alignment horizontal="left" vertical="center" wrapText="1"/>
    </xf>
    <xf numFmtId="3" fontId="0" fillId="7" borderId="74" xfId="0" applyNumberFormat="1" applyFill="1" applyBorder="1" applyAlignment="1">
      <alignment horizontal="left" vertical="center" wrapText="1"/>
    </xf>
    <xf numFmtId="0" fontId="0" fillId="17" borderId="74" xfId="0" applyFill="1" applyBorder="1" applyAlignment="1">
      <alignment horizontal="left" vertical="center" wrapText="1"/>
    </xf>
    <xf numFmtId="166" fontId="0" fillId="7" borderId="77" xfId="1" applyNumberFormat="1" applyFont="1" applyFill="1" applyBorder="1" applyAlignment="1">
      <alignment horizontal="left" vertical="center" wrapText="1"/>
    </xf>
    <xf numFmtId="166" fontId="34" fillId="7" borderId="77" xfId="1" applyNumberFormat="1" applyFont="1" applyFill="1" applyBorder="1" applyAlignment="1">
      <alignment horizontal="left" vertical="center" wrapText="1"/>
    </xf>
    <xf numFmtId="0" fontId="33" fillId="15" borderId="0" xfId="0" applyFont="1" applyFill="1"/>
    <xf numFmtId="165" fontId="0" fillId="17" borderId="75" xfId="0" applyNumberFormat="1" applyFill="1" applyBorder="1" applyAlignment="1">
      <alignment horizontal="center" vertical="center"/>
    </xf>
    <xf numFmtId="165" fontId="0" fillId="17" borderId="74" xfId="0" applyNumberFormat="1" applyFill="1" applyBorder="1" applyAlignment="1">
      <alignment horizontal="center" vertical="center" wrapText="1"/>
    </xf>
    <xf numFmtId="0" fontId="0" fillId="17" borderId="74" xfId="0" applyFill="1" applyBorder="1" applyAlignment="1">
      <alignment horizontal="center" vertical="center"/>
    </xf>
    <xf numFmtId="0" fontId="0" fillId="17" borderId="0" xfId="0" applyFill="1"/>
    <xf numFmtId="165" fontId="0" fillId="17" borderId="0" xfId="0" applyNumberFormat="1" applyFill="1" applyAlignment="1">
      <alignment horizontal="center" vertical="center"/>
    </xf>
    <xf numFmtId="0" fontId="0" fillId="17" borderId="0" xfId="0" applyFill="1" applyAlignment="1">
      <alignment horizontal="center" vertical="center"/>
    </xf>
    <xf numFmtId="165" fontId="34" fillId="7" borderId="74" xfId="0" quotePrefix="1" applyNumberFormat="1" applyFont="1" applyFill="1" applyBorder="1" applyAlignment="1">
      <alignment horizontal="center" vertical="center" wrapText="1"/>
    </xf>
    <xf numFmtId="0" fontId="0" fillId="7" borderId="77" xfId="0" applyFill="1" applyBorder="1" applyAlignment="1">
      <alignment horizontal="left" vertical="center"/>
    </xf>
    <xf numFmtId="4" fontId="0" fillId="7" borderId="74" xfId="0" applyNumberFormat="1" applyFill="1" applyBorder="1" applyAlignment="1">
      <alignment horizontal="center" vertical="center"/>
    </xf>
    <xf numFmtId="0" fontId="9" fillId="6" borderId="0" xfId="0" applyFont="1" applyFill="1" applyBorder="1" applyAlignment="1">
      <alignment horizontal="left" vertical="center" wrapText="1"/>
    </xf>
    <xf numFmtId="165" fontId="0" fillId="17" borderId="0" xfId="0" applyNumberFormat="1" applyFill="1"/>
    <xf numFmtId="165" fontId="0" fillId="17" borderId="74" xfId="0" applyNumberFormat="1" applyFill="1" applyBorder="1" applyAlignment="1">
      <alignment horizontal="center" vertical="center"/>
    </xf>
    <xf numFmtId="0" fontId="0" fillId="17" borderId="0" xfId="0" applyFill="1" applyBorder="1" applyAlignment="1">
      <alignment horizontal="left" vertical="center"/>
    </xf>
    <xf numFmtId="4" fontId="0" fillId="17" borderId="74" xfId="0" applyNumberFormat="1" applyFill="1" applyBorder="1" applyAlignment="1">
      <alignment horizontal="center" vertical="center"/>
    </xf>
    <xf numFmtId="2" fontId="0" fillId="17" borderId="74" xfId="0" applyNumberFormat="1" applyFill="1" applyBorder="1" applyAlignment="1">
      <alignment horizontal="left" vertical="center"/>
    </xf>
    <xf numFmtId="172" fontId="0" fillId="7" borderId="74" xfId="3" applyNumberFormat="1" applyFont="1" applyFill="1" applyBorder="1" applyAlignment="1">
      <alignment horizontal="left" vertical="center"/>
    </xf>
    <xf numFmtId="172" fontId="0" fillId="17" borderId="0" xfId="3" applyNumberFormat="1" applyFont="1" applyFill="1"/>
    <xf numFmtId="172" fontId="0" fillId="0" borderId="0" xfId="3" applyNumberFormat="1" applyFont="1"/>
    <xf numFmtId="2" fontId="0" fillId="4" borderId="74" xfId="0" applyNumberFormat="1" applyFill="1" applyBorder="1" applyAlignment="1">
      <alignment horizontal="left" vertical="center"/>
    </xf>
    <xf numFmtId="165" fontId="0" fillId="14" borderId="74" xfId="0" applyNumberFormat="1" applyFill="1" applyBorder="1" applyAlignment="1">
      <alignment horizontal="left" vertical="center"/>
    </xf>
    <xf numFmtId="2" fontId="0" fillId="14" borderId="74" xfId="0" applyNumberFormat="1" applyFill="1" applyBorder="1" applyAlignment="1">
      <alignment horizontal="left" vertical="center"/>
    </xf>
    <xf numFmtId="0" fontId="0" fillId="7" borderId="0" xfId="0" applyFill="1" applyAlignment="1"/>
    <xf numFmtId="49" fontId="0" fillId="7" borderId="74" xfId="0" applyNumberFormat="1" applyFill="1" applyBorder="1" applyAlignment="1">
      <alignment horizontal="left" vertical="center"/>
    </xf>
    <xf numFmtId="49" fontId="0" fillId="17" borderId="74" xfId="0" applyNumberFormat="1" applyFill="1" applyBorder="1" applyAlignment="1">
      <alignment horizontal="center" vertical="center"/>
    </xf>
    <xf numFmtId="49" fontId="4" fillId="17" borderId="74" xfId="0" applyNumberFormat="1" applyFont="1" applyFill="1" applyBorder="1" applyAlignment="1">
      <alignment horizontal="center" vertical="center"/>
    </xf>
    <xf numFmtId="49" fontId="0" fillId="0" borderId="86" xfId="0" quotePrefix="1" applyNumberFormat="1" applyFill="1" applyBorder="1" applyAlignment="1">
      <alignment horizontal="center" vertical="center"/>
    </xf>
    <xf numFmtId="49" fontId="0" fillId="0" borderId="0" xfId="0" applyNumberFormat="1" applyAlignment="1">
      <alignment horizontal="center"/>
    </xf>
    <xf numFmtId="49" fontId="4" fillId="17" borderId="74" xfId="0" quotePrefix="1" applyNumberFormat="1" applyFont="1" applyFill="1" applyBorder="1" applyAlignment="1">
      <alignment horizontal="center" vertical="center"/>
    </xf>
    <xf numFmtId="0" fontId="32" fillId="0" borderId="74" xfId="0" applyFont="1" applyBorder="1" applyAlignment="1">
      <alignment horizontal="left" vertical="center"/>
    </xf>
    <xf numFmtId="0" fontId="32" fillId="18" borderId="74" xfId="0" applyFont="1" applyFill="1" applyBorder="1" applyAlignment="1">
      <alignment horizontal="left" vertical="center"/>
    </xf>
    <xf numFmtId="2" fontId="0" fillId="10" borderId="74" xfId="0" applyNumberFormat="1" applyFill="1" applyBorder="1" applyAlignment="1">
      <alignment horizontal="center" vertical="center" wrapText="1"/>
    </xf>
    <xf numFmtId="2" fontId="0" fillId="17" borderId="75" xfId="0" applyNumberFormat="1" applyFill="1" applyBorder="1" applyAlignment="1">
      <alignment horizontal="center" vertical="center"/>
    </xf>
    <xf numFmtId="2" fontId="0" fillId="17" borderId="75" xfId="0" applyNumberFormat="1" applyFill="1" applyBorder="1" applyAlignment="1">
      <alignment horizontal="right" vertical="center"/>
    </xf>
    <xf numFmtId="2" fontId="0" fillId="17" borderId="75" xfId="0" applyNumberFormat="1" applyFill="1" applyBorder="1" applyAlignment="1">
      <alignment horizontal="right" vertical="center" indent="1"/>
    </xf>
    <xf numFmtId="0" fontId="0" fillId="7" borderId="74" xfId="0" applyNumberFormat="1" applyFill="1" applyBorder="1" applyAlignment="1">
      <alignment horizontal="center" vertical="center"/>
    </xf>
    <xf numFmtId="0" fontId="0" fillId="0" borderId="0" xfId="0" applyAlignment="1">
      <alignment vertical="center" wrapText="1"/>
    </xf>
    <xf numFmtId="4" fontId="0" fillId="7" borderId="75" xfId="0" applyNumberFormat="1" applyFill="1" applyBorder="1" applyAlignment="1">
      <alignment horizontal="center" vertical="center"/>
    </xf>
    <xf numFmtId="1" fontId="0" fillId="7" borderId="122" xfId="0" applyNumberFormat="1" applyFill="1" applyBorder="1" applyAlignment="1">
      <alignment horizontal="center" vertical="center"/>
    </xf>
    <xf numFmtId="0" fontId="9" fillId="6" borderId="121" xfId="0" applyFont="1" applyFill="1" applyBorder="1" applyAlignment="1">
      <alignment horizontal="center" vertical="center" wrapText="1"/>
    </xf>
    <xf numFmtId="0" fontId="9" fillId="6" borderId="123" xfId="0" applyFont="1" applyFill="1" applyBorder="1" applyAlignment="1">
      <alignment horizontal="center" vertical="center" wrapText="1"/>
    </xf>
    <xf numFmtId="0" fontId="0" fillId="14" borderId="123" xfId="0" applyFill="1" applyBorder="1" applyAlignment="1">
      <alignment horizontal="center" vertical="center"/>
    </xf>
    <xf numFmtId="0" fontId="0" fillId="15" borderId="123" xfId="0" applyFill="1" applyBorder="1" applyAlignment="1">
      <alignment horizontal="center" vertical="center"/>
    </xf>
    <xf numFmtId="0" fontId="0" fillId="17" borderId="123" xfId="0" applyFont="1" applyFill="1" applyBorder="1" applyAlignment="1">
      <alignment horizontal="center" vertical="center"/>
    </xf>
    <xf numFmtId="0" fontId="0" fillId="17" borderId="123" xfId="0" applyFill="1" applyBorder="1" applyAlignment="1">
      <alignment horizontal="center" vertical="center"/>
    </xf>
    <xf numFmtId="0" fontId="0" fillId="15" borderId="88" xfId="0"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xf numFmtId="0" fontId="30" fillId="0" borderId="0" xfId="0" applyFont="1" applyFill="1" applyBorder="1" applyAlignment="1">
      <alignment horizontal="center" vertical="center"/>
    </xf>
    <xf numFmtId="0" fontId="0" fillId="0" borderId="0" xfId="0" applyFill="1" applyBorder="1" applyAlignment="1">
      <alignment vertical="center"/>
    </xf>
    <xf numFmtId="0" fontId="0" fillId="7" borderId="75" xfId="0" applyFill="1" applyBorder="1" applyAlignment="1">
      <alignment vertical="center" wrapText="1"/>
    </xf>
    <xf numFmtId="0" fontId="0" fillId="7" borderId="77" xfId="0" applyFill="1" applyBorder="1" applyAlignment="1">
      <alignment vertical="center"/>
    </xf>
    <xf numFmtId="173" fontId="0" fillId="7" borderId="75" xfId="0" applyNumberFormat="1" applyFill="1" applyBorder="1" applyAlignment="1">
      <alignment horizontal="right" vertical="center"/>
    </xf>
    <xf numFmtId="0" fontId="9" fillId="6" borderId="0" xfId="0" applyFont="1" applyFill="1" applyAlignment="1">
      <alignment horizontal="center" vertical="center"/>
    </xf>
    <xf numFmtId="0" fontId="9" fillId="6" borderId="0" xfId="0" applyFont="1" applyFill="1" applyAlignment="1">
      <alignment vertical="center"/>
    </xf>
    <xf numFmtId="0" fontId="0" fillId="20" borderId="0" xfId="0" applyFill="1" applyAlignment="1">
      <alignment horizontal="center" vertical="center"/>
    </xf>
    <xf numFmtId="0" fontId="0" fillId="15" borderId="0" xfId="0" applyFill="1" applyAlignment="1">
      <alignment horizontal="center" vertical="center"/>
    </xf>
    <xf numFmtId="0" fontId="0" fillId="21" borderId="0" xfId="0" applyFill="1" applyAlignment="1">
      <alignment horizontal="center" vertical="center"/>
    </xf>
    <xf numFmtId="0" fontId="0" fillId="4" borderId="0" xfId="0" applyFill="1" applyAlignment="1">
      <alignment horizontal="center" vertical="center"/>
    </xf>
    <xf numFmtId="0" fontId="0" fillId="14" borderId="0" xfId="0" applyFill="1" applyAlignment="1">
      <alignment horizontal="center" vertical="center"/>
    </xf>
    <xf numFmtId="0" fontId="9" fillId="22" borderId="0" xfId="0" applyFont="1" applyFill="1" applyAlignment="1">
      <alignment horizontal="center" vertical="center"/>
    </xf>
    <xf numFmtId="0" fontId="9" fillId="24" borderId="0" xfId="0" applyFont="1" applyFill="1" applyAlignment="1">
      <alignment horizontal="center" vertical="center"/>
    </xf>
    <xf numFmtId="0" fontId="9" fillId="3" borderId="0" xfId="0" applyFont="1" applyFill="1" applyAlignment="1">
      <alignment horizontal="center" vertical="center"/>
    </xf>
    <xf numFmtId="0" fontId="0" fillId="23" borderId="0" xfId="0" applyFill="1" applyAlignment="1">
      <alignment horizontal="center" vertical="center"/>
    </xf>
    <xf numFmtId="0" fontId="0" fillId="15" borderId="74" xfId="0" applyFont="1" applyFill="1" applyBorder="1" applyAlignment="1">
      <alignment horizontal="left" vertical="center" wrapText="1"/>
    </xf>
    <xf numFmtId="0" fontId="9" fillId="6" borderId="0" xfId="0" applyFont="1" applyFill="1" applyAlignment="1">
      <alignment horizontal="center" vertical="center" wrapText="1"/>
    </xf>
    <xf numFmtId="171" fontId="0" fillId="7" borderId="74" xfId="0" applyNumberFormat="1" applyFill="1" applyBorder="1" applyAlignment="1">
      <alignment horizontal="center" vertical="center"/>
    </xf>
    <xf numFmtId="171" fontId="0" fillId="13" borderId="74" xfId="3" applyNumberFormat="1" applyFont="1" applyFill="1" applyBorder="1" applyAlignment="1">
      <alignment horizontal="center" vertical="center"/>
    </xf>
    <xf numFmtId="171" fontId="0" fillId="7" borderId="74" xfId="3" applyNumberFormat="1" applyFont="1" applyFill="1" applyBorder="1" applyAlignment="1">
      <alignment horizontal="center" vertical="center"/>
    </xf>
    <xf numFmtId="171" fontId="0" fillId="0" borderId="0" xfId="0" applyNumberFormat="1" applyAlignment="1">
      <alignment horizontal="center"/>
    </xf>
    <xf numFmtId="0" fontId="9" fillId="6" borderId="0" xfId="0" applyFont="1" applyFill="1" applyBorder="1" applyAlignment="1">
      <alignment horizontal="center" vertical="center" wrapText="1"/>
    </xf>
    <xf numFmtId="8" fontId="0" fillId="11" borderId="74" xfId="0" applyNumberFormat="1" applyFill="1" applyBorder="1" applyAlignment="1">
      <alignment horizontal="left" vertical="center"/>
    </xf>
    <xf numFmtId="165" fontId="0" fillId="11" borderId="74" xfId="0" applyNumberFormat="1" applyFill="1" applyBorder="1" applyAlignment="1">
      <alignment horizontal="center" vertical="center"/>
    </xf>
    <xf numFmtId="165" fontId="0" fillId="11" borderId="0" xfId="0" applyNumberFormat="1" applyFill="1"/>
    <xf numFmtId="0" fontId="0" fillId="11" borderId="75" xfId="0" applyFill="1" applyBorder="1" applyAlignment="1">
      <alignment horizontal="center" vertical="center"/>
    </xf>
    <xf numFmtId="3" fontId="0" fillId="7" borderId="74" xfId="0" applyNumberFormat="1" applyFill="1" applyBorder="1" applyAlignment="1">
      <alignment horizontal="center" vertical="center"/>
    </xf>
    <xf numFmtId="3" fontId="0" fillId="17" borderId="74" xfId="0" applyNumberFormat="1" applyFill="1" applyBorder="1" applyAlignment="1">
      <alignment horizontal="center" vertical="center"/>
    </xf>
    <xf numFmtId="0" fontId="0" fillId="17" borderId="77" xfId="0" applyFill="1" applyBorder="1" applyAlignment="1">
      <alignment horizontal="left" vertical="center"/>
    </xf>
    <xf numFmtId="0" fontId="4" fillId="7" borderId="75" xfId="0" applyFont="1" applyFill="1" applyBorder="1" applyAlignment="1">
      <alignment horizontal="left" vertical="center"/>
    </xf>
    <xf numFmtId="0" fontId="4" fillId="17" borderId="75" xfId="0" applyFont="1" applyFill="1" applyBorder="1" applyAlignment="1">
      <alignment horizontal="left" vertical="center"/>
    </xf>
    <xf numFmtId="0" fontId="0" fillId="15" borderId="120" xfId="0" applyFont="1" applyFill="1" applyBorder="1" applyAlignment="1">
      <alignment horizontal="left" vertical="center" wrapText="1"/>
    </xf>
    <xf numFmtId="0" fontId="33" fillId="0" borderId="0" xfId="0" applyFont="1" applyBorder="1" applyAlignment="1">
      <alignment horizontal="center" vertical="center"/>
    </xf>
    <xf numFmtId="0" fontId="7" fillId="0" borderId="0" xfId="0" applyFont="1" applyBorder="1" applyAlignment="1">
      <alignment horizontal="center" vertical="center"/>
    </xf>
    <xf numFmtId="174" fontId="7" fillId="0" borderId="0" xfId="5" applyNumberFormat="1" applyFont="1" applyBorder="1" applyAlignment="1">
      <alignment horizontal="center" vertical="center"/>
    </xf>
    <xf numFmtId="171" fontId="0" fillId="0" borderId="0" xfId="0" applyNumberFormat="1" applyBorder="1" applyAlignment="1">
      <alignment horizontal="center" vertical="center"/>
    </xf>
    <xf numFmtId="3" fontId="7" fillId="0" borderId="0" xfId="0" applyNumberFormat="1" applyFont="1" applyBorder="1" applyAlignment="1">
      <alignment horizontal="center" vertical="center"/>
    </xf>
    <xf numFmtId="4" fontId="7" fillId="0" borderId="0" xfId="0" applyNumberFormat="1" applyFont="1" applyBorder="1" applyAlignment="1">
      <alignment horizontal="center" vertical="center"/>
    </xf>
    <xf numFmtId="0" fontId="0" fillId="17" borderId="0" xfId="0" applyFill="1" applyBorder="1" applyAlignment="1">
      <alignment horizontal="center" vertical="center"/>
    </xf>
    <xf numFmtId="2" fontId="0" fillId="0" borderId="0" xfId="0" applyNumberFormat="1" applyBorder="1" applyAlignment="1">
      <alignment horizontal="center" vertical="center"/>
    </xf>
    <xf numFmtId="3" fontId="0" fillId="0" borderId="0" xfId="0" applyNumberFormat="1" applyBorder="1" applyAlignment="1">
      <alignment horizontal="center" vertical="center"/>
    </xf>
    <xf numFmtId="4" fontId="7" fillId="17" borderId="0" xfId="0" applyNumberFormat="1" applyFont="1" applyFill="1" applyBorder="1" applyAlignment="1">
      <alignment horizontal="center" vertical="center"/>
    </xf>
    <xf numFmtId="4" fontId="0" fillId="17" borderId="0" xfId="0" applyNumberFormat="1" applyFill="1" applyBorder="1" applyAlignment="1">
      <alignment horizontal="center" vertical="center"/>
    </xf>
    <xf numFmtId="0" fontId="0" fillId="25" borderId="0" xfId="0" applyFill="1" applyBorder="1" applyAlignment="1">
      <alignment horizontal="center" vertical="center"/>
    </xf>
    <xf numFmtId="0" fontId="0" fillId="25" borderId="0" xfId="0" applyFill="1" applyAlignment="1">
      <alignment horizontal="center" vertical="center"/>
    </xf>
    <xf numFmtId="3" fontId="0" fillId="0" borderId="0" xfId="0" applyNumberFormat="1" applyAlignment="1">
      <alignment horizontal="center" vertical="center"/>
    </xf>
    <xf numFmtId="0" fontId="0" fillId="26" borderId="0" xfId="0" applyFill="1"/>
    <xf numFmtId="0" fontId="33" fillId="26" borderId="0" xfId="0" applyFont="1" applyFill="1"/>
    <xf numFmtId="49" fontId="0" fillId="0" borderId="0" xfId="0" applyNumberFormat="1" applyBorder="1" applyAlignment="1">
      <alignment horizontal="center"/>
    </xf>
    <xf numFmtId="0" fontId="0" fillId="7" borderId="0" xfId="0" applyFill="1" applyBorder="1" applyAlignment="1"/>
    <xf numFmtId="0" fontId="0" fillId="0" borderId="0" xfId="0" applyBorder="1" applyAlignment="1"/>
    <xf numFmtId="0" fontId="0" fillId="0" borderId="0" xfId="0" applyBorder="1" applyAlignment="1">
      <alignment horizontal="center"/>
    </xf>
    <xf numFmtId="2" fontId="0" fillId="0" borderId="0" xfId="0" applyNumberFormat="1" applyBorder="1"/>
    <xf numFmtId="0" fontId="0" fillId="17" borderId="0" xfId="0" applyFill="1" applyBorder="1"/>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1" fontId="0" fillId="0" borderId="0" xfId="0" applyNumberFormat="1" applyBorder="1" applyAlignment="1">
      <alignment horizontal="center" vertical="center"/>
    </xf>
    <xf numFmtId="0" fontId="0" fillId="0" borderId="77" xfId="0" applyFill="1" applyBorder="1" applyAlignment="1">
      <alignment horizontal="left" vertical="center" wrapText="1"/>
    </xf>
    <xf numFmtId="0" fontId="0" fillId="0" borderId="74" xfId="0" applyFill="1" applyBorder="1" applyAlignment="1">
      <alignment horizontal="left" vertical="center" wrapText="1"/>
    </xf>
    <xf numFmtId="0" fontId="0" fillId="0" borderId="0" xfId="0" applyFill="1" applyBorder="1" applyAlignment="1">
      <alignment horizontal="left" vertical="center" wrapText="1"/>
    </xf>
    <xf numFmtId="0" fontId="0" fillId="0" borderId="0" xfId="0" applyFill="1"/>
    <xf numFmtId="0" fontId="0" fillId="0" borderId="74" xfId="0" applyFill="1" applyBorder="1" applyAlignment="1">
      <alignment horizontal="left" vertical="center"/>
    </xf>
    <xf numFmtId="3" fontId="0" fillId="0" borderId="75" xfId="0" applyNumberFormat="1" applyFill="1" applyBorder="1" applyAlignment="1">
      <alignment horizontal="center" vertical="center"/>
    </xf>
    <xf numFmtId="1" fontId="0" fillId="7" borderId="75" xfId="1" applyNumberFormat="1" applyFont="1" applyFill="1" applyBorder="1" applyAlignment="1">
      <alignment horizontal="right" vertical="center"/>
    </xf>
    <xf numFmtId="0" fontId="0" fillId="11" borderId="75" xfId="0" applyFill="1" applyBorder="1" applyAlignment="1">
      <alignment horizontal="left" vertical="center"/>
    </xf>
    <xf numFmtId="2" fontId="0" fillId="7" borderId="75" xfId="0" applyNumberFormat="1" applyFill="1" applyBorder="1" applyAlignment="1">
      <alignment horizontal="right" vertical="center"/>
    </xf>
    <xf numFmtId="165" fontId="0" fillId="7" borderId="0" xfId="0" applyNumberFormat="1" applyFill="1" applyBorder="1" applyAlignment="1">
      <alignment horizontal="center" vertical="center"/>
    </xf>
    <xf numFmtId="0" fontId="0" fillId="4" borderId="74" xfId="0" applyNumberFormat="1" applyFill="1" applyBorder="1" applyAlignment="1">
      <alignment horizontal="left" vertical="center"/>
    </xf>
    <xf numFmtId="171" fontId="0" fillId="17" borderId="74" xfId="3" applyNumberFormat="1" applyFont="1" applyFill="1" applyBorder="1" applyAlignment="1">
      <alignment horizontal="center" vertical="center"/>
    </xf>
    <xf numFmtId="172" fontId="0" fillId="17" borderId="74" xfId="3" applyNumberFormat="1" applyFont="1" applyFill="1" applyBorder="1" applyAlignment="1">
      <alignment horizontal="left" vertical="center"/>
    </xf>
    <xf numFmtId="9" fontId="0" fillId="7" borderId="75" xfId="5" applyFont="1" applyFill="1" applyBorder="1" applyAlignment="1">
      <alignment horizontal="center" vertical="center"/>
    </xf>
    <xf numFmtId="0" fontId="4" fillId="16" borderId="75" xfId="0" applyFont="1" applyFill="1" applyBorder="1" applyAlignment="1">
      <alignment horizontal="left" vertical="center"/>
    </xf>
    <xf numFmtId="0" fontId="0" fillId="16" borderId="74" xfId="0" applyFill="1" applyBorder="1" applyAlignment="1">
      <alignment horizontal="left" vertical="center"/>
    </xf>
    <xf numFmtId="3" fontId="0" fillId="16" borderId="75" xfId="0" applyNumberFormat="1" applyFill="1" applyBorder="1" applyAlignment="1">
      <alignment horizontal="left" vertical="center"/>
    </xf>
    <xf numFmtId="168" fontId="0" fillId="11" borderId="75" xfId="0" applyNumberFormat="1" applyFill="1" applyBorder="1" applyAlignment="1">
      <alignment horizontal="center" vertical="center"/>
    </xf>
    <xf numFmtId="0" fontId="0" fillId="27" borderId="75" xfId="0" applyFill="1" applyBorder="1" applyAlignment="1">
      <alignment vertical="center"/>
    </xf>
    <xf numFmtId="167" fontId="0" fillId="7" borderId="75" xfId="1" applyNumberFormat="1" applyFont="1" applyFill="1" applyBorder="1" applyAlignment="1">
      <alignment horizontal="center" vertical="center"/>
    </xf>
    <xf numFmtId="2" fontId="0" fillId="17" borderId="75" xfId="0" applyNumberFormat="1" applyFill="1" applyBorder="1" applyAlignment="1">
      <alignment vertical="center"/>
    </xf>
    <xf numFmtId="0" fontId="0" fillId="7" borderId="74" xfId="0" applyFont="1" applyFill="1" applyBorder="1" applyAlignment="1">
      <alignment horizontal="left" vertical="center" wrapText="1"/>
    </xf>
    <xf numFmtId="0" fontId="0" fillId="7" borderId="77" xfId="0" applyFont="1" applyFill="1" applyBorder="1" applyAlignment="1">
      <alignment horizontal="left" vertical="center" wrapText="1"/>
    </xf>
    <xf numFmtId="0" fontId="0" fillId="0" borderId="0" xfId="0" applyFont="1"/>
    <xf numFmtId="0" fontId="0" fillId="26" borderId="75" xfId="0" applyFill="1" applyBorder="1" applyAlignment="1">
      <alignment horizontal="center" vertical="center"/>
    </xf>
    <xf numFmtId="3" fontId="0" fillId="26" borderId="75" xfId="0" applyNumberFormat="1" applyFill="1" applyBorder="1" applyAlignment="1">
      <alignment horizontal="center" vertical="center"/>
    </xf>
    <xf numFmtId="0" fontId="0" fillId="17" borderId="0" xfId="0" applyFill="1" applyBorder="1" applyAlignment="1">
      <alignment horizontal="left" vertical="center" wrapText="1"/>
    </xf>
    <xf numFmtId="3" fontId="0" fillId="17" borderId="75" xfId="0" applyNumberFormat="1" applyFill="1" applyBorder="1" applyAlignment="1">
      <alignment horizontal="center" vertical="center"/>
    </xf>
    <xf numFmtId="1" fontId="0" fillId="17" borderId="122" xfId="0" applyNumberFormat="1" applyFill="1" applyBorder="1" applyAlignment="1">
      <alignment horizontal="center" vertical="center"/>
    </xf>
    <xf numFmtId="164" fontId="0" fillId="0" borderId="0" xfId="0" applyNumberFormat="1"/>
    <xf numFmtId="0" fontId="0" fillId="14" borderId="77" xfId="0" applyFill="1" applyBorder="1" applyAlignment="1">
      <alignment horizontal="left" vertical="center" wrapText="1"/>
    </xf>
    <xf numFmtId="3" fontId="0" fillId="7" borderId="77" xfId="0" applyNumberFormat="1" applyFill="1" applyBorder="1" applyAlignment="1">
      <alignment horizontal="center" vertical="center"/>
    </xf>
    <xf numFmtId="4" fontId="0" fillId="7" borderId="77" xfId="0" applyNumberFormat="1" applyFill="1" applyBorder="1" applyAlignment="1">
      <alignment horizontal="right" vertical="center"/>
    </xf>
    <xf numFmtId="2" fontId="0" fillId="17" borderId="0" xfId="0" applyNumberFormat="1" applyFill="1" applyAlignment="1">
      <alignment horizontal="center"/>
    </xf>
    <xf numFmtId="0" fontId="7" fillId="0" borderId="101" xfId="0" applyFont="1" applyBorder="1" applyAlignment="1">
      <alignment horizontal="center" vertical="center"/>
    </xf>
    <xf numFmtId="0" fontId="7" fillId="0" borderId="116" xfId="0" applyFont="1" applyBorder="1" applyAlignment="1">
      <alignment horizontal="center" vertical="center"/>
    </xf>
    <xf numFmtId="0" fontId="7" fillId="0" borderId="104" xfId="0" applyFont="1" applyBorder="1" applyAlignment="1">
      <alignment horizontal="center" vertical="center"/>
    </xf>
    <xf numFmtId="0" fontId="7" fillId="0" borderId="117" xfId="0" applyFont="1" applyBorder="1" applyAlignment="1">
      <alignment horizontal="center" vertical="center"/>
    </xf>
    <xf numFmtId="0" fontId="7" fillId="0" borderId="99" xfId="0" applyFont="1" applyBorder="1" applyAlignment="1">
      <alignment vertical="center"/>
    </xf>
    <xf numFmtId="0" fontId="25" fillId="0" borderId="100" xfId="0" applyFont="1" applyBorder="1" applyAlignment="1">
      <alignment vertical="center"/>
    </xf>
    <xf numFmtId="0" fontId="25" fillId="0" borderId="101" xfId="0" applyFont="1" applyBorder="1" applyAlignment="1">
      <alignment vertical="center"/>
    </xf>
    <xf numFmtId="0" fontId="7" fillId="0" borderId="99" xfId="0" applyFont="1" applyBorder="1" applyAlignment="1">
      <alignment vertical="center" wrapText="1"/>
    </xf>
    <xf numFmtId="0" fontId="25" fillId="0" borderId="100" xfId="0" applyFont="1" applyBorder="1" applyAlignment="1">
      <alignment vertical="center" wrapText="1"/>
    </xf>
    <xf numFmtId="0" fontId="25" fillId="0" borderId="101" xfId="0" applyFont="1" applyBorder="1" applyAlignment="1">
      <alignment vertical="center" wrapText="1"/>
    </xf>
    <xf numFmtId="0" fontId="7" fillId="0" borderId="100" xfId="0" applyFont="1" applyBorder="1" applyAlignment="1">
      <alignment vertical="center"/>
    </xf>
    <xf numFmtId="0" fontId="7" fillId="0" borderId="101" xfId="0" applyFont="1" applyBorder="1" applyAlignment="1">
      <alignment vertical="center"/>
    </xf>
    <xf numFmtId="0" fontId="7" fillId="0" borderId="102" xfId="0" applyFont="1" applyBorder="1" applyAlignment="1">
      <alignment vertical="center" wrapText="1"/>
    </xf>
    <xf numFmtId="0" fontId="7" fillId="0" borderId="103" xfId="0" applyFont="1" applyBorder="1" applyAlignment="1">
      <alignment vertical="center"/>
    </xf>
    <xf numFmtId="0" fontId="7" fillId="0" borderId="104" xfId="0" applyFont="1" applyBorder="1" applyAlignment="1">
      <alignment vertical="center"/>
    </xf>
    <xf numFmtId="0" fontId="7" fillId="0" borderId="101"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98" xfId="0" applyFont="1" applyBorder="1" applyAlignment="1">
      <alignment horizontal="center" vertical="center" wrapText="1"/>
    </xf>
    <xf numFmtId="0" fontId="7" fillId="0" borderId="115" xfId="0" applyFont="1" applyBorder="1" applyAlignment="1">
      <alignment horizontal="center" vertical="center" wrapText="1"/>
    </xf>
    <xf numFmtId="0" fontId="26" fillId="0" borderId="101" xfId="2" applyFont="1" applyBorder="1" applyAlignment="1">
      <alignment horizontal="center" vertical="center"/>
    </xf>
    <xf numFmtId="0" fontId="26" fillId="0" borderId="116" xfId="2" applyFont="1" applyBorder="1" applyAlignment="1">
      <alignment horizontal="center" vertical="center"/>
    </xf>
    <xf numFmtId="0" fontId="7" fillId="0" borderId="96" xfId="0" applyFont="1" applyBorder="1" applyAlignment="1">
      <alignment horizontal="left" vertical="center"/>
    </xf>
    <xf numFmtId="0" fontId="25" fillId="0" borderId="97" xfId="0" applyFont="1" applyBorder="1" applyAlignment="1">
      <alignment horizontal="left" vertical="center"/>
    </xf>
    <xf numFmtId="0" fontId="25" fillId="0" borderId="98" xfId="0" applyFont="1" applyBorder="1" applyAlignment="1">
      <alignment horizontal="left" vertical="center"/>
    </xf>
    <xf numFmtId="0" fontId="3" fillId="2" borderId="89" xfId="0" applyFont="1" applyFill="1" applyBorder="1" applyAlignment="1">
      <alignment horizontal="center" vertical="center"/>
    </xf>
    <xf numFmtId="0" fontId="3" fillId="2" borderId="90" xfId="0" applyFont="1" applyFill="1" applyBorder="1" applyAlignment="1">
      <alignment horizontal="center" vertical="center"/>
    </xf>
    <xf numFmtId="0" fontId="3" fillId="2" borderId="107" xfId="0" applyFont="1" applyFill="1" applyBorder="1" applyAlignment="1">
      <alignment horizontal="center" vertical="center"/>
    </xf>
    <xf numFmtId="0" fontId="3" fillId="2" borderId="44" xfId="0" applyFont="1" applyFill="1" applyBorder="1" applyAlignment="1">
      <alignment horizontal="center" vertical="center"/>
    </xf>
    <xf numFmtId="0" fontId="0" fillId="0" borderId="105" xfId="0" applyBorder="1" applyAlignment="1">
      <alignment vertical="center"/>
    </xf>
    <xf numFmtId="0" fontId="0" fillId="0" borderId="38" xfId="0" applyBorder="1" applyAlignment="1">
      <alignment vertical="center"/>
    </xf>
    <xf numFmtId="0" fontId="0" fillId="0" borderId="106" xfId="0" applyBorder="1" applyAlignment="1">
      <alignment horizontal="center" vertical="center"/>
    </xf>
    <xf numFmtId="0" fontId="0" fillId="0" borderId="61" xfId="0" applyBorder="1" applyAlignment="1">
      <alignment horizontal="center" vertical="center"/>
    </xf>
    <xf numFmtId="0" fontId="0" fillId="0" borderId="62" xfId="0" applyBorder="1" applyAlignment="1">
      <alignment horizontal="center" vertical="center"/>
    </xf>
    <xf numFmtId="0" fontId="4" fillId="3" borderId="91" xfId="0" applyFont="1" applyFill="1" applyBorder="1" applyAlignment="1">
      <alignment horizontal="center" vertical="center"/>
    </xf>
    <xf numFmtId="0" fontId="4" fillId="3" borderId="92" xfId="0" applyFont="1" applyFill="1" applyBorder="1" applyAlignment="1">
      <alignment horizontal="center" vertical="center"/>
    </xf>
    <xf numFmtId="0" fontId="4" fillId="3" borderId="110" xfId="0" applyFont="1" applyFill="1" applyBorder="1" applyAlignment="1">
      <alignment horizontal="center" vertical="center"/>
    </xf>
    <xf numFmtId="0" fontId="1" fillId="2" borderId="108" xfId="0" applyFont="1" applyFill="1" applyBorder="1" applyAlignment="1">
      <alignment horizontal="center" vertical="center"/>
    </xf>
    <xf numFmtId="0" fontId="1" fillId="2" borderId="39" xfId="0" applyFont="1" applyFill="1" applyBorder="1" applyAlignment="1">
      <alignment horizontal="center" vertical="center"/>
    </xf>
    <xf numFmtId="0" fontId="1" fillId="2" borderId="109" xfId="0" applyFont="1" applyFill="1" applyBorder="1" applyAlignment="1">
      <alignment horizontal="center" vertical="center"/>
    </xf>
    <xf numFmtId="0" fontId="1" fillId="2" borderId="19" xfId="0" applyFont="1" applyFill="1" applyBorder="1" applyAlignment="1">
      <alignment horizontal="center" vertical="center"/>
    </xf>
    <xf numFmtId="0" fontId="4" fillId="3" borderId="2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21" xfId="0" applyFont="1" applyFill="1" applyBorder="1" applyAlignment="1">
      <alignment horizontal="center" vertical="center"/>
    </xf>
    <xf numFmtId="0" fontId="1" fillId="2" borderId="41" xfId="0" applyFont="1" applyFill="1" applyBorder="1" applyAlignment="1">
      <alignment horizontal="center" vertical="center"/>
    </xf>
    <xf numFmtId="0" fontId="1" fillId="3" borderId="33" xfId="0" applyFont="1" applyFill="1" applyBorder="1" applyAlignment="1">
      <alignment horizontal="center" vertical="center"/>
    </xf>
    <xf numFmtId="0" fontId="1" fillId="3" borderId="34" xfId="0" applyFont="1" applyFill="1" applyBorder="1" applyAlignment="1">
      <alignment horizontal="center" vertical="center"/>
    </xf>
    <xf numFmtId="0" fontId="1" fillId="2" borderId="42" xfId="0" applyFont="1" applyFill="1" applyBorder="1" applyAlignment="1">
      <alignment horizontal="center" vertical="center"/>
    </xf>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6" fillId="0" borderId="45"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55" xfId="0" applyFont="1" applyBorder="1" applyAlignment="1">
      <alignment horizontal="center" vertical="center" wrapText="1"/>
    </xf>
    <xf numFmtId="0" fontId="0" fillId="0" borderId="60" xfId="0"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31"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32" xfId="0" applyFont="1" applyFill="1" applyBorder="1" applyAlignment="1">
      <alignment horizontal="center" vertical="center"/>
    </xf>
    <xf numFmtId="0" fontId="3" fillId="2" borderId="3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43" xfId="0" applyFont="1" applyFill="1" applyBorder="1" applyAlignment="1">
      <alignment horizontal="center" vertical="center"/>
    </xf>
    <xf numFmtId="0" fontId="0" fillId="0" borderId="37" xfId="0" applyBorder="1" applyAlignment="1">
      <alignment vertical="center"/>
    </xf>
    <xf numFmtId="0" fontId="2" fillId="0" borderId="78" xfId="0" applyFont="1" applyBorder="1" applyAlignment="1">
      <alignment vertical="center" wrapText="1"/>
    </xf>
    <xf numFmtId="0" fontId="2" fillId="0" borderId="0" xfId="0" applyFont="1" applyBorder="1" applyAlignment="1">
      <alignment vertical="center" wrapText="1"/>
    </xf>
    <xf numFmtId="0" fontId="2" fillId="0" borderId="79" xfId="0" applyFont="1" applyBorder="1" applyAlignment="1">
      <alignment vertical="center" wrapText="1"/>
    </xf>
    <xf numFmtId="0" fontId="2" fillId="0" borderId="80" xfId="0" applyFont="1" applyBorder="1" applyAlignment="1">
      <alignment vertical="center" wrapText="1"/>
    </xf>
    <xf numFmtId="0" fontId="2" fillId="0" borderId="81" xfId="0" applyFont="1" applyBorder="1" applyAlignment="1">
      <alignment vertical="center" wrapText="1"/>
    </xf>
    <xf numFmtId="0" fontId="2" fillId="0" borderId="82" xfId="0" applyFont="1" applyBorder="1" applyAlignment="1">
      <alignment vertical="center" wrapText="1"/>
    </xf>
    <xf numFmtId="0" fontId="9" fillId="6" borderId="73" xfId="0" applyFont="1" applyFill="1" applyBorder="1" applyAlignment="1">
      <alignment horizontal="left" vertical="center" wrapText="1"/>
    </xf>
    <xf numFmtId="0" fontId="9" fillId="6" borderId="75" xfId="0" applyFont="1" applyFill="1" applyBorder="1" applyAlignment="1">
      <alignment horizontal="left" vertical="center" wrapText="1"/>
    </xf>
    <xf numFmtId="0" fontId="9" fillId="6" borderId="74" xfId="0" applyFont="1" applyFill="1" applyBorder="1" applyAlignment="1">
      <alignment horizontal="left" vertical="center" wrapText="1"/>
    </xf>
    <xf numFmtId="0" fontId="9" fillId="8" borderId="76" xfId="0" applyFont="1" applyFill="1" applyBorder="1" applyAlignment="1">
      <alignment horizontal="left" vertical="center"/>
    </xf>
    <xf numFmtId="0" fontId="9" fillId="2" borderId="67" xfId="0" applyFont="1" applyFill="1" applyBorder="1" applyAlignment="1">
      <alignment horizontal="center" vertical="center" wrapText="1"/>
    </xf>
    <xf numFmtId="0" fontId="19" fillId="4" borderId="68" xfId="0" applyFont="1" applyFill="1" applyBorder="1" applyAlignment="1">
      <alignment horizontal="left" vertical="center" wrapText="1"/>
    </xf>
    <xf numFmtId="0" fontId="19" fillId="4" borderId="69" xfId="0" applyFont="1" applyFill="1" applyBorder="1" applyAlignment="1">
      <alignment horizontal="left" vertical="center"/>
    </xf>
    <xf numFmtId="0" fontId="19" fillId="4" borderId="70" xfId="0" applyFont="1" applyFill="1" applyBorder="1" applyAlignment="1">
      <alignment horizontal="left" vertical="center"/>
    </xf>
    <xf numFmtId="0" fontId="9" fillId="6" borderId="0" xfId="0" applyFont="1" applyFill="1" applyAlignment="1">
      <alignment horizontal="left" vertical="center"/>
    </xf>
    <xf numFmtId="0" fontId="0" fillId="7" borderId="0" xfId="0" applyFill="1" applyAlignment="1">
      <alignment horizontal="left" vertical="center" wrapText="1"/>
    </xf>
    <xf numFmtId="0" fontId="18" fillId="0" borderId="68" xfId="0" applyFont="1" applyBorder="1" applyAlignment="1">
      <alignment horizontal="left" vertical="center"/>
    </xf>
    <xf numFmtId="0" fontId="18" fillId="0" borderId="69" xfId="0" applyFont="1" applyBorder="1" applyAlignment="1">
      <alignment horizontal="left" vertical="center"/>
    </xf>
    <xf numFmtId="0" fontId="18" fillId="0" borderId="70" xfId="0" applyFont="1" applyBorder="1" applyAlignment="1">
      <alignment horizontal="left" vertical="center"/>
    </xf>
    <xf numFmtId="0" fontId="19" fillId="0" borderId="68" xfId="0" applyFont="1" applyBorder="1" applyAlignment="1">
      <alignment horizontal="left" vertical="center" wrapText="1"/>
    </xf>
    <xf numFmtId="0" fontId="19" fillId="0" borderId="69" xfId="0" applyFont="1" applyBorder="1" applyAlignment="1">
      <alignment horizontal="left" vertical="center"/>
    </xf>
    <xf numFmtId="0" fontId="19" fillId="0" borderId="70" xfId="0" applyFont="1" applyBorder="1" applyAlignment="1">
      <alignment horizontal="left" vertical="center"/>
    </xf>
    <xf numFmtId="0" fontId="0" fillId="0" borderId="37" xfId="0" applyBorder="1" applyAlignment="1">
      <alignment horizontal="center" vertical="center"/>
    </xf>
    <xf numFmtId="0" fontId="0" fillId="0" borderId="38" xfId="0" applyBorder="1" applyAlignment="1">
      <alignment horizontal="center" vertical="center"/>
    </xf>
    <xf numFmtId="2" fontId="9" fillId="6" borderId="73" xfId="0" applyNumberFormat="1" applyFont="1" applyFill="1" applyBorder="1" applyAlignment="1">
      <alignment horizontal="center" vertical="center" wrapText="1"/>
    </xf>
    <xf numFmtId="2" fontId="9" fillId="6" borderId="75" xfId="0" applyNumberFormat="1" applyFont="1" applyFill="1" applyBorder="1" applyAlignment="1">
      <alignment horizontal="center" vertical="center" wrapText="1"/>
    </xf>
    <xf numFmtId="0" fontId="9" fillId="6" borderId="74" xfId="0" applyFont="1" applyFill="1" applyBorder="1" applyAlignment="1">
      <alignment horizontal="center" vertical="center" wrapText="1"/>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0" fontId="9" fillId="8" borderId="76" xfId="0" applyFont="1" applyFill="1" applyBorder="1" applyAlignment="1">
      <alignment horizontal="center" vertical="center"/>
    </xf>
    <xf numFmtId="167" fontId="9" fillId="6" borderId="73" xfId="1" applyNumberFormat="1" applyFont="1" applyFill="1" applyBorder="1" applyAlignment="1">
      <alignment horizontal="center" vertical="center" wrapText="1"/>
    </xf>
    <xf numFmtId="167" fontId="9" fillId="6" borderId="75" xfId="1" applyNumberFormat="1" applyFont="1" applyFill="1" applyBorder="1" applyAlignment="1">
      <alignment horizontal="center" vertical="center" wrapText="1"/>
    </xf>
    <xf numFmtId="0" fontId="19" fillId="7" borderId="68" xfId="0" applyFont="1" applyFill="1" applyBorder="1" applyAlignment="1">
      <alignment horizontal="left" vertical="center" wrapText="1"/>
    </xf>
    <xf numFmtId="0" fontId="19" fillId="7" borderId="69" xfId="0" applyFont="1" applyFill="1" applyBorder="1" applyAlignment="1">
      <alignment horizontal="left" vertical="center"/>
    </xf>
    <xf numFmtId="0" fontId="19" fillId="7" borderId="70" xfId="0" applyFont="1" applyFill="1" applyBorder="1" applyAlignment="1">
      <alignment horizontal="left" vertical="center"/>
    </xf>
    <xf numFmtId="0" fontId="9" fillId="14" borderId="73" xfId="0" applyFont="1" applyFill="1" applyBorder="1" applyAlignment="1">
      <alignment horizontal="center" vertical="center" wrapText="1"/>
    </xf>
    <xf numFmtId="0" fontId="9" fillId="14" borderId="75" xfId="0" applyFont="1" applyFill="1" applyBorder="1" applyAlignment="1">
      <alignment horizontal="center" vertical="center" wrapText="1"/>
    </xf>
    <xf numFmtId="0" fontId="9" fillId="6" borderId="65" xfId="0" applyFont="1" applyFill="1" applyBorder="1" applyAlignment="1">
      <alignment horizontal="center" vertical="center" wrapText="1"/>
    </xf>
    <xf numFmtId="0" fontId="9" fillId="6" borderId="122"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8" borderId="76" xfId="0" applyFont="1" applyFill="1" applyBorder="1" applyAlignment="1">
      <alignment vertical="center"/>
    </xf>
    <xf numFmtId="0" fontId="9" fillId="6" borderId="73" xfId="0" applyFont="1" applyFill="1" applyBorder="1" applyAlignment="1">
      <alignment vertical="center" wrapText="1"/>
    </xf>
    <xf numFmtId="0" fontId="9" fillId="6" borderId="75" xfId="0" applyFont="1" applyFill="1" applyBorder="1" applyAlignment="1">
      <alignment vertical="center" wrapText="1"/>
    </xf>
    <xf numFmtId="0" fontId="9" fillId="6" borderId="74" xfId="0" applyFont="1" applyFill="1" applyBorder="1" applyAlignment="1">
      <alignment vertical="center" wrapText="1"/>
    </xf>
    <xf numFmtId="2" fontId="9" fillId="6" borderId="74" xfId="0" applyNumberFormat="1" applyFont="1" applyFill="1" applyBorder="1" applyAlignment="1">
      <alignment vertical="center" wrapText="1"/>
    </xf>
    <xf numFmtId="0" fontId="19" fillId="4" borderId="71" xfId="0" applyFont="1" applyFill="1" applyBorder="1" applyAlignment="1">
      <alignment horizontal="left" vertical="center" wrapText="1"/>
    </xf>
    <xf numFmtId="0" fontId="19" fillId="4" borderId="72" xfId="0" applyFont="1" applyFill="1" applyBorder="1" applyAlignment="1">
      <alignment horizontal="left" vertical="center" wrapText="1"/>
    </xf>
    <xf numFmtId="0" fontId="9" fillId="2" borderId="84" xfId="0" applyFont="1" applyFill="1" applyBorder="1" applyAlignment="1">
      <alignment horizontal="center" vertical="center" wrapText="1"/>
    </xf>
    <xf numFmtId="0" fontId="9" fillId="2" borderId="85" xfId="0" applyFont="1" applyFill="1" applyBorder="1" applyAlignment="1">
      <alignment horizontal="center" vertical="center" wrapText="1"/>
    </xf>
    <xf numFmtId="0" fontId="18" fillId="0" borderId="71" xfId="0" applyFont="1" applyBorder="1" applyAlignment="1">
      <alignment horizontal="left" vertical="center"/>
    </xf>
    <xf numFmtId="0" fontId="18" fillId="0" borderId="72" xfId="0" applyFont="1" applyBorder="1" applyAlignment="1">
      <alignment horizontal="left" vertical="center"/>
    </xf>
    <xf numFmtId="0" fontId="18" fillId="0" borderId="83" xfId="0" applyFont="1" applyBorder="1" applyAlignment="1">
      <alignment horizontal="left" vertical="center"/>
    </xf>
    <xf numFmtId="0" fontId="19" fillId="0" borderId="71" xfId="0" applyFont="1" applyBorder="1" applyAlignment="1">
      <alignment horizontal="left" vertical="center" wrapText="1"/>
    </xf>
    <xf numFmtId="0" fontId="19" fillId="0" borderId="72" xfId="0" applyFont="1" applyBorder="1" applyAlignment="1">
      <alignment horizontal="left" vertical="center" wrapText="1"/>
    </xf>
    <xf numFmtId="0" fontId="19" fillId="0" borderId="83" xfId="0" applyFont="1" applyBorder="1" applyAlignment="1">
      <alignment horizontal="left" vertical="center" wrapText="1"/>
    </xf>
    <xf numFmtId="0" fontId="19" fillId="4" borderId="83" xfId="0" applyFont="1" applyFill="1" applyBorder="1" applyAlignment="1">
      <alignment horizontal="left" vertical="center" wrapText="1"/>
    </xf>
    <xf numFmtId="0" fontId="9" fillId="6" borderId="77" xfId="0" applyFont="1" applyFill="1" applyBorder="1" applyAlignment="1">
      <alignment horizontal="left" vertical="center" wrapText="1"/>
    </xf>
    <xf numFmtId="0" fontId="9" fillId="6" borderId="77" xfId="0" applyFont="1" applyFill="1" applyBorder="1" applyAlignment="1">
      <alignment horizontal="center" vertical="center" wrapText="1"/>
    </xf>
    <xf numFmtId="171" fontId="9" fillId="6" borderId="73" xfId="0" applyNumberFormat="1" applyFont="1" applyFill="1" applyBorder="1" applyAlignment="1">
      <alignment horizontal="center" vertical="center" wrapText="1"/>
    </xf>
    <xf numFmtId="171" fontId="9" fillId="6" borderId="77" xfId="0" applyNumberFormat="1" applyFont="1" applyFill="1" applyBorder="1" applyAlignment="1">
      <alignment horizontal="center" vertical="center" wrapText="1"/>
    </xf>
    <xf numFmtId="165" fontId="9" fillId="6" borderId="74" xfId="0" applyNumberFormat="1" applyFont="1" applyFill="1" applyBorder="1" applyAlignment="1">
      <alignment horizontal="center" vertical="center" wrapText="1"/>
    </xf>
    <xf numFmtId="165" fontId="9" fillId="6" borderId="73" xfId="0" applyNumberFormat="1" applyFont="1" applyFill="1" applyBorder="1" applyAlignment="1">
      <alignment horizontal="center" vertical="center" wrapText="1"/>
    </xf>
    <xf numFmtId="165" fontId="9" fillId="6" borderId="75" xfId="0" applyNumberFormat="1" applyFont="1" applyFill="1" applyBorder="1" applyAlignment="1">
      <alignment horizontal="center" vertical="center" wrapText="1"/>
    </xf>
    <xf numFmtId="0" fontId="19" fillId="9" borderId="68" xfId="0" applyFont="1" applyFill="1" applyBorder="1" applyAlignment="1">
      <alignment horizontal="left" vertical="center" wrapText="1"/>
    </xf>
    <xf numFmtId="0" fontId="19" fillId="9" borderId="69" xfId="0" applyFont="1" applyFill="1" applyBorder="1" applyAlignment="1">
      <alignment horizontal="left" vertical="center"/>
    </xf>
    <xf numFmtId="0" fontId="19" fillId="9" borderId="70" xfId="0" applyFont="1" applyFill="1" applyBorder="1" applyAlignment="1">
      <alignment horizontal="left" vertical="center"/>
    </xf>
    <xf numFmtId="0" fontId="19" fillId="9" borderId="71" xfId="0" applyFont="1" applyFill="1" applyBorder="1" applyAlignment="1">
      <alignment horizontal="left" vertical="center" wrapText="1"/>
    </xf>
    <xf numFmtId="0" fontId="19" fillId="9" borderId="72" xfId="0" applyFont="1" applyFill="1" applyBorder="1" applyAlignment="1">
      <alignment horizontal="left" vertical="center" wrapText="1"/>
    </xf>
    <xf numFmtId="165" fontId="9" fillId="6" borderId="74" xfId="0" applyNumberFormat="1" applyFont="1" applyFill="1" applyBorder="1" applyAlignment="1">
      <alignment horizontal="left" vertical="center" wrapText="1"/>
    </xf>
    <xf numFmtId="165" fontId="9" fillId="6" borderId="73" xfId="0" applyNumberFormat="1" applyFont="1" applyFill="1" applyBorder="1" applyAlignment="1">
      <alignment horizontal="left" vertical="center" wrapText="1"/>
    </xf>
    <xf numFmtId="171" fontId="9" fillId="6" borderId="74" xfId="0" applyNumberFormat="1" applyFont="1" applyFill="1" applyBorder="1" applyAlignment="1">
      <alignment horizontal="center" vertical="center" wrapText="1"/>
    </xf>
    <xf numFmtId="0" fontId="9" fillId="6" borderId="73" xfId="0" applyFont="1" applyFill="1" applyBorder="1" applyAlignment="1">
      <alignment horizontal="left" vertical="center"/>
    </xf>
    <xf numFmtId="0" fontId="9" fillId="6" borderId="75" xfId="0" applyFont="1" applyFill="1" applyBorder="1" applyAlignment="1">
      <alignment horizontal="left" vertical="center"/>
    </xf>
    <xf numFmtId="49" fontId="9" fillId="6" borderId="73" xfId="0" applyNumberFormat="1" applyFont="1" applyFill="1" applyBorder="1" applyAlignment="1">
      <alignment horizontal="center" vertical="center" wrapText="1"/>
    </xf>
    <xf numFmtId="49" fontId="9" fillId="6" borderId="75" xfId="0" applyNumberFormat="1" applyFont="1" applyFill="1" applyBorder="1" applyAlignment="1">
      <alignment horizontal="center" vertical="center" wrapText="1"/>
    </xf>
    <xf numFmtId="2" fontId="9" fillId="6" borderId="73" xfId="0" applyNumberFormat="1" applyFont="1" applyFill="1" applyBorder="1" applyAlignment="1">
      <alignment horizontal="left" vertical="center" wrapText="1"/>
    </xf>
    <xf numFmtId="2" fontId="9" fillId="6" borderId="75" xfId="0" applyNumberFormat="1" applyFont="1" applyFill="1" applyBorder="1" applyAlignment="1">
      <alignment horizontal="left" vertical="center" wrapText="1"/>
    </xf>
    <xf numFmtId="168" fontId="9" fillId="6" borderId="73" xfId="0" applyNumberFormat="1" applyFont="1" applyFill="1" applyBorder="1" applyAlignment="1">
      <alignment horizontal="left" vertical="center" wrapText="1"/>
    </xf>
    <xf numFmtId="168" fontId="9" fillId="6" borderId="75" xfId="0" applyNumberFormat="1" applyFont="1" applyFill="1" applyBorder="1" applyAlignment="1">
      <alignment horizontal="left" vertical="center" wrapText="1"/>
    </xf>
    <xf numFmtId="168" fontId="9" fillId="6" borderId="73" xfId="0" applyNumberFormat="1" applyFont="1" applyFill="1" applyBorder="1" applyAlignment="1">
      <alignment horizontal="center" vertical="center" wrapText="1"/>
    </xf>
    <xf numFmtId="168" fontId="9" fillId="6" borderId="75" xfId="0" applyNumberFormat="1" applyFont="1" applyFill="1" applyBorder="1" applyAlignment="1">
      <alignment horizontal="center" vertical="center" wrapText="1"/>
    </xf>
  </cellXfs>
  <cellStyles count="6">
    <cellStyle name="Hiperligação" xfId="2" builtinId="8"/>
    <cellStyle name="Moeda" xfId="3" builtinId="4"/>
    <cellStyle name="Normal" xfId="0" builtinId="0"/>
    <cellStyle name="Percentagem" xfId="5" builtinId="5"/>
    <cellStyle name="Separador de milhares [0]" xfId="4" builtinId="6"/>
    <cellStyle name="Vírgula" xfId="1" builtinId="3"/>
  </cellStyles>
  <dxfs count="15">
    <dxf>
      <fill>
        <patternFill patternType="none">
          <fgColor indexed="64"/>
          <bgColor auto="1"/>
        </patternFill>
      </fill>
      <alignment horizontal="left" vertical="center" textRotation="0" wrapText="0" indent="0" justifyLastLine="0" shrinkToFit="0" readingOrder="0"/>
      <border diagonalUp="0" diagonalDown="0" outline="0">
        <left style="medium">
          <color theme="0"/>
        </left>
        <right/>
        <top style="medium">
          <color theme="0"/>
        </top>
        <bottom style="medium">
          <color theme="0"/>
        </bottom>
      </border>
    </dxf>
    <dxf>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medium">
          <color theme="0"/>
        </right>
        <top style="medium">
          <color theme="0"/>
        </top>
        <bottom style="medium">
          <color theme="0"/>
        </bottom>
      </border>
    </dxf>
    <dxf>
      <border outline="0">
        <left style="medium">
          <color theme="0"/>
        </left>
        <right style="medium">
          <color theme="0"/>
        </right>
        <top style="medium">
          <color theme="0"/>
        </top>
        <bottom style="medium">
          <color theme="0"/>
        </bottom>
      </border>
    </dxf>
    <dxf>
      <fill>
        <patternFill patternType="none">
          <fgColor indexed="64"/>
          <bgColor auto="1"/>
        </patternFill>
      </fill>
    </dxf>
    <dxf>
      <font>
        <strike val="0"/>
        <outline val="0"/>
        <shadow val="0"/>
        <u val="none"/>
        <vertAlign val="baseline"/>
        <sz val="11"/>
        <color auto="1"/>
        <name val="Calibri"/>
        <scheme val="minor"/>
      </font>
      <fill>
        <patternFill patternType="none">
          <fgColor indexed="64"/>
          <bgColor auto="1"/>
        </patternFill>
      </fill>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solid">
          <fgColor indexed="64"/>
          <bgColor theme="8" tint="-0.499984740745262"/>
        </patternFill>
      </fill>
      <alignment horizontal="center" vertical="bottom"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solid">
          <fgColor indexed="64"/>
          <bgColor theme="8" tint="-0.499984740745262"/>
        </patternFill>
      </fill>
    </dxf>
  </dxfs>
  <tableStyles count="0" defaultTableStyle="TableStyleMedium2" defaultPivotStyle="PivotStyleLight16"/>
  <colors>
    <mruColors>
      <color rgb="FFE3B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540447</xdr:colOff>
      <xdr:row>10</xdr:row>
      <xdr:rowOff>67310</xdr:rowOff>
    </xdr:from>
    <xdr:to>
      <xdr:col>5</xdr:col>
      <xdr:colOff>169570</xdr:colOff>
      <xdr:row>21</xdr:row>
      <xdr:rowOff>63500</xdr:rowOff>
    </xdr:to>
    <xdr:pic>
      <xdr:nvPicPr>
        <xdr:cNvPr id="2" name="Imagem 6" descr="Barraqueiro - Grupo Barraqueiro sgps">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0997" y="2648585"/>
          <a:ext cx="2067523" cy="2091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917670</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7431"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544285</xdr:colOff>
      <xdr:row>1</xdr:row>
      <xdr:rowOff>81643</xdr:rowOff>
    </xdr:from>
    <xdr:to>
      <xdr:col>7</xdr:col>
      <xdr:colOff>1741712</xdr:colOff>
      <xdr:row>4</xdr:row>
      <xdr:rowOff>309435</xdr:rowOff>
    </xdr:to>
    <xdr:pic>
      <xdr:nvPicPr>
        <xdr:cNvPr id="2" name="Imagem 1"/>
        <xdr:cNvPicPr>
          <a:picLocks noChangeAspect="1"/>
        </xdr:cNvPicPr>
      </xdr:nvPicPr>
      <xdr:blipFill>
        <a:blip xmlns:r="http://schemas.openxmlformats.org/officeDocument/2006/relationships" r:embed="rId1"/>
        <a:stretch>
          <a:fillRect/>
        </a:stretch>
      </xdr:blipFill>
      <xdr:spPr>
        <a:xfrm>
          <a:off x="19118035" y="285750"/>
          <a:ext cx="1197427" cy="11530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IPC/Desktop/00.1%20-%20Pegada%20de%20Carbono%20Materialidades%20e%20Dados%202022%2024_05_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dovi&#225;rio/Pegada%20de%20Carbono%20Materialidades%20e%20Dad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errovi&#225;rio/Template%20Pegada%20de%20Carbono%20Materialidades%20e%20Dados_Fertag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Rosto"/>
      <sheetName val="MM"/>
      <sheetName val="RESUMO BT"/>
      <sheetName val="RESUMO MARQUES"/>
      <sheetName val="RESUMO RODOCARGO"/>
      <sheetName val="RESUMO RA"/>
      <sheetName val="RESUMO EVA"/>
      <sheetName val="RESUMO VIMECA"/>
      <sheetName val="RESUMO OUTVALUE"/>
      <sheetName val="RESUMO ID"/>
      <sheetName val="RESUMO TEJO"/>
      <sheetName val="RESUMO RL"/>
      <sheetName val="MM (ex BT)"/>
      <sheetName val="A1.1"/>
      <sheetName val="A1.1.1"/>
      <sheetName val="A1.2"/>
      <sheetName val="A1.2.1"/>
      <sheetName val="A1.3"/>
      <sheetName val="A1.3.1"/>
      <sheetName val="A1.4"/>
      <sheetName val="A1.4.1"/>
      <sheetName val="A1.4.2"/>
      <sheetName val="A2"/>
      <sheetName val="A3.1"/>
      <sheetName val="A3.2"/>
      <sheetName val="A3.3"/>
      <sheetName val="A3.4"/>
      <sheetName val="A3.5"/>
      <sheetName val="A3.6"/>
      <sheetName val="A3.7"/>
      <sheetName val="A3.8"/>
      <sheetName val="A3.9.1"/>
      <sheetName val="A3.9.1.1"/>
      <sheetName val="A3.9.1.2"/>
      <sheetName val="A3.9.2"/>
      <sheetName val="A3.9.2.1"/>
      <sheetName val="A3.10"/>
      <sheetName val="A3.11"/>
      <sheetName val="A3.12"/>
      <sheetName val="A3.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Rosto"/>
      <sheetName val="Indicadores Económicos e Op."/>
      <sheetName val="Folha1"/>
      <sheetName val="MM"/>
      <sheetName val="MM (ex BT)"/>
      <sheetName val="A1.1"/>
      <sheetName val="A1.1.1"/>
      <sheetName val="A1.2"/>
      <sheetName val="A1.2.1"/>
      <sheetName val="A1.3"/>
      <sheetName val="A1.3.1"/>
      <sheetName val="A1.4"/>
      <sheetName val="A1.4.1"/>
      <sheetName val="A1.4.2"/>
      <sheetName val="A2"/>
      <sheetName val="A3.1"/>
      <sheetName val="A3.2"/>
      <sheetName val="A3.3"/>
      <sheetName val="A3.4"/>
      <sheetName val="A3.5"/>
      <sheetName val="A3.6"/>
      <sheetName val="A3.7"/>
      <sheetName val="A3.8"/>
      <sheetName val="A3.9.1"/>
      <sheetName val="A3.9.1.1"/>
      <sheetName val="A3.9.1.2"/>
      <sheetName val="A3.9.2"/>
      <sheetName val="A3.9.2.1"/>
      <sheetName val="A3.10"/>
      <sheetName val="A3.11"/>
      <sheetName val="A3.12"/>
      <sheetName val="A3.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Rosto"/>
      <sheetName val="Indicadores Económicos e Op."/>
      <sheetName val="MM"/>
      <sheetName val="MM (ex BT)"/>
      <sheetName val="A1.1"/>
      <sheetName val="A1.1.1"/>
      <sheetName val="A1.2"/>
      <sheetName val="A1.2.1"/>
      <sheetName val="A1.3"/>
      <sheetName val="A1.3.1"/>
      <sheetName val="A1.4"/>
      <sheetName val="A1.4.1"/>
      <sheetName val="A1.4.2"/>
      <sheetName val="A2"/>
      <sheetName val="A3.1"/>
      <sheetName val="A3.2"/>
      <sheetName val="A3.3"/>
      <sheetName val="A3.4"/>
      <sheetName val="A3.5"/>
      <sheetName val="A3.6"/>
      <sheetName val="A3.7"/>
      <sheetName val="A3.8"/>
      <sheetName val="A3.9.1"/>
      <sheetName val="A3.9.1.1"/>
      <sheetName val="A3.9.1.2"/>
      <sheetName val="A3.9.2"/>
      <sheetName val="A3.9.2.1"/>
      <sheetName val="A3.10"/>
      <sheetName val="A3.11"/>
      <sheetName val="A3.12"/>
      <sheetName val="A3.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ables/table1.xml><?xml version="1.0" encoding="utf-8"?>
<table xmlns="http://schemas.openxmlformats.org/spreadsheetml/2006/main" id="1" name="Tabela1" displayName="Tabela1" ref="H1:H9" totalsRowShown="0" headerRowDxfId="14">
  <autoFilter ref="H1:H9"/>
  <tableColumns count="1">
    <tableColumn id="1" name="Tipos de Gás"/>
  </tableColumns>
  <tableStyleInfo showFirstColumn="0" showLastColumn="0" showRowStripes="1" showColumnStripes="0"/>
</table>
</file>

<file path=xl/tables/table2.xml><?xml version="1.0" encoding="utf-8"?>
<table xmlns="http://schemas.openxmlformats.org/spreadsheetml/2006/main" id="2" name="Tabela2" displayName="Tabela2" ref="B1:C248" totalsRowShown="0" headerRowDxfId="13" dataDxfId="12">
  <autoFilter ref="B1:C248"/>
  <tableColumns count="2">
    <tableColumn id="1" name="Gases EE" dataDxfId="11"/>
    <tableColumn id="2" name="Tipo" dataDxfId="10"/>
  </tableColumns>
  <tableStyleInfo name="TableStyleMedium2" showFirstColumn="0" showLastColumn="0" showRowStripes="1" showColumnStripes="0"/>
</table>
</file>

<file path=xl/tables/table3.xml><?xml version="1.0" encoding="utf-8"?>
<table xmlns="http://schemas.openxmlformats.org/spreadsheetml/2006/main" id="3" name="Tabela3" displayName="Tabela3" ref="A1:C29" totalsRowShown="0" headerRowDxfId="9" dataDxfId="8">
  <autoFilter ref="A1:C29"/>
  <tableColumns count="3">
    <tableColumn id="1" name="Tipos de Tratamento" dataDxfId="7"/>
    <tableColumn id="2" name="Final" dataDxfId="6"/>
    <tableColumn id="3" name="Código" dataDxfId="5"/>
  </tableColumns>
  <tableStyleInfo name="TableStyleLight1" showFirstColumn="0" showLastColumn="0" showRowStripes="1" showColumnStripes="0"/>
</table>
</file>

<file path=xl/tables/table4.xml><?xml version="1.0" encoding="utf-8"?>
<table xmlns="http://schemas.openxmlformats.org/spreadsheetml/2006/main" id="4" name="Tabela4" displayName="Tabela4" ref="A1:B67" totalsRowShown="0" headerRowDxfId="4" dataDxfId="3" tableBorderDxfId="2">
  <autoFilter ref="A1:B67"/>
  <sortState ref="A2:B67">
    <sortCondition ref="A1:A67"/>
  </sortState>
  <tableColumns count="2">
    <tableColumn id="1" name="Tipo de resíduo (Código LER)" dataDxfId="1"/>
    <tableColumn id="2" name="Tipo de resíduo (descrição)" dataDxfId="0"/>
  </tableColumns>
  <tableStyleInfo name="TableStyleLight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customProperty" Target="../customProperty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customProperty" Target="../customProperty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customProperty" Target="../customProperty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customProperty" Target="../customProperty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customProperty" Target="../customProperty17.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customProperty" Target="../customProperty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20.bin"/><Relationship Id="rId1" Type="http://schemas.openxmlformats.org/officeDocument/2006/relationships/printerSettings" Target="../printerSettings/printerSettings5.bin"/><Relationship Id="rId4" Type="http://schemas.openxmlformats.org/officeDocument/2006/relationships/table" Target="../tables/table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customProperty" Target="../customProperty21.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customProperty" Target="../customProperty22.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customProperty" Target="../customProperty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25.bin"/><Relationship Id="rId1" Type="http://schemas.openxmlformats.org/officeDocument/2006/relationships/printerSettings" Target="../printerSettings/printerSettings7.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8.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customProperty" Target="../customProperty27.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customProperty" Target="../customProperty29.bin"/><Relationship Id="rId4"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customProperty" Target="../customProperty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customProperty" Target="../customProperty3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customProperty" Target="../customProperty32.bin"/><Relationship Id="rId1" Type="http://schemas.openxmlformats.org/officeDocument/2006/relationships/printerSettings" Target="../printerSettings/printerSettings10.bin"/><Relationship Id="rId4"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customProperty" Target="../customProperty33.bin"/><Relationship Id="rId4"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8" Type="http://schemas.openxmlformats.org/officeDocument/2006/relationships/customProperty" Target="../customProperty34.bin"/><Relationship Id="rId3" Type="http://schemas.openxmlformats.org/officeDocument/2006/relationships/hyperlink" Target="https://esevel.pt/wp-content/uploads/2021/06/Broschure_AC353-5_en.pdf" TargetMode="External"/><Relationship Id="rId7" Type="http://schemas.openxmlformats.org/officeDocument/2006/relationships/hyperlink" Target="https://sanzclima.com/wp-content/uploads/2021/05/ElectricACRooftopUnit_KENWAY_DataSheet.pdf" TargetMode="External"/><Relationship Id="rId2" Type="http://schemas.openxmlformats.org/officeDocument/2006/relationships/hyperlink" Target="https://esevel.pt/wp-content/uploads/2021/05/AC_520.pdf" TargetMode="External"/><Relationship Id="rId1" Type="http://schemas.openxmlformats.org/officeDocument/2006/relationships/hyperlink" Target="https://esevel.pt/wp-content/uploads/2021/05/AC_515.pdf" TargetMode="External"/><Relationship Id="rId6" Type="http://schemas.openxmlformats.org/officeDocument/2006/relationships/hyperlink" Target="https://sanzclima.com/produto/olmo-plus/?lang=pt-br" TargetMode="External"/><Relationship Id="rId11" Type="http://schemas.openxmlformats.org/officeDocument/2006/relationships/comments" Target="../comments19.xml"/><Relationship Id="rId5" Type="http://schemas.openxmlformats.org/officeDocument/2006/relationships/hyperlink" Target="https://sanzclima.com/product/dreiha-12sc/?lang=en" TargetMode="External"/><Relationship Id="rId10" Type="http://schemas.openxmlformats.org/officeDocument/2006/relationships/vmlDrawing" Target="../drawings/vmlDrawing19.vml"/><Relationship Id="rId4" Type="http://schemas.openxmlformats.org/officeDocument/2006/relationships/hyperlink" Target="https://sanzclima.com/wp-content/uploads/2021/05/Dreiha12SC.pdf" TargetMode="External"/><Relationship Id="rId9" Type="http://schemas.openxmlformats.org/officeDocument/2006/relationships/drawing" Target="../drawings/drawing18.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customProperty" Target="../customProperty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customProperty" Target="../customProperty36.bin"/><Relationship Id="rId4"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customProperty" Target="../customProperty3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38.bin"/><Relationship Id="rId1" Type="http://schemas.openxmlformats.org/officeDocument/2006/relationships/printerSettings" Target="../printerSettings/printerSettings11.bin"/><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customProperty" Target="../customProperty40.bin"/><Relationship Id="rId1" Type="http://schemas.openxmlformats.org/officeDocument/2006/relationships/printerSettings" Target="../printerSettings/printerSettings13.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customProperty" Target="../customProperty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1.xml"/><Relationship Id="rId1" Type="http://schemas.openxmlformats.org/officeDocument/2006/relationships/customProperty" Target="../customProperty42.bin"/><Relationship Id="rId4"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1" Type="http://schemas.openxmlformats.org/officeDocument/2006/relationships/customProperty" Target="../customProperty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2.xml"/><Relationship Id="rId1" Type="http://schemas.openxmlformats.org/officeDocument/2006/relationships/customProperty" Target="../customProperty44.bin"/><Relationship Id="rId4"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3.xml"/><Relationship Id="rId1" Type="http://schemas.openxmlformats.org/officeDocument/2006/relationships/customProperty" Target="../customProperty45.bin"/><Relationship Id="rId4"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4.xml"/><Relationship Id="rId1" Type="http://schemas.openxmlformats.org/officeDocument/2006/relationships/customProperty" Target="../customProperty46.bin"/><Relationship Id="rId4"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5.xml"/><Relationship Id="rId1" Type="http://schemas.openxmlformats.org/officeDocument/2006/relationships/customProperty" Target="../customProperty47.bin"/><Relationship Id="rId4" Type="http://schemas.openxmlformats.org/officeDocument/2006/relationships/comments" Target="../comments28.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6.xml"/><Relationship Id="rId1" Type="http://schemas.openxmlformats.org/officeDocument/2006/relationships/customProperty" Target="../customProperty48.bin"/><Relationship Id="rId4" Type="http://schemas.openxmlformats.org/officeDocument/2006/relationships/comments" Target="../comments2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customProperty" Target="../customProperty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6.bin"/><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customProperty" Target="../customProperty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dimension ref="B3:M26"/>
  <sheetViews>
    <sheetView workbookViewId="0">
      <selection activeCell="I25" sqref="I25"/>
    </sheetView>
    <sheetView workbookViewId="1"/>
  </sheetViews>
  <sheetFormatPr defaultColWidth="8.85546875" defaultRowHeight="15" x14ac:dyDescent="0.25"/>
  <cols>
    <col min="1" max="7" width="8.85546875" style="66"/>
    <col min="8" max="8" width="13.7109375" style="66" customWidth="1"/>
    <col min="9" max="9" width="16" style="66" customWidth="1"/>
    <col min="10" max="16384" width="8.85546875" style="66"/>
  </cols>
  <sheetData>
    <row r="3" spans="2:13" x14ac:dyDescent="0.25">
      <c r="C3" s="67"/>
      <c r="D3" s="67"/>
      <c r="E3" s="67"/>
      <c r="F3" s="67"/>
      <c r="G3" s="67"/>
      <c r="H3" s="67"/>
      <c r="I3" s="67"/>
      <c r="J3" s="67"/>
      <c r="K3" s="67"/>
      <c r="L3" s="67"/>
      <c r="M3" s="67"/>
    </row>
    <row r="4" spans="2:13" x14ac:dyDescent="0.25">
      <c r="B4" s="68"/>
      <c r="C4" s="69"/>
      <c r="D4" s="70"/>
      <c r="E4" s="70"/>
      <c r="F4" s="70"/>
      <c r="G4" s="70"/>
      <c r="H4" s="70"/>
      <c r="I4" s="70"/>
      <c r="J4" s="70"/>
      <c r="K4" s="70"/>
      <c r="L4" s="70"/>
      <c r="M4" s="70"/>
    </row>
    <row r="5" spans="2:13" ht="36" x14ac:dyDescent="0.25">
      <c r="C5" s="71" t="s">
        <v>113</v>
      </c>
    </row>
    <row r="6" spans="2:13" ht="36" x14ac:dyDescent="0.55000000000000004">
      <c r="C6" s="72" t="s">
        <v>126</v>
      </c>
      <c r="I6" s="71">
        <v>2022</v>
      </c>
    </row>
    <row r="8" spans="2:13" ht="26.25" x14ac:dyDescent="0.4">
      <c r="C8" s="73" t="s">
        <v>114</v>
      </c>
      <c r="D8" s="74"/>
    </row>
    <row r="25" spans="3:4" x14ac:dyDescent="0.25">
      <c r="C25" s="75" t="s">
        <v>115</v>
      </c>
      <c r="D25" s="76" t="s">
        <v>116</v>
      </c>
    </row>
    <row r="26" spans="3:4" x14ac:dyDescent="0.25">
      <c r="C26" s="75" t="s">
        <v>117</v>
      </c>
      <c r="D26" s="77">
        <v>45261</v>
      </c>
    </row>
  </sheetData>
  <pageMargins left="0.7" right="0.7" top="0.75" bottom="0.75" header="0.3" footer="0.3"/>
  <customProperties>
    <customPr name="GUID" r:id="rId1"/>
  </customProperties>
  <ignoredErrors>
    <ignoredError sqref="D25"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dimension ref="A1:W3478"/>
  <sheetViews>
    <sheetView topLeftCell="A2809" zoomScale="70" zoomScaleNormal="70" workbookViewId="0">
      <selection activeCell="C2812" sqref="A2812:C2828"/>
    </sheetView>
    <sheetView topLeftCell="A784" workbookViewId="1">
      <selection activeCell="B3497" sqref="B3497"/>
    </sheetView>
  </sheetViews>
  <sheetFormatPr defaultRowHeight="15" x14ac:dyDescent="0.25"/>
  <cols>
    <col min="1" max="3" width="79.42578125" customWidth="1"/>
    <col min="4" max="4" width="36" customWidth="1"/>
    <col min="5" max="5" width="28.5703125" customWidth="1"/>
    <col min="6" max="6" width="21.5703125" customWidth="1"/>
    <col min="7" max="7" width="21.5703125" style="89" customWidth="1"/>
    <col min="8" max="8" width="21.5703125" style="342" customWidth="1"/>
    <col min="9" max="9" width="53.42578125" customWidth="1"/>
    <col min="10" max="11" width="21.5703125" customWidth="1"/>
    <col min="12" max="13" width="28.28515625" customWidth="1"/>
    <col min="14" max="14" width="31.5703125" style="131" customWidth="1"/>
    <col min="15" max="15" width="28.28515625" customWidth="1"/>
    <col min="16" max="16" width="28.28515625" style="89" customWidth="1"/>
    <col min="17" max="17" width="39.42578125" bestFit="1" customWidth="1"/>
    <col min="18" max="18" width="15.140625" customWidth="1"/>
    <col min="19" max="19" width="12.42578125" customWidth="1"/>
    <col min="20" max="20" width="22.85546875" customWidth="1"/>
    <col min="21" max="21" width="16.85546875" customWidth="1"/>
    <col min="22" max="22" width="20" customWidth="1"/>
  </cols>
  <sheetData>
    <row r="1" spans="1:23" ht="15.75" thickBot="1" x14ac:dyDescent="0.3">
      <c r="A1" s="508" t="s">
        <v>1851</v>
      </c>
      <c r="B1" s="508" t="s">
        <v>131</v>
      </c>
      <c r="C1" s="508" t="s">
        <v>1852</v>
      </c>
      <c r="D1" s="510" t="s">
        <v>1854</v>
      </c>
      <c r="E1" s="537" t="s">
        <v>1855</v>
      </c>
      <c r="F1" s="529" t="s">
        <v>139</v>
      </c>
      <c r="G1" s="539" t="s">
        <v>148</v>
      </c>
      <c r="H1" s="541" t="s">
        <v>149</v>
      </c>
      <c r="I1" s="334" t="s">
        <v>119</v>
      </c>
      <c r="J1" s="529" t="s">
        <v>147</v>
      </c>
      <c r="K1" s="510" t="s">
        <v>1856</v>
      </c>
      <c r="L1" s="510" t="s">
        <v>140</v>
      </c>
      <c r="M1" s="508" t="s">
        <v>141</v>
      </c>
      <c r="N1" s="532" t="s">
        <v>146</v>
      </c>
      <c r="O1" s="510" t="s">
        <v>155</v>
      </c>
      <c r="P1" s="528" t="s">
        <v>134</v>
      </c>
      <c r="Q1" s="531" t="s">
        <v>142</v>
      </c>
      <c r="R1" s="528" t="s">
        <v>1887</v>
      </c>
      <c r="S1" s="528" t="s">
        <v>1889</v>
      </c>
      <c r="T1" s="528" t="s">
        <v>1515</v>
      </c>
      <c r="U1" s="528" t="s">
        <v>2831</v>
      </c>
      <c r="V1" s="528" t="s">
        <v>3628</v>
      </c>
      <c r="W1" s="528"/>
    </row>
    <row r="2" spans="1:23" ht="15.75" thickBot="1" x14ac:dyDescent="0.3">
      <c r="A2" s="509"/>
      <c r="B2" s="509"/>
      <c r="C2" s="509"/>
      <c r="D2" s="510"/>
      <c r="E2" s="538"/>
      <c r="F2" s="530"/>
      <c r="G2" s="540"/>
      <c r="H2" s="541"/>
      <c r="I2" s="335"/>
      <c r="J2" s="530"/>
      <c r="K2" s="510"/>
      <c r="L2" s="510"/>
      <c r="M2" s="509"/>
      <c r="N2" s="533"/>
      <c r="O2" s="510"/>
      <c r="P2" s="528"/>
      <c r="Q2" s="531"/>
      <c r="R2" s="528"/>
      <c r="S2" s="528"/>
      <c r="T2" s="528"/>
      <c r="U2" s="528"/>
      <c r="V2" s="528"/>
      <c r="W2" s="528"/>
    </row>
    <row r="3" spans="1:23" ht="15.75" thickBot="1" x14ac:dyDescent="0.3">
      <c r="A3" s="82" t="s">
        <v>3509</v>
      </c>
      <c r="B3" s="82" t="str">
        <f t="shared" ref="B3:B66" si="0">LEFT(A3,IFERROR(FIND(" - ",A3)-1,LEN(A3)))</f>
        <v>Barraqueiro Transportes, S.A.</v>
      </c>
      <c r="C3" s="82" t="str">
        <f>IF(A3=B3,B3,RIGHT(A3,LEN(A3)-LEN(B3)-3))</f>
        <v>Barraqueiro Oeste</v>
      </c>
      <c r="D3" s="83" t="s">
        <v>629</v>
      </c>
      <c r="E3" s="91" t="s">
        <v>1853</v>
      </c>
      <c r="F3" s="124" t="s">
        <v>620</v>
      </c>
      <c r="G3" s="333">
        <v>2008</v>
      </c>
      <c r="H3" s="341" t="s">
        <v>731</v>
      </c>
      <c r="I3" s="336" t="str">
        <f>D3&amp;": "&amp;E3&amp;" : "&amp;F3&amp;" : "&amp;H3</f>
        <v>Pesado de Passageiros M3: III : Gasóleo : E4</v>
      </c>
      <c r="J3" s="125">
        <v>66</v>
      </c>
      <c r="K3" s="125">
        <v>2022</v>
      </c>
      <c r="L3" s="85">
        <v>9625.42</v>
      </c>
      <c r="M3" s="85" t="s">
        <v>630</v>
      </c>
      <c r="N3" s="128">
        <v>26964</v>
      </c>
      <c r="O3" s="128">
        <f>N3*J3</f>
        <v>1779624</v>
      </c>
      <c r="P3" s="125" t="s">
        <v>631</v>
      </c>
      <c r="Q3" s="85" t="s">
        <v>47</v>
      </c>
      <c r="R3" s="220" t="s">
        <v>1888</v>
      </c>
      <c r="S3" s="220" t="s">
        <v>1861</v>
      </c>
      <c r="T3" s="85" t="s">
        <v>1491</v>
      </c>
      <c r="U3" t="s">
        <v>1972</v>
      </c>
      <c r="V3" t="s">
        <v>2832</v>
      </c>
    </row>
    <row r="4" spans="1:23" ht="15.75" thickBot="1" x14ac:dyDescent="0.3">
      <c r="A4" s="82" t="s">
        <v>3509</v>
      </c>
      <c r="B4" s="82" t="str">
        <f t="shared" si="0"/>
        <v>Barraqueiro Transportes, S.A.</v>
      </c>
      <c r="C4" s="82" t="str">
        <f t="shared" ref="C4:C67" si="1">IF(A4=B4,B4,RIGHT(A4,LEN(A4)-LEN(B4)-3))</f>
        <v>Barraqueiro Oeste</v>
      </c>
      <c r="D4" s="83" t="s">
        <v>629</v>
      </c>
      <c r="E4" s="91" t="s">
        <v>1853</v>
      </c>
      <c r="F4" s="124" t="s">
        <v>620</v>
      </c>
      <c r="G4" s="333">
        <v>2008</v>
      </c>
      <c r="H4" s="341" t="s">
        <v>731</v>
      </c>
      <c r="I4" s="336" t="str">
        <f t="shared" ref="I4:I67" si="2">D4&amp;": "&amp;E4&amp;" : "&amp;F4&amp;" : "&amp;H4</f>
        <v>Pesado de Passageiros M3: III : Gasóleo : E4</v>
      </c>
      <c r="J4" s="125">
        <v>55</v>
      </c>
      <c r="K4" s="125">
        <v>2022</v>
      </c>
      <c r="L4" s="85">
        <v>19256.560000000001</v>
      </c>
      <c r="M4" s="85" t="s">
        <v>630</v>
      </c>
      <c r="N4" s="128">
        <v>49640</v>
      </c>
      <c r="O4" s="128">
        <f t="shared" ref="O4:O67" si="3">N4*J4</f>
        <v>2730200</v>
      </c>
      <c r="P4" s="125" t="s">
        <v>632</v>
      </c>
      <c r="Q4" s="85" t="s">
        <v>47</v>
      </c>
      <c r="R4" s="220" t="s">
        <v>1888</v>
      </c>
      <c r="S4" s="220" t="s">
        <v>1861</v>
      </c>
      <c r="T4" s="85" t="s">
        <v>1491</v>
      </c>
      <c r="U4" t="s">
        <v>1972</v>
      </c>
      <c r="V4" t="s">
        <v>2832</v>
      </c>
    </row>
    <row r="5" spans="1:23" ht="15.75" thickBot="1" x14ac:dyDescent="0.3">
      <c r="A5" s="82" t="s">
        <v>3509</v>
      </c>
      <c r="B5" s="82" t="str">
        <f t="shared" si="0"/>
        <v>Barraqueiro Transportes, S.A.</v>
      </c>
      <c r="C5" s="82" t="str">
        <f t="shared" si="1"/>
        <v>Barraqueiro Oeste</v>
      </c>
      <c r="D5" s="83" t="s">
        <v>629</v>
      </c>
      <c r="E5" s="91" t="s">
        <v>1853</v>
      </c>
      <c r="F5" s="124" t="s">
        <v>620</v>
      </c>
      <c r="G5" s="333">
        <v>2008</v>
      </c>
      <c r="H5" s="341" t="s">
        <v>731</v>
      </c>
      <c r="I5" s="336" t="str">
        <f t="shared" si="2"/>
        <v>Pesado de Passageiros M3: III : Gasóleo : E4</v>
      </c>
      <c r="J5" s="125">
        <v>55</v>
      </c>
      <c r="K5" s="125">
        <v>2022</v>
      </c>
      <c r="L5" s="85">
        <v>34730.512999999999</v>
      </c>
      <c r="M5" s="85" t="s">
        <v>630</v>
      </c>
      <c r="N5" s="128">
        <v>99820</v>
      </c>
      <c r="O5" s="128">
        <f t="shared" si="3"/>
        <v>5490100</v>
      </c>
      <c r="P5" s="125" t="s">
        <v>633</v>
      </c>
      <c r="Q5" s="85" t="s">
        <v>47</v>
      </c>
      <c r="R5" s="220" t="s">
        <v>1888</v>
      </c>
      <c r="S5" s="220" t="s">
        <v>1861</v>
      </c>
      <c r="T5" s="85" t="s">
        <v>1491</v>
      </c>
      <c r="U5" t="s">
        <v>1972</v>
      </c>
      <c r="V5" t="s">
        <v>2832</v>
      </c>
    </row>
    <row r="6" spans="1:23" ht="15.75" thickBot="1" x14ac:dyDescent="0.3">
      <c r="A6" s="82" t="s">
        <v>3509</v>
      </c>
      <c r="B6" s="82" t="str">
        <f t="shared" si="0"/>
        <v>Barraqueiro Transportes, S.A.</v>
      </c>
      <c r="C6" s="82" t="str">
        <f t="shared" si="1"/>
        <v>Barraqueiro Oeste</v>
      </c>
      <c r="D6" s="83" t="s">
        <v>629</v>
      </c>
      <c r="E6" s="91" t="s">
        <v>1853</v>
      </c>
      <c r="F6" s="124" t="s">
        <v>620</v>
      </c>
      <c r="G6" s="333">
        <v>2006</v>
      </c>
      <c r="H6" s="341" t="s">
        <v>731</v>
      </c>
      <c r="I6" s="336" t="str">
        <f t="shared" si="2"/>
        <v>Pesado de Passageiros M3: III : Gasóleo : E4</v>
      </c>
      <c r="J6" s="125">
        <v>55</v>
      </c>
      <c r="K6" s="125">
        <v>2022</v>
      </c>
      <c r="L6" s="85">
        <v>26781.210000000003</v>
      </c>
      <c r="M6" s="85" t="s">
        <v>630</v>
      </c>
      <c r="N6" s="128">
        <v>66968</v>
      </c>
      <c r="O6" s="128">
        <f t="shared" si="3"/>
        <v>3683240</v>
      </c>
      <c r="P6" s="125" t="s">
        <v>634</v>
      </c>
      <c r="Q6" s="85" t="s">
        <v>47</v>
      </c>
      <c r="R6" s="220" t="s">
        <v>1888</v>
      </c>
      <c r="S6" s="220" t="s">
        <v>1861</v>
      </c>
      <c r="T6" s="85" t="s">
        <v>1491</v>
      </c>
      <c r="U6" t="s">
        <v>1972</v>
      </c>
      <c r="V6" t="s">
        <v>2832</v>
      </c>
    </row>
    <row r="7" spans="1:23" ht="15.75" thickBot="1" x14ac:dyDescent="0.3">
      <c r="A7" s="82" t="s">
        <v>3509</v>
      </c>
      <c r="B7" s="82" t="str">
        <f t="shared" si="0"/>
        <v>Barraqueiro Transportes, S.A.</v>
      </c>
      <c r="C7" s="82" t="str">
        <f t="shared" si="1"/>
        <v>Barraqueiro Oeste</v>
      </c>
      <c r="D7" s="83" t="s">
        <v>629</v>
      </c>
      <c r="E7" s="91" t="s">
        <v>1853</v>
      </c>
      <c r="F7" s="124" t="s">
        <v>620</v>
      </c>
      <c r="G7" s="333">
        <v>2006</v>
      </c>
      <c r="H7" s="341" t="s">
        <v>731</v>
      </c>
      <c r="I7" s="336" t="str">
        <f t="shared" si="2"/>
        <v>Pesado de Passageiros M3: III : Gasóleo : E4</v>
      </c>
      <c r="J7" s="125">
        <v>55</v>
      </c>
      <c r="K7" s="125">
        <v>2022</v>
      </c>
      <c r="L7" s="85">
        <v>26268.710000000003</v>
      </c>
      <c r="M7" s="85" t="s">
        <v>630</v>
      </c>
      <c r="N7" s="128">
        <v>68436</v>
      </c>
      <c r="O7" s="128">
        <f t="shared" si="3"/>
        <v>3763980</v>
      </c>
      <c r="P7" s="125" t="s">
        <v>635</v>
      </c>
      <c r="Q7" s="85" t="s">
        <v>47</v>
      </c>
      <c r="R7" s="220" t="s">
        <v>1888</v>
      </c>
      <c r="S7" s="220" t="s">
        <v>1861</v>
      </c>
      <c r="T7" s="85" t="s">
        <v>1491</v>
      </c>
      <c r="U7" t="s">
        <v>1972</v>
      </c>
      <c r="V7" t="s">
        <v>2832</v>
      </c>
    </row>
    <row r="8" spans="1:23" ht="15.75" thickBot="1" x14ac:dyDescent="0.3">
      <c r="A8" s="82" t="s">
        <v>3509</v>
      </c>
      <c r="B8" s="82" t="str">
        <f t="shared" si="0"/>
        <v>Barraqueiro Transportes, S.A.</v>
      </c>
      <c r="C8" s="82" t="str">
        <f t="shared" si="1"/>
        <v>Barraqueiro Oeste</v>
      </c>
      <c r="D8" s="83" t="s">
        <v>629</v>
      </c>
      <c r="E8" s="91" t="s">
        <v>1853</v>
      </c>
      <c r="F8" s="124" t="s">
        <v>620</v>
      </c>
      <c r="G8" s="333">
        <v>2006</v>
      </c>
      <c r="H8" s="341" t="s">
        <v>731</v>
      </c>
      <c r="I8" s="336" t="str">
        <f t="shared" si="2"/>
        <v>Pesado de Passageiros M3: III : Gasóleo : E4</v>
      </c>
      <c r="J8" s="125">
        <v>59</v>
      </c>
      <c r="K8" s="125">
        <v>2022</v>
      </c>
      <c r="L8" s="85">
        <v>23030.049999999996</v>
      </c>
      <c r="M8" s="85" t="s">
        <v>630</v>
      </c>
      <c r="N8" s="128">
        <v>58849</v>
      </c>
      <c r="O8" s="128">
        <f t="shared" si="3"/>
        <v>3472091</v>
      </c>
      <c r="P8" s="125" t="s">
        <v>636</v>
      </c>
      <c r="Q8" s="85" t="s">
        <v>47</v>
      </c>
      <c r="R8" s="220" t="s">
        <v>1888</v>
      </c>
      <c r="S8" s="220" t="s">
        <v>1861</v>
      </c>
      <c r="T8" s="85" t="s">
        <v>1491</v>
      </c>
      <c r="U8" t="s">
        <v>1972</v>
      </c>
      <c r="V8" t="s">
        <v>2832</v>
      </c>
    </row>
    <row r="9" spans="1:23" ht="15.75" thickBot="1" x14ac:dyDescent="0.3">
      <c r="A9" s="82" t="s">
        <v>3509</v>
      </c>
      <c r="B9" s="82" t="str">
        <f t="shared" si="0"/>
        <v>Barraqueiro Transportes, S.A.</v>
      </c>
      <c r="C9" s="82" t="str">
        <f t="shared" si="1"/>
        <v>Barraqueiro Oeste</v>
      </c>
      <c r="D9" s="83" t="s">
        <v>629</v>
      </c>
      <c r="E9" s="91" t="s">
        <v>1853</v>
      </c>
      <c r="F9" s="124" t="s">
        <v>620</v>
      </c>
      <c r="G9" s="333">
        <v>2006</v>
      </c>
      <c r="H9" s="341" t="s">
        <v>731</v>
      </c>
      <c r="I9" s="336" t="str">
        <f t="shared" si="2"/>
        <v>Pesado de Passageiros M3: III : Gasóleo : E4</v>
      </c>
      <c r="J9" s="125">
        <v>59</v>
      </c>
      <c r="K9" s="125">
        <v>2022</v>
      </c>
      <c r="L9" s="85">
        <v>17493.850000000002</v>
      </c>
      <c r="M9" s="85" t="s">
        <v>630</v>
      </c>
      <c r="N9" s="128">
        <v>40591</v>
      </c>
      <c r="O9" s="128">
        <f t="shared" si="3"/>
        <v>2394869</v>
      </c>
      <c r="P9" s="125" t="s">
        <v>637</v>
      </c>
      <c r="Q9" s="85" t="s">
        <v>47</v>
      </c>
      <c r="R9" s="220" t="s">
        <v>1888</v>
      </c>
      <c r="S9" s="220" t="s">
        <v>1861</v>
      </c>
      <c r="T9" s="85" t="s">
        <v>1491</v>
      </c>
      <c r="U9" t="s">
        <v>1972</v>
      </c>
      <c r="V9" t="s">
        <v>2832</v>
      </c>
    </row>
    <row r="10" spans="1:23" ht="15.75" thickBot="1" x14ac:dyDescent="0.3">
      <c r="A10" s="82" t="s">
        <v>3509</v>
      </c>
      <c r="B10" s="82" t="str">
        <f t="shared" si="0"/>
        <v>Barraqueiro Transportes, S.A.</v>
      </c>
      <c r="C10" s="82" t="str">
        <f t="shared" si="1"/>
        <v>Barraqueiro Oeste</v>
      </c>
      <c r="D10" s="83" t="s">
        <v>629</v>
      </c>
      <c r="E10" s="91" t="s">
        <v>1853</v>
      </c>
      <c r="F10" s="124" t="s">
        <v>620</v>
      </c>
      <c r="G10" s="333">
        <v>2006</v>
      </c>
      <c r="H10" s="341" t="s">
        <v>731</v>
      </c>
      <c r="I10" s="336" t="str">
        <f t="shared" si="2"/>
        <v>Pesado de Passageiros M3: III : Gasóleo : E4</v>
      </c>
      <c r="J10" s="125">
        <v>59</v>
      </c>
      <c r="K10" s="125">
        <v>2022</v>
      </c>
      <c r="L10" s="85">
        <v>27454.615000000002</v>
      </c>
      <c r="M10" s="85" t="s">
        <v>630</v>
      </c>
      <c r="N10" s="128">
        <v>70159</v>
      </c>
      <c r="O10" s="128">
        <f t="shared" si="3"/>
        <v>4139381</v>
      </c>
      <c r="P10" s="125" t="s">
        <v>638</v>
      </c>
      <c r="Q10" s="85" t="s">
        <v>47</v>
      </c>
      <c r="R10" s="220" t="s">
        <v>1888</v>
      </c>
      <c r="S10" s="220" t="s">
        <v>1861</v>
      </c>
      <c r="T10" s="85" t="s">
        <v>1491</v>
      </c>
      <c r="U10" t="s">
        <v>1972</v>
      </c>
      <c r="V10" t="s">
        <v>2832</v>
      </c>
    </row>
    <row r="11" spans="1:23" ht="15.75" thickBot="1" x14ac:dyDescent="0.3">
      <c r="A11" s="82" t="s">
        <v>3509</v>
      </c>
      <c r="B11" s="82" t="str">
        <f t="shared" si="0"/>
        <v>Barraqueiro Transportes, S.A.</v>
      </c>
      <c r="C11" s="82" t="str">
        <f t="shared" si="1"/>
        <v>Barraqueiro Oeste</v>
      </c>
      <c r="D11" s="83" t="s">
        <v>629</v>
      </c>
      <c r="E11" s="91" t="s">
        <v>1853</v>
      </c>
      <c r="F11" s="124" t="s">
        <v>620</v>
      </c>
      <c r="G11" s="333">
        <v>2003</v>
      </c>
      <c r="H11" s="341" t="s">
        <v>732</v>
      </c>
      <c r="I11" s="336" t="str">
        <f t="shared" si="2"/>
        <v>Pesado de Passageiros M3: III : Gasóleo : E3</v>
      </c>
      <c r="J11" s="125">
        <v>57</v>
      </c>
      <c r="K11" s="125">
        <v>2022</v>
      </c>
      <c r="L11" s="85">
        <v>12050.740000000002</v>
      </c>
      <c r="M11" s="85" t="s">
        <v>630</v>
      </c>
      <c r="N11" s="128">
        <v>26373</v>
      </c>
      <c r="O11" s="128">
        <f t="shared" si="3"/>
        <v>1503261</v>
      </c>
      <c r="P11" s="125" t="s">
        <v>639</v>
      </c>
      <c r="Q11" s="85" t="s">
        <v>47</v>
      </c>
      <c r="R11" s="220" t="s">
        <v>1888</v>
      </c>
      <c r="S11" s="220" t="s">
        <v>1861</v>
      </c>
      <c r="T11" s="85" t="s">
        <v>1491</v>
      </c>
      <c r="U11" t="s">
        <v>1972</v>
      </c>
      <c r="V11" t="s">
        <v>2832</v>
      </c>
    </row>
    <row r="12" spans="1:23" ht="15.75" thickBot="1" x14ac:dyDescent="0.3">
      <c r="A12" s="82" t="s">
        <v>3509</v>
      </c>
      <c r="B12" s="82" t="str">
        <f t="shared" si="0"/>
        <v>Barraqueiro Transportes, S.A.</v>
      </c>
      <c r="C12" s="82" t="str">
        <f t="shared" si="1"/>
        <v>Barraqueiro Oeste</v>
      </c>
      <c r="D12" s="83" t="s">
        <v>629</v>
      </c>
      <c r="E12" s="91" t="s">
        <v>1853</v>
      </c>
      <c r="F12" s="124" t="s">
        <v>620</v>
      </c>
      <c r="G12" s="333">
        <v>2001</v>
      </c>
      <c r="H12" s="341" t="s">
        <v>732</v>
      </c>
      <c r="I12" s="336" t="str">
        <f t="shared" si="2"/>
        <v>Pesado de Passageiros M3: III : Gasóleo : E3</v>
      </c>
      <c r="J12" s="125">
        <v>70</v>
      </c>
      <c r="K12" s="125">
        <v>2022</v>
      </c>
      <c r="L12" s="85">
        <v>190</v>
      </c>
      <c r="M12" s="85" t="s">
        <v>630</v>
      </c>
      <c r="N12" s="128">
        <v>452</v>
      </c>
      <c r="O12" s="128">
        <f t="shared" si="3"/>
        <v>31640</v>
      </c>
      <c r="P12" s="125" t="s">
        <v>640</v>
      </c>
      <c r="Q12" s="85" t="s">
        <v>47</v>
      </c>
      <c r="R12" s="220" t="s">
        <v>1888</v>
      </c>
      <c r="S12" s="220" t="s">
        <v>1861</v>
      </c>
      <c r="T12" s="85" t="s">
        <v>1491</v>
      </c>
      <c r="U12" t="s">
        <v>1972</v>
      </c>
      <c r="V12" t="s">
        <v>2832</v>
      </c>
    </row>
    <row r="13" spans="1:23" ht="15.75" thickBot="1" x14ac:dyDescent="0.3">
      <c r="A13" s="82" t="s">
        <v>3509</v>
      </c>
      <c r="B13" s="82" t="str">
        <f t="shared" si="0"/>
        <v>Barraqueiro Transportes, S.A.</v>
      </c>
      <c r="C13" s="82" t="str">
        <f t="shared" si="1"/>
        <v>Barraqueiro Oeste</v>
      </c>
      <c r="D13" s="83" t="s">
        <v>629</v>
      </c>
      <c r="E13" s="91" t="s">
        <v>1853</v>
      </c>
      <c r="F13" s="124" t="s">
        <v>620</v>
      </c>
      <c r="G13" s="333">
        <v>2007</v>
      </c>
      <c r="H13" s="341" t="s">
        <v>731</v>
      </c>
      <c r="I13" s="336" t="str">
        <f t="shared" si="2"/>
        <v>Pesado de Passageiros M3: III : Gasóleo : E4</v>
      </c>
      <c r="J13" s="125">
        <v>59</v>
      </c>
      <c r="K13" s="125">
        <v>2022</v>
      </c>
      <c r="L13" s="85">
        <v>18874.940000000002</v>
      </c>
      <c r="M13" s="85" t="s">
        <v>630</v>
      </c>
      <c r="N13" s="128">
        <v>48490</v>
      </c>
      <c r="O13" s="128">
        <f t="shared" si="3"/>
        <v>2860910</v>
      </c>
      <c r="P13" s="125" t="s">
        <v>641</v>
      </c>
      <c r="Q13" s="85" t="s">
        <v>47</v>
      </c>
      <c r="R13" s="220" t="s">
        <v>1888</v>
      </c>
      <c r="S13" s="220" t="s">
        <v>1861</v>
      </c>
      <c r="T13" s="85" t="s">
        <v>1491</v>
      </c>
      <c r="U13" t="s">
        <v>1972</v>
      </c>
      <c r="V13" t="s">
        <v>2832</v>
      </c>
    </row>
    <row r="14" spans="1:23" ht="15.75" thickBot="1" x14ac:dyDescent="0.3">
      <c r="A14" s="82" t="s">
        <v>3509</v>
      </c>
      <c r="B14" s="82" t="str">
        <f t="shared" si="0"/>
        <v>Barraqueiro Transportes, S.A.</v>
      </c>
      <c r="C14" s="82" t="str">
        <f t="shared" si="1"/>
        <v>Barraqueiro Oeste</v>
      </c>
      <c r="D14" s="83" t="s">
        <v>629</v>
      </c>
      <c r="E14" s="91" t="s">
        <v>1853</v>
      </c>
      <c r="F14" s="124" t="s">
        <v>620</v>
      </c>
      <c r="G14" s="333">
        <v>2008</v>
      </c>
      <c r="H14" s="341" t="s">
        <v>731</v>
      </c>
      <c r="I14" s="336" t="str">
        <f t="shared" si="2"/>
        <v>Pesado de Passageiros M3: III : Gasóleo : E4</v>
      </c>
      <c r="J14" s="125">
        <v>25</v>
      </c>
      <c r="K14" s="125">
        <v>2022</v>
      </c>
      <c r="L14" s="85">
        <v>138.02000000000001</v>
      </c>
      <c r="M14" s="85" t="s">
        <v>630</v>
      </c>
      <c r="N14" s="128">
        <v>811</v>
      </c>
      <c r="O14" s="128">
        <f t="shared" si="3"/>
        <v>20275</v>
      </c>
      <c r="P14" s="125" t="s">
        <v>642</v>
      </c>
      <c r="Q14" s="85" t="s">
        <v>47</v>
      </c>
      <c r="R14" s="220" t="s">
        <v>1888</v>
      </c>
      <c r="S14" s="220" t="s">
        <v>1861</v>
      </c>
      <c r="T14" s="85" t="s">
        <v>1491</v>
      </c>
      <c r="U14" t="s">
        <v>1972</v>
      </c>
      <c r="V14" t="s">
        <v>2832</v>
      </c>
    </row>
    <row r="15" spans="1:23" ht="15.75" thickBot="1" x14ac:dyDescent="0.3">
      <c r="A15" s="82" t="s">
        <v>3509</v>
      </c>
      <c r="B15" s="82" t="str">
        <f t="shared" si="0"/>
        <v>Barraqueiro Transportes, S.A.</v>
      </c>
      <c r="C15" s="82" t="str">
        <f t="shared" si="1"/>
        <v>Barraqueiro Oeste</v>
      </c>
      <c r="D15" s="83" t="s">
        <v>629</v>
      </c>
      <c r="E15" s="91" t="s">
        <v>1853</v>
      </c>
      <c r="F15" s="124" t="s">
        <v>620</v>
      </c>
      <c r="G15" s="333">
        <v>2008</v>
      </c>
      <c r="H15" s="341" t="s">
        <v>731</v>
      </c>
      <c r="I15" s="336" t="str">
        <f t="shared" si="2"/>
        <v>Pesado de Passageiros M3: III : Gasóleo : E4</v>
      </c>
      <c r="J15" s="125">
        <v>27</v>
      </c>
      <c r="K15" s="125">
        <v>2022</v>
      </c>
      <c r="L15" s="85">
        <v>0</v>
      </c>
      <c r="M15" s="85" t="s">
        <v>630</v>
      </c>
      <c r="N15" s="128">
        <v>0</v>
      </c>
      <c r="O15" s="128">
        <f t="shared" si="3"/>
        <v>0</v>
      </c>
      <c r="P15" s="125" t="s">
        <v>643</v>
      </c>
      <c r="Q15" s="85" t="s">
        <v>47</v>
      </c>
      <c r="R15" s="220" t="s">
        <v>1888</v>
      </c>
      <c r="S15" s="220" t="s">
        <v>1861</v>
      </c>
      <c r="T15" s="85" t="s">
        <v>1491</v>
      </c>
      <c r="U15" t="s">
        <v>1972</v>
      </c>
      <c r="V15" t="s">
        <v>2832</v>
      </c>
    </row>
    <row r="16" spans="1:23" ht="15.75" thickBot="1" x14ac:dyDescent="0.3">
      <c r="A16" s="82" t="s">
        <v>3509</v>
      </c>
      <c r="B16" s="82" t="str">
        <f t="shared" si="0"/>
        <v>Barraqueiro Transportes, S.A.</v>
      </c>
      <c r="C16" s="82" t="str">
        <f t="shared" si="1"/>
        <v>Barraqueiro Oeste</v>
      </c>
      <c r="D16" s="83" t="s">
        <v>629</v>
      </c>
      <c r="E16" s="91" t="s">
        <v>1853</v>
      </c>
      <c r="F16" s="124" t="s">
        <v>620</v>
      </c>
      <c r="G16" s="333">
        <v>2008</v>
      </c>
      <c r="H16" s="341" t="s">
        <v>731</v>
      </c>
      <c r="I16" s="336" t="str">
        <f t="shared" si="2"/>
        <v>Pesado de Passageiros M3: III : Gasóleo : E4</v>
      </c>
      <c r="J16" s="125">
        <v>54</v>
      </c>
      <c r="K16" s="125">
        <v>2022</v>
      </c>
      <c r="L16" s="85">
        <v>13394.8</v>
      </c>
      <c r="M16" s="85" t="s">
        <v>630</v>
      </c>
      <c r="N16" s="128">
        <v>30598</v>
      </c>
      <c r="O16" s="128">
        <f t="shared" si="3"/>
        <v>1652292</v>
      </c>
      <c r="P16" s="125" t="s">
        <v>644</v>
      </c>
      <c r="Q16" s="85" t="s">
        <v>47</v>
      </c>
      <c r="R16" s="220" t="s">
        <v>1888</v>
      </c>
      <c r="S16" s="220" t="s">
        <v>1861</v>
      </c>
      <c r="T16" s="85" t="s">
        <v>1491</v>
      </c>
      <c r="U16" t="s">
        <v>1972</v>
      </c>
      <c r="V16" t="s">
        <v>2832</v>
      </c>
    </row>
    <row r="17" spans="1:22" ht="15.75" thickBot="1" x14ac:dyDescent="0.3">
      <c r="A17" s="82" t="s">
        <v>3509</v>
      </c>
      <c r="B17" s="82" t="str">
        <f t="shared" si="0"/>
        <v>Barraqueiro Transportes, S.A.</v>
      </c>
      <c r="C17" s="82" t="str">
        <f t="shared" si="1"/>
        <v>Barraqueiro Oeste</v>
      </c>
      <c r="D17" s="83" t="s">
        <v>629</v>
      </c>
      <c r="E17" s="91" t="s">
        <v>1853</v>
      </c>
      <c r="F17" s="124" t="s">
        <v>620</v>
      </c>
      <c r="G17" s="333">
        <v>2018</v>
      </c>
      <c r="H17" s="341" t="s">
        <v>733</v>
      </c>
      <c r="I17" s="336" t="str">
        <f t="shared" si="2"/>
        <v>Pesado de Passageiros M3: III : Gasóleo : E6</v>
      </c>
      <c r="J17" s="125">
        <v>26</v>
      </c>
      <c r="K17" s="125">
        <v>2022</v>
      </c>
      <c r="L17" s="85">
        <v>7323.3899999999994</v>
      </c>
      <c r="M17" s="85" t="s">
        <v>630</v>
      </c>
      <c r="N17" s="128">
        <v>38217</v>
      </c>
      <c r="O17" s="128">
        <f t="shared" si="3"/>
        <v>993642</v>
      </c>
      <c r="P17" s="125" t="s">
        <v>645</v>
      </c>
      <c r="Q17" s="85" t="s">
        <v>47</v>
      </c>
      <c r="R17" s="220" t="s">
        <v>1888</v>
      </c>
      <c r="S17" s="220" t="s">
        <v>1861</v>
      </c>
      <c r="T17" s="85" t="s">
        <v>1491</v>
      </c>
      <c r="U17" t="s">
        <v>1972</v>
      </c>
      <c r="V17" t="s">
        <v>2832</v>
      </c>
    </row>
    <row r="18" spans="1:22" ht="15.75" thickBot="1" x14ac:dyDescent="0.3">
      <c r="A18" s="82" t="s">
        <v>3509</v>
      </c>
      <c r="B18" s="82" t="str">
        <f t="shared" si="0"/>
        <v>Barraqueiro Transportes, S.A.</v>
      </c>
      <c r="C18" s="82" t="str">
        <f t="shared" si="1"/>
        <v>Barraqueiro Oeste</v>
      </c>
      <c r="D18" s="83" t="s">
        <v>629</v>
      </c>
      <c r="E18" s="91" t="s">
        <v>1853</v>
      </c>
      <c r="F18" s="124" t="s">
        <v>620</v>
      </c>
      <c r="G18" s="333">
        <v>2018</v>
      </c>
      <c r="H18" s="341" t="s">
        <v>733</v>
      </c>
      <c r="I18" s="336" t="str">
        <f t="shared" si="2"/>
        <v>Pesado de Passageiros M3: III : Gasóleo : E6</v>
      </c>
      <c r="J18" s="125">
        <v>26</v>
      </c>
      <c r="K18" s="125">
        <v>2022</v>
      </c>
      <c r="L18" s="85">
        <v>9914.67</v>
      </c>
      <c r="M18" s="85" t="s">
        <v>630</v>
      </c>
      <c r="N18" s="128">
        <v>51234</v>
      </c>
      <c r="O18" s="128">
        <f t="shared" si="3"/>
        <v>1332084</v>
      </c>
      <c r="P18" s="125" t="s">
        <v>646</v>
      </c>
      <c r="Q18" s="85" t="s">
        <v>47</v>
      </c>
      <c r="R18" s="220" t="s">
        <v>1888</v>
      </c>
      <c r="S18" s="220" t="s">
        <v>1861</v>
      </c>
      <c r="T18" s="85" t="s">
        <v>1491</v>
      </c>
      <c r="U18" t="s">
        <v>1972</v>
      </c>
      <c r="V18" t="s">
        <v>2832</v>
      </c>
    </row>
    <row r="19" spans="1:22" ht="15.75" thickBot="1" x14ac:dyDescent="0.3">
      <c r="A19" s="82" t="s">
        <v>3509</v>
      </c>
      <c r="B19" s="82" t="str">
        <f t="shared" si="0"/>
        <v>Barraqueiro Transportes, S.A.</v>
      </c>
      <c r="C19" s="82" t="str">
        <f t="shared" si="1"/>
        <v>Barraqueiro Oeste</v>
      </c>
      <c r="D19" s="83" t="s">
        <v>629</v>
      </c>
      <c r="E19" s="91" t="s">
        <v>1853</v>
      </c>
      <c r="F19" s="124" t="s">
        <v>620</v>
      </c>
      <c r="G19" s="333">
        <v>2001</v>
      </c>
      <c r="H19" s="341" t="s">
        <v>732</v>
      </c>
      <c r="I19" s="336" t="str">
        <f t="shared" si="2"/>
        <v>Pesado de Passageiros M3: III : Gasóleo : E3</v>
      </c>
      <c r="J19" s="125">
        <v>62</v>
      </c>
      <c r="K19" s="125">
        <v>2022</v>
      </c>
      <c r="L19" s="85">
        <v>14506.039999999999</v>
      </c>
      <c r="M19" s="85" t="s">
        <v>630</v>
      </c>
      <c r="N19" s="128">
        <v>38167</v>
      </c>
      <c r="O19" s="128">
        <f t="shared" si="3"/>
        <v>2366354</v>
      </c>
      <c r="P19" s="125" t="s">
        <v>647</v>
      </c>
      <c r="Q19" s="85" t="s">
        <v>47</v>
      </c>
      <c r="R19" s="220" t="s">
        <v>1888</v>
      </c>
      <c r="S19" s="220" t="s">
        <v>1861</v>
      </c>
      <c r="T19" s="85" t="s">
        <v>1491</v>
      </c>
      <c r="U19" t="s">
        <v>1972</v>
      </c>
      <c r="V19" t="s">
        <v>2832</v>
      </c>
    </row>
    <row r="20" spans="1:22" ht="15.75" thickBot="1" x14ac:dyDescent="0.3">
      <c r="A20" s="82" t="s">
        <v>3509</v>
      </c>
      <c r="B20" s="82" t="str">
        <f t="shared" si="0"/>
        <v>Barraqueiro Transportes, S.A.</v>
      </c>
      <c r="C20" s="82" t="str">
        <f t="shared" si="1"/>
        <v>Barraqueiro Oeste</v>
      </c>
      <c r="D20" s="83" t="s">
        <v>629</v>
      </c>
      <c r="E20" s="91" t="s">
        <v>1853</v>
      </c>
      <c r="F20" s="124" t="s">
        <v>620</v>
      </c>
      <c r="G20" s="333">
        <v>2008</v>
      </c>
      <c r="H20" s="341" t="s">
        <v>731</v>
      </c>
      <c r="I20" s="336" t="str">
        <f t="shared" si="2"/>
        <v>Pesado de Passageiros M3: III : Gasóleo : E4</v>
      </c>
      <c r="J20" s="125">
        <v>82</v>
      </c>
      <c r="K20" s="125">
        <v>2022</v>
      </c>
      <c r="L20" s="85">
        <v>21522.447999999997</v>
      </c>
      <c r="M20" s="85" t="s">
        <v>630</v>
      </c>
      <c r="N20" s="128">
        <v>51611</v>
      </c>
      <c r="O20" s="128">
        <f t="shared" si="3"/>
        <v>4232102</v>
      </c>
      <c r="P20" s="125" t="s">
        <v>648</v>
      </c>
      <c r="Q20" s="85" t="s">
        <v>47</v>
      </c>
      <c r="R20" s="220" t="s">
        <v>1888</v>
      </c>
      <c r="S20" s="220" t="s">
        <v>1861</v>
      </c>
      <c r="T20" s="85" t="s">
        <v>1491</v>
      </c>
      <c r="U20" t="s">
        <v>1972</v>
      </c>
      <c r="V20" t="s">
        <v>2832</v>
      </c>
    </row>
    <row r="21" spans="1:22" ht="15.75" thickBot="1" x14ac:dyDescent="0.3">
      <c r="A21" s="82" t="s">
        <v>3509</v>
      </c>
      <c r="B21" s="82" t="str">
        <f t="shared" si="0"/>
        <v>Barraqueiro Transportes, S.A.</v>
      </c>
      <c r="C21" s="82" t="str">
        <f t="shared" si="1"/>
        <v>Barraqueiro Oeste</v>
      </c>
      <c r="D21" s="83" t="s">
        <v>629</v>
      </c>
      <c r="E21" s="91" t="s">
        <v>1853</v>
      </c>
      <c r="F21" s="124" t="s">
        <v>620</v>
      </c>
      <c r="G21" s="333">
        <v>2008</v>
      </c>
      <c r="H21" s="341" t="s">
        <v>731</v>
      </c>
      <c r="I21" s="336" t="str">
        <f t="shared" si="2"/>
        <v>Pesado de Passageiros M3: III : Gasóleo : E4</v>
      </c>
      <c r="J21" s="125">
        <v>82</v>
      </c>
      <c r="K21" s="125">
        <v>2022</v>
      </c>
      <c r="L21" s="85">
        <v>22592.527000000002</v>
      </c>
      <c r="M21" s="85" t="s">
        <v>630</v>
      </c>
      <c r="N21" s="128">
        <v>54336</v>
      </c>
      <c r="O21" s="128">
        <f t="shared" si="3"/>
        <v>4455552</v>
      </c>
      <c r="P21" s="125" t="s">
        <v>649</v>
      </c>
      <c r="Q21" s="85" t="s">
        <v>47</v>
      </c>
      <c r="R21" s="220" t="s">
        <v>1888</v>
      </c>
      <c r="S21" s="220" t="s">
        <v>1861</v>
      </c>
      <c r="T21" s="85" t="s">
        <v>1491</v>
      </c>
      <c r="U21" t="s">
        <v>1972</v>
      </c>
      <c r="V21" t="s">
        <v>2832</v>
      </c>
    </row>
    <row r="22" spans="1:22" ht="15.75" thickBot="1" x14ac:dyDescent="0.3">
      <c r="A22" s="82" t="s">
        <v>3509</v>
      </c>
      <c r="B22" s="82" t="str">
        <f t="shared" si="0"/>
        <v>Barraqueiro Transportes, S.A.</v>
      </c>
      <c r="C22" s="82" t="str">
        <f t="shared" si="1"/>
        <v>Barraqueiro Oeste</v>
      </c>
      <c r="D22" s="83" t="s">
        <v>629</v>
      </c>
      <c r="E22" s="91" t="s">
        <v>1853</v>
      </c>
      <c r="F22" s="124" t="s">
        <v>620</v>
      </c>
      <c r="G22" s="333">
        <v>2007</v>
      </c>
      <c r="H22" s="341" t="s">
        <v>731</v>
      </c>
      <c r="I22" s="336" t="str">
        <f t="shared" si="2"/>
        <v>Pesado de Passageiros M3: III : Gasóleo : E4</v>
      </c>
      <c r="J22" s="125">
        <v>88</v>
      </c>
      <c r="K22" s="125">
        <v>2022</v>
      </c>
      <c r="L22" s="85">
        <v>22676.016</v>
      </c>
      <c r="M22" s="85" t="s">
        <v>630</v>
      </c>
      <c r="N22" s="128">
        <v>58759</v>
      </c>
      <c r="O22" s="128">
        <f t="shared" si="3"/>
        <v>5170792</v>
      </c>
      <c r="P22" s="125" t="s">
        <v>650</v>
      </c>
      <c r="Q22" s="85" t="s">
        <v>47</v>
      </c>
      <c r="R22" s="220" t="s">
        <v>1888</v>
      </c>
      <c r="S22" s="220" t="s">
        <v>1861</v>
      </c>
      <c r="T22" s="85" t="s">
        <v>1491</v>
      </c>
      <c r="U22" t="s">
        <v>1972</v>
      </c>
      <c r="V22" t="s">
        <v>2832</v>
      </c>
    </row>
    <row r="23" spans="1:22" ht="15.75" thickBot="1" x14ac:dyDescent="0.3">
      <c r="A23" s="82" t="s">
        <v>3509</v>
      </c>
      <c r="B23" s="82" t="str">
        <f t="shared" si="0"/>
        <v>Barraqueiro Transportes, S.A.</v>
      </c>
      <c r="C23" s="82" t="str">
        <f t="shared" si="1"/>
        <v>Barraqueiro Oeste</v>
      </c>
      <c r="D23" s="83" t="s">
        <v>629</v>
      </c>
      <c r="E23" s="91" t="s">
        <v>1853</v>
      </c>
      <c r="F23" s="124" t="s">
        <v>620</v>
      </c>
      <c r="G23" s="333">
        <v>2008</v>
      </c>
      <c r="H23" s="341" t="s">
        <v>731</v>
      </c>
      <c r="I23" s="336" t="str">
        <f t="shared" si="2"/>
        <v>Pesado de Passageiros M3: III : Gasóleo : E4</v>
      </c>
      <c r="J23" s="125">
        <v>77</v>
      </c>
      <c r="K23" s="125">
        <v>2022</v>
      </c>
      <c r="L23" s="85">
        <v>13486.71</v>
      </c>
      <c r="M23" s="85" t="s">
        <v>630</v>
      </c>
      <c r="N23" s="128">
        <v>34910</v>
      </c>
      <c r="O23" s="128">
        <f t="shared" si="3"/>
        <v>2688070</v>
      </c>
      <c r="P23" s="125" t="s">
        <v>651</v>
      </c>
      <c r="Q23" s="85" t="s">
        <v>47</v>
      </c>
      <c r="R23" s="220" t="s">
        <v>1888</v>
      </c>
      <c r="S23" s="220" t="s">
        <v>1861</v>
      </c>
      <c r="T23" s="85" t="s">
        <v>1491</v>
      </c>
      <c r="U23" t="s">
        <v>1972</v>
      </c>
      <c r="V23" t="s">
        <v>2832</v>
      </c>
    </row>
    <row r="24" spans="1:22" ht="15.75" thickBot="1" x14ac:dyDescent="0.3">
      <c r="A24" s="82" t="s">
        <v>3509</v>
      </c>
      <c r="B24" s="82" t="str">
        <f t="shared" si="0"/>
        <v>Barraqueiro Transportes, S.A.</v>
      </c>
      <c r="C24" s="82" t="str">
        <f t="shared" si="1"/>
        <v>Barraqueiro Oeste</v>
      </c>
      <c r="D24" s="83" t="s">
        <v>629</v>
      </c>
      <c r="E24" s="91" t="s">
        <v>1853</v>
      </c>
      <c r="F24" s="124" t="s">
        <v>620</v>
      </c>
      <c r="G24" s="333">
        <v>2009</v>
      </c>
      <c r="H24" s="341" t="s">
        <v>734</v>
      </c>
      <c r="I24" s="336" t="str">
        <f t="shared" si="2"/>
        <v>Pesado de Passageiros M3: III : Gasóleo : E5</v>
      </c>
      <c r="J24" s="125">
        <v>59</v>
      </c>
      <c r="K24" s="125">
        <v>2022</v>
      </c>
      <c r="L24" s="85">
        <v>26596.225999999999</v>
      </c>
      <c r="M24" s="85" t="s">
        <v>630</v>
      </c>
      <c r="N24" s="128">
        <v>68159</v>
      </c>
      <c r="O24" s="128">
        <f t="shared" si="3"/>
        <v>4021381</v>
      </c>
      <c r="P24" s="125" t="s">
        <v>652</v>
      </c>
      <c r="Q24" s="85" t="s">
        <v>47</v>
      </c>
      <c r="R24" s="220" t="s">
        <v>1888</v>
      </c>
      <c r="S24" s="220" t="s">
        <v>1861</v>
      </c>
      <c r="T24" s="85" t="s">
        <v>1491</v>
      </c>
      <c r="U24" t="s">
        <v>1972</v>
      </c>
      <c r="V24" t="s">
        <v>2832</v>
      </c>
    </row>
    <row r="25" spans="1:22" ht="15.75" thickBot="1" x14ac:dyDescent="0.3">
      <c r="A25" s="82" t="s">
        <v>3509</v>
      </c>
      <c r="B25" s="82" t="str">
        <f t="shared" si="0"/>
        <v>Barraqueiro Transportes, S.A.</v>
      </c>
      <c r="C25" s="82" t="str">
        <f t="shared" si="1"/>
        <v>Barraqueiro Oeste</v>
      </c>
      <c r="D25" s="83" t="s">
        <v>629</v>
      </c>
      <c r="E25" s="91" t="s">
        <v>1853</v>
      </c>
      <c r="F25" s="124" t="s">
        <v>620</v>
      </c>
      <c r="G25" s="333">
        <v>2010</v>
      </c>
      <c r="H25" s="341" t="s">
        <v>734</v>
      </c>
      <c r="I25" s="336" t="str">
        <f t="shared" si="2"/>
        <v>Pesado de Passageiros M3: III : Gasóleo : E5</v>
      </c>
      <c r="J25" s="125">
        <v>53</v>
      </c>
      <c r="K25" s="125">
        <v>2022</v>
      </c>
      <c r="L25" s="85">
        <v>30124.499999999996</v>
      </c>
      <c r="M25" s="85" t="s">
        <v>630</v>
      </c>
      <c r="N25" s="128">
        <v>93047</v>
      </c>
      <c r="O25" s="128">
        <f t="shared" si="3"/>
        <v>4931491</v>
      </c>
      <c r="P25" s="125" t="s">
        <v>653</v>
      </c>
      <c r="Q25" s="85" t="s">
        <v>47</v>
      </c>
      <c r="R25" s="220" t="s">
        <v>1888</v>
      </c>
      <c r="S25" s="220" t="s">
        <v>1861</v>
      </c>
      <c r="T25" s="85" t="s">
        <v>1491</v>
      </c>
      <c r="U25" t="s">
        <v>1972</v>
      </c>
      <c r="V25" t="s">
        <v>2832</v>
      </c>
    </row>
    <row r="26" spans="1:22" ht="15.75" thickBot="1" x14ac:dyDescent="0.3">
      <c r="A26" s="82" t="s">
        <v>3509</v>
      </c>
      <c r="B26" s="82" t="str">
        <f t="shared" si="0"/>
        <v>Barraqueiro Transportes, S.A.</v>
      </c>
      <c r="C26" s="82" t="str">
        <f t="shared" si="1"/>
        <v>Barraqueiro Oeste</v>
      </c>
      <c r="D26" s="83" t="s">
        <v>629</v>
      </c>
      <c r="E26" s="91" t="s">
        <v>1853</v>
      </c>
      <c r="F26" s="124" t="s">
        <v>620</v>
      </c>
      <c r="G26" s="333">
        <v>2006</v>
      </c>
      <c r="H26" s="341" t="s">
        <v>731</v>
      </c>
      <c r="I26" s="336" t="str">
        <f t="shared" si="2"/>
        <v>Pesado de Passageiros M3: III : Gasóleo : E4</v>
      </c>
      <c r="J26" s="125">
        <v>36</v>
      </c>
      <c r="K26" s="125">
        <v>2022</v>
      </c>
      <c r="L26" s="85">
        <v>25144.18</v>
      </c>
      <c r="M26" s="85" t="s">
        <v>630</v>
      </c>
      <c r="N26" s="128">
        <v>61281</v>
      </c>
      <c r="O26" s="128">
        <f t="shared" si="3"/>
        <v>2206116</v>
      </c>
      <c r="P26" s="125" t="s">
        <v>654</v>
      </c>
      <c r="Q26" s="85" t="s">
        <v>47</v>
      </c>
      <c r="R26" s="220" t="s">
        <v>1888</v>
      </c>
      <c r="S26" s="220" t="s">
        <v>1861</v>
      </c>
      <c r="T26" s="85" t="s">
        <v>1491</v>
      </c>
      <c r="U26" t="s">
        <v>1972</v>
      </c>
      <c r="V26" t="s">
        <v>2832</v>
      </c>
    </row>
    <row r="27" spans="1:22" ht="15.75" thickBot="1" x14ac:dyDescent="0.3">
      <c r="A27" s="82" t="s">
        <v>3509</v>
      </c>
      <c r="B27" s="82" t="str">
        <f t="shared" si="0"/>
        <v>Barraqueiro Transportes, S.A.</v>
      </c>
      <c r="C27" s="82" t="str">
        <f t="shared" si="1"/>
        <v>Barraqueiro Oeste</v>
      </c>
      <c r="D27" s="83" t="s">
        <v>629</v>
      </c>
      <c r="E27" s="91" t="s">
        <v>1853</v>
      </c>
      <c r="F27" s="124" t="s">
        <v>620</v>
      </c>
      <c r="G27" s="333">
        <v>2008</v>
      </c>
      <c r="H27" s="341" t="s">
        <v>731</v>
      </c>
      <c r="I27" s="336" t="str">
        <f t="shared" si="2"/>
        <v>Pesado de Passageiros M3: III : Gasóleo : E4</v>
      </c>
      <c r="J27" s="125">
        <v>71</v>
      </c>
      <c r="K27" s="125">
        <v>2022</v>
      </c>
      <c r="L27" s="85">
        <v>15217.31</v>
      </c>
      <c r="M27" s="85" t="s">
        <v>630</v>
      </c>
      <c r="N27" s="128">
        <v>42293</v>
      </c>
      <c r="O27" s="128">
        <f t="shared" si="3"/>
        <v>3002803</v>
      </c>
      <c r="P27" s="125" t="s">
        <v>655</v>
      </c>
      <c r="Q27" s="85" t="s">
        <v>47</v>
      </c>
      <c r="R27" s="220" t="s">
        <v>1888</v>
      </c>
      <c r="S27" s="220" t="s">
        <v>1861</v>
      </c>
      <c r="T27" s="85" t="s">
        <v>1491</v>
      </c>
      <c r="U27" t="s">
        <v>1972</v>
      </c>
      <c r="V27" t="s">
        <v>2832</v>
      </c>
    </row>
    <row r="28" spans="1:22" ht="15.75" thickBot="1" x14ac:dyDescent="0.3">
      <c r="A28" s="82" t="s">
        <v>3509</v>
      </c>
      <c r="B28" s="82" t="str">
        <f t="shared" si="0"/>
        <v>Barraqueiro Transportes, S.A.</v>
      </c>
      <c r="C28" s="82" t="str">
        <f t="shared" si="1"/>
        <v>Barraqueiro Oeste</v>
      </c>
      <c r="D28" s="83" t="s">
        <v>629</v>
      </c>
      <c r="E28" s="91" t="s">
        <v>1853</v>
      </c>
      <c r="F28" s="124" t="s">
        <v>620</v>
      </c>
      <c r="G28" s="333">
        <v>2004</v>
      </c>
      <c r="H28" s="341" t="s">
        <v>732</v>
      </c>
      <c r="I28" s="336" t="str">
        <f t="shared" si="2"/>
        <v>Pesado de Passageiros M3: III : Gasóleo : E3</v>
      </c>
      <c r="J28" s="125">
        <v>69</v>
      </c>
      <c r="K28" s="125">
        <v>2022</v>
      </c>
      <c r="L28" s="85">
        <v>13422.85</v>
      </c>
      <c r="M28" s="85" t="s">
        <v>630</v>
      </c>
      <c r="N28" s="128">
        <v>27835</v>
      </c>
      <c r="O28" s="128">
        <f t="shared" si="3"/>
        <v>1920615</v>
      </c>
      <c r="P28" s="125" t="s">
        <v>656</v>
      </c>
      <c r="Q28" s="85" t="s">
        <v>47</v>
      </c>
      <c r="R28" s="220" t="s">
        <v>1888</v>
      </c>
      <c r="S28" s="220" t="s">
        <v>1861</v>
      </c>
      <c r="T28" s="85" t="s">
        <v>1491</v>
      </c>
      <c r="U28" t="s">
        <v>1972</v>
      </c>
      <c r="V28" t="s">
        <v>2832</v>
      </c>
    </row>
    <row r="29" spans="1:22" ht="15.75" thickBot="1" x14ac:dyDescent="0.3">
      <c r="A29" s="82" t="s">
        <v>3509</v>
      </c>
      <c r="B29" s="82" t="str">
        <f t="shared" si="0"/>
        <v>Barraqueiro Transportes, S.A.</v>
      </c>
      <c r="C29" s="82" t="str">
        <f t="shared" si="1"/>
        <v>Barraqueiro Oeste</v>
      </c>
      <c r="D29" s="83" t="s">
        <v>629</v>
      </c>
      <c r="E29" s="91" t="s">
        <v>1853</v>
      </c>
      <c r="F29" s="124" t="s">
        <v>620</v>
      </c>
      <c r="G29" s="333">
        <v>2004</v>
      </c>
      <c r="H29" s="341" t="s">
        <v>732</v>
      </c>
      <c r="I29" s="336" t="str">
        <f t="shared" si="2"/>
        <v>Pesado de Passageiros M3: III : Gasóleo : E3</v>
      </c>
      <c r="J29" s="125">
        <v>69</v>
      </c>
      <c r="K29" s="125">
        <v>2022</v>
      </c>
      <c r="L29" s="85">
        <v>14888.759999999998</v>
      </c>
      <c r="M29" s="85" t="s">
        <v>630</v>
      </c>
      <c r="N29" s="128">
        <v>29831</v>
      </c>
      <c r="O29" s="128">
        <f t="shared" si="3"/>
        <v>2058339</v>
      </c>
      <c r="P29" s="125" t="s">
        <v>657</v>
      </c>
      <c r="Q29" s="85" t="s">
        <v>47</v>
      </c>
      <c r="R29" s="220" t="s">
        <v>1888</v>
      </c>
      <c r="S29" s="220" t="s">
        <v>1861</v>
      </c>
      <c r="T29" s="85" t="s">
        <v>1491</v>
      </c>
      <c r="U29" t="s">
        <v>1972</v>
      </c>
      <c r="V29" t="s">
        <v>2832</v>
      </c>
    </row>
    <row r="30" spans="1:22" ht="15.75" thickBot="1" x14ac:dyDescent="0.3">
      <c r="A30" s="82" t="s">
        <v>3509</v>
      </c>
      <c r="B30" s="82" t="str">
        <f t="shared" si="0"/>
        <v>Barraqueiro Transportes, S.A.</v>
      </c>
      <c r="C30" s="82" t="str">
        <f t="shared" si="1"/>
        <v>Barraqueiro Oeste</v>
      </c>
      <c r="D30" s="83" t="s">
        <v>629</v>
      </c>
      <c r="E30" s="91" t="s">
        <v>1853</v>
      </c>
      <c r="F30" s="124" t="s">
        <v>620</v>
      </c>
      <c r="G30" s="333">
        <v>2010</v>
      </c>
      <c r="H30" s="341" t="s">
        <v>734</v>
      </c>
      <c r="I30" s="336" t="str">
        <f t="shared" si="2"/>
        <v>Pesado de Passageiros M3: III : Gasóleo : E5</v>
      </c>
      <c r="J30" s="125">
        <v>71</v>
      </c>
      <c r="K30" s="125">
        <v>2022</v>
      </c>
      <c r="L30" s="85">
        <v>12834.589999999998</v>
      </c>
      <c r="M30" s="85" t="s">
        <v>630</v>
      </c>
      <c r="N30" s="128">
        <v>30290</v>
      </c>
      <c r="O30" s="128">
        <f t="shared" si="3"/>
        <v>2150590</v>
      </c>
      <c r="P30" s="125" t="s">
        <v>658</v>
      </c>
      <c r="Q30" s="85" t="s">
        <v>47</v>
      </c>
      <c r="R30" s="220" t="s">
        <v>1888</v>
      </c>
      <c r="S30" s="220" t="s">
        <v>1861</v>
      </c>
      <c r="T30" s="85" t="s">
        <v>1491</v>
      </c>
      <c r="U30" t="s">
        <v>1972</v>
      </c>
      <c r="V30" t="s">
        <v>2832</v>
      </c>
    </row>
    <row r="31" spans="1:22" ht="15.75" thickBot="1" x14ac:dyDescent="0.3">
      <c r="A31" s="82" t="s">
        <v>3509</v>
      </c>
      <c r="B31" s="82" t="str">
        <f t="shared" si="0"/>
        <v>Barraqueiro Transportes, S.A.</v>
      </c>
      <c r="C31" s="82" t="str">
        <f t="shared" si="1"/>
        <v>Barraqueiro Oeste</v>
      </c>
      <c r="D31" s="83" t="s">
        <v>629</v>
      </c>
      <c r="E31" s="91" t="s">
        <v>1853</v>
      </c>
      <c r="F31" s="124" t="s">
        <v>620</v>
      </c>
      <c r="G31" s="333">
        <v>2004</v>
      </c>
      <c r="H31" s="341" t="s">
        <v>732</v>
      </c>
      <c r="I31" s="336" t="str">
        <f t="shared" si="2"/>
        <v>Pesado de Passageiros M3: III : Gasóleo : E3</v>
      </c>
      <c r="J31" s="125">
        <v>85</v>
      </c>
      <c r="K31" s="125">
        <v>2022</v>
      </c>
      <c r="L31" s="85">
        <v>15010.650000000001</v>
      </c>
      <c r="M31" s="85" t="s">
        <v>630</v>
      </c>
      <c r="N31" s="128">
        <v>40333</v>
      </c>
      <c r="O31" s="128">
        <f t="shared" si="3"/>
        <v>3428305</v>
      </c>
      <c r="P31" s="125" t="s">
        <v>659</v>
      </c>
      <c r="Q31" s="85" t="s">
        <v>47</v>
      </c>
      <c r="R31" s="220" t="s">
        <v>1888</v>
      </c>
      <c r="S31" s="220" t="s">
        <v>1861</v>
      </c>
      <c r="T31" s="85" t="s">
        <v>1491</v>
      </c>
      <c r="U31" t="s">
        <v>1972</v>
      </c>
      <c r="V31" t="s">
        <v>2832</v>
      </c>
    </row>
    <row r="32" spans="1:22" ht="15.75" thickBot="1" x14ac:dyDescent="0.3">
      <c r="A32" s="82" t="s">
        <v>3509</v>
      </c>
      <c r="B32" s="82" t="str">
        <f t="shared" si="0"/>
        <v>Barraqueiro Transportes, S.A.</v>
      </c>
      <c r="C32" s="82" t="str">
        <f t="shared" si="1"/>
        <v>Barraqueiro Oeste</v>
      </c>
      <c r="D32" s="83" t="s">
        <v>629</v>
      </c>
      <c r="E32" s="91" t="s">
        <v>1853</v>
      </c>
      <c r="F32" s="124" t="s">
        <v>620</v>
      </c>
      <c r="G32" s="333">
        <v>2018</v>
      </c>
      <c r="H32" s="341" t="s">
        <v>733</v>
      </c>
      <c r="I32" s="336" t="str">
        <f t="shared" si="2"/>
        <v>Pesado de Passageiros M3: III : Gasóleo : E6</v>
      </c>
      <c r="J32" s="125">
        <v>70</v>
      </c>
      <c r="K32" s="125">
        <v>2022</v>
      </c>
      <c r="L32" s="85">
        <v>6317.67</v>
      </c>
      <c r="M32" s="85" t="s">
        <v>630</v>
      </c>
      <c r="N32" s="128">
        <v>23290</v>
      </c>
      <c r="O32" s="128">
        <f t="shared" si="3"/>
        <v>1630300</v>
      </c>
      <c r="P32" s="125" t="s">
        <v>660</v>
      </c>
      <c r="Q32" s="85" t="s">
        <v>47</v>
      </c>
      <c r="R32" s="220" t="s">
        <v>1888</v>
      </c>
      <c r="S32" s="220" t="s">
        <v>1861</v>
      </c>
      <c r="T32" s="85" t="s">
        <v>1491</v>
      </c>
      <c r="U32" t="s">
        <v>1972</v>
      </c>
      <c r="V32" t="s">
        <v>2832</v>
      </c>
    </row>
    <row r="33" spans="1:22" ht="15.75" thickBot="1" x14ac:dyDescent="0.3">
      <c r="A33" s="82" t="s">
        <v>3509</v>
      </c>
      <c r="B33" s="82" t="str">
        <f t="shared" si="0"/>
        <v>Barraqueiro Transportes, S.A.</v>
      </c>
      <c r="C33" s="82" t="str">
        <f t="shared" si="1"/>
        <v>Barraqueiro Oeste</v>
      </c>
      <c r="D33" s="83" t="s">
        <v>629</v>
      </c>
      <c r="E33" s="91" t="s">
        <v>1853</v>
      </c>
      <c r="F33" s="124" t="s">
        <v>620</v>
      </c>
      <c r="G33" s="333">
        <v>2018</v>
      </c>
      <c r="H33" s="341" t="s">
        <v>733</v>
      </c>
      <c r="I33" s="336" t="str">
        <f t="shared" si="2"/>
        <v>Pesado de Passageiros M3: III : Gasóleo : E6</v>
      </c>
      <c r="J33" s="125">
        <v>70</v>
      </c>
      <c r="K33" s="125">
        <v>2022</v>
      </c>
      <c r="L33" s="85">
        <v>12570.37</v>
      </c>
      <c r="M33" s="85" t="s">
        <v>630</v>
      </c>
      <c r="N33" s="128">
        <v>49161</v>
      </c>
      <c r="O33" s="128">
        <f t="shared" si="3"/>
        <v>3441270</v>
      </c>
      <c r="P33" s="125" t="s">
        <v>661</v>
      </c>
      <c r="Q33" s="85" t="s">
        <v>47</v>
      </c>
      <c r="R33" s="220" t="s">
        <v>1888</v>
      </c>
      <c r="S33" s="220" t="s">
        <v>1861</v>
      </c>
      <c r="T33" s="85" t="s">
        <v>1491</v>
      </c>
      <c r="U33" t="s">
        <v>1972</v>
      </c>
      <c r="V33" t="s">
        <v>2832</v>
      </c>
    </row>
    <row r="34" spans="1:22" ht="15.75" thickBot="1" x14ac:dyDescent="0.3">
      <c r="A34" s="82" t="s">
        <v>3509</v>
      </c>
      <c r="B34" s="82" t="str">
        <f t="shared" si="0"/>
        <v>Barraqueiro Transportes, S.A.</v>
      </c>
      <c r="C34" s="82" t="str">
        <f t="shared" si="1"/>
        <v>Barraqueiro Oeste</v>
      </c>
      <c r="D34" s="83" t="s">
        <v>629</v>
      </c>
      <c r="E34" s="91" t="s">
        <v>1853</v>
      </c>
      <c r="F34" s="124" t="s">
        <v>620</v>
      </c>
      <c r="G34" s="333">
        <v>2002</v>
      </c>
      <c r="H34" s="341" t="s">
        <v>732</v>
      </c>
      <c r="I34" s="336" t="str">
        <f t="shared" si="2"/>
        <v>Pesado de Passageiros M3: III : Gasóleo : E3</v>
      </c>
      <c r="J34" s="125">
        <v>61</v>
      </c>
      <c r="K34" s="125">
        <v>2022</v>
      </c>
      <c r="L34" s="85">
        <v>24733.044000000002</v>
      </c>
      <c r="M34" s="85" t="s">
        <v>630</v>
      </c>
      <c r="N34" s="128">
        <v>64698</v>
      </c>
      <c r="O34" s="128">
        <f t="shared" si="3"/>
        <v>3946578</v>
      </c>
      <c r="P34" s="125" t="s">
        <v>662</v>
      </c>
      <c r="Q34" s="85" t="s">
        <v>47</v>
      </c>
      <c r="R34" s="220" t="s">
        <v>1888</v>
      </c>
      <c r="S34" s="220" t="s">
        <v>1861</v>
      </c>
      <c r="T34" s="85" t="s">
        <v>1491</v>
      </c>
      <c r="U34" t="s">
        <v>1972</v>
      </c>
      <c r="V34" t="s">
        <v>2832</v>
      </c>
    </row>
    <row r="35" spans="1:22" ht="15.75" thickBot="1" x14ac:dyDescent="0.3">
      <c r="A35" s="82" t="s">
        <v>3509</v>
      </c>
      <c r="B35" s="82" t="str">
        <f t="shared" si="0"/>
        <v>Barraqueiro Transportes, S.A.</v>
      </c>
      <c r="C35" s="82" t="str">
        <f t="shared" si="1"/>
        <v>Barraqueiro Oeste</v>
      </c>
      <c r="D35" s="83" t="s">
        <v>629</v>
      </c>
      <c r="E35" s="91" t="s">
        <v>1853</v>
      </c>
      <c r="F35" s="124" t="s">
        <v>620</v>
      </c>
      <c r="G35" s="333">
        <v>2002</v>
      </c>
      <c r="H35" s="341" t="s">
        <v>732</v>
      </c>
      <c r="I35" s="336" t="str">
        <f t="shared" si="2"/>
        <v>Pesado de Passageiros M3: III : Gasóleo : E3</v>
      </c>
      <c r="J35" s="125">
        <v>97</v>
      </c>
      <c r="K35" s="125">
        <v>2022</v>
      </c>
      <c r="L35" s="85">
        <v>17422.689999999999</v>
      </c>
      <c r="M35" s="85" t="s">
        <v>630</v>
      </c>
      <c r="N35" s="128">
        <v>42590</v>
      </c>
      <c r="O35" s="128">
        <f t="shared" si="3"/>
        <v>4131230</v>
      </c>
      <c r="P35" s="125" t="s">
        <v>663</v>
      </c>
      <c r="Q35" s="85" t="s">
        <v>47</v>
      </c>
      <c r="R35" s="220" t="s">
        <v>1888</v>
      </c>
      <c r="S35" s="220" t="s">
        <v>1861</v>
      </c>
      <c r="T35" s="85" t="s">
        <v>1491</v>
      </c>
      <c r="U35" t="s">
        <v>1972</v>
      </c>
      <c r="V35" t="s">
        <v>2832</v>
      </c>
    </row>
    <row r="36" spans="1:22" ht="15.75" thickBot="1" x14ac:dyDescent="0.3">
      <c r="A36" s="82" t="s">
        <v>3509</v>
      </c>
      <c r="B36" s="82" t="str">
        <f t="shared" si="0"/>
        <v>Barraqueiro Transportes, S.A.</v>
      </c>
      <c r="C36" s="82" t="str">
        <f t="shared" si="1"/>
        <v>Barraqueiro Oeste</v>
      </c>
      <c r="D36" s="83" t="s">
        <v>629</v>
      </c>
      <c r="E36" s="91" t="s">
        <v>1853</v>
      </c>
      <c r="F36" s="124" t="s">
        <v>620</v>
      </c>
      <c r="G36" s="333">
        <v>2003</v>
      </c>
      <c r="H36" s="341" t="s">
        <v>732</v>
      </c>
      <c r="I36" s="336" t="str">
        <f t="shared" si="2"/>
        <v>Pesado de Passageiros M3: III : Gasóleo : E3</v>
      </c>
      <c r="J36" s="125">
        <v>61</v>
      </c>
      <c r="K36" s="125">
        <v>2022</v>
      </c>
      <c r="L36" s="85">
        <v>18439.486999999997</v>
      </c>
      <c r="M36" s="85" t="s">
        <v>630</v>
      </c>
      <c r="N36" s="128">
        <v>46822</v>
      </c>
      <c r="O36" s="128">
        <f t="shared" si="3"/>
        <v>2856142</v>
      </c>
      <c r="P36" s="125" t="s">
        <v>664</v>
      </c>
      <c r="Q36" s="85" t="s">
        <v>47</v>
      </c>
      <c r="R36" s="220" t="s">
        <v>1888</v>
      </c>
      <c r="S36" s="220" t="s">
        <v>1861</v>
      </c>
      <c r="T36" s="85" t="s">
        <v>1491</v>
      </c>
      <c r="U36" t="s">
        <v>1972</v>
      </c>
      <c r="V36" t="s">
        <v>2832</v>
      </c>
    </row>
    <row r="37" spans="1:22" ht="15.75" thickBot="1" x14ac:dyDescent="0.3">
      <c r="A37" s="82" t="s">
        <v>3509</v>
      </c>
      <c r="B37" s="82" t="str">
        <f t="shared" si="0"/>
        <v>Barraqueiro Transportes, S.A.</v>
      </c>
      <c r="C37" s="82" t="str">
        <f t="shared" si="1"/>
        <v>Barraqueiro Oeste</v>
      </c>
      <c r="D37" s="83" t="s">
        <v>629</v>
      </c>
      <c r="E37" s="91" t="s">
        <v>1853</v>
      </c>
      <c r="F37" s="124" t="s">
        <v>620</v>
      </c>
      <c r="G37" s="333">
        <v>2001</v>
      </c>
      <c r="H37" s="341" t="s">
        <v>732</v>
      </c>
      <c r="I37" s="336" t="str">
        <f t="shared" si="2"/>
        <v>Pesado de Passageiros M3: III : Gasóleo : E3</v>
      </c>
      <c r="J37" s="125">
        <v>55</v>
      </c>
      <c r="K37" s="125">
        <v>2022</v>
      </c>
      <c r="L37" s="85">
        <v>19433.650000000001</v>
      </c>
      <c r="M37" s="85" t="s">
        <v>630</v>
      </c>
      <c r="N37" s="128">
        <v>50928</v>
      </c>
      <c r="O37" s="128">
        <f t="shared" si="3"/>
        <v>2801040</v>
      </c>
      <c r="P37" s="125" t="s">
        <v>665</v>
      </c>
      <c r="Q37" s="85" t="s">
        <v>47</v>
      </c>
      <c r="R37" s="220" t="s">
        <v>1888</v>
      </c>
      <c r="S37" s="220" t="s">
        <v>1861</v>
      </c>
      <c r="T37" s="85" t="s">
        <v>1491</v>
      </c>
      <c r="U37" t="s">
        <v>1972</v>
      </c>
      <c r="V37" t="s">
        <v>2832</v>
      </c>
    </row>
    <row r="38" spans="1:22" ht="15.75" thickBot="1" x14ac:dyDescent="0.3">
      <c r="A38" s="82" t="s">
        <v>3509</v>
      </c>
      <c r="B38" s="82" t="str">
        <f t="shared" si="0"/>
        <v>Barraqueiro Transportes, S.A.</v>
      </c>
      <c r="C38" s="82" t="str">
        <f t="shared" si="1"/>
        <v>Barraqueiro Oeste</v>
      </c>
      <c r="D38" s="83" t="s">
        <v>629</v>
      </c>
      <c r="E38" s="91" t="s">
        <v>1853</v>
      </c>
      <c r="F38" s="124" t="s">
        <v>620</v>
      </c>
      <c r="G38" s="333">
        <v>2001</v>
      </c>
      <c r="H38" s="341" t="s">
        <v>732</v>
      </c>
      <c r="I38" s="336" t="str">
        <f t="shared" si="2"/>
        <v>Pesado de Passageiros M3: III : Gasóleo : E3</v>
      </c>
      <c r="J38" s="125">
        <v>55</v>
      </c>
      <c r="K38" s="125">
        <v>2022</v>
      </c>
      <c r="L38" s="85">
        <v>17230.740000000002</v>
      </c>
      <c r="M38" s="85" t="s">
        <v>630</v>
      </c>
      <c r="N38" s="128">
        <v>49094</v>
      </c>
      <c r="O38" s="128">
        <f t="shared" si="3"/>
        <v>2700170</v>
      </c>
      <c r="P38" s="125" t="s">
        <v>666</v>
      </c>
      <c r="Q38" s="85" t="s">
        <v>47</v>
      </c>
      <c r="R38" s="220" t="s">
        <v>1888</v>
      </c>
      <c r="S38" s="220" t="s">
        <v>1861</v>
      </c>
      <c r="T38" s="85" t="s">
        <v>1491</v>
      </c>
      <c r="U38" t="s">
        <v>1972</v>
      </c>
      <c r="V38" t="s">
        <v>2832</v>
      </c>
    </row>
    <row r="39" spans="1:22" ht="15.75" thickBot="1" x14ac:dyDescent="0.3">
      <c r="A39" s="82" t="s">
        <v>3509</v>
      </c>
      <c r="B39" s="82" t="str">
        <f t="shared" si="0"/>
        <v>Barraqueiro Transportes, S.A.</v>
      </c>
      <c r="C39" s="82" t="str">
        <f t="shared" si="1"/>
        <v>Barraqueiro Oeste</v>
      </c>
      <c r="D39" s="83" t="s">
        <v>629</v>
      </c>
      <c r="E39" s="91" t="s">
        <v>1853</v>
      </c>
      <c r="F39" s="124" t="s">
        <v>620</v>
      </c>
      <c r="G39" s="333">
        <v>2001</v>
      </c>
      <c r="H39" s="341" t="s">
        <v>732</v>
      </c>
      <c r="I39" s="336" t="str">
        <f t="shared" si="2"/>
        <v>Pesado de Passageiros M3: III : Gasóleo : E3</v>
      </c>
      <c r="J39" s="125">
        <v>55</v>
      </c>
      <c r="K39" s="125">
        <v>2022</v>
      </c>
      <c r="L39" s="85">
        <v>19127.960000000003</v>
      </c>
      <c r="M39" s="85" t="s">
        <v>630</v>
      </c>
      <c r="N39" s="128">
        <v>50001</v>
      </c>
      <c r="O39" s="128">
        <f t="shared" si="3"/>
        <v>2750055</v>
      </c>
      <c r="P39" s="125" t="s">
        <v>667</v>
      </c>
      <c r="Q39" s="85" t="s">
        <v>47</v>
      </c>
      <c r="R39" s="220" t="s">
        <v>1888</v>
      </c>
      <c r="S39" s="220" t="s">
        <v>1861</v>
      </c>
      <c r="T39" s="85" t="s">
        <v>1491</v>
      </c>
      <c r="U39" t="s">
        <v>1972</v>
      </c>
      <c r="V39" t="s">
        <v>2832</v>
      </c>
    </row>
    <row r="40" spans="1:22" ht="15.75" thickBot="1" x14ac:dyDescent="0.3">
      <c r="A40" s="82" t="s">
        <v>3509</v>
      </c>
      <c r="B40" s="82" t="str">
        <f t="shared" si="0"/>
        <v>Barraqueiro Transportes, S.A.</v>
      </c>
      <c r="C40" s="82" t="str">
        <f t="shared" si="1"/>
        <v>Barraqueiro Oeste</v>
      </c>
      <c r="D40" s="83" t="s">
        <v>629</v>
      </c>
      <c r="E40" s="91" t="s">
        <v>1853</v>
      </c>
      <c r="F40" s="124" t="s">
        <v>620</v>
      </c>
      <c r="G40" s="333">
        <v>2004</v>
      </c>
      <c r="H40" s="341" t="s">
        <v>732</v>
      </c>
      <c r="I40" s="336" t="str">
        <f t="shared" si="2"/>
        <v>Pesado de Passageiros M3: III : Gasóleo : E3</v>
      </c>
      <c r="J40" s="125">
        <v>51</v>
      </c>
      <c r="K40" s="125">
        <v>2022</v>
      </c>
      <c r="L40" s="85">
        <v>17495.109999999997</v>
      </c>
      <c r="M40" s="85" t="s">
        <v>630</v>
      </c>
      <c r="N40" s="128">
        <v>45470</v>
      </c>
      <c r="O40" s="128">
        <f t="shared" si="3"/>
        <v>2318970</v>
      </c>
      <c r="P40" s="125" t="s">
        <v>668</v>
      </c>
      <c r="Q40" s="85" t="s">
        <v>47</v>
      </c>
      <c r="R40" s="220" t="s">
        <v>1888</v>
      </c>
      <c r="S40" s="220" t="s">
        <v>1861</v>
      </c>
      <c r="T40" s="85" t="s">
        <v>1491</v>
      </c>
      <c r="U40" t="s">
        <v>1972</v>
      </c>
      <c r="V40" t="s">
        <v>2832</v>
      </c>
    </row>
    <row r="41" spans="1:22" ht="15.75" thickBot="1" x14ac:dyDescent="0.3">
      <c r="A41" s="82" t="s">
        <v>3509</v>
      </c>
      <c r="B41" s="82" t="str">
        <f t="shared" si="0"/>
        <v>Barraqueiro Transportes, S.A.</v>
      </c>
      <c r="C41" s="82" t="str">
        <f t="shared" si="1"/>
        <v>Barraqueiro Oeste</v>
      </c>
      <c r="D41" s="83" t="s">
        <v>629</v>
      </c>
      <c r="E41" s="91" t="s">
        <v>1853</v>
      </c>
      <c r="F41" s="124" t="s">
        <v>620</v>
      </c>
      <c r="G41" s="333">
        <v>2001</v>
      </c>
      <c r="H41" s="341" t="s">
        <v>732</v>
      </c>
      <c r="I41" s="336" t="str">
        <f t="shared" si="2"/>
        <v>Pesado de Passageiros M3: III : Gasóleo : E3</v>
      </c>
      <c r="J41" s="125">
        <v>70</v>
      </c>
      <c r="K41" s="125">
        <v>2022</v>
      </c>
      <c r="L41" s="85">
        <v>10261.650000000001</v>
      </c>
      <c r="M41" s="85" t="s">
        <v>630</v>
      </c>
      <c r="N41" s="128">
        <v>23865</v>
      </c>
      <c r="O41" s="128">
        <f t="shared" si="3"/>
        <v>1670550</v>
      </c>
      <c r="P41" s="125" t="s">
        <v>669</v>
      </c>
      <c r="Q41" s="85" t="s">
        <v>47</v>
      </c>
      <c r="R41" s="220" t="s">
        <v>1888</v>
      </c>
      <c r="S41" s="220" t="s">
        <v>1861</v>
      </c>
      <c r="T41" s="85" t="s">
        <v>1491</v>
      </c>
      <c r="U41" t="s">
        <v>1972</v>
      </c>
      <c r="V41" t="s">
        <v>2832</v>
      </c>
    </row>
    <row r="42" spans="1:22" ht="15.75" thickBot="1" x14ac:dyDescent="0.3">
      <c r="A42" s="82" t="s">
        <v>3509</v>
      </c>
      <c r="B42" s="82" t="str">
        <f t="shared" si="0"/>
        <v>Barraqueiro Transportes, S.A.</v>
      </c>
      <c r="C42" s="82" t="str">
        <f t="shared" si="1"/>
        <v>Barraqueiro Oeste</v>
      </c>
      <c r="D42" s="83" t="s">
        <v>629</v>
      </c>
      <c r="E42" s="91" t="s">
        <v>1853</v>
      </c>
      <c r="F42" s="124" t="s">
        <v>620</v>
      </c>
      <c r="G42" s="333">
        <v>2002</v>
      </c>
      <c r="H42" s="341" t="s">
        <v>732</v>
      </c>
      <c r="I42" s="336" t="str">
        <f t="shared" si="2"/>
        <v>Pesado de Passageiros M3: III : Gasóleo : E3</v>
      </c>
      <c r="J42" s="125">
        <v>68</v>
      </c>
      <c r="K42" s="125">
        <v>2022</v>
      </c>
      <c r="L42" s="85">
        <v>13492.449999999999</v>
      </c>
      <c r="M42" s="85" t="s">
        <v>630</v>
      </c>
      <c r="N42" s="128">
        <v>38002</v>
      </c>
      <c r="O42" s="128">
        <f t="shared" si="3"/>
        <v>2584136</v>
      </c>
      <c r="P42" s="125" t="s">
        <v>670</v>
      </c>
      <c r="Q42" s="85" t="s">
        <v>47</v>
      </c>
      <c r="R42" s="220" t="s">
        <v>1888</v>
      </c>
      <c r="S42" s="220" t="s">
        <v>1861</v>
      </c>
      <c r="T42" s="85" t="s">
        <v>1491</v>
      </c>
      <c r="U42" t="s">
        <v>1972</v>
      </c>
      <c r="V42" t="s">
        <v>2832</v>
      </c>
    </row>
    <row r="43" spans="1:22" ht="15.75" thickBot="1" x14ac:dyDescent="0.3">
      <c r="A43" s="82" t="s">
        <v>3509</v>
      </c>
      <c r="B43" s="82" t="str">
        <f t="shared" si="0"/>
        <v>Barraqueiro Transportes, S.A.</v>
      </c>
      <c r="C43" s="82" t="str">
        <f t="shared" si="1"/>
        <v>Barraqueiro Oeste</v>
      </c>
      <c r="D43" s="83" t="s">
        <v>629</v>
      </c>
      <c r="E43" s="91" t="s">
        <v>1853</v>
      </c>
      <c r="F43" s="124" t="s">
        <v>620</v>
      </c>
      <c r="G43" s="333">
        <v>2002</v>
      </c>
      <c r="H43" s="341" t="s">
        <v>732</v>
      </c>
      <c r="I43" s="336" t="str">
        <f t="shared" si="2"/>
        <v>Pesado de Passageiros M3: III : Gasóleo : E3</v>
      </c>
      <c r="J43" s="125">
        <v>68</v>
      </c>
      <c r="K43" s="125">
        <v>2022</v>
      </c>
      <c r="L43" s="85">
        <v>9886.1200000000008</v>
      </c>
      <c r="M43" s="85" t="s">
        <v>630</v>
      </c>
      <c r="N43" s="128">
        <v>28692</v>
      </c>
      <c r="O43" s="128">
        <f t="shared" si="3"/>
        <v>1951056</v>
      </c>
      <c r="P43" s="125" t="s">
        <v>671</v>
      </c>
      <c r="Q43" s="85" t="s">
        <v>47</v>
      </c>
      <c r="R43" s="220" t="s">
        <v>1888</v>
      </c>
      <c r="S43" s="220" t="s">
        <v>1861</v>
      </c>
      <c r="T43" s="85" t="s">
        <v>1491</v>
      </c>
      <c r="U43" t="s">
        <v>1972</v>
      </c>
      <c r="V43" t="s">
        <v>2832</v>
      </c>
    </row>
    <row r="44" spans="1:22" ht="15.75" thickBot="1" x14ac:dyDescent="0.3">
      <c r="A44" s="82" t="s">
        <v>3509</v>
      </c>
      <c r="B44" s="82" t="str">
        <f t="shared" si="0"/>
        <v>Barraqueiro Transportes, S.A.</v>
      </c>
      <c r="C44" s="82" t="str">
        <f t="shared" si="1"/>
        <v>Barraqueiro Oeste</v>
      </c>
      <c r="D44" s="83" t="s">
        <v>629</v>
      </c>
      <c r="E44" s="91" t="s">
        <v>1853</v>
      </c>
      <c r="F44" s="124" t="s">
        <v>620</v>
      </c>
      <c r="G44" s="333">
        <v>2003</v>
      </c>
      <c r="H44" s="341" t="s">
        <v>732</v>
      </c>
      <c r="I44" s="336" t="str">
        <f t="shared" si="2"/>
        <v>Pesado de Passageiros M3: III : Gasóleo : E3</v>
      </c>
      <c r="J44" s="125">
        <v>61</v>
      </c>
      <c r="K44" s="125">
        <v>2022</v>
      </c>
      <c r="L44" s="85">
        <v>29268.473999999998</v>
      </c>
      <c r="M44" s="85" t="s">
        <v>630</v>
      </c>
      <c r="N44" s="128">
        <v>76932</v>
      </c>
      <c r="O44" s="128">
        <f t="shared" si="3"/>
        <v>4692852</v>
      </c>
      <c r="P44" s="125" t="s">
        <v>672</v>
      </c>
      <c r="Q44" s="85" t="s">
        <v>47</v>
      </c>
      <c r="R44" s="220" t="s">
        <v>1888</v>
      </c>
      <c r="S44" s="220" t="s">
        <v>1861</v>
      </c>
      <c r="T44" s="85" t="s">
        <v>1491</v>
      </c>
      <c r="U44" t="s">
        <v>1972</v>
      </c>
      <c r="V44" t="s">
        <v>2832</v>
      </c>
    </row>
    <row r="45" spans="1:22" ht="15.75" thickBot="1" x14ac:dyDescent="0.3">
      <c r="A45" s="82" t="s">
        <v>3509</v>
      </c>
      <c r="B45" s="82" t="str">
        <f t="shared" si="0"/>
        <v>Barraqueiro Transportes, S.A.</v>
      </c>
      <c r="C45" s="82" t="str">
        <f t="shared" si="1"/>
        <v>Barraqueiro Oeste</v>
      </c>
      <c r="D45" s="83" t="s">
        <v>629</v>
      </c>
      <c r="E45" s="91" t="s">
        <v>1853</v>
      </c>
      <c r="F45" s="124" t="s">
        <v>620</v>
      </c>
      <c r="G45" s="333">
        <v>2003</v>
      </c>
      <c r="H45" s="341" t="s">
        <v>732</v>
      </c>
      <c r="I45" s="336" t="str">
        <f t="shared" si="2"/>
        <v>Pesado de Passageiros M3: III : Gasóleo : E3</v>
      </c>
      <c r="J45" s="125">
        <v>59</v>
      </c>
      <c r="K45" s="125">
        <v>2022</v>
      </c>
      <c r="L45" s="85">
        <v>34753.99</v>
      </c>
      <c r="M45" s="85" t="s">
        <v>630</v>
      </c>
      <c r="N45" s="128">
        <v>83462</v>
      </c>
      <c r="O45" s="128">
        <f t="shared" si="3"/>
        <v>4924258</v>
      </c>
      <c r="P45" s="125" t="s">
        <v>673</v>
      </c>
      <c r="Q45" s="85" t="s">
        <v>47</v>
      </c>
      <c r="R45" s="220" t="s">
        <v>1888</v>
      </c>
      <c r="S45" s="220" t="s">
        <v>1861</v>
      </c>
      <c r="T45" s="85" t="s">
        <v>1491</v>
      </c>
      <c r="U45" t="s">
        <v>1972</v>
      </c>
      <c r="V45" t="s">
        <v>2832</v>
      </c>
    </row>
    <row r="46" spans="1:22" ht="15.75" thickBot="1" x14ac:dyDescent="0.3">
      <c r="A46" s="82" t="s">
        <v>3509</v>
      </c>
      <c r="B46" s="82" t="str">
        <f t="shared" si="0"/>
        <v>Barraqueiro Transportes, S.A.</v>
      </c>
      <c r="C46" s="82" t="str">
        <f t="shared" si="1"/>
        <v>Barraqueiro Oeste</v>
      </c>
      <c r="D46" s="83" t="s">
        <v>629</v>
      </c>
      <c r="E46" s="91" t="s">
        <v>1853</v>
      </c>
      <c r="F46" s="124" t="s">
        <v>620</v>
      </c>
      <c r="G46" s="333">
        <v>2007</v>
      </c>
      <c r="H46" s="341" t="s">
        <v>731</v>
      </c>
      <c r="I46" s="336" t="str">
        <f t="shared" si="2"/>
        <v>Pesado de Passageiros M3: III : Gasóleo : E4</v>
      </c>
      <c r="J46" s="125">
        <v>68</v>
      </c>
      <c r="K46" s="125">
        <v>2022</v>
      </c>
      <c r="L46" s="85">
        <v>15447.38</v>
      </c>
      <c r="M46" s="85" t="s">
        <v>630</v>
      </c>
      <c r="N46" s="128">
        <v>41960</v>
      </c>
      <c r="O46" s="128">
        <f t="shared" si="3"/>
        <v>2853280</v>
      </c>
      <c r="P46" s="125" t="s">
        <v>674</v>
      </c>
      <c r="Q46" s="85" t="s">
        <v>47</v>
      </c>
      <c r="R46" s="220" t="s">
        <v>1888</v>
      </c>
      <c r="S46" s="220" t="s">
        <v>1861</v>
      </c>
      <c r="T46" s="85" t="s">
        <v>1491</v>
      </c>
      <c r="U46" t="s">
        <v>1972</v>
      </c>
      <c r="V46" t="s">
        <v>2832</v>
      </c>
    </row>
    <row r="47" spans="1:22" ht="15.75" thickBot="1" x14ac:dyDescent="0.3">
      <c r="A47" s="82" t="s">
        <v>3509</v>
      </c>
      <c r="B47" s="82" t="str">
        <f t="shared" si="0"/>
        <v>Barraqueiro Transportes, S.A.</v>
      </c>
      <c r="C47" s="82" t="str">
        <f t="shared" si="1"/>
        <v>Barraqueiro Oeste</v>
      </c>
      <c r="D47" s="83" t="s">
        <v>629</v>
      </c>
      <c r="E47" s="91" t="s">
        <v>1853</v>
      </c>
      <c r="F47" s="124" t="s">
        <v>620</v>
      </c>
      <c r="G47" s="333">
        <v>2015</v>
      </c>
      <c r="H47" s="341" t="s">
        <v>733</v>
      </c>
      <c r="I47" s="336" t="str">
        <f t="shared" si="2"/>
        <v>Pesado de Passageiros M3: III : Gasóleo : E6</v>
      </c>
      <c r="J47" s="125">
        <v>25</v>
      </c>
      <c r="K47" s="125">
        <v>2022</v>
      </c>
      <c r="L47" s="85">
        <v>9614.17</v>
      </c>
      <c r="M47" s="85" t="s">
        <v>630</v>
      </c>
      <c r="N47" s="128">
        <v>44015</v>
      </c>
      <c r="O47" s="128">
        <f t="shared" si="3"/>
        <v>1100375</v>
      </c>
      <c r="P47" s="125" t="s">
        <v>675</v>
      </c>
      <c r="Q47" s="85" t="s">
        <v>47</v>
      </c>
      <c r="R47" s="220" t="s">
        <v>1888</v>
      </c>
      <c r="S47" s="220" t="s">
        <v>1861</v>
      </c>
      <c r="T47" s="85" t="s">
        <v>1491</v>
      </c>
      <c r="U47" t="s">
        <v>1972</v>
      </c>
      <c r="V47" t="s">
        <v>2832</v>
      </c>
    </row>
    <row r="48" spans="1:22" ht="15.75" thickBot="1" x14ac:dyDescent="0.3">
      <c r="A48" s="82" t="s">
        <v>3509</v>
      </c>
      <c r="B48" s="82" t="str">
        <f t="shared" si="0"/>
        <v>Barraqueiro Transportes, S.A.</v>
      </c>
      <c r="C48" s="82" t="str">
        <f t="shared" si="1"/>
        <v>Barraqueiro Oeste</v>
      </c>
      <c r="D48" s="83" t="s">
        <v>629</v>
      </c>
      <c r="E48" s="91" t="s">
        <v>1853</v>
      </c>
      <c r="F48" s="124" t="s">
        <v>620</v>
      </c>
      <c r="G48" s="333">
        <v>2015</v>
      </c>
      <c r="H48" s="341" t="s">
        <v>733</v>
      </c>
      <c r="I48" s="336" t="str">
        <f t="shared" si="2"/>
        <v>Pesado de Passageiros M3: III : Gasóleo : E6</v>
      </c>
      <c r="J48" s="125">
        <v>25</v>
      </c>
      <c r="K48" s="125">
        <v>2022</v>
      </c>
      <c r="L48" s="85">
        <v>6422.7999999999984</v>
      </c>
      <c r="M48" s="85" t="s">
        <v>630</v>
      </c>
      <c r="N48" s="128">
        <v>29625</v>
      </c>
      <c r="O48" s="128">
        <f t="shared" si="3"/>
        <v>740625</v>
      </c>
      <c r="P48" s="125" t="s">
        <v>676</v>
      </c>
      <c r="Q48" s="85" t="s">
        <v>47</v>
      </c>
      <c r="R48" s="220" t="s">
        <v>1888</v>
      </c>
      <c r="S48" s="220" t="s">
        <v>1861</v>
      </c>
      <c r="T48" s="85" t="s">
        <v>1491</v>
      </c>
      <c r="U48" t="s">
        <v>1972</v>
      </c>
      <c r="V48" t="s">
        <v>2832</v>
      </c>
    </row>
    <row r="49" spans="1:22" ht="15.75" thickBot="1" x14ac:dyDescent="0.3">
      <c r="A49" s="82" t="s">
        <v>3509</v>
      </c>
      <c r="B49" s="82" t="str">
        <f t="shared" si="0"/>
        <v>Barraqueiro Transportes, S.A.</v>
      </c>
      <c r="C49" s="82" t="str">
        <f t="shared" si="1"/>
        <v>Barraqueiro Oeste</v>
      </c>
      <c r="D49" s="83" t="s">
        <v>629</v>
      </c>
      <c r="E49" s="91" t="s">
        <v>1853</v>
      </c>
      <c r="F49" s="124" t="s">
        <v>620</v>
      </c>
      <c r="G49" s="333">
        <v>2005</v>
      </c>
      <c r="H49" s="341" t="s">
        <v>732</v>
      </c>
      <c r="I49" s="336" t="str">
        <f t="shared" si="2"/>
        <v>Pesado de Passageiros M3: III : Gasóleo : E3</v>
      </c>
      <c r="J49" s="125">
        <v>66</v>
      </c>
      <c r="K49" s="125">
        <v>2022</v>
      </c>
      <c r="L49" s="85">
        <v>28432.09</v>
      </c>
      <c r="M49" s="85" t="s">
        <v>630</v>
      </c>
      <c r="N49" s="128">
        <v>78695</v>
      </c>
      <c r="O49" s="128">
        <f t="shared" si="3"/>
        <v>5193870</v>
      </c>
      <c r="P49" s="125" t="s">
        <v>677</v>
      </c>
      <c r="Q49" s="85" t="s">
        <v>47</v>
      </c>
      <c r="R49" s="220" t="s">
        <v>1888</v>
      </c>
      <c r="S49" s="220" t="s">
        <v>1861</v>
      </c>
      <c r="T49" s="85" t="s">
        <v>1491</v>
      </c>
      <c r="U49" t="s">
        <v>1972</v>
      </c>
      <c r="V49" t="s">
        <v>2832</v>
      </c>
    </row>
    <row r="50" spans="1:22" ht="15.75" thickBot="1" x14ac:dyDescent="0.3">
      <c r="A50" s="82" t="s">
        <v>3509</v>
      </c>
      <c r="B50" s="82" t="str">
        <f t="shared" si="0"/>
        <v>Barraqueiro Transportes, S.A.</v>
      </c>
      <c r="C50" s="82" t="str">
        <f t="shared" si="1"/>
        <v>Barraqueiro Oeste</v>
      </c>
      <c r="D50" s="83" t="s">
        <v>629</v>
      </c>
      <c r="E50" s="91" t="s">
        <v>1853</v>
      </c>
      <c r="F50" s="124" t="s">
        <v>620</v>
      </c>
      <c r="G50" s="333">
        <v>2003</v>
      </c>
      <c r="H50" s="341" t="s">
        <v>732</v>
      </c>
      <c r="I50" s="336" t="str">
        <f t="shared" si="2"/>
        <v>Pesado de Passageiros M3: III : Gasóleo : E3</v>
      </c>
      <c r="J50" s="125">
        <v>97</v>
      </c>
      <c r="K50" s="125">
        <v>2022</v>
      </c>
      <c r="L50" s="85">
        <v>15215.309999999998</v>
      </c>
      <c r="M50" s="85" t="s">
        <v>630</v>
      </c>
      <c r="N50" s="128">
        <v>41422</v>
      </c>
      <c r="O50" s="128">
        <f t="shared" si="3"/>
        <v>4017934</v>
      </c>
      <c r="P50" s="125" t="s">
        <v>678</v>
      </c>
      <c r="Q50" s="85" t="s">
        <v>47</v>
      </c>
      <c r="R50" s="220" t="s">
        <v>1888</v>
      </c>
      <c r="S50" s="220" t="s">
        <v>1861</v>
      </c>
      <c r="T50" s="85" t="s">
        <v>1491</v>
      </c>
      <c r="U50" t="s">
        <v>1972</v>
      </c>
      <c r="V50" t="s">
        <v>2832</v>
      </c>
    </row>
    <row r="51" spans="1:22" ht="15.75" thickBot="1" x14ac:dyDescent="0.3">
      <c r="A51" s="82" t="s">
        <v>3509</v>
      </c>
      <c r="B51" s="82" t="str">
        <f t="shared" si="0"/>
        <v>Barraqueiro Transportes, S.A.</v>
      </c>
      <c r="C51" s="82" t="str">
        <f t="shared" si="1"/>
        <v>Barraqueiro Oeste</v>
      </c>
      <c r="D51" s="83" t="s">
        <v>629</v>
      </c>
      <c r="E51" s="91" t="s">
        <v>1853</v>
      </c>
      <c r="F51" s="124" t="s">
        <v>620</v>
      </c>
      <c r="G51" s="333">
        <v>2003</v>
      </c>
      <c r="H51" s="341" t="s">
        <v>732</v>
      </c>
      <c r="I51" s="336" t="str">
        <f t="shared" si="2"/>
        <v>Pesado de Passageiros M3: III : Gasóleo : E3</v>
      </c>
      <c r="J51" s="125">
        <v>63</v>
      </c>
      <c r="K51" s="125">
        <v>2022</v>
      </c>
      <c r="L51" s="85">
        <v>15494.14</v>
      </c>
      <c r="M51" s="85" t="s">
        <v>630</v>
      </c>
      <c r="N51" s="128">
        <v>39510</v>
      </c>
      <c r="O51" s="128">
        <f t="shared" si="3"/>
        <v>2489130</v>
      </c>
      <c r="P51" s="125" t="s">
        <v>679</v>
      </c>
      <c r="Q51" s="85" t="s">
        <v>47</v>
      </c>
      <c r="R51" s="220" t="s">
        <v>1888</v>
      </c>
      <c r="S51" s="220" t="s">
        <v>1861</v>
      </c>
      <c r="T51" s="85" t="s">
        <v>1491</v>
      </c>
      <c r="U51" t="s">
        <v>1972</v>
      </c>
      <c r="V51" t="s">
        <v>2832</v>
      </c>
    </row>
    <row r="52" spans="1:22" ht="15.75" thickBot="1" x14ac:dyDescent="0.3">
      <c r="A52" s="82" t="s">
        <v>3509</v>
      </c>
      <c r="B52" s="82" t="str">
        <f t="shared" si="0"/>
        <v>Barraqueiro Transportes, S.A.</v>
      </c>
      <c r="C52" s="82" t="str">
        <f t="shared" si="1"/>
        <v>Barraqueiro Oeste</v>
      </c>
      <c r="D52" s="83" t="s">
        <v>629</v>
      </c>
      <c r="E52" s="91" t="s">
        <v>1853</v>
      </c>
      <c r="F52" s="124" t="s">
        <v>620</v>
      </c>
      <c r="G52" s="333">
        <v>2003</v>
      </c>
      <c r="H52" s="341" t="s">
        <v>732</v>
      </c>
      <c r="I52" s="336" t="str">
        <f t="shared" si="2"/>
        <v>Pesado de Passageiros M3: III : Gasóleo : E3</v>
      </c>
      <c r="J52" s="125">
        <v>63</v>
      </c>
      <c r="K52" s="125">
        <v>2022</v>
      </c>
      <c r="L52" s="85">
        <v>14141.160000000002</v>
      </c>
      <c r="M52" s="85" t="s">
        <v>630</v>
      </c>
      <c r="N52" s="128">
        <v>35956</v>
      </c>
      <c r="O52" s="128">
        <f t="shared" si="3"/>
        <v>2265228</v>
      </c>
      <c r="P52" s="125" t="s">
        <v>680</v>
      </c>
      <c r="Q52" s="85" t="s">
        <v>47</v>
      </c>
      <c r="R52" s="220" t="s">
        <v>1888</v>
      </c>
      <c r="S52" s="220" t="s">
        <v>1861</v>
      </c>
      <c r="T52" s="85" t="s">
        <v>1491</v>
      </c>
      <c r="U52" t="s">
        <v>1972</v>
      </c>
      <c r="V52" t="s">
        <v>2832</v>
      </c>
    </row>
    <row r="53" spans="1:22" ht="15.75" thickBot="1" x14ac:dyDescent="0.3">
      <c r="A53" s="82" t="s">
        <v>3509</v>
      </c>
      <c r="B53" s="82" t="str">
        <f t="shared" si="0"/>
        <v>Barraqueiro Transportes, S.A.</v>
      </c>
      <c r="C53" s="82" t="str">
        <f t="shared" si="1"/>
        <v>Barraqueiro Oeste</v>
      </c>
      <c r="D53" s="83" t="s">
        <v>629</v>
      </c>
      <c r="E53" s="91" t="s">
        <v>1853</v>
      </c>
      <c r="F53" s="124" t="s">
        <v>620</v>
      </c>
      <c r="G53" s="333">
        <v>2000</v>
      </c>
      <c r="H53" s="341" t="s">
        <v>735</v>
      </c>
      <c r="I53" s="336" t="str">
        <f t="shared" si="2"/>
        <v>Pesado de Passageiros M3: III : Gasóleo : E2</v>
      </c>
      <c r="J53" s="125">
        <v>75</v>
      </c>
      <c r="K53" s="125">
        <v>2022</v>
      </c>
      <c r="L53" s="85">
        <v>12649.509999999998</v>
      </c>
      <c r="M53" s="85" t="s">
        <v>630</v>
      </c>
      <c r="N53" s="128">
        <v>35442</v>
      </c>
      <c r="O53" s="128">
        <f t="shared" si="3"/>
        <v>2658150</v>
      </c>
      <c r="P53" s="125" t="s">
        <v>681</v>
      </c>
      <c r="Q53" s="85" t="s">
        <v>47</v>
      </c>
      <c r="R53" s="220" t="s">
        <v>1888</v>
      </c>
      <c r="S53" s="220" t="s">
        <v>1861</v>
      </c>
      <c r="T53" s="85" t="s">
        <v>1491</v>
      </c>
      <c r="U53" t="s">
        <v>1972</v>
      </c>
      <c r="V53" t="s">
        <v>2832</v>
      </c>
    </row>
    <row r="54" spans="1:22" ht="15.75" thickBot="1" x14ac:dyDescent="0.3">
      <c r="A54" s="82" t="s">
        <v>3509</v>
      </c>
      <c r="B54" s="82" t="str">
        <f t="shared" si="0"/>
        <v>Barraqueiro Transportes, S.A.</v>
      </c>
      <c r="C54" s="82" t="str">
        <f t="shared" si="1"/>
        <v>Barraqueiro Oeste</v>
      </c>
      <c r="D54" s="83" t="s">
        <v>629</v>
      </c>
      <c r="E54" s="91" t="s">
        <v>1853</v>
      </c>
      <c r="F54" s="124" t="s">
        <v>620</v>
      </c>
      <c r="G54" s="333">
        <v>1999</v>
      </c>
      <c r="H54" s="341" t="s">
        <v>736</v>
      </c>
      <c r="I54" s="336" t="str">
        <f t="shared" si="2"/>
        <v>Pesado de Passageiros M3: III : Gasóleo : E1</v>
      </c>
      <c r="J54" s="125">
        <v>51</v>
      </c>
      <c r="K54" s="125">
        <v>2022</v>
      </c>
      <c r="L54" s="85">
        <v>12549.099999999999</v>
      </c>
      <c r="M54" s="85" t="s">
        <v>630</v>
      </c>
      <c r="N54" s="128">
        <v>33665</v>
      </c>
      <c r="O54" s="128">
        <f t="shared" si="3"/>
        <v>1716915</v>
      </c>
      <c r="P54" s="125" t="s">
        <v>682</v>
      </c>
      <c r="Q54" s="85" t="s">
        <v>47</v>
      </c>
      <c r="R54" s="220" t="s">
        <v>1888</v>
      </c>
      <c r="S54" s="220" t="s">
        <v>1861</v>
      </c>
      <c r="T54" s="85" t="s">
        <v>1491</v>
      </c>
      <c r="U54" t="s">
        <v>1972</v>
      </c>
      <c r="V54" t="s">
        <v>2832</v>
      </c>
    </row>
    <row r="55" spans="1:22" ht="15.75" thickBot="1" x14ac:dyDescent="0.3">
      <c r="A55" s="82" t="s">
        <v>3509</v>
      </c>
      <c r="B55" s="82" t="str">
        <f t="shared" si="0"/>
        <v>Barraqueiro Transportes, S.A.</v>
      </c>
      <c r="C55" s="82" t="str">
        <f t="shared" si="1"/>
        <v>Barraqueiro Oeste</v>
      </c>
      <c r="D55" s="83" t="s">
        <v>629</v>
      </c>
      <c r="E55" s="91" t="s">
        <v>1853</v>
      </c>
      <c r="F55" s="124" t="s">
        <v>620</v>
      </c>
      <c r="G55" s="333">
        <v>2003</v>
      </c>
      <c r="H55" s="341" t="s">
        <v>732</v>
      </c>
      <c r="I55" s="336" t="str">
        <f t="shared" si="2"/>
        <v>Pesado de Passageiros M3: III : Gasóleo : E3</v>
      </c>
      <c r="J55" s="125">
        <v>63</v>
      </c>
      <c r="K55" s="125">
        <v>2022</v>
      </c>
      <c r="L55" s="85">
        <v>14179.469999999998</v>
      </c>
      <c r="M55" s="85" t="s">
        <v>630</v>
      </c>
      <c r="N55" s="128">
        <v>35031</v>
      </c>
      <c r="O55" s="128">
        <f t="shared" si="3"/>
        <v>2206953</v>
      </c>
      <c r="P55" s="125" t="s">
        <v>683</v>
      </c>
      <c r="Q55" s="85" t="s">
        <v>47</v>
      </c>
      <c r="R55" s="220" t="s">
        <v>1888</v>
      </c>
      <c r="S55" s="220" t="s">
        <v>1861</v>
      </c>
      <c r="T55" s="85" t="s">
        <v>1491</v>
      </c>
      <c r="U55" t="s">
        <v>1972</v>
      </c>
      <c r="V55" t="s">
        <v>2832</v>
      </c>
    </row>
    <row r="56" spans="1:22" ht="15.75" thickBot="1" x14ac:dyDescent="0.3">
      <c r="A56" s="82" t="s">
        <v>3509</v>
      </c>
      <c r="B56" s="82" t="str">
        <f t="shared" si="0"/>
        <v>Barraqueiro Transportes, S.A.</v>
      </c>
      <c r="C56" s="82" t="str">
        <f t="shared" si="1"/>
        <v>Barraqueiro Oeste</v>
      </c>
      <c r="D56" s="83" t="s">
        <v>629</v>
      </c>
      <c r="E56" s="91" t="s">
        <v>1853</v>
      </c>
      <c r="F56" s="124" t="s">
        <v>620</v>
      </c>
      <c r="G56" s="333">
        <v>2003</v>
      </c>
      <c r="H56" s="341" t="s">
        <v>732</v>
      </c>
      <c r="I56" s="336" t="str">
        <f t="shared" si="2"/>
        <v>Pesado de Passageiros M3: III : Gasóleo : E3</v>
      </c>
      <c r="J56" s="125">
        <v>63</v>
      </c>
      <c r="K56" s="125">
        <v>2022</v>
      </c>
      <c r="L56" s="85">
        <v>13415.009999999998</v>
      </c>
      <c r="M56" s="85" t="s">
        <v>630</v>
      </c>
      <c r="N56" s="128">
        <v>35198</v>
      </c>
      <c r="O56" s="128">
        <f t="shared" si="3"/>
        <v>2217474</v>
      </c>
      <c r="P56" s="125" t="s">
        <v>684</v>
      </c>
      <c r="Q56" s="85" t="s">
        <v>47</v>
      </c>
      <c r="R56" s="220" t="s">
        <v>1888</v>
      </c>
      <c r="S56" s="220" t="s">
        <v>1861</v>
      </c>
      <c r="T56" s="85" t="s">
        <v>1491</v>
      </c>
      <c r="U56" t="s">
        <v>1972</v>
      </c>
      <c r="V56" t="s">
        <v>2832</v>
      </c>
    </row>
    <row r="57" spans="1:22" ht="15.75" thickBot="1" x14ac:dyDescent="0.3">
      <c r="A57" s="82" t="s">
        <v>3509</v>
      </c>
      <c r="B57" s="82" t="str">
        <f t="shared" si="0"/>
        <v>Barraqueiro Transportes, S.A.</v>
      </c>
      <c r="C57" s="82" t="str">
        <f t="shared" si="1"/>
        <v>Barraqueiro Oeste</v>
      </c>
      <c r="D57" s="83" t="s">
        <v>629</v>
      </c>
      <c r="E57" s="91" t="s">
        <v>1853</v>
      </c>
      <c r="F57" s="124" t="s">
        <v>620</v>
      </c>
      <c r="G57" s="333">
        <v>2003</v>
      </c>
      <c r="H57" s="341" t="s">
        <v>732</v>
      </c>
      <c r="I57" s="336" t="str">
        <f t="shared" si="2"/>
        <v>Pesado de Passageiros M3: III : Gasóleo : E3</v>
      </c>
      <c r="J57" s="125">
        <v>63</v>
      </c>
      <c r="K57" s="125">
        <v>2022</v>
      </c>
      <c r="L57" s="85">
        <v>20117.580000000002</v>
      </c>
      <c r="M57" s="85" t="s">
        <v>630</v>
      </c>
      <c r="N57" s="128">
        <v>50006</v>
      </c>
      <c r="O57" s="128">
        <f t="shared" si="3"/>
        <v>3150378</v>
      </c>
      <c r="P57" s="125" t="s">
        <v>685</v>
      </c>
      <c r="Q57" s="85" t="s">
        <v>47</v>
      </c>
      <c r="R57" s="220" t="s">
        <v>1888</v>
      </c>
      <c r="S57" s="220" t="s">
        <v>1861</v>
      </c>
      <c r="T57" s="85" t="s">
        <v>1491</v>
      </c>
      <c r="U57" t="s">
        <v>1972</v>
      </c>
      <c r="V57" t="s">
        <v>2832</v>
      </c>
    </row>
    <row r="58" spans="1:22" ht="15.75" thickBot="1" x14ac:dyDescent="0.3">
      <c r="A58" s="82" t="s">
        <v>3509</v>
      </c>
      <c r="B58" s="82" t="str">
        <f t="shared" si="0"/>
        <v>Barraqueiro Transportes, S.A.</v>
      </c>
      <c r="C58" s="82" t="str">
        <f t="shared" si="1"/>
        <v>Barraqueiro Oeste</v>
      </c>
      <c r="D58" s="83" t="s">
        <v>629</v>
      </c>
      <c r="E58" s="91" t="s">
        <v>1853</v>
      </c>
      <c r="F58" s="124" t="s">
        <v>620</v>
      </c>
      <c r="G58" s="333">
        <v>2010</v>
      </c>
      <c r="H58" s="341" t="s">
        <v>734</v>
      </c>
      <c r="I58" s="336" t="str">
        <f t="shared" si="2"/>
        <v>Pesado de Passageiros M3: III : Gasóleo : E5</v>
      </c>
      <c r="J58" s="125">
        <v>70</v>
      </c>
      <c r="K58" s="125">
        <v>2022</v>
      </c>
      <c r="L58" s="85">
        <v>23099.971000000001</v>
      </c>
      <c r="M58" s="85" t="s">
        <v>630</v>
      </c>
      <c r="N58" s="128">
        <v>58544</v>
      </c>
      <c r="O58" s="128">
        <f t="shared" si="3"/>
        <v>4098080</v>
      </c>
      <c r="P58" s="125" t="s">
        <v>686</v>
      </c>
      <c r="Q58" s="85" t="s">
        <v>47</v>
      </c>
      <c r="R58" s="220" t="s">
        <v>1888</v>
      </c>
      <c r="S58" s="220" t="s">
        <v>1861</v>
      </c>
      <c r="T58" s="85" t="s">
        <v>1491</v>
      </c>
      <c r="U58" t="s">
        <v>1972</v>
      </c>
      <c r="V58" t="s">
        <v>2832</v>
      </c>
    </row>
    <row r="59" spans="1:22" ht="15.75" thickBot="1" x14ac:dyDescent="0.3">
      <c r="A59" s="82" t="s">
        <v>3509</v>
      </c>
      <c r="B59" s="82" t="str">
        <f t="shared" si="0"/>
        <v>Barraqueiro Transportes, S.A.</v>
      </c>
      <c r="C59" s="82" t="str">
        <f t="shared" si="1"/>
        <v>Barraqueiro Oeste</v>
      </c>
      <c r="D59" s="83" t="s">
        <v>629</v>
      </c>
      <c r="E59" s="91" t="s">
        <v>1853</v>
      </c>
      <c r="F59" s="124" t="s">
        <v>620</v>
      </c>
      <c r="G59" s="333">
        <v>2009</v>
      </c>
      <c r="H59" s="341" t="s">
        <v>734</v>
      </c>
      <c r="I59" s="336" t="str">
        <f t="shared" si="2"/>
        <v>Pesado de Passageiros M3: III : Gasóleo : E5</v>
      </c>
      <c r="J59" s="125">
        <v>83</v>
      </c>
      <c r="K59" s="125">
        <v>2022</v>
      </c>
      <c r="L59" s="85">
        <v>41325.509999999995</v>
      </c>
      <c r="M59" s="85" t="s">
        <v>630</v>
      </c>
      <c r="N59" s="128">
        <v>104817</v>
      </c>
      <c r="O59" s="128">
        <f t="shared" si="3"/>
        <v>8699811</v>
      </c>
      <c r="P59" s="125" t="s">
        <v>687</v>
      </c>
      <c r="Q59" s="85" t="s">
        <v>47</v>
      </c>
      <c r="R59" s="220" t="s">
        <v>1888</v>
      </c>
      <c r="S59" s="220" t="s">
        <v>1861</v>
      </c>
      <c r="T59" s="85" t="s">
        <v>1491</v>
      </c>
      <c r="U59" t="s">
        <v>1972</v>
      </c>
      <c r="V59" t="s">
        <v>2832</v>
      </c>
    </row>
    <row r="60" spans="1:22" ht="15.75" thickBot="1" x14ac:dyDescent="0.3">
      <c r="A60" s="82" t="s">
        <v>3509</v>
      </c>
      <c r="B60" s="82" t="str">
        <f t="shared" si="0"/>
        <v>Barraqueiro Transportes, S.A.</v>
      </c>
      <c r="C60" s="82" t="str">
        <f t="shared" si="1"/>
        <v>Barraqueiro Oeste</v>
      </c>
      <c r="D60" s="83" t="s">
        <v>629</v>
      </c>
      <c r="E60" s="91" t="s">
        <v>1853</v>
      </c>
      <c r="F60" s="124" t="s">
        <v>620</v>
      </c>
      <c r="G60" s="333">
        <v>2008</v>
      </c>
      <c r="H60" s="341" t="s">
        <v>731</v>
      </c>
      <c r="I60" s="336" t="str">
        <f t="shared" si="2"/>
        <v>Pesado de Passageiros M3: III : Gasóleo : E4</v>
      </c>
      <c r="J60" s="125">
        <v>59</v>
      </c>
      <c r="K60" s="125">
        <v>2022</v>
      </c>
      <c r="L60" s="85">
        <v>30694.179999999997</v>
      </c>
      <c r="M60" s="85" t="s">
        <v>630</v>
      </c>
      <c r="N60" s="128">
        <v>82517</v>
      </c>
      <c r="O60" s="128">
        <f t="shared" si="3"/>
        <v>4868503</v>
      </c>
      <c r="P60" s="125" t="s">
        <v>688</v>
      </c>
      <c r="Q60" s="85" t="s">
        <v>47</v>
      </c>
      <c r="R60" s="220" t="s">
        <v>1888</v>
      </c>
      <c r="S60" s="220" t="s">
        <v>1861</v>
      </c>
      <c r="T60" s="85" t="s">
        <v>1491</v>
      </c>
      <c r="U60" t="s">
        <v>1972</v>
      </c>
      <c r="V60" t="s">
        <v>2832</v>
      </c>
    </row>
    <row r="61" spans="1:22" ht="15.75" thickBot="1" x14ac:dyDescent="0.3">
      <c r="A61" s="82" t="s">
        <v>3509</v>
      </c>
      <c r="B61" s="82" t="str">
        <f t="shared" si="0"/>
        <v>Barraqueiro Transportes, S.A.</v>
      </c>
      <c r="C61" s="82" t="str">
        <f t="shared" si="1"/>
        <v>Barraqueiro Oeste</v>
      </c>
      <c r="D61" s="83" t="s">
        <v>629</v>
      </c>
      <c r="E61" s="91" t="s">
        <v>1853</v>
      </c>
      <c r="F61" s="124" t="s">
        <v>620</v>
      </c>
      <c r="G61" s="333">
        <v>2000</v>
      </c>
      <c r="H61" s="341" t="s">
        <v>735</v>
      </c>
      <c r="I61" s="336" t="str">
        <f t="shared" si="2"/>
        <v>Pesado de Passageiros M3: III : Gasóleo : E2</v>
      </c>
      <c r="J61" s="125">
        <v>53</v>
      </c>
      <c r="K61" s="125">
        <v>2022</v>
      </c>
      <c r="L61" s="85">
        <v>12375.380000000001</v>
      </c>
      <c r="M61" s="85" t="s">
        <v>630</v>
      </c>
      <c r="N61" s="128">
        <v>36193</v>
      </c>
      <c r="O61" s="128">
        <f t="shared" si="3"/>
        <v>1918229</v>
      </c>
      <c r="P61" s="125" t="s">
        <v>689</v>
      </c>
      <c r="Q61" s="85" t="s">
        <v>47</v>
      </c>
      <c r="R61" s="220" t="s">
        <v>1888</v>
      </c>
      <c r="S61" s="220" t="s">
        <v>1861</v>
      </c>
      <c r="T61" s="85" t="s">
        <v>1491</v>
      </c>
      <c r="U61" t="s">
        <v>1972</v>
      </c>
      <c r="V61" t="s">
        <v>2832</v>
      </c>
    </row>
    <row r="62" spans="1:22" ht="15.75" thickBot="1" x14ac:dyDescent="0.3">
      <c r="A62" s="82" t="s">
        <v>3509</v>
      </c>
      <c r="B62" s="82" t="str">
        <f t="shared" si="0"/>
        <v>Barraqueiro Transportes, S.A.</v>
      </c>
      <c r="C62" s="82" t="str">
        <f t="shared" si="1"/>
        <v>Barraqueiro Oeste</v>
      </c>
      <c r="D62" s="83" t="s">
        <v>629</v>
      </c>
      <c r="E62" s="91" t="s">
        <v>1853</v>
      </c>
      <c r="F62" s="124" t="s">
        <v>620</v>
      </c>
      <c r="G62" s="333">
        <v>1997</v>
      </c>
      <c r="H62" s="341" t="s">
        <v>736</v>
      </c>
      <c r="I62" s="336" t="str">
        <f t="shared" si="2"/>
        <v>Pesado de Passageiros M3: III : Gasóleo : E1</v>
      </c>
      <c r="J62" s="125">
        <v>83</v>
      </c>
      <c r="K62" s="125">
        <v>2022</v>
      </c>
      <c r="L62" s="85">
        <v>9186.77</v>
      </c>
      <c r="M62" s="85" t="s">
        <v>630</v>
      </c>
      <c r="N62" s="128">
        <v>24182</v>
      </c>
      <c r="O62" s="128">
        <f t="shared" si="3"/>
        <v>2007106</v>
      </c>
      <c r="P62" s="125" t="s">
        <v>690</v>
      </c>
      <c r="Q62" s="85" t="s">
        <v>47</v>
      </c>
      <c r="R62" s="220" t="s">
        <v>1888</v>
      </c>
      <c r="S62" s="220" t="s">
        <v>1861</v>
      </c>
      <c r="T62" s="85" t="s">
        <v>1491</v>
      </c>
      <c r="U62" t="s">
        <v>1972</v>
      </c>
      <c r="V62" t="s">
        <v>2832</v>
      </c>
    </row>
    <row r="63" spans="1:22" ht="15.75" thickBot="1" x14ac:dyDescent="0.3">
      <c r="A63" s="82" t="s">
        <v>3509</v>
      </c>
      <c r="B63" s="82" t="str">
        <f t="shared" si="0"/>
        <v>Barraqueiro Transportes, S.A.</v>
      </c>
      <c r="C63" s="82" t="str">
        <f t="shared" si="1"/>
        <v>Barraqueiro Oeste</v>
      </c>
      <c r="D63" s="83" t="s">
        <v>629</v>
      </c>
      <c r="E63" s="91" t="s">
        <v>1853</v>
      </c>
      <c r="F63" s="124" t="s">
        <v>620</v>
      </c>
      <c r="G63" s="333">
        <v>1998</v>
      </c>
      <c r="H63" s="341" t="s">
        <v>736</v>
      </c>
      <c r="I63" s="336" t="str">
        <f t="shared" si="2"/>
        <v>Pesado de Passageiros M3: III : Gasóleo : E1</v>
      </c>
      <c r="J63" s="125">
        <v>66</v>
      </c>
      <c r="K63" s="125">
        <v>2022</v>
      </c>
      <c r="L63" s="85">
        <v>4298.08</v>
      </c>
      <c r="M63" s="85" t="s">
        <v>630</v>
      </c>
      <c r="N63" s="128">
        <v>12250</v>
      </c>
      <c r="O63" s="128">
        <f t="shared" si="3"/>
        <v>808500</v>
      </c>
      <c r="P63" s="125" t="s">
        <v>691</v>
      </c>
      <c r="Q63" s="85" t="s">
        <v>47</v>
      </c>
      <c r="R63" s="220" t="s">
        <v>1888</v>
      </c>
      <c r="S63" s="220" t="s">
        <v>1861</v>
      </c>
      <c r="T63" s="85" t="s">
        <v>1491</v>
      </c>
      <c r="U63" t="s">
        <v>1972</v>
      </c>
      <c r="V63" t="s">
        <v>2832</v>
      </c>
    </row>
    <row r="64" spans="1:22" ht="15.75" thickBot="1" x14ac:dyDescent="0.3">
      <c r="A64" s="82" t="s">
        <v>3509</v>
      </c>
      <c r="B64" s="82" t="str">
        <f t="shared" si="0"/>
        <v>Barraqueiro Transportes, S.A.</v>
      </c>
      <c r="C64" s="82" t="str">
        <f t="shared" si="1"/>
        <v>Barraqueiro Oeste</v>
      </c>
      <c r="D64" s="83" t="s">
        <v>629</v>
      </c>
      <c r="E64" s="91" t="s">
        <v>1853</v>
      </c>
      <c r="F64" s="124" t="s">
        <v>620</v>
      </c>
      <c r="G64" s="333">
        <v>2003</v>
      </c>
      <c r="H64" s="341" t="s">
        <v>732</v>
      </c>
      <c r="I64" s="336" t="str">
        <f t="shared" si="2"/>
        <v>Pesado de Passageiros M3: III : Gasóleo : E3</v>
      </c>
      <c r="J64" s="125">
        <v>63</v>
      </c>
      <c r="K64" s="125">
        <v>2022</v>
      </c>
      <c r="L64" s="85">
        <v>19873.660000000003</v>
      </c>
      <c r="M64" s="85" t="s">
        <v>630</v>
      </c>
      <c r="N64" s="128">
        <v>50662</v>
      </c>
      <c r="O64" s="128">
        <f t="shared" si="3"/>
        <v>3191706</v>
      </c>
      <c r="P64" s="125" t="s">
        <v>692</v>
      </c>
      <c r="Q64" s="85" t="s">
        <v>47</v>
      </c>
      <c r="R64" s="220" t="s">
        <v>1888</v>
      </c>
      <c r="S64" s="220" t="s">
        <v>1861</v>
      </c>
      <c r="T64" s="85" t="s">
        <v>1491</v>
      </c>
      <c r="U64" t="s">
        <v>1972</v>
      </c>
      <c r="V64" t="s">
        <v>2832</v>
      </c>
    </row>
    <row r="65" spans="1:22" ht="15.75" thickBot="1" x14ac:dyDescent="0.3">
      <c r="A65" s="82" t="s">
        <v>3509</v>
      </c>
      <c r="B65" s="82" t="str">
        <f t="shared" si="0"/>
        <v>Barraqueiro Transportes, S.A.</v>
      </c>
      <c r="C65" s="82" t="str">
        <f t="shared" si="1"/>
        <v>Barraqueiro Oeste</v>
      </c>
      <c r="D65" s="83" t="s">
        <v>629</v>
      </c>
      <c r="E65" s="91" t="s">
        <v>1853</v>
      </c>
      <c r="F65" s="124" t="s">
        <v>620</v>
      </c>
      <c r="G65" s="333">
        <v>1999</v>
      </c>
      <c r="H65" s="341" t="s">
        <v>736</v>
      </c>
      <c r="I65" s="336" t="str">
        <f t="shared" si="2"/>
        <v>Pesado de Passageiros M3: III : Gasóleo : E1</v>
      </c>
      <c r="J65" s="125">
        <v>83</v>
      </c>
      <c r="K65" s="125">
        <v>2022</v>
      </c>
      <c r="L65" s="85">
        <v>11561.64</v>
      </c>
      <c r="M65" s="85" t="s">
        <v>630</v>
      </c>
      <c r="N65" s="128">
        <v>33758</v>
      </c>
      <c r="O65" s="128">
        <f t="shared" si="3"/>
        <v>2801914</v>
      </c>
      <c r="P65" s="125" t="s">
        <v>693</v>
      </c>
      <c r="Q65" s="85" t="s">
        <v>47</v>
      </c>
      <c r="R65" s="220" t="s">
        <v>1888</v>
      </c>
      <c r="S65" s="220" t="s">
        <v>1861</v>
      </c>
      <c r="T65" s="85" t="s">
        <v>1491</v>
      </c>
      <c r="U65" t="s">
        <v>1972</v>
      </c>
      <c r="V65" t="s">
        <v>2832</v>
      </c>
    </row>
    <row r="66" spans="1:22" ht="15.75" thickBot="1" x14ac:dyDescent="0.3">
      <c r="A66" s="82" t="s">
        <v>3509</v>
      </c>
      <c r="B66" s="82" t="str">
        <f t="shared" si="0"/>
        <v>Barraqueiro Transportes, S.A.</v>
      </c>
      <c r="C66" s="82" t="str">
        <f t="shared" si="1"/>
        <v>Barraqueiro Oeste</v>
      </c>
      <c r="D66" s="83" t="s">
        <v>629</v>
      </c>
      <c r="E66" s="91" t="s">
        <v>1853</v>
      </c>
      <c r="F66" s="124" t="s">
        <v>620</v>
      </c>
      <c r="G66" s="333">
        <v>2009</v>
      </c>
      <c r="H66" s="341" t="s">
        <v>734</v>
      </c>
      <c r="I66" s="336" t="str">
        <f t="shared" si="2"/>
        <v>Pesado de Passageiros M3: III : Gasóleo : E5</v>
      </c>
      <c r="J66" s="125">
        <v>98</v>
      </c>
      <c r="K66" s="125">
        <v>2022</v>
      </c>
      <c r="L66" s="85">
        <v>39825.485000000001</v>
      </c>
      <c r="M66" s="85" t="s">
        <v>630</v>
      </c>
      <c r="N66" s="128">
        <v>100862</v>
      </c>
      <c r="O66" s="128">
        <f t="shared" si="3"/>
        <v>9884476</v>
      </c>
      <c r="P66" s="125" t="s">
        <v>694</v>
      </c>
      <c r="Q66" s="85" t="s">
        <v>47</v>
      </c>
      <c r="R66" s="220" t="s">
        <v>1888</v>
      </c>
      <c r="S66" s="220" t="s">
        <v>1861</v>
      </c>
      <c r="T66" s="85" t="s">
        <v>1491</v>
      </c>
      <c r="U66" t="s">
        <v>1972</v>
      </c>
      <c r="V66" t="s">
        <v>2832</v>
      </c>
    </row>
    <row r="67" spans="1:22" ht="15.75" thickBot="1" x14ac:dyDescent="0.3">
      <c r="A67" s="82" t="s">
        <v>3509</v>
      </c>
      <c r="B67" s="82" t="str">
        <f t="shared" ref="B67:B130" si="4">LEFT(A67,IFERROR(FIND(" - ",A67)-1,LEN(A67)))</f>
        <v>Barraqueiro Transportes, S.A.</v>
      </c>
      <c r="C67" s="82" t="str">
        <f t="shared" si="1"/>
        <v>Barraqueiro Oeste</v>
      </c>
      <c r="D67" s="83" t="s">
        <v>629</v>
      </c>
      <c r="E67" s="91" t="s">
        <v>1853</v>
      </c>
      <c r="F67" s="124" t="s">
        <v>620</v>
      </c>
      <c r="G67" s="333">
        <v>2008</v>
      </c>
      <c r="H67" s="341" t="s">
        <v>731</v>
      </c>
      <c r="I67" s="336" t="str">
        <f t="shared" si="2"/>
        <v>Pesado de Passageiros M3: III : Gasóleo : E4</v>
      </c>
      <c r="J67" s="125">
        <v>82</v>
      </c>
      <c r="K67" s="125">
        <v>2022</v>
      </c>
      <c r="L67" s="85">
        <v>12057.630000000001</v>
      </c>
      <c r="M67" s="85" t="s">
        <v>630</v>
      </c>
      <c r="N67" s="128">
        <v>36208</v>
      </c>
      <c r="O67" s="128">
        <f t="shared" si="3"/>
        <v>2969056</v>
      </c>
      <c r="P67" s="125" t="s">
        <v>695</v>
      </c>
      <c r="Q67" s="85" t="s">
        <v>47</v>
      </c>
      <c r="R67" s="220" t="s">
        <v>1888</v>
      </c>
      <c r="S67" s="220" t="s">
        <v>1861</v>
      </c>
      <c r="T67" s="85" t="s">
        <v>1491</v>
      </c>
      <c r="U67" t="s">
        <v>1972</v>
      </c>
      <c r="V67" t="s">
        <v>2832</v>
      </c>
    </row>
    <row r="68" spans="1:22" ht="15.75" thickBot="1" x14ac:dyDescent="0.3">
      <c r="A68" s="82" t="s">
        <v>3509</v>
      </c>
      <c r="B68" s="82" t="str">
        <f t="shared" si="4"/>
        <v>Barraqueiro Transportes, S.A.</v>
      </c>
      <c r="C68" s="82" t="str">
        <f t="shared" ref="C68:C131" si="5">IF(A68=B68,B68,RIGHT(A68,LEN(A68)-LEN(B68)-3))</f>
        <v>Barraqueiro Oeste</v>
      </c>
      <c r="D68" s="83" t="s">
        <v>629</v>
      </c>
      <c r="E68" s="91" t="s">
        <v>1853</v>
      </c>
      <c r="F68" s="124" t="s">
        <v>620</v>
      </c>
      <c r="G68" s="333">
        <v>2008</v>
      </c>
      <c r="H68" s="341" t="s">
        <v>731</v>
      </c>
      <c r="I68" s="336" t="str">
        <f t="shared" ref="I68:I131" si="6">D68&amp;": "&amp;E68&amp;" : "&amp;F68&amp;" : "&amp;H68</f>
        <v>Pesado de Passageiros M3: III : Gasóleo : E4</v>
      </c>
      <c r="J68" s="125">
        <v>95</v>
      </c>
      <c r="K68" s="125">
        <v>2022</v>
      </c>
      <c r="L68" s="85">
        <v>45243.237999999998</v>
      </c>
      <c r="M68" s="85" t="s">
        <v>630</v>
      </c>
      <c r="N68" s="128">
        <v>110221</v>
      </c>
      <c r="O68" s="128">
        <f t="shared" ref="O68:O131" si="7">N68*J68</f>
        <v>10470995</v>
      </c>
      <c r="P68" s="125" t="s">
        <v>696</v>
      </c>
      <c r="Q68" s="85" t="s">
        <v>47</v>
      </c>
      <c r="R68" s="220" t="s">
        <v>1888</v>
      </c>
      <c r="S68" s="220" t="s">
        <v>1861</v>
      </c>
      <c r="T68" s="85" t="s">
        <v>1491</v>
      </c>
      <c r="U68" t="s">
        <v>1972</v>
      </c>
      <c r="V68" t="s">
        <v>2832</v>
      </c>
    </row>
    <row r="69" spans="1:22" ht="15.75" thickBot="1" x14ac:dyDescent="0.3">
      <c r="A69" s="82" t="s">
        <v>3509</v>
      </c>
      <c r="B69" s="82" t="str">
        <f t="shared" si="4"/>
        <v>Barraqueiro Transportes, S.A.</v>
      </c>
      <c r="C69" s="82" t="str">
        <f t="shared" si="5"/>
        <v>Barraqueiro Oeste</v>
      </c>
      <c r="D69" s="83" t="s">
        <v>629</v>
      </c>
      <c r="E69" s="91" t="s">
        <v>1853</v>
      </c>
      <c r="F69" s="124" t="s">
        <v>620</v>
      </c>
      <c r="G69" s="333">
        <v>2002</v>
      </c>
      <c r="H69" s="341" t="s">
        <v>732</v>
      </c>
      <c r="I69" s="336" t="str">
        <f t="shared" si="6"/>
        <v>Pesado de Passageiros M3: III : Gasóleo : E3</v>
      </c>
      <c r="J69" s="125">
        <v>97</v>
      </c>
      <c r="K69" s="125">
        <v>2022</v>
      </c>
      <c r="L69" s="85">
        <v>8912.1600000000017</v>
      </c>
      <c r="M69" s="85" t="s">
        <v>630</v>
      </c>
      <c r="N69" s="128">
        <v>20961</v>
      </c>
      <c r="O69" s="128">
        <f t="shared" si="7"/>
        <v>2033217</v>
      </c>
      <c r="P69" s="125" t="s">
        <v>697</v>
      </c>
      <c r="Q69" s="85" t="s">
        <v>47</v>
      </c>
      <c r="R69" s="220" t="s">
        <v>1888</v>
      </c>
      <c r="S69" s="220" t="s">
        <v>1861</v>
      </c>
      <c r="T69" s="85" t="s">
        <v>1491</v>
      </c>
      <c r="U69" t="s">
        <v>1972</v>
      </c>
      <c r="V69" t="s">
        <v>2832</v>
      </c>
    </row>
    <row r="70" spans="1:22" ht="15.75" thickBot="1" x14ac:dyDescent="0.3">
      <c r="A70" s="82" t="s">
        <v>3509</v>
      </c>
      <c r="B70" s="82" t="str">
        <f t="shared" si="4"/>
        <v>Barraqueiro Transportes, S.A.</v>
      </c>
      <c r="C70" s="82" t="str">
        <f t="shared" si="5"/>
        <v>Barraqueiro Oeste</v>
      </c>
      <c r="D70" s="83" t="s">
        <v>629</v>
      </c>
      <c r="E70" s="91" t="s">
        <v>1853</v>
      </c>
      <c r="F70" s="124" t="s">
        <v>620</v>
      </c>
      <c r="G70" s="333">
        <v>2004</v>
      </c>
      <c r="H70" s="341" t="s">
        <v>732</v>
      </c>
      <c r="I70" s="336" t="str">
        <f t="shared" si="6"/>
        <v>Pesado de Passageiros M3: III : Gasóleo : E3</v>
      </c>
      <c r="J70" s="125">
        <v>76</v>
      </c>
      <c r="K70" s="125">
        <v>2022</v>
      </c>
      <c r="L70" s="85">
        <v>17252.909999999996</v>
      </c>
      <c r="M70" s="85" t="s">
        <v>630</v>
      </c>
      <c r="N70" s="128">
        <v>43976</v>
      </c>
      <c r="O70" s="128">
        <f t="shared" si="7"/>
        <v>3342176</v>
      </c>
      <c r="P70" s="125" t="s">
        <v>698</v>
      </c>
      <c r="Q70" s="85" t="s">
        <v>47</v>
      </c>
      <c r="R70" s="220" t="s">
        <v>1888</v>
      </c>
      <c r="S70" s="220" t="s">
        <v>1861</v>
      </c>
      <c r="T70" s="85" t="s">
        <v>1491</v>
      </c>
      <c r="U70" t="s">
        <v>1972</v>
      </c>
      <c r="V70" t="s">
        <v>2832</v>
      </c>
    </row>
    <row r="71" spans="1:22" ht="15.75" thickBot="1" x14ac:dyDescent="0.3">
      <c r="A71" s="82" t="s">
        <v>3509</v>
      </c>
      <c r="B71" s="82" t="str">
        <f t="shared" si="4"/>
        <v>Barraqueiro Transportes, S.A.</v>
      </c>
      <c r="C71" s="82" t="str">
        <f t="shared" si="5"/>
        <v>Barraqueiro Oeste</v>
      </c>
      <c r="D71" s="83" t="s">
        <v>629</v>
      </c>
      <c r="E71" s="91" t="s">
        <v>1853</v>
      </c>
      <c r="F71" s="124" t="s">
        <v>620</v>
      </c>
      <c r="G71" s="333">
        <v>2004</v>
      </c>
      <c r="H71" s="341" t="s">
        <v>732</v>
      </c>
      <c r="I71" s="336" t="str">
        <f t="shared" si="6"/>
        <v>Pesado de Passageiros M3: III : Gasóleo : E3</v>
      </c>
      <c r="J71" s="125">
        <v>76</v>
      </c>
      <c r="K71" s="125">
        <v>2022</v>
      </c>
      <c r="L71" s="85">
        <v>19092.59</v>
      </c>
      <c r="M71" s="85" t="s">
        <v>630</v>
      </c>
      <c r="N71" s="128">
        <v>50578</v>
      </c>
      <c r="O71" s="128">
        <f t="shared" si="7"/>
        <v>3843928</v>
      </c>
      <c r="P71" s="125" t="s">
        <v>699</v>
      </c>
      <c r="Q71" s="85" t="s">
        <v>47</v>
      </c>
      <c r="R71" s="220" t="s">
        <v>1888</v>
      </c>
      <c r="S71" s="220" t="s">
        <v>1861</v>
      </c>
      <c r="T71" s="85" t="s">
        <v>1491</v>
      </c>
      <c r="U71" t="s">
        <v>1972</v>
      </c>
      <c r="V71" t="s">
        <v>2832</v>
      </c>
    </row>
    <row r="72" spans="1:22" ht="15.75" thickBot="1" x14ac:dyDescent="0.3">
      <c r="A72" s="82" t="s">
        <v>3509</v>
      </c>
      <c r="B72" s="82" t="str">
        <f t="shared" si="4"/>
        <v>Barraqueiro Transportes, S.A.</v>
      </c>
      <c r="C72" s="82" t="str">
        <f t="shared" si="5"/>
        <v>Barraqueiro Oeste</v>
      </c>
      <c r="D72" s="83" t="s">
        <v>629</v>
      </c>
      <c r="E72" s="91" t="s">
        <v>1853</v>
      </c>
      <c r="F72" s="124" t="s">
        <v>620</v>
      </c>
      <c r="G72" s="333">
        <v>2005</v>
      </c>
      <c r="H72" s="341" t="s">
        <v>732</v>
      </c>
      <c r="I72" s="336" t="str">
        <f t="shared" si="6"/>
        <v>Pesado de Passageiros M3: III : Gasóleo : E3</v>
      </c>
      <c r="J72" s="125">
        <v>36</v>
      </c>
      <c r="K72" s="125">
        <v>2022</v>
      </c>
      <c r="L72" s="85">
        <v>14070.639999999998</v>
      </c>
      <c r="M72" s="85" t="s">
        <v>630</v>
      </c>
      <c r="N72" s="128">
        <v>45959</v>
      </c>
      <c r="O72" s="128">
        <f t="shared" si="7"/>
        <v>1654524</v>
      </c>
      <c r="P72" s="125" t="s">
        <v>700</v>
      </c>
      <c r="Q72" s="85" t="s">
        <v>47</v>
      </c>
      <c r="R72" s="220" t="s">
        <v>1888</v>
      </c>
      <c r="S72" s="220" t="s">
        <v>1861</v>
      </c>
      <c r="T72" s="85" t="s">
        <v>1491</v>
      </c>
      <c r="U72" t="s">
        <v>1972</v>
      </c>
      <c r="V72" t="s">
        <v>2832</v>
      </c>
    </row>
    <row r="73" spans="1:22" ht="15.75" thickBot="1" x14ac:dyDescent="0.3">
      <c r="A73" s="82" t="s">
        <v>3509</v>
      </c>
      <c r="B73" s="82" t="str">
        <f t="shared" si="4"/>
        <v>Barraqueiro Transportes, S.A.</v>
      </c>
      <c r="C73" s="82" t="str">
        <f t="shared" si="5"/>
        <v>Barraqueiro Oeste</v>
      </c>
      <c r="D73" s="83" t="s">
        <v>629</v>
      </c>
      <c r="E73" s="91" t="s">
        <v>1853</v>
      </c>
      <c r="F73" s="124" t="s">
        <v>620</v>
      </c>
      <c r="G73" s="333">
        <v>2005</v>
      </c>
      <c r="H73" s="341" t="s">
        <v>732</v>
      </c>
      <c r="I73" s="336" t="str">
        <f t="shared" si="6"/>
        <v>Pesado de Passageiros M3: III : Gasóleo : E3</v>
      </c>
      <c r="J73" s="125">
        <v>36</v>
      </c>
      <c r="K73" s="125">
        <v>2022</v>
      </c>
      <c r="L73" s="85">
        <v>13223.41</v>
      </c>
      <c r="M73" s="85" t="s">
        <v>630</v>
      </c>
      <c r="N73" s="128">
        <v>38621</v>
      </c>
      <c r="O73" s="128">
        <f t="shared" si="7"/>
        <v>1390356</v>
      </c>
      <c r="P73" s="125" t="s">
        <v>701</v>
      </c>
      <c r="Q73" s="85" t="s">
        <v>47</v>
      </c>
      <c r="R73" s="220" t="s">
        <v>1888</v>
      </c>
      <c r="S73" s="220" t="s">
        <v>1861</v>
      </c>
      <c r="T73" s="85" t="s">
        <v>1491</v>
      </c>
      <c r="U73" t="s">
        <v>1972</v>
      </c>
      <c r="V73" t="s">
        <v>2832</v>
      </c>
    </row>
    <row r="74" spans="1:22" ht="15.75" thickBot="1" x14ac:dyDescent="0.3">
      <c r="A74" s="82" t="s">
        <v>3509</v>
      </c>
      <c r="B74" s="82" t="str">
        <f t="shared" si="4"/>
        <v>Barraqueiro Transportes, S.A.</v>
      </c>
      <c r="C74" s="82" t="str">
        <f t="shared" si="5"/>
        <v>Barraqueiro Oeste</v>
      </c>
      <c r="D74" s="83" t="s">
        <v>629</v>
      </c>
      <c r="E74" s="91" t="s">
        <v>1853</v>
      </c>
      <c r="F74" s="124" t="s">
        <v>620</v>
      </c>
      <c r="G74" s="333">
        <v>2005</v>
      </c>
      <c r="H74" s="341" t="s">
        <v>732</v>
      </c>
      <c r="I74" s="336" t="str">
        <f t="shared" si="6"/>
        <v>Pesado de Passageiros M3: III : Gasóleo : E3</v>
      </c>
      <c r="J74" s="125">
        <v>36</v>
      </c>
      <c r="K74" s="125">
        <v>2022</v>
      </c>
      <c r="L74" s="85">
        <v>12660.159999999998</v>
      </c>
      <c r="M74" s="85" t="s">
        <v>630</v>
      </c>
      <c r="N74" s="128">
        <v>38186</v>
      </c>
      <c r="O74" s="128">
        <f t="shared" si="7"/>
        <v>1374696</v>
      </c>
      <c r="P74" s="125" t="s">
        <v>702</v>
      </c>
      <c r="Q74" s="85" t="s">
        <v>47</v>
      </c>
      <c r="R74" s="220" t="s">
        <v>1888</v>
      </c>
      <c r="S74" s="220" t="s">
        <v>1861</v>
      </c>
      <c r="T74" s="85" t="s">
        <v>1491</v>
      </c>
      <c r="U74" t="s">
        <v>1972</v>
      </c>
      <c r="V74" t="s">
        <v>2832</v>
      </c>
    </row>
    <row r="75" spans="1:22" ht="15.75" thickBot="1" x14ac:dyDescent="0.3">
      <c r="A75" s="82" t="s">
        <v>3509</v>
      </c>
      <c r="B75" s="82" t="str">
        <f t="shared" si="4"/>
        <v>Barraqueiro Transportes, S.A.</v>
      </c>
      <c r="C75" s="82" t="str">
        <f t="shared" si="5"/>
        <v>Barraqueiro Oeste</v>
      </c>
      <c r="D75" s="83" t="s">
        <v>629</v>
      </c>
      <c r="E75" s="91" t="s">
        <v>1853</v>
      </c>
      <c r="F75" s="124" t="s">
        <v>620</v>
      </c>
      <c r="G75" s="333">
        <v>2001</v>
      </c>
      <c r="H75" s="341" t="s">
        <v>732</v>
      </c>
      <c r="I75" s="336" t="str">
        <f t="shared" si="6"/>
        <v>Pesado de Passageiros M3: III : Gasóleo : E3</v>
      </c>
      <c r="J75" s="125">
        <v>55</v>
      </c>
      <c r="K75" s="125">
        <v>2022</v>
      </c>
      <c r="L75" s="85">
        <v>6800.5700000000006</v>
      </c>
      <c r="M75" s="85" t="s">
        <v>630</v>
      </c>
      <c r="N75" s="128">
        <v>16564</v>
      </c>
      <c r="O75" s="128">
        <f t="shared" si="7"/>
        <v>911020</v>
      </c>
      <c r="P75" s="125" t="s">
        <v>703</v>
      </c>
      <c r="Q75" s="85" t="s">
        <v>47</v>
      </c>
      <c r="R75" s="220" t="s">
        <v>1888</v>
      </c>
      <c r="S75" s="220" t="s">
        <v>1861</v>
      </c>
      <c r="T75" s="85" t="s">
        <v>1491</v>
      </c>
      <c r="U75" t="s">
        <v>1972</v>
      </c>
      <c r="V75" t="s">
        <v>2832</v>
      </c>
    </row>
    <row r="76" spans="1:22" ht="15.75" thickBot="1" x14ac:dyDescent="0.3">
      <c r="A76" s="82" t="s">
        <v>3509</v>
      </c>
      <c r="B76" s="82" t="str">
        <f t="shared" si="4"/>
        <v>Barraqueiro Transportes, S.A.</v>
      </c>
      <c r="C76" s="82" t="str">
        <f t="shared" si="5"/>
        <v>Barraqueiro Oeste</v>
      </c>
      <c r="D76" s="83" t="s">
        <v>629</v>
      </c>
      <c r="E76" s="91" t="s">
        <v>1853</v>
      </c>
      <c r="F76" s="124" t="s">
        <v>620</v>
      </c>
      <c r="G76" s="333">
        <v>2001</v>
      </c>
      <c r="H76" s="341" t="s">
        <v>732</v>
      </c>
      <c r="I76" s="336" t="str">
        <f t="shared" si="6"/>
        <v>Pesado de Passageiros M3: III : Gasóleo : E3</v>
      </c>
      <c r="J76" s="125">
        <v>49</v>
      </c>
      <c r="K76" s="125">
        <v>2022</v>
      </c>
      <c r="L76" s="85">
        <v>0</v>
      </c>
      <c r="M76" s="85" t="s">
        <v>630</v>
      </c>
      <c r="N76" s="128">
        <v>0</v>
      </c>
      <c r="O76" s="128">
        <f t="shared" si="7"/>
        <v>0</v>
      </c>
      <c r="P76" s="125" t="s">
        <v>704</v>
      </c>
      <c r="Q76" s="85" t="s">
        <v>47</v>
      </c>
      <c r="R76" s="220" t="s">
        <v>1888</v>
      </c>
      <c r="S76" s="220" t="s">
        <v>1861</v>
      </c>
      <c r="T76" s="85" t="s">
        <v>1491</v>
      </c>
      <c r="U76" t="s">
        <v>1972</v>
      </c>
      <c r="V76" t="s">
        <v>2832</v>
      </c>
    </row>
    <row r="77" spans="1:22" ht="15.75" thickBot="1" x14ac:dyDescent="0.3">
      <c r="A77" s="82" t="s">
        <v>3509</v>
      </c>
      <c r="B77" s="82" t="str">
        <f t="shared" si="4"/>
        <v>Barraqueiro Transportes, S.A.</v>
      </c>
      <c r="C77" s="82" t="str">
        <f t="shared" si="5"/>
        <v>Barraqueiro Oeste</v>
      </c>
      <c r="D77" s="83" t="s">
        <v>629</v>
      </c>
      <c r="E77" s="91" t="s">
        <v>1853</v>
      </c>
      <c r="F77" s="124" t="s">
        <v>620</v>
      </c>
      <c r="G77" s="333">
        <v>2004</v>
      </c>
      <c r="H77" s="341" t="s">
        <v>732</v>
      </c>
      <c r="I77" s="336" t="str">
        <f t="shared" si="6"/>
        <v>Pesado de Passageiros M3: III : Gasóleo : E3</v>
      </c>
      <c r="J77" s="125">
        <v>49</v>
      </c>
      <c r="K77" s="125">
        <v>2022</v>
      </c>
      <c r="L77" s="85">
        <v>28835.781999999999</v>
      </c>
      <c r="M77" s="85" t="s">
        <v>630</v>
      </c>
      <c r="N77" s="128">
        <v>79217</v>
      </c>
      <c r="O77" s="128">
        <f t="shared" si="7"/>
        <v>3881633</v>
      </c>
      <c r="P77" s="125" t="s">
        <v>705</v>
      </c>
      <c r="Q77" s="85" t="s">
        <v>47</v>
      </c>
      <c r="R77" s="220" t="s">
        <v>1888</v>
      </c>
      <c r="S77" s="220" t="s">
        <v>1861</v>
      </c>
      <c r="T77" s="85" t="s">
        <v>1491</v>
      </c>
      <c r="U77" t="s">
        <v>1972</v>
      </c>
      <c r="V77" t="s">
        <v>2832</v>
      </c>
    </row>
    <row r="78" spans="1:22" ht="15.75" thickBot="1" x14ac:dyDescent="0.3">
      <c r="A78" s="82" t="s">
        <v>3509</v>
      </c>
      <c r="B78" s="82" t="str">
        <f t="shared" si="4"/>
        <v>Barraqueiro Transportes, S.A.</v>
      </c>
      <c r="C78" s="82" t="str">
        <f t="shared" si="5"/>
        <v>Barraqueiro Oeste</v>
      </c>
      <c r="D78" s="83" t="s">
        <v>629</v>
      </c>
      <c r="E78" s="91" t="s">
        <v>1853</v>
      </c>
      <c r="F78" s="124" t="s">
        <v>620</v>
      </c>
      <c r="G78" s="333">
        <v>2004</v>
      </c>
      <c r="H78" s="341" t="s">
        <v>732</v>
      </c>
      <c r="I78" s="336" t="str">
        <f t="shared" si="6"/>
        <v>Pesado de Passageiros M3: III : Gasóleo : E3</v>
      </c>
      <c r="J78" s="125">
        <v>49</v>
      </c>
      <c r="K78" s="125">
        <v>2022</v>
      </c>
      <c r="L78" s="85">
        <v>23734.95</v>
      </c>
      <c r="M78" s="85" t="s">
        <v>630</v>
      </c>
      <c r="N78" s="128">
        <v>62619</v>
      </c>
      <c r="O78" s="128">
        <f t="shared" si="7"/>
        <v>3068331</v>
      </c>
      <c r="P78" s="125" t="s">
        <v>706</v>
      </c>
      <c r="Q78" s="85" t="s">
        <v>47</v>
      </c>
      <c r="R78" s="220" t="s">
        <v>1888</v>
      </c>
      <c r="S78" s="220" t="s">
        <v>1861</v>
      </c>
      <c r="T78" s="85" t="s">
        <v>1491</v>
      </c>
      <c r="U78" t="s">
        <v>1972</v>
      </c>
      <c r="V78" t="s">
        <v>2832</v>
      </c>
    </row>
    <row r="79" spans="1:22" ht="15.75" thickBot="1" x14ac:dyDescent="0.3">
      <c r="A79" s="82" t="s">
        <v>3509</v>
      </c>
      <c r="B79" s="82" t="str">
        <f t="shared" si="4"/>
        <v>Barraqueiro Transportes, S.A.</v>
      </c>
      <c r="C79" s="82" t="str">
        <f t="shared" si="5"/>
        <v>Barraqueiro Oeste</v>
      </c>
      <c r="D79" s="83" t="s">
        <v>629</v>
      </c>
      <c r="E79" s="91" t="s">
        <v>1853</v>
      </c>
      <c r="F79" s="124" t="s">
        <v>620</v>
      </c>
      <c r="G79" s="333">
        <v>2004</v>
      </c>
      <c r="H79" s="341" t="s">
        <v>732</v>
      </c>
      <c r="I79" s="336" t="str">
        <f t="shared" si="6"/>
        <v>Pesado de Passageiros M3: III : Gasóleo : E3</v>
      </c>
      <c r="J79" s="125">
        <v>55</v>
      </c>
      <c r="K79" s="125">
        <v>2022</v>
      </c>
      <c r="L79" s="85">
        <v>396.44000000000005</v>
      </c>
      <c r="M79" s="85" t="s">
        <v>630</v>
      </c>
      <c r="N79" s="128">
        <v>1015</v>
      </c>
      <c r="O79" s="128">
        <f t="shared" si="7"/>
        <v>55825</v>
      </c>
      <c r="P79" s="125" t="s">
        <v>707</v>
      </c>
      <c r="Q79" s="85" t="s">
        <v>47</v>
      </c>
      <c r="R79" s="220" t="s">
        <v>1888</v>
      </c>
      <c r="S79" s="220" t="s">
        <v>1861</v>
      </c>
      <c r="T79" s="85" t="s">
        <v>1491</v>
      </c>
      <c r="U79" t="s">
        <v>1972</v>
      </c>
      <c r="V79" t="s">
        <v>2832</v>
      </c>
    </row>
    <row r="80" spans="1:22" ht="15.75" thickBot="1" x14ac:dyDescent="0.3">
      <c r="A80" s="82" t="s">
        <v>3509</v>
      </c>
      <c r="B80" s="82" t="str">
        <f t="shared" si="4"/>
        <v>Barraqueiro Transportes, S.A.</v>
      </c>
      <c r="C80" s="82" t="str">
        <f t="shared" si="5"/>
        <v>Barraqueiro Oeste</v>
      </c>
      <c r="D80" s="83" t="s">
        <v>629</v>
      </c>
      <c r="E80" s="91" t="s">
        <v>1853</v>
      </c>
      <c r="F80" s="124" t="s">
        <v>620</v>
      </c>
      <c r="G80" s="333">
        <v>2004</v>
      </c>
      <c r="H80" s="341" t="s">
        <v>732</v>
      </c>
      <c r="I80" s="336" t="str">
        <f t="shared" si="6"/>
        <v>Pesado de Passageiros M3: III : Gasóleo : E3</v>
      </c>
      <c r="J80" s="125">
        <v>55</v>
      </c>
      <c r="K80" s="125">
        <v>2022</v>
      </c>
      <c r="L80" s="85">
        <v>18331.68</v>
      </c>
      <c r="M80" s="85" t="s">
        <v>630</v>
      </c>
      <c r="N80" s="128">
        <v>43101</v>
      </c>
      <c r="O80" s="128">
        <f t="shared" si="7"/>
        <v>2370555</v>
      </c>
      <c r="P80" s="125" t="s">
        <v>708</v>
      </c>
      <c r="Q80" s="85" t="s">
        <v>47</v>
      </c>
      <c r="R80" s="220" t="s">
        <v>1888</v>
      </c>
      <c r="S80" s="220" t="s">
        <v>1861</v>
      </c>
      <c r="T80" s="85" t="s">
        <v>1491</v>
      </c>
      <c r="U80" t="s">
        <v>1972</v>
      </c>
      <c r="V80" t="s">
        <v>2832</v>
      </c>
    </row>
    <row r="81" spans="1:22" ht="15.75" thickBot="1" x14ac:dyDescent="0.3">
      <c r="A81" s="82" t="s">
        <v>3509</v>
      </c>
      <c r="B81" s="82" t="str">
        <f t="shared" si="4"/>
        <v>Barraqueiro Transportes, S.A.</v>
      </c>
      <c r="C81" s="82" t="str">
        <f t="shared" si="5"/>
        <v>Barraqueiro Oeste</v>
      </c>
      <c r="D81" s="83" t="s">
        <v>629</v>
      </c>
      <c r="E81" s="91" t="s">
        <v>1853</v>
      </c>
      <c r="F81" s="124" t="s">
        <v>620</v>
      </c>
      <c r="G81" s="333">
        <v>2004</v>
      </c>
      <c r="H81" s="341" t="s">
        <v>732</v>
      </c>
      <c r="I81" s="336" t="str">
        <f t="shared" si="6"/>
        <v>Pesado de Passageiros M3: III : Gasóleo : E3</v>
      </c>
      <c r="J81" s="125">
        <v>55</v>
      </c>
      <c r="K81" s="125">
        <v>2022</v>
      </c>
      <c r="L81" s="85">
        <v>13682.288000000002</v>
      </c>
      <c r="M81" s="85" t="s">
        <v>630</v>
      </c>
      <c r="N81" s="128">
        <v>32065</v>
      </c>
      <c r="O81" s="128">
        <f t="shared" si="7"/>
        <v>1763575</v>
      </c>
      <c r="P81" s="125" t="s">
        <v>709</v>
      </c>
      <c r="Q81" s="85" t="s">
        <v>47</v>
      </c>
      <c r="R81" s="220" t="s">
        <v>1888</v>
      </c>
      <c r="S81" s="220" t="s">
        <v>1861</v>
      </c>
      <c r="T81" s="85" t="s">
        <v>1491</v>
      </c>
      <c r="U81" t="s">
        <v>1972</v>
      </c>
      <c r="V81" t="s">
        <v>2832</v>
      </c>
    </row>
    <row r="82" spans="1:22" ht="15.75" thickBot="1" x14ac:dyDescent="0.3">
      <c r="A82" s="82" t="s">
        <v>3509</v>
      </c>
      <c r="B82" s="82" t="str">
        <f t="shared" si="4"/>
        <v>Barraqueiro Transportes, S.A.</v>
      </c>
      <c r="C82" s="82" t="str">
        <f t="shared" si="5"/>
        <v>Barraqueiro Oeste</v>
      </c>
      <c r="D82" s="83" t="s">
        <v>629</v>
      </c>
      <c r="E82" s="91" t="s">
        <v>1853</v>
      </c>
      <c r="F82" s="124" t="s">
        <v>620</v>
      </c>
      <c r="G82" s="333">
        <v>2005</v>
      </c>
      <c r="H82" s="341" t="s">
        <v>732</v>
      </c>
      <c r="I82" s="336" t="str">
        <f t="shared" si="6"/>
        <v>Pesado de Passageiros M3: III : Gasóleo : E3</v>
      </c>
      <c r="J82" s="125">
        <v>66</v>
      </c>
      <c r="K82" s="125">
        <v>2022</v>
      </c>
      <c r="L82" s="85">
        <v>29475.360000000001</v>
      </c>
      <c r="M82" s="85" t="s">
        <v>630</v>
      </c>
      <c r="N82" s="128">
        <v>84990</v>
      </c>
      <c r="O82" s="128">
        <f t="shared" si="7"/>
        <v>5609340</v>
      </c>
      <c r="P82" s="125" t="s">
        <v>710</v>
      </c>
      <c r="Q82" s="85" t="s">
        <v>47</v>
      </c>
      <c r="R82" s="220" t="s">
        <v>1888</v>
      </c>
      <c r="S82" s="220" t="s">
        <v>1861</v>
      </c>
      <c r="T82" s="85" t="s">
        <v>1491</v>
      </c>
      <c r="U82" t="s">
        <v>1972</v>
      </c>
      <c r="V82" t="s">
        <v>2832</v>
      </c>
    </row>
    <row r="83" spans="1:22" ht="15.75" thickBot="1" x14ac:dyDescent="0.3">
      <c r="A83" s="82" t="s">
        <v>3509</v>
      </c>
      <c r="B83" s="82" t="str">
        <f t="shared" si="4"/>
        <v>Barraqueiro Transportes, S.A.</v>
      </c>
      <c r="C83" s="82" t="str">
        <f t="shared" si="5"/>
        <v>Barraqueiro Oeste</v>
      </c>
      <c r="D83" s="83" t="s">
        <v>629</v>
      </c>
      <c r="E83" s="91" t="s">
        <v>1853</v>
      </c>
      <c r="F83" s="124" t="s">
        <v>620</v>
      </c>
      <c r="G83" s="333">
        <v>2005</v>
      </c>
      <c r="H83" s="341" t="s">
        <v>732</v>
      </c>
      <c r="I83" s="336" t="str">
        <f t="shared" si="6"/>
        <v>Pesado de Passageiros M3: III : Gasóleo : E3</v>
      </c>
      <c r="J83" s="125">
        <v>66</v>
      </c>
      <c r="K83" s="125">
        <v>2022</v>
      </c>
      <c r="L83" s="85">
        <v>30447.382000000001</v>
      </c>
      <c r="M83" s="85" t="s">
        <v>630</v>
      </c>
      <c r="N83" s="128">
        <v>89443</v>
      </c>
      <c r="O83" s="128">
        <f t="shared" si="7"/>
        <v>5903238</v>
      </c>
      <c r="P83" s="125" t="s">
        <v>711</v>
      </c>
      <c r="Q83" s="85" t="s">
        <v>47</v>
      </c>
      <c r="R83" s="220" t="s">
        <v>1888</v>
      </c>
      <c r="S83" s="220" t="s">
        <v>1861</v>
      </c>
      <c r="T83" s="85" t="s">
        <v>1491</v>
      </c>
      <c r="U83" t="s">
        <v>1972</v>
      </c>
      <c r="V83" t="s">
        <v>2832</v>
      </c>
    </row>
    <row r="84" spans="1:22" ht="15.75" thickBot="1" x14ac:dyDescent="0.3">
      <c r="A84" s="82" t="s">
        <v>3509</v>
      </c>
      <c r="B84" s="82" t="str">
        <f t="shared" si="4"/>
        <v>Barraqueiro Transportes, S.A.</v>
      </c>
      <c r="C84" s="82" t="str">
        <f t="shared" si="5"/>
        <v>Barraqueiro Oeste</v>
      </c>
      <c r="D84" s="83" t="s">
        <v>629</v>
      </c>
      <c r="E84" s="91" t="s">
        <v>1853</v>
      </c>
      <c r="F84" s="124" t="s">
        <v>620</v>
      </c>
      <c r="G84" s="333">
        <v>2005</v>
      </c>
      <c r="H84" s="341" t="s">
        <v>732</v>
      </c>
      <c r="I84" s="336" t="str">
        <f t="shared" si="6"/>
        <v>Pesado de Passageiros M3: III : Gasóleo : E3</v>
      </c>
      <c r="J84" s="125">
        <v>37</v>
      </c>
      <c r="K84" s="125">
        <v>2022</v>
      </c>
      <c r="L84" s="85">
        <v>26339.739999999998</v>
      </c>
      <c r="M84" s="85" t="s">
        <v>630</v>
      </c>
      <c r="N84" s="128">
        <v>74032</v>
      </c>
      <c r="O84" s="128">
        <f t="shared" si="7"/>
        <v>2739184</v>
      </c>
      <c r="P84" s="125" t="s">
        <v>712</v>
      </c>
      <c r="Q84" s="85" t="s">
        <v>47</v>
      </c>
      <c r="R84" s="220" t="s">
        <v>1888</v>
      </c>
      <c r="S84" s="220" t="s">
        <v>1861</v>
      </c>
      <c r="T84" s="85" t="s">
        <v>1491</v>
      </c>
      <c r="U84" t="s">
        <v>1972</v>
      </c>
      <c r="V84" t="s">
        <v>2832</v>
      </c>
    </row>
    <row r="85" spans="1:22" ht="15.75" thickBot="1" x14ac:dyDescent="0.3">
      <c r="A85" s="82" t="s">
        <v>3509</v>
      </c>
      <c r="B85" s="82" t="str">
        <f t="shared" si="4"/>
        <v>Barraqueiro Transportes, S.A.</v>
      </c>
      <c r="C85" s="82" t="str">
        <f t="shared" si="5"/>
        <v>Barraqueiro Oeste</v>
      </c>
      <c r="D85" s="83" t="s">
        <v>629</v>
      </c>
      <c r="E85" s="91" t="s">
        <v>1853</v>
      </c>
      <c r="F85" s="124" t="s">
        <v>620</v>
      </c>
      <c r="G85" s="333">
        <v>2005</v>
      </c>
      <c r="H85" s="341" t="s">
        <v>732</v>
      </c>
      <c r="I85" s="336" t="str">
        <f t="shared" si="6"/>
        <v>Pesado de Passageiros M3: III : Gasóleo : E3</v>
      </c>
      <c r="J85" s="125">
        <v>37</v>
      </c>
      <c r="K85" s="125">
        <v>2022</v>
      </c>
      <c r="L85" s="85">
        <v>21581.800000000003</v>
      </c>
      <c r="M85" s="85" t="s">
        <v>630</v>
      </c>
      <c r="N85" s="128">
        <v>61792</v>
      </c>
      <c r="O85" s="128">
        <f t="shared" si="7"/>
        <v>2286304</v>
      </c>
      <c r="P85" s="125" t="s">
        <v>713</v>
      </c>
      <c r="Q85" s="85" t="s">
        <v>47</v>
      </c>
      <c r="R85" s="220" t="s">
        <v>1888</v>
      </c>
      <c r="S85" s="220" t="s">
        <v>1861</v>
      </c>
      <c r="T85" s="85" t="s">
        <v>1491</v>
      </c>
      <c r="U85" t="s">
        <v>1972</v>
      </c>
      <c r="V85" t="s">
        <v>2832</v>
      </c>
    </row>
    <row r="86" spans="1:22" ht="15.75" thickBot="1" x14ac:dyDescent="0.3">
      <c r="A86" s="82" t="s">
        <v>3509</v>
      </c>
      <c r="B86" s="82" t="str">
        <f t="shared" si="4"/>
        <v>Barraqueiro Transportes, S.A.</v>
      </c>
      <c r="C86" s="82" t="str">
        <f t="shared" si="5"/>
        <v>Barraqueiro Oeste</v>
      </c>
      <c r="D86" s="83" t="s">
        <v>629</v>
      </c>
      <c r="E86" s="91" t="s">
        <v>1853</v>
      </c>
      <c r="F86" s="124" t="s">
        <v>620</v>
      </c>
      <c r="G86" s="333">
        <v>2005</v>
      </c>
      <c r="H86" s="341" t="s">
        <v>732</v>
      </c>
      <c r="I86" s="336" t="str">
        <f t="shared" si="6"/>
        <v>Pesado de Passageiros M3: III : Gasóleo : E3</v>
      </c>
      <c r="J86" s="125">
        <v>37</v>
      </c>
      <c r="K86" s="125">
        <v>2022</v>
      </c>
      <c r="L86" s="85">
        <v>26180.250000000004</v>
      </c>
      <c r="M86" s="85" t="s">
        <v>630</v>
      </c>
      <c r="N86" s="128">
        <v>73022</v>
      </c>
      <c r="O86" s="128">
        <f t="shared" si="7"/>
        <v>2701814</v>
      </c>
      <c r="P86" s="125" t="s">
        <v>714</v>
      </c>
      <c r="Q86" s="85" t="s">
        <v>47</v>
      </c>
      <c r="R86" s="220" t="s">
        <v>1888</v>
      </c>
      <c r="S86" s="220" t="s">
        <v>1861</v>
      </c>
      <c r="T86" s="85" t="s">
        <v>1491</v>
      </c>
      <c r="U86" t="s">
        <v>1972</v>
      </c>
      <c r="V86" t="s">
        <v>2832</v>
      </c>
    </row>
    <row r="87" spans="1:22" ht="15.75" thickBot="1" x14ac:dyDescent="0.3">
      <c r="A87" s="82" t="s">
        <v>3509</v>
      </c>
      <c r="B87" s="82" t="str">
        <f t="shared" si="4"/>
        <v>Barraqueiro Transportes, S.A.</v>
      </c>
      <c r="C87" s="82" t="str">
        <f t="shared" si="5"/>
        <v>Barraqueiro Oeste</v>
      </c>
      <c r="D87" s="83" t="s">
        <v>629</v>
      </c>
      <c r="E87" s="91" t="s">
        <v>1853</v>
      </c>
      <c r="F87" s="124" t="s">
        <v>620</v>
      </c>
      <c r="G87" s="333">
        <v>2005</v>
      </c>
      <c r="H87" s="341" t="s">
        <v>732</v>
      </c>
      <c r="I87" s="336" t="str">
        <f t="shared" si="6"/>
        <v>Pesado de Passageiros M3: III : Gasóleo : E3</v>
      </c>
      <c r="J87" s="125">
        <v>37</v>
      </c>
      <c r="K87" s="125">
        <v>2022</v>
      </c>
      <c r="L87" s="85">
        <v>24396.719999999998</v>
      </c>
      <c r="M87" s="85" t="s">
        <v>630</v>
      </c>
      <c r="N87" s="128">
        <v>69096</v>
      </c>
      <c r="O87" s="128">
        <f t="shared" si="7"/>
        <v>2556552</v>
      </c>
      <c r="P87" s="125" t="s">
        <v>715</v>
      </c>
      <c r="Q87" s="85" t="s">
        <v>47</v>
      </c>
      <c r="R87" s="220" t="s">
        <v>1888</v>
      </c>
      <c r="S87" s="220" t="s">
        <v>1861</v>
      </c>
      <c r="T87" s="85" t="s">
        <v>1491</v>
      </c>
      <c r="U87" t="s">
        <v>1972</v>
      </c>
      <c r="V87" t="s">
        <v>2832</v>
      </c>
    </row>
    <row r="88" spans="1:22" ht="15.75" thickBot="1" x14ac:dyDescent="0.3">
      <c r="A88" s="82" t="s">
        <v>3509</v>
      </c>
      <c r="B88" s="82" t="str">
        <f t="shared" si="4"/>
        <v>Barraqueiro Transportes, S.A.</v>
      </c>
      <c r="C88" s="82" t="str">
        <f t="shared" si="5"/>
        <v>Barraqueiro Oeste</v>
      </c>
      <c r="D88" s="83" t="s">
        <v>629</v>
      </c>
      <c r="E88" s="91" t="s">
        <v>1853</v>
      </c>
      <c r="F88" s="124" t="s">
        <v>620</v>
      </c>
      <c r="G88" s="333">
        <v>2007</v>
      </c>
      <c r="H88" s="341" t="s">
        <v>731</v>
      </c>
      <c r="I88" s="336" t="str">
        <f t="shared" si="6"/>
        <v>Pesado de Passageiros M3: III : Gasóleo : E4</v>
      </c>
      <c r="J88" s="125">
        <v>55</v>
      </c>
      <c r="K88" s="125">
        <v>2022</v>
      </c>
      <c r="L88" s="85">
        <v>32162.57</v>
      </c>
      <c r="M88" s="85" t="s">
        <v>630</v>
      </c>
      <c r="N88" s="128">
        <v>94218</v>
      </c>
      <c r="O88" s="128">
        <f t="shared" si="7"/>
        <v>5181990</v>
      </c>
      <c r="P88" s="125" t="s">
        <v>716</v>
      </c>
      <c r="Q88" s="85" t="s">
        <v>47</v>
      </c>
      <c r="R88" s="220" t="s">
        <v>1888</v>
      </c>
      <c r="S88" s="220" t="s">
        <v>1861</v>
      </c>
      <c r="T88" s="85" t="s">
        <v>1491</v>
      </c>
      <c r="U88" t="s">
        <v>1972</v>
      </c>
      <c r="V88" t="s">
        <v>2832</v>
      </c>
    </row>
    <row r="89" spans="1:22" ht="15.75" thickBot="1" x14ac:dyDescent="0.3">
      <c r="A89" s="82" t="s">
        <v>3509</v>
      </c>
      <c r="B89" s="82" t="str">
        <f t="shared" si="4"/>
        <v>Barraqueiro Transportes, S.A.</v>
      </c>
      <c r="C89" s="82" t="str">
        <f t="shared" si="5"/>
        <v>Barraqueiro Oeste</v>
      </c>
      <c r="D89" s="83" t="s">
        <v>629</v>
      </c>
      <c r="E89" s="91" t="s">
        <v>1853</v>
      </c>
      <c r="F89" s="124" t="s">
        <v>620</v>
      </c>
      <c r="G89" s="333">
        <v>2007</v>
      </c>
      <c r="H89" s="341" t="s">
        <v>731</v>
      </c>
      <c r="I89" s="336" t="str">
        <f t="shared" si="6"/>
        <v>Pesado de Passageiros M3: III : Gasóleo : E4</v>
      </c>
      <c r="J89" s="125">
        <v>55</v>
      </c>
      <c r="K89" s="125">
        <v>2022</v>
      </c>
      <c r="L89" s="85">
        <v>167.89</v>
      </c>
      <c r="M89" s="85" t="s">
        <v>630</v>
      </c>
      <c r="N89" s="128">
        <v>493</v>
      </c>
      <c r="O89" s="128">
        <f t="shared" si="7"/>
        <v>27115</v>
      </c>
      <c r="P89" s="125" t="s">
        <v>717</v>
      </c>
      <c r="Q89" s="85" t="s">
        <v>47</v>
      </c>
      <c r="R89" s="220" t="s">
        <v>1888</v>
      </c>
      <c r="S89" s="220" t="s">
        <v>1861</v>
      </c>
      <c r="T89" s="85" t="s">
        <v>1491</v>
      </c>
      <c r="U89" t="s">
        <v>1972</v>
      </c>
      <c r="V89" t="s">
        <v>2832</v>
      </c>
    </row>
    <row r="90" spans="1:22" ht="15.75" thickBot="1" x14ac:dyDescent="0.3">
      <c r="A90" s="82" t="s">
        <v>3509</v>
      </c>
      <c r="B90" s="82" t="str">
        <f t="shared" si="4"/>
        <v>Barraqueiro Transportes, S.A.</v>
      </c>
      <c r="C90" s="82" t="str">
        <f t="shared" si="5"/>
        <v>Barraqueiro Oeste</v>
      </c>
      <c r="D90" s="83" t="s">
        <v>629</v>
      </c>
      <c r="E90" s="91" t="s">
        <v>1853</v>
      </c>
      <c r="F90" s="124" t="s">
        <v>620</v>
      </c>
      <c r="G90" s="333">
        <v>2007</v>
      </c>
      <c r="H90" s="341" t="s">
        <v>731</v>
      </c>
      <c r="I90" s="336" t="str">
        <f t="shared" si="6"/>
        <v>Pesado de Passageiros M3: III : Gasóleo : E4</v>
      </c>
      <c r="J90" s="125">
        <v>55</v>
      </c>
      <c r="K90" s="125">
        <v>2022</v>
      </c>
      <c r="L90" s="85">
        <v>13114.44</v>
      </c>
      <c r="M90" s="85" t="s">
        <v>630</v>
      </c>
      <c r="N90" s="128">
        <v>34761</v>
      </c>
      <c r="O90" s="128">
        <f t="shared" si="7"/>
        <v>1911855</v>
      </c>
      <c r="P90" s="125" t="s">
        <v>718</v>
      </c>
      <c r="Q90" s="85" t="s">
        <v>47</v>
      </c>
      <c r="R90" s="220" t="s">
        <v>1888</v>
      </c>
      <c r="S90" s="220" t="s">
        <v>1861</v>
      </c>
      <c r="T90" s="85" t="s">
        <v>1491</v>
      </c>
      <c r="U90" t="s">
        <v>1972</v>
      </c>
      <c r="V90" t="s">
        <v>2832</v>
      </c>
    </row>
    <row r="91" spans="1:22" ht="15.75" thickBot="1" x14ac:dyDescent="0.3">
      <c r="A91" s="82" t="s">
        <v>3509</v>
      </c>
      <c r="B91" s="82" t="str">
        <f t="shared" si="4"/>
        <v>Barraqueiro Transportes, S.A.</v>
      </c>
      <c r="C91" s="82" t="str">
        <f t="shared" si="5"/>
        <v>Barraqueiro Oeste</v>
      </c>
      <c r="D91" s="83" t="s">
        <v>629</v>
      </c>
      <c r="E91" s="91" t="s">
        <v>1853</v>
      </c>
      <c r="F91" s="124" t="s">
        <v>620</v>
      </c>
      <c r="G91" s="333">
        <v>2008</v>
      </c>
      <c r="H91" s="341" t="s">
        <v>731</v>
      </c>
      <c r="I91" s="336" t="str">
        <f t="shared" si="6"/>
        <v>Pesado de Passageiros M3: III : Gasóleo : E4</v>
      </c>
      <c r="J91" s="125">
        <v>53</v>
      </c>
      <c r="K91" s="125">
        <v>2022</v>
      </c>
      <c r="L91" s="85">
        <v>23804.739999999994</v>
      </c>
      <c r="M91" s="85" t="s">
        <v>630</v>
      </c>
      <c r="N91" s="128">
        <v>66781</v>
      </c>
      <c r="O91" s="128">
        <f t="shared" si="7"/>
        <v>3539393</v>
      </c>
      <c r="P91" s="125" t="s">
        <v>719</v>
      </c>
      <c r="Q91" s="85" t="s">
        <v>47</v>
      </c>
      <c r="R91" s="220" t="s">
        <v>1888</v>
      </c>
      <c r="S91" s="220" t="s">
        <v>1861</v>
      </c>
      <c r="T91" s="85" t="s">
        <v>1491</v>
      </c>
      <c r="U91" t="s">
        <v>1972</v>
      </c>
      <c r="V91" t="s">
        <v>2832</v>
      </c>
    </row>
    <row r="92" spans="1:22" ht="15.75" thickBot="1" x14ac:dyDescent="0.3">
      <c r="A92" s="82" t="s">
        <v>3509</v>
      </c>
      <c r="B92" s="82" t="str">
        <f t="shared" si="4"/>
        <v>Barraqueiro Transportes, S.A.</v>
      </c>
      <c r="C92" s="82" t="str">
        <f t="shared" si="5"/>
        <v>Barraqueiro Oeste</v>
      </c>
      <c r="D92" s="83" t="s">
        <v>629</v>
      </c>
      <c r="E92" s="91" t="s">
        <v>1853</v>
      </c>
      <c r="F92" s="124" t="s">
        <v>620</v>
      </c>
      <c r="G92" s="333">
        <v>2008</v>
      </c>
      <c r="H92" s="341" t="s">
        <v>731</v>
      </c>
      <c r="I92" s="336" t="str">
        <f t="shared" si="6"/>
        <v>Pesado de Passageiros M3: III : Gasóleo : E4</v>
      </c>
      <c r="J92" s="125">
        <v>53</v>
      </c>
      <c r="K92" s="125">
        <v>2022</v>
      </c>
      <c r="L92" s="85">
        <v>30463.319</v>
      </c>
      <c r="M92" s="85" t="s">
        <v>630</v>
      </c>
      <c r="N92" s="128">
        <v>87059</v>
      </c>
      <c r="O92" s="128">
        <f t="shared" si="7"/>
        <v>4614127</v>
      </c>
      <c r="P92" s="125" t="s">
        <v>720</v>
      </c>
      <c r="Q92" s="85" t="s">
        <v>47</v>
      </c>
      <c r="R92" s="220" t="s">
        <v>1888</v>
      </c>
      <c r="S92" s="220" t="s">
        <v>1861</v>
      </c>
      <c r="T92" s="85" t="s">
        <v>1491</v>
      </c>
      <c r="U92" t="s">
        <v>1972</v>
      </c>
      <c r="V92" t="s">
        <v>2832</v>
      </c>
    </row>
    <row r="93" spans="1:22" ht="15.75" thickBot="1" x14ac:dyDescent="0.3">
      <c r="A93" s="82" t="s">
        <v>3509</v>
      </c>
      <c r="B93" s="82" t="str">
        <f t="shared" si="4"/>
        <v>Barraqueiro Transportes, S.A.</v>
      </c>
      <c r="C93" s="82" t="str">
        <f t="shared" si="5"/>
        <v>Barraqueiro Oeste</v>
      </c>
      <c r="D93" s="83" t="s">
        <v>629</v>
      </c>
      <c r="E93" s="91" t="s">
        <v>1853</v>
      </c>
      <c r="F93" s="124" t="s">
        <v>620</v>
      </c>
      <c r="G93" s="333">
        <v>2008</v>
      </c>
      <c r="H93" s="341" t="s">
        <v>731</v>
      </c>
      <c r="I93" s="336" t="str">
        <f t="shared" si="6"/>
        <v>Pesado de Passageiros M3: III : Gasóleo : E4</v>
      </c>
      <c r="J93" s="125">
        <v>53</v>
      </c>
      <c r="K93" s="125">
        <v>2022</v>
      </c>
      <c r="L93" s="85">
        <v>22606.762000000002</v>
      </c>
      <c r="M93" s="85" t="s">
        <v>630</v>
      </c>
      <c r="N93" s="128">
        <v>61165</v>
      </c>
      <c r="O93" s="128">
        <f t="shared" si="7"/>
        <v>3241745</v>
      </c>
      <c r="P93" s="125" t="s">
        <v>721</v>
      </c>
      <c r="Q93" s="85" t="s">
        <v>47</v>
      </c>
      <c r="R93" s="220" t="s">
        <v>1888</v>
      </c>
      <c r="S93" s="220" t="s">
        <v>1861</v>
      </c>
      <c r="T93" s="85" t="s">
        <v>1491</v>
      </c>
      <c r="U93" t="s">
        <v>1972</v>
      </c>
      <c r="V93" t="s">
        <v>2832</v>
      </c>
    </row>
    <row r="94" spans="1:22" ht="15.75" thickBot="1" x14ac:dyDescent="0.3">
      <c r="A94" s="82" t="s">
        <v>3509</v>
      </c>
      <c r="B94" s="82" t="str">
        <f t="shared" si="4"/>
        <v>Barraqueiro Transportes, S.A.</v>
      </c>
      <c r="C94" s="82" t="str">
        <f t="shared" si="5"/>
        <v>Barraqueiro Oeste</v>
      </c>
      <c r="D94" s="83" t="s">
        <v>629</v>
      </c>
      <c r="E94" s="91" t="s">
        <v>1853</v>
      </c>
      <c r="F94" s="124" t="s">
        <v>620</v>
      </c>
      <c r="G94" s="333">
        <v>2011</v>
      </c>
      <c r="H94" s="341" t="s">
        <v>734</v>
      </c>
      <c r="I94" s="336" t="str">
        <f t="shared" si="6"/>
        <v>Pesado de Passageiros M3: III : Gasóleo : E5</v>
      </c>
      <c r="J94" s="125">
        <v>53</v>
      </c>
      <c r="K94" s="125">
        <v>2022</v>
      </c>
      <c r="L94" s="85">
        <v>28818.769</v>
      </c>
      <c r="M94" s="85" t="s">
        <v>630</v>
      </c>
      <c r="N94" s="128">
        <v>85004</v>
      </c>
      <c r="O94" s="128">
        <f t="shared" si="7"/>
        <v>4505212</v>
      </c>
      <c r="P94" s="125" t="s">
        <v>722</v>
      </c>
      <c r="Q94" s="85" t="s">
        <v>47</v>
      </c>
      <c r="R94" s="220" t="s">
        <v>1888</v>
      </c>
      <c r="S94" s="220" t="s">
        <v>1861</v>
      </c>
      <c r="T94" s="85" t="s">
        <v>1491</v>
      </c>
      <c r="U94" t="s">
        <v>1972</v>
      </c>
      <c r="V94" t="s">
        <v>2832</v>
      </c>
    </row>
    <row r="95" spans="1:22" ht="15.75" thickBot="1" x14ac:dyDescent="0.3">
      <c r="A95" s="82" t="s">
        <v>3509</v>
      </c>
      <c r="B95" s="82" t="str">
        <f t="shared" si="4"/>
        <v>Barraqueiro Transportes, S.A.</v>
      </c>
      <c r="C95" s="82" t="str">
        <f t="shared" si="5"/>
        <v>Barraqueiro Oeste</v>
      </c>
      <c r="D95" s="83" t="s">
        <v>629</v>
      </c>
      <c r="E95" s="91" t="s">
        <v>1853</v>
      </c>
      <c r="F95" s="124" t="s">
        <v>620</v>
      </c>
      <c r="G95" s="333">
        <v>2012</v>
      </c>
      <c r="H95" s="341" t="s">
        <v>734</v>
      </c>
      <c r="I95" s="336" t="str">
        <f t="shared" si="6"/>
        <v>Pesado de Passageiros M3: III : Gasóleo : E5</v>
      </c>
      <c r="J95" s="125">
        <v>53</v>
      </c>
      <c r="K95" s="125">
        <v>2022</v>
      </c>
      <c r="L95" s="85">
        <v>35979.361000000004</v>
      </c>
      <c r="M95" s="85" t="s">
        <v>630</v>
      </c>
      <c r="N95" s="128">
        <v>114644</v>
      </c>
      <c r="O95" s="128">
        <f t="shared" si="7"/>
        <v>6076132</v>
      </c>
      <c r="P95" s="125" t="s">
        <v>723</v>
      </c>
      <c r="Q95" s="85" t="s">
        <v>47</v>
      </c>
      <c r="R95" s="220" t="s">
        <v>1888</v>
      </c>
      <c r="S95" s="220" t="s">
        <v>1861</v>
      </c>
      <c r="T95" s="85" t="s">
        <v>1491</v>
      </c>
      <c r="U95" t="s">
        <v>1972</v>
      </c>
      <c r="V95" t="s">
        <v>2832</v>
      </c>
    </row>
    <row r="96" spans="1:22" ht="15.75" thickBot="1" x14ac:dyDescent="0.3">
      <c r="A96" s="82" t="s">
        <v>3509</v>
      </c>
      <c r="B96" s="82" t="str">
        <f t="shared" si="4"/>
        <v>Barraqueiro Transportes, S.A.</v>
      </c>
      <c r="C96" s="82" t="str">
        <f t="shared" si="5"/>
        <v>Barraqueiro Oeste</v>
      </c>
      <c r="D96" s="83" t="s">
        <v>629</v>
      </c>
      <c r="E96" s="91" t="s">
        <v>1853</v>
      </c>
      <c r="F96" s="124" t="s">
        <v>620</v>
      </c>
      <c r="G96" s="333">
        <v>2012</v>
      </c>
      <c r="H96" s="341" t="s">
        <v>734</v>
      </c>
      <c r="I96" s="336" t="str">
        <f t="shared" si="6"/>
        <v>Pesado de Passageiros M3: III : Gasóleo : E5</v>
      </c>
      <c r="J96" s="125">
        <v>53</v>
      </c>
      <c r="K96" s="125">
        <v>2022</v>
      </c>
      <c r="L96" s="85">
        <v>32929.273000000001</v>
      </c>
      <c r="M96" s="85" t="s">
        <v>630</v>
      </c>
      <c r="N96" s="128">
        <v>102431</v>
      </c>
      <c r="O96" s="128">
        <f t="shared" si="7"/>
        <v>5428843</v>
      </c>
      <c r="P96" s="125" t="s">
        <v>724</v>
      </c>
      <c r="Q96" s="85" t="s">
        <v>47</v>
      </c>
      <c r="R96" s="220" t="s">
        <v>1888</v>
      </c>
      <c r="S96" s="220" t="s">
        <v>1861</v>
      </c>
      <c r="T96" s="85" t="s">
        <v>1491</v>
      </c>
      <c r="U96" t="s">
        <v>1972</v>
      </c>
      <c r="V96" t="s">
        <v>2832</v>
      </c>
    </row>
    <row r="97" spans="1:22" ht="15.75" thickBot="1" x14ac:dyDescent="0.3">
      <c r="A97" s="82" t="s">
        <v>3509</v>
      </c>
      <c r="B97" s="82" t="str">
        <f t="shared" si="4"/>
        <v>Barraqueiro Transportes, S.A.</v>
      </c>
      <c r="C97" s="82" t="str">
        <f t="shared" si="5"/>
        <v>Barraqueiro Oeste</v>
      </c>
      <c r="D97" s="83" t="s">
        <v>629</v>
      </c>
      <c r="E97" s="91" t="s">
        <v>1853</v>
      </c>
      <c r="F97" s="124" t="s">
        <v>620</v>
      </c>
      <c r="G97" s="333">
        <v>2013</v>
      </c>
      <c r="H97" s="341" t="s">
        <v>733</v>
      </c>
      <c r="I97" s="336" t="str">
        <f t="shared" si="6"/>
        <v>Pesado de Passageiros M3: III : Gasóleo : E6</v>
      </c>
      <c r="J97" s="125">
        <v>53</v>
      </c>
      <c r="K97" s="125">
        <v>2022</v>
      </c>
      <c r="L97" s="85">
        <v>21326.17</v>
      </c>
      <c r="M97" s="85" t="s">
        <v>630</v>
      </c>
      <c r="N97" s="128">
        <v>62763</v>
      </c>
      <c r="O97" s="128">
        <f t="shared" si="7"/>
        <v>3326439</v>
      </c>
      <c r="P97" s="125" t="s">
        <v>725</v>
      </c>
      <c r="Q97" s="85" t="s">
        <v>47</v>
      </c>
      <c r="R97" s="220" t="s">
        <v>1888</v>
      </c>
      <c r="S97" s="220" t="s">
        <v>1861</v>
      </c>
      <c r="T97" s="85" t="s">
        <v>1491</v>
      </c>
      <c r="U97" t="s">
        <v>1972</v>
      </c>
      <c r="V97" t="s">
        <v>2832</v>
      </c>
    </row>
    <row r="98" spans="1:22" ht="15.75" thickBot="1" x14ac:dyDescent="0.3">
      <c r="A98" s="82" t="s">
        <v>3509</v>
      </c>
      <c r="B98" s="82" t="str">
        <f t="shared" si="4"/>
        <v>Barraqueiro Transportes, S.A.</v>
      </c>
      <c r="C98" s="82" t="str">
        <f t="shared" si="5"/>
        <v>Barraqueiro Oeste</v>
      </c>
      <c r="D98" s="83" t="s">
        <v>629</v>
      </c>
      <c r="E98" s="91" t="s">
        <v>1853</v>
      </c>
      <c r="F98" s="124" t="s">
        <v>620</v>
      </c>
      <c r="G98" s="333">
        <v>2013</v>
      </c>
      <c r="H98" s="341" t="s">
        <v>733</v>
      </c>
      <c r="I98" s="336" t="str">
        <f t="shared" si="6"/>
        <v>Pesado de Passageiros M3: III : Gasóleo : E6</v>
      </c>
      <c r="J98" s="125">
        <v>53</v>
      </c>
      <c r="K98" s="125">
        <v>2022</v>
      </c>
      <c r="L98" s="85">
        <v>24436.764999999999</v>
      </c>
      <c r="M98" s="85" t="s">
        <v>630</v>
      </c>
      <c r="N98" s="128">
        <v>72319</v>
      </c>
      <c r="O98" s="128">
        <f t="shared" si="7"/>
        <v>3832907</v>
      </c>
      <c r="P98" s="125" t="s">
        <v>726</v>
      </c>
      <c r="Q98" s="85" t="s">
        <v>47</v>
      </c>
      <c r="R98" s="220" t="s">
        <v>1888</v>
      </c>
      <c r="S98" s="220" t="s">
        <v>1861</v>
      </c>
      <c r="T98" s="85" t="s">
        <v>1491</v>
      </c>
      <c r="U98" t="s">
        <v>1972</v>
      </c>
      <c r="V98" t="s">
        <v>2832</v>
      </c>
    </row>
    <row r="99" spans="1:22" ht="15.75" thickBot="1" x14ac:dyDescent="0.3">
      <c r="A99" s="82" t="s">
        <v>3509</v>
      </c>
      <c r="B99" s="82" t="str">
        <f t="shared" si="4"/>
        <v>Barraqueiro Transportes, S.A.</v>
      </c>
      <c r="C99" s="82" t="str">
        <f t="shared" si="5"/>
        <v>Barraqueiro Oeste</v>
      </c>
      <c r="D99" s="83" t="s">
        <v>629</v>
      </c>
      <c r="E99" s="91" t="s">
        <v>1853</v>
      </c>
      <c r="F99" s="124" t="s">
        <v>620</v>
      </c>
      <c r="G99" s="333">
        <v>2013</v>
      </c>
      <c r="H99" s="341" t="s">
        <v>733</v>
      </c>
      <c r="I99" s="336" t="str">
        <f t="shared" si="6"/>
        <v>Pesado de Passageiros M3: III : Gasóleo : E6</v>
      </c>
      <c r="J99" s="125">
        <v>53</v>
      </c>
      <c r="K99" s="125">
        <v>2022</v>
      </c>
      <c r="L99" s="85">
        <v>34362.79</v>
      </c>
      <c r="M99" s="85" t="s">
        <v>630</v>
      </c>
      <c r="N99" s="128">
        <v>104421</v>
      </c>
      <c r="O99" s="128">
        <f t="shared" si="7"/>
        <v>5534313</v>
      </c>
      <c r="P99" s="125" t="s">
        <v>727</v>
      </c>
      <c r="Q99" s="85" t="s">
        <v>47</v>
      </c>
      <c r="R99" s="220" t="s">
        <v>1888</v>
      </c>
      <c r="S99" s="220" t="s">
        <v>1861</v>
      </c>
      <c r="T99" s="85" t="s">
        <v>1491</v>
      </c>
      <c r="U99" t="s">
        <v>1972</v>
      </c>
      <c r="V99" t="s">
        <v>2832</v>
      </c>
    </row>
    <row r="100" spans="1:22" ht="15.75" thickBot="1" x14ac:dyDescent="0.3">
      <c r="A100" s="82" t="s">
        <v>3509</v>
      </c>
      <c r="B100" s="82" t="str">
        <f t="shared" si="4"/>
        <v>Barraqueiro Transportes, S.A.</v>
      </c>
      <c r="C100" s="82" t="str">
        <f t="shared" si="5"/>
        <v>Barraqueiro Oeste</v>
      </c>
      <c r="D100" s="83" t="s">
        <v>629</v>
      </c>
      <c r="E100" s="91" t="s">
        <v>1853</v>
      </c>
      <c r="F100" s="124" t="s">
        <v>620</v>
      </c>
      <c r="G100" s="333">
        <v>2013</v>
      </c>
      <c r="H100" s="341" t="s">
        <v>733</v>
      </c>
      <c r="I100" s="336" t="str">
        <f t="shared" si="6"/>
        <v>Pesado de Passageiros M3: III : Gasóleo : E6</v>
      </c>
      <c r="J100" s="125">
        <v>53</v>
      </c>
      <c r="K100" s="125">
        <v>2022</v>
      </c>
      <c r="L100" s="85">
        <v>31002.146999999997</v>
      </c>
      <c r="M100" s="85" t="s">
        <v>630</v>
      </c>
      <c r="N100" s="128">
        <v>95463</v>
      </c>
      <c r="O100" s="128">
        <f t="shared" si="7"/>
        <v>5059539</v>
      </c>
      <c r="P100" s="125" t="s">
        <v>728</v>
      </c>
      <c r="Q100" s="85" t="s">
        <v>47</v>
      </c>
      <c r="R100" s="220" t="s">
        <v>1888</v>
      </c>
      <c r="S100" s="220" t="s">
        <v>1861</v>
      </c>
      <c r="T100" s="85" t="s">
        <v>1491</v>
      </c>
      <c r="U100" t="s">
        <v>1972</v>
      </c>
      <c r="V100" t="s">
        <v>2832</v>
      </c>
    </row>
    <row r="101" spans="1:22" ht="15.75" thickBot="1" x14ac:dyDescent="0.3">
      <c r="A101" s="82" t="s">
        <v>3509</v>
      </c>
      <c r="B101" s="82" t="str">
        <f t="shared" si="4"/>
        <v>Barraqueiro Transportes, S.A.</v>
      </c>
      <c r="C101" s="82" t="str">
        <f t="shared" si="5"/>
        <v>Barraqueiro Oeste</v>
      </c>
      <c r="D101" s="83" t="s">
        <v>629</v>
      </c>
      <c r="E101" s="91" t="s">
        <v>1853</v>
      </c>
      <c r="F101" s="124" t="s">
        <v>620</v>
      </c>
      <c r="G101" s="333">
        <v>2013</v>
      </c>
      <c r="H101" s="341" t="s">
        <v>733</v>
      </c>
      <c r="I101" s="336" t="str">
        <f t="shared" si="6"/>
        <v>Pesado de Passageiros M3: III : Gasóleo : E6</v>
      </c>
      <c r="J101" s="125">
        <v>53</v>
      </c>
      <c r="K101" s="125">
        <v>2022</v>
      </c>
      <c r="L101" s="85">
        <v>22341.880000000005</v>
      </c>
      <c r="M101" s="85" t="s">
        <v>630</v>
      </c>
      <c r="N101" s="128">
        <v>65301</v>
      </c>
      <c r="O101" s="128">
        <f t="shared" si="7"/>
        <v>3460953</v>
      </c>
      <c r="P101" s="125" t="s">
        <v>729</v>
      </c>
      <c r="Q101" s="85" t="s">
        <v>47</v>
      </c>
      <c r="R101" s="220" t="s">
        <v>1888</v>
      </c>
      <c r="S101" s="220" t="s">
        <v>1861</v>
      </c>
      <c r="T101" s="85" t="s">
        <v>1491</v>
      </c>
      <c r="U101" t="s">
        <v>1972</v>
      </c>
      <c r="V101" t="s">
        <v>2832</v>
      </c>
    </row>
    <row r="102" spans="1:22" ht="15.75" thickBot="1" x14ac:dyDescent="0.3">
      <c r="A102" s="82" t="s">
        <v>3510</v>
      </c>
      <c r="B102" s="82" t="str">
        <f t="shared" si="4"/>
        <v>Barraqueiro Transportes, S.A.</v>
      </c>
      <c r="C102" s="82" t="str">
        <f t="shared" si="5"/>
        <v>Boa Viagem</v>
      </c>
      <c r="D102" s="83" t="s">
        <v>629</v>
      </c>
      <c r="E102" s="91" t="s">
        <v>1853</v>
      </c>
      <c r="F102" s="124" t="s">
        <v>620</v>
      </c>
      <c r="G102" s="333">
        <v>1994</v>
      </c>
      <c r="H102" s="341" t="s">
        <v>736</v>
      </c>
      <c r="I102" s="336" t="str">
        <f t="shared" si="6"/>
        <v>Pesado de Passageiros M3: III : Gasóleo : E1</v>
      </c>
      <c r="J102" s="125">
        <v>48</v>
      </c>
      <c r="K102" s="125">
        <v>2022</v>
      </c>
      <c r="L102" s="85">
        <v>15217.359999999997</v>
      </c>
      <c r="M102" s="85" t="s">
        <v>630</v>
      </c>
      <c r="N102" s="128">
        <v>41034</v>
      </c>
      <c r="O102" s="128">
        <f t="shared" si="7"/>
        <v>1969632</v>
      </c>
      <c r="P102" s="125" t="s">
        <v>737</v>
      </c>
      <c r="Q102" s="85" t="s">
        <v>47</v>
      </c>
      <c r="R102" s="220" t="s">
        <v>1888</v>
      </c>
      <c r="S102" s="220" t="s">
        <v>1861</v>
      </c>
      <c r="T102" s="85" t="s">
        <v>1491</v>
      </c>
      <c r="U102" t="s">
        <v>1972</v>
      </c>
      <c r="V102" t="s">
        <v>2832</v>
      </c>
    </row>
    <row r="103" spans="1:22" ht="15.75" thickBot="1" x14ac:dyDescent="0.3">
      <c r="A103" s="82" t="s">
        <v>3510</v>
      </c>
      <c r="B103" s="82" t="str">
        <f t="shared" si="4"/>
        <v>Barraqueiro Transportes, S.A.</v>
      </c>
      <c r="C103" s="82" t="str">
        <f t="shared" si="5"/>
        <v>Boa Viagem</v>
      </c>
      <c r="D103" s="83" t="s">
        <v>629</v>
      </c>
      <c r="E103" s="91" t="s">
        <v>1853</v>
      </c>
      <c r="F103" s="124" t="s">
        <v>620</v>
      </c>
      <c r="G103" s="333">
        <v>2003</v>
      </c>
      <c r="H103" s="341" t="s">
        <v>732</v>
      </c>
      <c r="I103" s="336" t="str">
        <f t="shared" si="6"/>
        <v>Pesado de Passageiros M3: III : Gasóleo : E3</v>
      </c>
      <c r="J103" s="125">
        <v>35</v>
      </c>
      <c r="K103" s="125">
        <v>2022</v>
      </c>
      <c r="L103" s="85">
        <v>5331.37</v>
      </c>
      <c r="M103" s="85" t="s">
        <v>630</v>
      </c>
      <c r="N103" s="128">
        <v>15857</v>
      </c>
      <c r="O103" s="128">
        <f t="shared" si="7"/>
        <v>554995</v>
      </c>
      <c r="P103" s="125" t="s">
        <v>738</v>
      </c>
      <c r="Q103" s="85" t="s">
        <v>47</v>
      </c>
      <c r="R103" s="220" t="s">
        <v>1888</v>
      </c>
      <c r="S103" s="220" t="s">
        <v>1861</v>
      </c>
      <c r="T103" s="85" t="s">
        <v>1491</v>
      </c>
      <c r="U103" t="s">
        <v>1972</v>
      </c>
      <c r="V103" t="s">
        <v>2832</v>
      </c>
    </row>
    <row r="104" spans="1:22" ht="15.75" thickBot="1" x14ac:dyDescent="0.3">
      <c r="A104" s="82" t="s">
        <v>3510</v>
      </c>
      <c r="B104" s="82" t="str">
        <f t="shared" si="4"/>
        <v>Barraqueiro Transportes, S.A.</v>
      </c>
      <c r="C104" s="82" t="str">
        <f t="shared" si="5"/>
        <v>Boa Viagem</v>
      </c>
      <c r="D104" s="83" t="s">
        <v>629</v>
      </c>
      <c r="E104" s="91" t="s">
        <v>1853</v>
      </c>
      <c r="F104" s="124" t="s">
        <v>620</v>
      </c>
      <c r="G104" s="333">
        <v>1993</v>
      </c>
      <c r="H104" s="341" t="s">
        <v>736</v>
      </c>
      <c r="I104" s="336" t="str">
        <f t="shared" si="6"/>
        <v>Pesado de Passageiros M3: III : Gasóleo : E1</v>
      </c>
      <c r="J104" s="125">
        <v>69</v>
      </c>
      <c r="K104" s="125">
        <v>2022</v>
      </c>
      <c r="L104" s="85">
        <v>6935.09</v>
      </c>
      <c r="M104" s="85" t="s">
        <v>630</v>
      </c>
      <c r="N104" s="128">
        <v>19052</v>
      </c>
      <c r="O104" s="128">
        <f t="shared" si="7"/>
        <v>1314588</v>
      </c>
      <c r="P104" s="125" t="s">
        <v>739</v>
      </c>
      <c r="Q104" s="85" t="s">
        <v>47</v>
      </c>
      <c r="R104" s="220" t="s">
        <v>1888</v>
      </c>
      <c r="S104" s="220" t="s">
        <v>1861</v>
      </c>
      <c r="T104" s="85" t="s">
        <v>1491</v>
      </c>
      <c r="U104" t="s">
        <v>1972</v>
      </c>
      <c r="V104" t="s">
        <v>2832</v>
      </c>
    </row>
    <row r="105" spans="1:22" ht="15.75" thickBot="1" x14ac:dyDescent="0.3">
      <c r="A105" s="82" t="s">
        <v>3510</v>
      </c>
      <c r="B105" s="82" t="str">
        <f t="shared" si="4"/>
        <v>Barraqueiro Transportes, S.A.</v>
      </c>
      <c r="C105" s="82" t="str">
        <f t="shared" si="5"/>
        <v>Boa Viagem</v>
      </c>
      <c r="D105" s="83" t="s">
        <v>629</v>
      </c>
      <c r="E105" s="91" t="s">
        <v>1853</v>
      </c>
      <c r="F105" s="124" t="s">
        <v>620</v>
      </c>
      <c r="G105" s="333">
        <v>1993</v>
      </c>
      <c r="H105" s="341" t="s">
        <v>736</v>
      </c>
      <c r="I105" s="336" t="str">
        <f t="shared" si="6"/>
        <v>Pesado de Passageiros M3: III : Gasóleo : E1</v>
      </c>
      <c r="J105" s="125">
        <v>69</v>
      </c>
      <c r="K105" s="125">
        <v>2022</v>
      </c>
      <c r="L105" s="85">
        <v>2863.24</v>
      </c>
      <c r="M105" s="85" t="s">
        <v>630</v>
      </c>
      <c r="N105" s="128">
        <v>8153</v>
      </c>
      <c r="O105" s="128">
        <f t="shared" si="7"/>
        <v>562557</v>
      </c>
      <c r="P105" s="125" t="s">
        <v>740</v>
      </c>
      <c r="Q105" s="85" t="s">
        <v>47</v>
      </c>
      <c r="R105" s="220" t="s">
        <v>1888</v>
      </c>
      <c r="S105" s="220" t="s">
        <v>1861</v>
      </c>
      <c r="T105" s="85" t="s">
        <v>1491</v>
      </c>
      <c r="U105" t="s">
        <v>1972</v>
      </c>
      <c r="V105" t="s">
        <v>2832</v>
      </c>
    </row>
    <row r="106" spans="1:22" ht="15.75" thickBot="1" x14ac:dyDescent="0.3">
      <c r="A106" s="82" t="s">
        <v>3510</v>
      </c>
      <c r="B106" s="82" t="str">
        <f t="shared" si="4"/>
        <v>Barraqueiro Transportes, S.A.</v>
      </c>
      <c r="C106" s="82" t="str">
        <f t="shared" si="5"/>
        <v>Boa Viagem</v>
      </c>
      <c r="D106" s="83" t="s">
        <v>629</v>
      </c>
      <c r="E106" s="91" t="s">
        <v>1853</v>
      </c>
      <c r="F106" s="124" t="s">
        <v>620</v>
      </c>
      <c r="G106" s="333">
        <v>2006</v>
      </c>
      <c r="H106" s="341" t="s">
        <v>731</v>
      </c>
      <c r="I106" s="336" t="str">
        <f t="shared" si="6"/>
        <v>Pesado de Passageiros M3: III : Gasóleo : E4</v>
      </c>
      <c r="J106" s="125">
        <v>59</v>
      </c>
      <c r="K106" s="125">
        <v>2022</v>
      </c>
      <c r="L106" s="85">
        <v>4313.29</v>
      </c>
      <c r="M106" s="85" t="s">
        <v>630</v>
      </c>
      <c r="N106" s="128">
        <v>11224</v>
      </c>
      <c r="O106" s="128">
        <f t="shared" si="7"/>
        <v>662216</v>
      </c>
      <c r="P106" s="125" t="s">
        <v>741</v>
      </c>
      <c r="Q106" s="85" t="s">
        <v>47</v>
      </c>
      <c r="R106" s="220" t="s">
        <v>1888</v>
      </c>
      <c r="S106" s="220" t="s">
        <v>1861</v>
      </c>
      <c r="T106" s="85" t="s">
        <v>1491</v>
      </c>
      <c r="U106" t="s">
        <v>1972</v>
      </c>
      <c r="V106" t="s">
        <v>2832</v>
      </c>
    </row>
    <row r="107" spans="1:22" ht="15.75" thickBot="1" x14ac:dyDescent="0.3">
      <c r="A107" s="82" t="s">
        <v>3510</v>
      </c>
      <c r="B107" s="82" t="str">
        <f t="shared" si="4"/>
        <v>Barraqueiro Transportes, S.A.</v>
      </c>
      <c r="C107" s="82" t="str">
        <f t="shared" si="5"/>
        <v>Boa Viagem</v>
      </c>
      <c r="D107" s="83" t="s">
        <v>629</v>
      </c>
      <c r="E107" s="91" t="s">
        <v>1853</v>
      </c>
      <c r="F107" s="124" t="s">
        <v>620</v>
      </c>
      <c r="G107" s="333">
        <v>2007</v>
      </c>
      <c r="H107" s="341" t="s">
        <v>731</v>
      </c>
      <c r="I107" s="336" t="str">
        <f t="shared" si="6"/>
        <v>Pesado de Passageiros M3: III : Gasóleo : E4</v>
      </c>
      <c r="J107" s="125">
        <v>55</v>
      </c>
      <c r="K107" s="125">
        <v>2022</v>
      </c>
      <c r="L107" s="85">
        <v>19414.569999999996</v>
      </c>
      <c r="M107" s="85" t="s">
        <v>630</v>
      </c>
      <c r="N107" s="128">
        <v>55186</v>
      </c>
      <c r="O107" s="128">
        <f t="shared" si="7"/>
        <v>3035230</v>
      </c>
      <c r="P107" s="125" t="s">
        <v>742</v>
      </c>
      <c r="Q107" s="85" t="s">
        <v>47</v>
      </c>
      <c r="R107" s="220" t="s">
        <v>1888</v>
      </c>
      <c r="S107" s="220" t="s">
        <v>1861</v>
      </c>
      <c r="T107" s="85" t="s">
        <v>1491</v>
      </c>
      <c r="U107" t="s">
        <v>1972</v>
      </c>
      <c r="V107" t="s">
        <v>2832</v>
      </c>
    </row>
    <row r="108" spans="1:22" ht="15.75" thickBot="1" x14ac:dyDescent="0.3">
      <c r="A108" s="82" t="s">
        <v>3510</v>
      </c>
      <c r="B108" s="82" t="str">
        <f t="shared" si="4"/>
        <v>Barraqueiro Transportes, S.A.</v>
      </c>
      <c r="C108" s="82" t="str">
        <f t="shared" si="5"/>
        <v>Boa Viagem</v>
      </c>
      <c r="D108" s="83" t="s">
        <v>629</v>
      </c>
      <c r="E108" s="91" t="s">
        <v>1853</v>
      </c>
      <c r="F108" s="124" t="s">
        <v>620</v>
      </c>
      <c r="G108" s="333">
        <v>2007</v>
      </c>
      <c r="H108" s="341" t="s">
        <v>731</v>
      </c>
      <c r="I108" s="336" t="str">
        <f t="shared" si="6"/>
        <v>Pesado de Passageiros M3: III : Gasóleo : E4</v>
      </c>
      <c r="J108" s="125">
        <v>53</v>
      </c>
      <c r="K108" s="125">
        <v>2022</v>
      </c>
      <c r="L108" s="85">
        <v>19718.091</v>
      </c>
      <c r="M108" s="85" t="s">
        <v>630</v>
      </c>
      <c r="N108" s="128">
        <v>56685</v>
      </c>
      <c r="O108" s="128">
        <f t="shared" si="7"/>
        <v>3004305</v>
      </c>
      <c r="P108" s="125" t="s">
        <v>743</v>
      </c>
      <c r="Q108" s="85" t="s">
        <v>47</v>
      </c>
      <c r="R108" s="220" t="s">
        <v>1888</v>
      </c>
      <c r="S108" s="220" t="s">
        <v>1861</v>
      </c>
      <c r="T108" s="85" t="s">
        <v>1491</v>
      </c>
      <c r="U108" t="s">
        <v>1972</v>
      </c>
      <c r="V108" t="s">
        <v>2832</v>
      </c>
    </row>
    <row r="109" spans="1:22" ht="15.75" thickBot="1" x14ac:dyDescent="0.3">
      <c r="A109" s="82" t="s">
        <v>3510</v>
      </c>
      <c r="B109" s="82" t="str">
        <f t="shared" si="4"/>
        <v>Barraqueiro Transportes, S.A.</v>
      </c>
      <c r="C109" s="82" t="str">
        <f t="shared" si="5"/>
        <v>Boa Viagem</v>
      </c>
      <c r="D109" s="83" t="s">
        <v>629</v>
      </c>
      <c r="E109" s="91" t="s">
        <v>1853</v>
      </c>
      <c r="F109" s="124" t="s">
        <v>620</v>
      </c>
      <c r="G109" s="333">
        <v>1999</v>
      </c>
      <c r="H109" s="341" t="s">
        <v>736</v>
      </c>
      <c r="I109" s="336" t="str">
        <f t="shared" si="6"/>
        <v>Pesado de Passageiros M3: III : Gasóleo : E1</v>
      </c>
      <c r="J109" s="125">
        <v>68</v>
      </c>
      <c r="K109" s="125">
        <v>2022</v>
      </c>
      <c r="L109" s="85">
        <v>14937.45</v>
      </c>
      <c r="M109" s="85" t="s">
        <v>630</v>
      </c>
      <c r="N109" s="128">
        <v>29936</v>
      </c>
      <c r="O109" s="128">
        <f t="shared" si="7"/>
        <v>2035648</v>
      </c>
      <c r="P109" s="125" t="s">
        <v>744</v>
      </c>
      <c r="Q109" s="85" t="s">
        <v>47</v>
      </c>
      <c r="R109" s="220" t="s">
        <v>1888</v>
      </c>
      <c r="S109" s="220" t="s">
        <v>1861</v>
      </c>
      <c r="T109" s="85" t="s">
        <v>1491</v>
      </c>
      <c r="U109" t="s">
        <v>1972</v>
      </c>
      <c r="V109" t="s">
        <v>2832</v>
      </c>
    </row>
    <row r="110" spans="1:22" ht="15.75" thickBot="1" x14ac:dyDescent="0.3">
      <c r="A110" s="82" t="s">
        <v>3510</v>
      </c>
      <c r="B110" s="82" t="str">
        <f t="shared" si="4"/>
        <v>Barraqueiro Transportes, S.A.</v>
      </c>
      <c r="C110" s="82" t="str">
        <f t="shared" si="5"/>
        <v>Boa Viagem</v>
      </c>
      <c r="D110" s="83" t="s">
        <v>629</v>
      </c>
      <c r="E110" s="91" t="s">
        <v>1853</v>
      </c>
      <c r="F110" s="124" t="s">
        <v>620</v>
      </c>
      <c r="G110" s="333">
        <v>2007</v>
      </c>
      <c r="H110" s="341" t="s">
        <v>731</v>
      </c>
      <c r="I110" s="336" t="str">
        <f t="shared" si="6"/>
        <v>Pesado de Passageiros M3: III : Gasóleo : E4</v>
      </c>
      <c r="J110" s="125">
        <v>78</v>
      </c>
      <c r="K110" s="125">
        <v>2022</v>
      </c>
      <c r="L110" s="85">
        <v>17943.759999999998</v>
      </c>
      <c r="M110" s="85" t="s">
        <v>630</v>
      </c>
      <c r="N110" s="128">
        <v>46214</v>
      </c>
      <c r="O110" s="128">
        <f t="shared" si="7"/>
        <v>3604692</v>
      </c>
      <c r="P110" s="125" t="s">
        <v>745</v>
      </c>
      <c r="Q110" s="85" t="s">
        <v>47</v>
      </c>
      <c r="R110" s="220" t="s">
        <v>1888</v>
      </c>
      <c r="S110" s="220" t="s">
        <v>1861</v>
      </c>
      <c r="T110" s="85" t="s">
        <v>1491</v>
      </c>
      <c r="U110" t="s">
        <v>1972</v>
      </c>
      <c r="V110" t="s">
        <v>2832</v>
      </c>
    </row>
    <row r="111" spans="1:22" ht="15.75" thickBot="1" x14ac:dyDescent="0.3">
      <c r="A111" s="82" t="s">
        <v>3510</v>
      </c>
      <c r="B111" s="82" t="str">
        <f t="shared" si="4"/>
        <v>Barraqueiro Transportes, S.A.</v>
      </c>
      <c r="C111" s="82" t="str">
        <f t="shared" si="5"/>
        <v>Boa Viagem</v>
      </c>
      <c r="D111" s="83" t="s">
        <v>629</v>
      </c>
      <c r="E111" s="91" t="s">
        <v>1853</v>
      </c>
      <c r="F111" s="124" t="s">
        <v>620</v>
      </c>
      <c r="G111" s="333">
        <v>2007</v>
      </c>
      <c r="H111" s="341" t="s">
        <v>731</v>
      </c>
      <c r="I111" s="336" t="str">
        <f t="shared" si="6"/>
        <v>Pesado de Passageiros M3: III : Gasóleo : E4</v>
      </c>
      <c r="J111" s="125">
        <v>78</v>
      </c>
      <c r="K111" s="125">
        <v>2022</v>
      </c>
      <c r="L111" s="85">
        <v>19397.279999999995</v>
      </c>
      <c r="M111" s="85" t="s">
        <v>630</v>
      </c>
      <c r="N111" s="128">
        <v>50390</v>
      </c>
      <c r="O111" s="128">
        <f t="shared" si="7"/>
        <v>3930420</v>
      </c>
      <c r="P111" s="125" t="s">
        <v>746</v>
      </c>
      <c r="Q111" s="85" t="s">
        <v>47</v>
      </c>
      <c r="R111" s="220" t="s">
        <v>1888</v>
      </c>
      <c r="S111" s="220" t="s">
        <v>1861</v>
      </c>
      <c r="T111" s="85" t="s">
        <v>1491</v>
      </c>
      <c r="U111" t="s">
        <v>1972</v>
      </c>
      <c r="V111" t="s">
        <v>2832</v>
      </c>
    </row>
    <row r="112" spans="1:22" ht="15.75" thickBot="1" x14ac:dyDescent="0.3">
      <c r="A112" s="82" t="s">
        <v>3510</v>
      </c>
      <c r="B112" s="82" t="str">
        <f t="shared" si="4"/>
        <v>Barraqueiro Transportes, S.A.</v>
      </c>
      <c r="C112" s="82" t="str">
        <f t="shared" si="5"/>
        <v>Boa Viagem</v>
      </c>
      <c r="D112" s="83" t="s">
        <v>629</v>
      </c>
      <c r="E112" s="91" t="s">
        <v>1853</v>
      </c>
      <c r="F112" s="124" t="s">
        <v>620</v>
      </c>
      <c r="G112" s="333">
        <v>2007</v>
      </c>
      <c r="H112" s="341" t="s">
        <v>731</v>
      </c>
      <c r="I112" s="336" t="str">
        <f t="shared" si="6"/>
        <v>Pesado de Passageiros M3: III : Gasóleo : E4</v>
      </c>
      <c r="J112" s="125">
        <v>56</v>
      </c>
      <c r="K112" s="125">
        <v>2022</v>
      </c>
      <c r="L112" s="85">
        <v>9318.4199999999983</v>
      </c>
      <c r="M112" s="85" t="s">
        <v>630</v>
      </c>
      <c r="N112" s="128">
        <v>24160</v>
      </c>
      <c r="O112" s="128">
        <f t="shared" si="7"/>
        <v>1352960</v>
      </c>
      <c r="P112" s="125" t="s">
        <v>747</v>
      </c>
      <c r="Q112" s="85" t="s">
        <v>47</v>
      </c>
      <c r="R112" s="220" t="s">
        <v>1888</v>
      </c>
      <c r="S112" s="220" t="s">
        <v>1861</v>
      </c>
      <c r="T112" s="85" t="s">
        <v>1491</v>
      </c>
      <c r="U112" t="s">
        <v>1972</v>
      </c>
      <c r="V112" t="s">
        <v>2832</v>
      </c>
    </row>
    <row r="113" spans="1:22" ht="15.75" thickBot="1" x14ac:dyDescent="0.3">
      <c r="A113" s="82" t="s">
        <v>3510</v>
      </c>
      <c r="B113" s="82" t="str">
        <f t="shared" si="4"/>
        <v>Barraqueiro Transportes, S.A.</v>
      </c>
      <c r="C113" s="82" t="str">
        <f t="shared" si="5"/>
        <v>Boa Viagem</v>
      </c>
      <c r="D113" s="83" t="s">
        <v>629</v>
      </c>
      <c r="E113" s="91" t="s">
        <v>1853</v>
      </c>
      <c r="F113" s="124" t="s">
        <v>620</v>
      </c>
      <c r="G113" s="333">
        <v>1996</v>
      </c>
      <c r="H113" s="341" t="s">
        <v>736</v>
      </c>
      <c r="I113" s="336" t="str">
        <f t="shared" si="6"/>
        <v>Pesado de Passageiros M3: III : Gasóleo : E1</v>
      </c>
      <c r="J113" s="125">
        <v>84</v>
      </c>
      <c r="K113" s="125">
        <v>2022</v>
      </c>
      <c r="L113" s="85">
        <v>16175.02</v>
      </c>
      <c r="M113" s="85" t="s">
        <v>630</v>
      </c>
      <c r="N113" s="128">
        <v>43688</v>
      </c>
      <c r="O113" s="128">
        <f t="shared" si="7"/>
        <v>3669792</v>
      </c>
      <c r="P113" s="125" t="s">
        <v>748</v>
      </c>
      <c r="Q113" s="85" t="s">
        <v>47</v>
      </c>
      <c r="R113" s="220" t="s">
        <v>1888</v>
      </c>
      <c r="S113" s="220" t="s">
        <v>1861</v>
      </c>
      <c r="T113" s="85" t="s">
        <v>1491</v>
      </c>
      <c r="U113" t="s">
        <v>1972</v>
      </c>
      <c r="V113" t="s">
        <v>2832</v>
      </c>
    </row>
    <row r="114" spans="1:22" ht="15.75" thickBot="1" x14ac:dyDescent="0.3">
      <c r="A114" s="82" t="s">
        <v>3510</v>
      </c>
      <c r="B114" s="82" t="str">
        <f t="shared" si="4"/>
        <v>Barraqueiro Transportes, S.A.</v>
      </c>
      <c r="C114" s="82" t="str">
        <f t="shared" si="5"/>
        <v>Boa Viagem</v>
      </c>
      <c r="D114" s="83" t="s">
        <v>629</v>
      </c>
      <c r="E114" s="91" t="s">
        <v>1853</v>
      </c>
      <c r="F114" s="124" t="s">
        <v>620</v>
      </c>
      <c r="G114" s="333">
        <v>2008</v>
      </c>
      <c r="H114" s="341" t="s">
        <v>731</v>
      </c>
      <c r="I114" s="336" t="str">
        <f t="shared" si="6"/>
        <v>Pesado de Passageiros M3: III : Gasóleo : E4</v>
      </c>
      <c r="J114" s="125">
        <v>53</v>
      </c>
      <c r="K114" s="125">
        <v>2022</v>
      </c>
      <c r="L114" s="85">
        <v>14779.58</v>
      </c>
      <c r="M114" s="85" t="s">
        <v>630</v>
      </c>
      <c r="N114" s="128">
        <v>39694</v>
      </c>
      <c r="O114" s="128">
        <f t="shared" si="7"/>
        <v>2103782</v>
      </c>
      <c r="P114" s="125" t="s">
        <v>749</v>
      </c>
      <c r="Q114" s="85" t="s">
        <v>47</v>
      </c>
      <c r="R114" s="220" t="s">
        <v>1888</v>
      </c>
      <c r="S114" s="220" t="s">
        <v>1861</v>
      </c>
      <c r="T114" s="85" t="s">
        <v>1491</v>
      </c>
      <c r="U114" t="s">
        <v>1972</v>
      </c>
      <c r="V114" t="s">
        <v>2832</v>
      </c>
    </row>
    <row r="115" spans="1:22" ht="15.75" thickBot="1" x14ac:dyDescent="0.3">
      <c r="A115" s="82" t="s">
        <v>3510</v>
      </c>
      <c r="B115" s="82" t="str">
        <f t="shared" si="4"/>
        <v>Barraqueiro Transportes, S.A.</v>
      </c>
      <c r="C115" s="82" t="str">
        <f t="shared" si="5"/>
        <v>Boa Viagem</v>
      </c>
      <c r="D115" s="83" t="s">
        <v>629</v>
      </c>
      <c r="E115" s="91" t="s">
        <v>1853</v>
      </c>
      <c r="F115" s="124" t="s">
        <v>620</v>
      </c>
      <c r="G115" s="333">
        <v>2008</v>
      </c>
      <c r="H115" s="341" t="s">
        <v>731</v>
      </c>
      <c r="I115" s="336" t="str">
        <f t="shared" si="6"/>
        <v>Pesado de Passageiros M3: III : Gasóleo : E4</v>
      </c>
      <c r="J115" s="125">
        <v>55</v>
      </c>
      <c r="K115" s="125">
        <v>2022</v>
      </c>
      <c r="L115" s="85">
        <v>23696.313999999998</v>
      </c>
      <c r="M115" s="85" t="s">
        <v>630</v>
      </c>
      <c r="N115" s="128">
        <v>67212</v>
      </c>
      <c r="O115" s="128">
        <f t="shared" si="7"/>
        <v>3696660</v>
      </c>
      <c r="P115" s="125" t="s">
        <v>750</v>
      </c>
      <c r="Q115" s="85" t="s">
        <v>47</v>
      </c>
      <c r="R115" s="220" t="s">
        <v>1888</v>
      </c>
      <c r="S115" s="220" t="s">
        <v>1861</v>
      </c>
      <c r="T115" s="85" t="s">
        <v>1491</v>
      </c>
      <c r="U115" t="s">
        <v>1972</v>
      </c>
      <c r="V115" t="s">
        <v>2832</v>
      </c>
    </row>
    <row r="116" spans="1:22" ht="15.75" thickBot="1" x14ac:dyDescent="0.3">
      <c r="A116" s="82" t="s">
        <v>3510</v>
      </c>
      <c r="B116" s="82" t="str">
        <f t="shared" si="4"/>
        <v>Barraqueiro Transportes, S.A.</v>
      </c>
      <c r="C116" s="82" t="str">
        <f t="shared" si="5"/>
        <v>Boa Viagem</v>
      </c>
      <c r="D116" s="83" t="s">
        <v>629</v>
      </c>
      <c r="E116" s="91" t="s">
        <v>1853</v>
      </c>
      <c r="F116" s="124" t="s">
        <v>620</v>
      </c>
      <c r="G116" s="333">
        <v>2008</v>
      </c>
      <c r="H116" s="341" t="s">
        <v>731</v>
      </c>
      <c r="I116" s="336" t="str">
        <f t="shared" si="6"/>
        <v>Pesado de Passageiros M3: III : Gasóleo : E4</v>
      </c>
      <c r="J116" s="125">
        <v>53</v>
      </c>
      <c r="K116" s="125">
        <v>2022</v>
      </c>
      <c r="L116" s="85">
        <v>20554.689999999999</v>
      </c>
      <c r="M116" s="85" t="s">
        <v>630</v>
      </c>
      <c r="N116" s="128">
        <v>50784</v>
      </c>
      <c r="O116" s="128">
        <f t="shared" si="7"/>
        <v>2691552</v>
      </c>
      <c r="P116" s="125" t="s">
        <v>751</v>
      </c>
      <c r="Q116" s="85" t="s">
        <v>47</v>
      </c>
      <c r="R116" s="220" t="s">
        <v>1888</v>
      </c>
      <c r="S116" s="220" t="s">
        <v>1861</v>
      </c>
      <c r="T116" s="85" t="s">
        <v>1491</v>
      </c>
      <c r="U116" t="s">
        <v>1972</v>
      </c>
      <c r="V116" t="s">
        <v>2832</v>
      </c>
    </row>
    <row r="117" spans="1:22" ht="15.75" thickBot="1" x14ac:dyDescent="0.3">
      <c r="A117" s="82" t="s">
        <v>3510</v>
      </c>
      <c r="B117" s="82" t="str">
        <f t="shared" si="4"/>
        <v>Barraqueiro Transportes, S.A.</v>
      </c>
      <c r="C117" s="82" t="str">
        <f t="shared" si="5"/>
        <v>Boa Viagem</v>
      </c>
      <c r="D117" s="83" t="s">
        <v>629</v>
      </c>
      <c r="E117" s="91" t="s">
        <v>1853</v>
      </c>
      <c r="F117" s="124" t="s">
        <v>620</v>
      </c>
      <c r="G117" s="333">
        <v>2009</v>
      </c>
      <c r="H117" s="341" t="s">
        <v>734</v>
      </c>
      <c r="I117" s="336" t="str">
        <f t="shared" si="6"/>
        <v>Pesado de Passageiros M3: III : Gasóleo : E5</v>
      </c>
      <c r="J117" s="125">
        <v>52</v>
      </c>
      <c r="K117" s="125">
        <v>2022</v>
      </c>
      <c r="L117" s="85">
        <v>24282.400000000001</v>
      </c>
      <c r="M117" s="85" t="s">
        <v>630</v>
      </c>
      <c r="N117" s="128">
        <v>55788</v>
      </c>
      <c r="O117" s="128">
        <f t="shared" si="7"/>
        <v>2900976</v>
      </c>
      <c r="P117" s="125" t="s">
        <v>752</v>
      </c>
      <c r="Q117" s="85" t="s">
        <v>47</v>
      </c>
      <c r="R117" s="220" t="s">
        <v>1888</v>
      </c>
      <c r="S117" s="220" t="s">
        <v>1861</v>
      </c>
      <c r="T117" s="85" t="s">
        <v>1491</v>
      </c>
      <c r="U117" t="s">
        <v>1972</v>
      </c>
      <c r="V117" t="s">
        <v>2832</v>
      </c>
    </row>
    <row r="118" spans="1:22" ht="15.75" thickBot="1" x14ac:dyDescent="0.3">
      <c r="A118" s="82" t="s">
        <v>3510</v>
      </c>
      <c r="B118" s="82" t="str">
        <f t="shared" si="4"/>
        <v>Barraqueiro Transportes, S.A.</v>
      </c>
      <c r="C118" s="82" t="str">
        <f t="shared" si="5"/>
        <v>Boa Viagem</v>
      </c>
      <c r="D118" s="83" t="s">
        <v>629</v>
      </c>
      <c r="E118" s="91" t="s">
        <v>1853</v>
      </c>
      <c r="F118" s="124" t="s">
        <v>620</v>
      </c>
      <c r="G118" s="333">
        <v>2001</v>
      </c>
      <c r="H118" s="341" t="s">
        <v>732</v>
      </c>
      <c r="I118" s="336" t="str">
        <f t="shared" si="6"/>
        <v>Pesado de Passageiros M3: III : Gasóleo : E3</v>
      </c>
      <c r="J118" s="125">
        <v>55</v>
      </c>
      <c r="K118" s="125">
        <v>2022</v>
      </c>
      <c r="L118" s="85">
        <v>15284.740000000002</v>
      </c>
      <c r="M118" s="85" t="s">
        <v>630</v>
      </c>
      <c r="N118" s="128">
        <v>39535</v>
      </c>
      <c r="O118" s="128">
        <f t="shared" si="7"/>
        <v>2174425</v>
      </c>
      <c r="P118" s="125" t="s">
        <v>753</v>
      </c>
      <c r="Q118" s="85" t="s">
        <v>47</v>
      </c>
      <c r="R118" s="220" t="s">
        <v>1888</v>
      </c>
      <c r="S118" s="220" t="s">
        <v>1861</v>
      </c>
      <c r="T118" s="85" t="s">
        <v>1491</v>
      </c>
      <c r="U118" t="s">
        <v>1972</v>
      </c>
      <c r="V118" t="s">
        <v>2832</v>
      </c>
    </row>
    <row r="119" spans="1:22" ht="15.75" thickBot="1" x14ac:dyDescent="0.3">
      <c r="A119" s="82" t="s">
        <v>3510</v>
      </c>
      <c r="B119" s="82" t="str">
        <f t="shared" si="4"/>
        <v>Barraqueiro Transportes, S.A.</v>
      </c>
      <c r="C119" s="82" t="str">
        <f t="shared" si="5"/>
        <v>Boa Viagem</v>
      </c>
      <c r="D119" s="83" t="s">
        <v>629</v>
      </c>
      <c r="E119" s="91" t="s">
        <v>1853</v>
      </c>
      <c r="F119" s="124" t="s">
        <v>620</v>
      </c>
      <c r="G119" s="333">
        <v>2001</v>
      </c>
      <c r="H119" s="341" t="s">
        <v>732</v>
      </c>
      <c r="I119" s="336" t="str">
        <f t="shared" si="6"/>
        <v>Pesado de Passageiros M3: III : Gasóleo : E3</v>
      </c>
      <c r="J119" s="125">
        <v>55</v>
      </c>
      <c r="K119" s="125">
        <v>2022</v>
      </c>
      <c r="L119" s="85">
        <v>12484.79</v>
      </c>
      <c r="M119" s="85" t="s">
        <v>630</v>
      </c>
      <c r="N119" s="128">
        <v>32406</v>
      </c>
      <c r="O119" s="128">
        <f t="shared" si="7"/>
        <v>1782330</v>
      </c>
      <c r="P119" s="125" t="s">
        <v>754</v>
      </c>
      <c r="Q119" s="85" t="s">
        <v>47</v>
      </c>
      <c r="R119" s="220" t="s">
        <v>1888</v>
      </c>
      <c r="S119" s="220" t="s">
        <v>1861</v>
      </c>
      <c r="T119" s="85" t="s">
        <v>1491</v>
      </c>
      <c r="U119" t="s">
        <v>1972</v>
      </c>
      <c r="V119" t="s">
        <v>2832</v>
      </c>
    </row>
    <row r="120" spans="1:22" ht="15.75" thickBot="1" x14ac:dyDescent="0.3">
      <c r="A120" s="82" t="s">
        <v>3510</v>
      </c>
      <c r="B120" s="82" t="str">
        <f t="shared" si="4"/>
        <v>Barraqueiro Transportes, S.A.</v>
      </c>
      <c r="C120" s="82" t="str">
        <f t="shared" si="5"/>
        <v>Boa Viagem</v>
      </c>
      <c r="D120" s="83" t="s">
        <v>629</v>
      </c>
      <c r="E120" s="91" t="s">
        <v>1853</v>
      </c>
      <c r="F120" s="124" t="s">
        <v>620</v>
      </c>
      <c r="G120" s="333">
        <v>2001</v>
      </c>
      <c r="H120" s="341" t="s">
        <v>732</v>
      </c>
      <c r="I120" s="336" t="str">
        <f t="shared" si="6"/>
        <v>Pesado de Passageiros M3: III : Gasóleo : E3</v>
      </c>
      <c r="J120" s="125">
        <v>55</v>
      </c>
      <c r="K120" s="125">
        <v>2022</v>
      </c>
      <c r="L120" s="85">
        <v>17140.52</v>
      </c>
      <c r="M120" s="85" t="s">
        <v>630</v>
      </c>
      <c r="N120" s="128">
        <v>43652</v>
      </c>
      <c r="O120" s="128">
        <f t="shared" si="7"/>
        <v>2400860</v>
      </c>
      <c r="P120" s="125" t="s">
        <v>755</v>
      </c>
      <c r="Q120" s="85" t="s">
        <v>47</v>
      </c>
      <c r="R120" s="220" t="s">
        <v>1888</v>
      </c>
      <c r="S120" s="220" t="s">
        <v>1861</v>
      </c>
      <c r="T120" s="85" t="s">
        <v>1491</v>
      </c>
      <c r="U120" t="s">
        <v>1972</v>
      </c>
      <c r="V120" t="s">
        <v>2832</v>
      </c>
    </row>
    <row r="121" spans="1:22" ht="15.75" thickBot="1" x14ac:dyDescent="0.3">
      <c r="A121" s="82" t="s">
        <v>3510</v>
      </c>
      <c r="B121" s="82" t="str">
        <f t="shared" si="4"/>
        <v>Barraqueiro Transportes, S.A.</v>
      </c>
      <c r="C121" s="82" t="str">
        <f t="shared" si="5"/>
        <v>Boa Viagem</v>
      </c>
      <c r="D121" s="83" t="s">
        <v>629</v>
      </c>
      <c r="E121" s="91" t="s">
        <v>1853</v>
      </c>
      <c r="F121" s="124" t="s">
        <v>620</v>
      </c>
      <c r="G121" s="333">
        <v>1993</v>
      </c>
      <c r="H121" s="341" t="s">
        <v>736</v>
      </c>
      <c r="I121" s="336" t="str">
        <f t="shared" si="6"/>
        <v>Pesado de Passageiros M3: III : Gasóleo : E1</v>
      </c>
      <c r="J121" s="125">
        <v>56</v>
      </c>
      <c r="K121" s="125">
        <v>2022</v>
      </c>
      <c r="L121" s="85">
        <v>32.96</v>
      </c>
      <c r="M121" s="85" t="s">
        <v>630</v>
      </c>
      <c r="N121" s="128">
        <v>96</v>
      </c>
      <c r="O121" s="128">
        <f t="shared" si="7"/>
        <v>5376</v>
      </c>
      <c r="P121" s="125" t="s">
        <v>756</v>
      </c>
      <c r="Q121" s="85" t="s">
        <v>47</v>
      </c>
      <c r="R121" s="220" t="s">
        <v>1888</v>
      </c>
      <c r="S121" s="220" t="s">
        <v>1861</v>
      </c>
      <c r="T121" s="85" t="s">
        <v>1491</v>
      </c>
      <c r="U121" t="s">
        <v>1972</v>
      </c>
      <c r="V121" t="s">
        <v>2832</v>
      </c>
    </row>
    <row r="122" spans="1:22" ht="15.75" thickBot="1" x14ac:dyDescent="0.3">
      <c r="A122" s="82" t="s">
        <v>3510</v>
      </c>
      <c r="B122" s="82" t="str">
        <f t="shared" si="4"/>
        <v>Barraqueiro Transportes, S.A.</v>
      </c>
      <c r="C122" s="82" t="str">
        <f t="shared" si="5"/>
        <v>Boa Viagem</v>
      </c>
      <c r="D122" s="83" t="s">
        <v>629</v>
      </c>
      <c r="E122" s="91" t="s">
        <v>1853</v>
      </c>
      <c r="F122" s="124" t="s">
        <v>620</v>
      </c>
      <c r="G122" s="333">
        <v>2001</v>
      </c>
      <c r="H122" s="341" t="s">
        <v>732</v>
      </c>
      <c r="I122" s="336" t="str">
        <f t="shared" si="6"/>
        <v>Pesado de Passageiros M3: III : Gasóleo : E3</v>
      </c>
      <c r="J122" s="125">
        <v>81</v>
      </c>
      <c r="K122" s="125">
        <v>2022</v>
      </c>
      <c r="L122" s="85">
        <v>16385.36</v>
      </c>
      <c r="M122" s="85" t="s">
        <v>630</v>
      </c>
      <c r="N122" s="128">
        <v>46054</v>
      </c>
      <c r="O122" s="128">
        <f t="shared" si="7"/>
        <v>3730374</v>
      </c>
      <c r="P122" s="125" t="s">
        <v>757</v>
      </c>
      <c r="Q122" s="85" t="s">
        <v>47</v>
      </c>
      <c r="R122" s="220" t="s">
        <v>1888</v>
      </c>
      <c r="S122" s="220" t="s">
        <v>1861</v>
      </c>
      <c r="T122" s="85" t="s">
        <v>1491</v>
      </c>
      <c r="U122" t="s">
        <v>1972</v>
      </c>
      <c r="V122" t="s">
        <v>2832</v>
      </c>
    </row>
    <row r="123" spans="1:22" ht="15.75" thickBot="1" x14ac:dyDescent="0.3">
      <c r="A123" s="82" t="s">
        <v>3510</v>
      </c>
      <c r="B123" s="82" t="str">
        <f t="shared" si="4"/>
        <v>Barraqueiro Transportes, S.A.</v>
      </c>
      <c r="C123" s="82" t="str">
        <f t="shared" si="5"/>
        <v>Boa Viagem</v>
      </c>
      <c r="D123" s="83" t="s">
        <v>629</v>
      </c>
      <c r="E123" s="91" t="s">
        <v>1853</v>
      </c>
      <c r="F123" s="124" t="s">
        <v>620</v>
      </c>
      <c r="G123" s="333">
        <v>1994</v>
      </c>
      <c r="H123" s="341" t="s">
        <v>736</v>
      </c>
      <c r="I123" s="336" t="str">
        <f t="shared" si="6"/>
        <v>Pesado de Passageiros M3: III : Gasóleo : E1</v>
      </c>
      <c r="J123" s="125">
        <v>48</v>
      </c>
      <c r="K123" s="125">
        <v>2022</v>
      </c>
      <c r="L123" s="85">
        <v>15811.140000000001</v>
      </c>
      <c r="M123" s="85" t="s">
        <v>630</v>
      </c>
      <c r="N123" s="128">
        <v>40547</v>
      </c>
      <c r="O123" s="128">
        <f t="shared" si="7"/>
        <v>1946256</v>
      </c>
      <c r="P123" s="125" t="s">
        <v>758</v>
      </c>
      <c r="Q123" s="85" t="s">
        <v>47</v>
      </c>
      <c r="R123" s="220" t="s">
        <v>1888</v>
      </c>
      <c r="S123" s="220" t="s">
        <v>1861</v>
      </c>
      <c r="T123" s="85" t="s">
        <v>1491</v>
      </c>
      <c r="U123" t="s">
        <v>1972</v>
      </c>
      <c r="V123" t="s">
        <v>2832</v>
      </c>
    </row>
    <row r="124" spans="1:22" ht="15.75" thickBot="1" x14ac:dyDescent="0.3">
      <c r="A124" s="82" t="s">
        <v>3510</v>
      </c>
      <c r="B124" s="82" t="str">
        <f t="shared" si="4"/>
        <v>Barraqueiro Transportes, S.A.</v>
      </c>
      <c r="C124" s="82" t="str">
        <f t="shared" si="5"/>
        <v>Boa Viagem</v>
      </c>
      <c r="D124" s="83" t="s">
        <v>629</v>
      </c>
      <c r="E124" s="91" t="s">
        <v>1853</v>
      </c>
      <c r="F124" s="124" t="s">
        <v>620</v>
      </c>
      <c r="G124" s="333">
        <v>1996</v>
      </c>
      <c r="H124" s="341" t="s">
        <v>736</v>
      </c>
      <c r="I124" s="336" t="str">
        <f t="shared" si="6"/>
        <v>Pesado de Passageiros M3: III : Gasóleo : E1</v>
      </c>
      <c r="J124" s="125">
        <v>18</v>
      </c>
      <c r="K124" s="125">
        <v>2022</v>
      </c>
      <c r="L124" s="85">
        <v>10594.76</v>
      </c>
      <c r="M124" s="85" t="s">
        <v>630</v>
      </c>
      <c r="N124" s="128">
        <v>27565</v>
      </c>
      <c r="O124" s="128">
        <f t="shared" si="7"/>
        <v>496170</v>
      </c>
      <c r="P124" s="125" t="s">
        <v>759</v>
      </c>
      <c r="Q124" s="85" t="s">
        <v>47</v>
      </c>
      <c r="R124" s="220" t="s">
        <v>1888</v>
      </c>
      <c r="S124" s="220" t="s">
        <v>1861</v>
      </c>
      <c r="T124" s="85" t="s">
        <v>1491</v>
      </c>
      <c r="U124" t="s">
        <v>1972</v>
      </c>
      <c r="V124" t="s">
        <v>2832</v>
      </c>
    </row>
    <row r="125" spans="1:22" ht="15.75" thickBot="1" x14ac:dyDescent="0.3">
      <c r="A125" s="82" t="s">
        <v>3510</v>
      </c>
      <c r="B125" s="82" t="str">
        <f t="shared" si="4"/>
        <v>Barraqueiro Transportes, S.A.</v>
      </c>
      <c r="C125" s="82" t="str">
        <f t="shared" si="5"/>
        <v>Boa Viagem</v>
      </c>
      <c r="D125" s="83" t="s">
        <v>629</v>
      </c>
      <c r="E125" s="91" t="s">
        <v>1853</v>
      </c>
      <c r="F125" s="124" t="s">
        <v>620</v>
      </c>
      <c r="G125" s="333">
        <v>2009</v>
      </c>
      <c r="H125" s="341" t="s">
        <v>734</v>
      </c>
      <c r="I125" s="336" t="str">
        <f t="shared" si="6"/>
        <v>Pesado de Passageiros M3: III : Gasóleo : E5</v>
      </c>
      <c r="J125" s="125">
        <v>84</v>
      </c>
      <c r="K125" s="125">
        <v>2022</v>
      </c>
      <c r="L125" s="85">
        <v>26598.429999999997</v>
      </c>
      <c r="M125" s="85" t="s">
        <v>630</v>
      </c>
      <c r="N125" s="128">
        <v>71280</v>
      </c>
      <c r="O125" s="128">
        <f t="shared" si="7"/>
        <v>5987520</v>
      </c>
      <c r="P125" s="125" t="s">
        <v>760</v>
      </c>
      <c r="Q125" s="85" t="s">
        <v>47</v>
      </c>
      <c r="R125" s="220" t="s">
        <v>1888</v>
      </c>
      <c r="S125" s="220" t="s">
        <v>1861</v>
      </c>
      <c r="T125" s="85" t="s">
        <v>1491</v>
      </c>
      <c r="U125" t="s">
        <v>1972</v>
      </c>
      <c r="V125" t="s">
        <v>2832</v>
      </c>
    </row>
    <row r="126" spans="1:22" ht="15.75" thickBot="1" x14ac:dyDescent="0.3">
      <c r="A126" s="82" t="s">
        <v>3510</v>
      </c>
      <c r="B126" s="82" t="str">
        <f t="shared" si="4"/>
        <v>Barraqueiro Transportes, S.A.</v>
      </c>
      <c r="C126" s="82" t="str">
        <f t="shared" si="5"/>
        <v>Boa Viagem</v>
      </c>
      <c r="D126" s="83" t="s">
        <v>629</v>
      </c>
      <c r="E126" s="91" t="s">
        <v>1853</v>
      </c>
      <c r="F126" s="124" t="s">
        <v>620</v>
      </c>
      <c r="G126" s="333">
        <v>1996</v>
      </c>
      <c r="H126" s="341" t="s">
        <v>736</v>
      </c>
      <c r="I126" s="336" t="str">
        <f t="shared" si="6"/>
        <v>Pesado de Passageiros M3: III : Gasóleo : E1</v>
      </c>
      <c r="J126" s="125">
        <v>56</v>
      </c>
      <c r="K126" s="125">
        <v>2022</v>
      </c>
      <c r="L126" s="85">
        <v>12614.150000000001</v>
      </c>
      <c r="M126" s="85" t="s">
        <v>630</v>
      </c>
      <c r="N126" s="128">
        <v>33211</v>
      </c>
      <c r="O126" s="128">
        <f t="shared" si="7"/>
        <v>1859816</v>
      </c>
      <c r="P126" s="125" t="s">
        <v>761</v>
      </c>
      <c r="Q126" s="85" t="s">
        <v>47</v>
      </c>
      <c r="R126" s="220" t="s">
        <v>1888</v>
      </c>
      <c r="S126" s="220" t="s">
        <v>1861</v>
      </c>
      <c r="T126" s="85" t="s">
        <v>1491</v>
      </c>
      <c r="U126" t="s">
        <v>1972</v>
      </c>
      <c r="V126" t="s">
        <v>2832</v>
      </c>
    </row>
    <row r="127" spans="1:22" ht="15.75" thickBot="1" x14ac:dyDescent="0.3">
      <c r="A127" s="82" t="s">
        <v>3510</v>
      </c>
      <c r="B127" s="82" t="str">
        <f t="shared" si="4"/>
        <v>Barraqueiro Transportes, S.A.</v>
      </c>
      <c r="C127" s="82" t="str">
        <f t="shared" si="5"/>
        <v>Boa Viagem</v>
      </c>
      <c r="D127" s="83" t="s">
        <v>629</v>
      </c>
      <c r="E127" s="91" t="s">
        <v>1853</v>
      </c>
      <c r="F127" s="124" t="s">
        <v>620</v>
      </c>
      <c r="G127" s="333">
        <v>2005</v>
      </c>
      <c r="H127" s="341" t="s">
        <v>732</v>
      </c>
      <c r="I127" s="336" t="str">
        <f t="shared" si="6"/>
        <v>Pesado de Passageiros M3: III : Gasóleo : E3</v>
      </c>
      <c r="J127" s="125">
        <v>82</v>
      </c>
      <c r="K127" s="125">
        <v>2022</v>
      </c>
      <c r="L127" s="85">
        <v>18486.034999999996</v>
      </c>
      <c r="M127" s="85" t="s">
        <v>630</v>
      </c>
      <c r="N127" s="128">
        <v>47387</v>
      </c>
      <c r="O127" s="128">
        <f t="shared" si="7"/>
        <v>3885734</v>
      </c>
      <c r="P127" s="125" t="s">
        <v>762</v>
      </c>
      <c r="Q127" s="85" t="s">
        <v>47</v>
      </c>
      <c r="R127" s="220" t="s">
        <v>1888</v>
      </c>
      <c r="S127" s="220" t="s">
        <v>1861</v>
      </c>
      <c r="T127" s="85" t="s">
        <v>1491</v>
      </c>
      <c r="U127" t="s">
        <v>1972</v>
      </c>
      <c r="V127" t="s">
        <v>2832</v>
      </c>
    </row>
    <row r="128" spans="1:22" ht="15.75" thickBot="1" x14ac:dyDescent="0.3">
      <c r="A128" s="82" t="s">
        <v>3510</v>
      </c>
      <c r="B128" s="82" t="str">
        <f t="shared" si="4"/>
        <v>Barraqueiro Transportes, S.A.</v>
      </c>
      <c r="C128" s="82" t="str">
        <f t="shared" si="5"/>
        <v>Boa Viagem</v>
      </c>
      <c r="D128" s="83" t="s">
        <v>629</v>
      </c>
      <c r="E128" s="91" t="s">
        <v>1853</v>
      </c>
      <c r="F128" s="124" t="s">
        <v>620</v>
      </c>
      <c r="G128" s="333">
        <v>2008</v>
      </c>
      <c r="H128" s="341" t="s">
        <v>731</v>
      </c>
      <c r="I128" s="336" t="str">
        <f t="shared" si="6"/>
        <v>Pesado de Passageiros M3: III : Gasóleo : E4</v>
      </c>
      <c r="J128" s="125">
        <v>53</v>
      </c>
      <c r="K128" s="125">
        <v>2022</v>
      </c>
      <c r="L128" s="85">
        <v>25072.320000000003</v>
      </c>
      <c r="M128" s="85" t="s">
        <v>630</v>
      </c>
      <c r="N128" s="128">
        <v>72208</v>
      </c>
      <c r="O128" s="128">
        <f t="shared" si="7"/>
        <v>3827024</v>
      </c>
      <c r="P128" s="125" t="s">
        <v>763</v>
      </c>
      <c r="Q128" s="85" t="s">
        <v>47</v>
      </c>
      <c r="R128" s="220" t="s">
        <v>1888</v>
      </c>
      <c r="S128" s="220" t="s">
        <v>1861</v>
      </c>
      <c r="T128" s="85" t="s">
        <v>1491</v>
      </c>
      <c r="U128" t="s">
        <v>1972</v>
      </c>
      <c r="V128" t="s">
        <v>2832</v>
      </c>
    </row>
    <row r="129" spans="1:22" ht="15.75" thickBot="1" x14ac:dyDescent="0.3">
      <c r="A129" s="82" t="s">
        <v>3510</v>
      </c>
      <c r="B129" s="82" t="str">
        <f t="shared" si="4"/>
        <v>Barraqueiro Transportes, S.A.</v>
      </c>
      <c r="C129" s="82" t="str">
        <f t="shared" si="5"/>
        <v>Boa Viagem</v>
      </c>
      <c r="D129" s="83" t="s">
        <v>629</v>
      </c>
      <c r="E129" s="91" t="s">
        <v>1853</v>
      </c>
      <c r="F129" s="124" t="s">
        <v>620</v>
      </c>
      <c r="G129" s="333">
        <v>2003</v>
      </c>
      <c r="H129" s="341" t="s">
        <v>732</v>
      </c>
      <c r="I129" s="336" t="str">
        <f t="shared" si="6"/>
        <v>Pesado de Passageiros M3: III : Gasóleo : E3</v>
      </c>
      <c r="J129" s="125">
        <v>98</v>
      </c>
      <c r="K129" s="125">
        <v>2022</v>
      </c>
      <c r="L129" s="85">
        <v>11939.890000000001</v>
      </c>
      <c r="M129" s="85" t="s">
        <v>630</v>
      </c>
      <c r="N129" s="128">
        <v>25497</v>
      </c>
      <c r="O129" s="128">
        <f t="shared" si="7"/>
        <v>2498706</v>
      </c>
      <c r="P129" s="125" t="s">
        <v>764</v>
      </c>
      <c r="Q129" s="85" t="s">
        <v>47</v>
      </c>
      <c r="R129" s="220" t="s">
        <v>1888</v>
      </c>
      <c r="S129" s="220" t="s">
        <v>1861</v>
      </c>
      <c r="T129" s="85" t="s">
        <v>1491</v>
      </c>
      <c r="U129" t="s">
        <v>1972</v>
      </c>
      <c r="V129" t="s">
        <v>2832</v>
      </c>
    </row>
    <row r="130" spans="1:22" ht="15.75" thickBot="1" x14ac:dyDescent="0.3">
      <c r="A130" s="82" t="s">
        <v>3510</v>
      </c>
      <c r="B130" s="82" t="str">
        <f t="shared" si="4"/>
        <v>Barraqueiro Transportes, S.A.</v>
      </c>
      <c r="C130" s="82" t="str">
        <f t="shared" si="5"/>
        <v>Boa Viagem</v>
      </c>
      <c r="D130" s="83" t="s">
        <v>629</v>
      </c>
      <c r="E130" s="91" t="s">
        <v>1853</v>
      </c>
      <c r="F130" s="124" t="s">
        <v>620</v>
      </c>
      <c r="G130" s="333">
        <v>2005</v>
      </c>
      <c r="H130" s="341" t="s">
        <v>732</v>
      </c>
      <c r="I130" s="336" t="str">
        <f t="shared" si="6"/>
        <v>Pesado de Passageiros M3: III : Gasóleo : E3</v>
      </c>
      <c r="J130" s="125">
        <v>57</v>
      </c>
      <c r="K130" s="125">
        <v>2022</v>
      </c>
      <c r="L130" s="85">
        <v>26606.32</v>
      </c>
      <c r="M130" s="85" t="s">
        <v>630</v>
      </c>
      <c r="N130" s="128">
        <v>74341</v>
      </c>
      <c r="O130" s="128">
        <f t="shared" si="7"/>
        <v>4237437</v>
      </c>
      <c r="P130" s="125" t="s">
        <v>765</v>
      </c>
      <c r="Q130" s="85" t="s">
        <v>47</v>
      </c>
      <c r="R130" s="220" t="s">
        <v>1888</v>
      </c>
      <c r="S130" s="220" t="s">
        <v>1861</v>
      </c>
      <c r="T130" s="85" t="s">
        <v>1491</v>
      </c>
      <c r="U130" t="s">
        <v>1972</v>
      </c>
      <c r="V130" t="s">
        <v>2832</v>
      </c>
    </row>
    <row r="131" spans="1:22" ht="15.75" thickBot="1" x14ac:dyDescent="0.3">
      <c r="A131" s="82" t="s">
        <v>3510</v>
      </c>
      <c r="B131" s="82" t="str">
        <f t="shared" ref="B131:B194" si="8">LEFT(A131,IFERROR(FIND(" - ",A131)-1,LEN(A131)))</f>
        <v>Barraqueiro Transportes, S.A.</v>
      </c>
      <c r="C131" s="82" t="str">
        <f t="shared" si="5"/>
        <v>Boa Viagem</v>
      </c>
      <c r="D131" s="83" t="s">
        <v>629</v>
      </c>
      <c r="E131" s="91" t="s">
        <v>1853</v>
      </c>
      <c r="F131" s="124" t="s">
        <v>620</v>
      </c>
      <c r="G131" s="333">
        <v>2009</v>
      </c>
      <c r="H131" s="341" t="s">
        <v>734</v>
      </c>
      <c r="I131" s="336" t="str">
        <f t="shared" si="6"/>
        <v>Pesado de Passageiros M3: III : Gasóleo : E5</v>
      </c>
      <c r="J131" s="125">
        <v>53</v>
      </c>
      <c r="K131" s="125">
        <v>2022</v>
      </c>
      <c r="L131" s="85">
        <v>24024.37</v>
      </c>
      <c r="M131" s="85" t="s">
        <v>630</v>
      </c>
      <c r="N131" s="128">
        <v>62556</v>
      </c>
      <c r="O131" s="128">
        <f t="shared" si="7"/>
        <v>3315468</v>
      </c>
      <c r="P131" s="125" t="s">
        <v>766</v>
      </c>
      <c r="Q131" s="85" t="s">
        <v>47</v>
      </c>
      <c r="R131" s="220" t="s">
        <v>1888</v>
      </c>
      <c r="S131" s="220" t="s">
        <v>1861</v>
      </c>
      <c r="T131" s="85" t="s">
        <v>1491</v>
      </c>
      <c r="U131" t="s">
        <v>1972</v>
      </c>
      <c r="V131" t="s">
        <v>2832</v>
      </c>
    </row>
    <row r="132" spans="1:22" ht="15.75" thickBot="1" x14ac:dyDescent="0.3">
      <c r="A132" s="82" t="s">
        <v>3510</v>
      </c>
      <c r="B132" s="82" t="str">
        <f t="shared" si="8"/>
        <v>Barraqueiro Transportes, S.A.</v>
      </c>
      <c r="C132" s="82" t="str">
        <f t="shared" ref="C132:C195" si="9">IF(A132=B132,B132,RIGHT(A132,LEN(A132)-LEN(B132)-3))</f>
        <v>Boa Viagem</v>
      </c>
      <c r="D132" s="83" t="s">
        <v>629</v>
      </c>
      <c r="E132" s="91" t="s">
        <v>1853</v>
      </c>
      <c r="F132" s="124" t="s">
        <v>620</v>
      </c>
      <c r="G132" s="333">
        <v>2009</v>
      </c>
      <c r="H132" s="341" t="s">
        <v>734</v>
      </c>
      <c r="I132" s="336" t="str">
        <f t="shared" ref="I132:I195" si="10">D132&amp;": "&amp;E132&amp;" : "&amp;F132&amp;" : "&amp;H132</f>
        <v>Pesado de Passageiros M3: III : Gasóleo : E5</v>
      </c>
      <c r="J132" s="125">
        <v>53</v>
      </c>
      <c r="K132" s="125">
        <v>2022</v>
      </c>
      <c r="L132" s="85">
        <v>7939.06</v>
      </c>
      <c r="M132" s="85" t="s">
        <v>630</v>
      </c>
      <c r="N132" s="128">
        <v>20649</v>
      </c>
      <c r="O132" s="128">
        <f t="shared" ref="O132:O195" si="11">N132*J132</f>
        <v>1094397</v>
      </c>
      <c r="P132" s="125" t="s">
        <v>767</v>
      </c>
      <c r="Q132" s="85" t="s">
        <v>47</v>
      </c>
      <c r="R132" s="220" t="s">
        <v>1888</v>
      </c>
      <c r="S132" s="220" t="s">
        <v>1861</v>
      </c>
      <c r="T132" s="85" t="s">
        <v>1491</v>
      </c>
      <c r="U132" t="s">
        <v>1972</v>
      </c>
      <c r="V132" t="s">
        <v>2832</v>
      </c>
    </row>
    <row r="133" spans="1:22" ht="15.75" thickBot="1" x14ac:dyDescent="0.3">
      <c r="A133" s="82" t="s">
        <v>3510</v>
      </c>
      <c r="B133" s="82" t="str">
        <f t="shared" si="8"/>
        <v>Barraqueiro Transportes, S.A.</v>
      </c>
      <c r="C133" s="82" t="str">
        <f t="shared" si="9"/>
        <v>Boa Viagem</v>
      </c>
      <c r="D133" s="83" t="s">
        <v>629</v>
      </c>
      <c r="E133" s="91" t="s">
        <v>1853</v>
      </c>
      <c r="F133" s="124" t="s">
        <v>620</v>
      </c>
      <c r="G133" s="333">
        <v>2009</v>
      </c>
      <c r="H133" s="341" t="s">
        <v>734</v>
      </c>
      <c r="I133" s="336" t="str">
        <f t="shared" si="10"/>
        <v>Pesado de Passageiros M3: III : Gasóleo : E5</v>
      </c>
      <c r="J133" s="125">
        <v>37</v>
      </c>
      <c r="K133" s="125">
        <v>2022</v>
      </c>
      <c r="L133" s="85">
        <v>13018.130000000001</v>
      </c>
      <c r="M133" s="85" t="s">
        <v>630</v>
      </c>
      <c r="N133" s="128">
        <v>38665</v>
      </c>
      <c r="O133" s="128">
        <f t="shared" si="11"/>
        <v>1430605</v>
      </c>
      <c r="P133" s="125" t="s">
        <v>768</v>
      </c>
      <c r="Q133" s="85" t="s">
        <v>47</v>
      </c>
      <c r="R133" s="220" t="s">
        <v>1888</v>
      </c>
      <c r="S133" s="220" t="s">
        <v>1861</v>
      </c>
      <c r="T133" s="85" t="s">
        <v>1491</v>
      </c>
      <c r="U133" t="s">
        <v>1972</v>
      </c>
      <c r="V133" t="s">
        <v>2832</v>
      </c>
    </row>
    <row r="134" spans="1:22" ht="15.75" thickBot="1" x14ac:dyDescent="0.3">
      <c r="A134" s="82" t="s">
        <v>3510</v>
      </c>
      <c r="B134" s="82" t="str">
        <f t="shared" si="8"/>
        <v>Barraqueiro Transportes, S.A.</v>
      </c>
      <c r="C134" s="82" t="str">
        <f t="shared" si="9"/>
        <v>Boa Viagem</v>
      </c>
      <c r="D134" s="83" t="s">
        <v>629</v>
      </c>
      <c r="E134" s="91" t="s">
        <v>1853</v>
      </c>
      <c r="F134" s="124" t="s">
        <v>620</v>
      </c>
      <c r="G134" s="333">
        <v>2009</v>
      </c>
      <c r="H134" s="341" t="s">
        <v>734</v>
      </c>
      <c r="I134" s="336" t="str">
        <f t="shared" si="10"/>
        <v>Pesado de Passageiros M3: III : Gasóleo : E5</v>
      </c>
      <c r="J134" s="125">
        <v>27</v>
      </c>
      <c r="K134" s="125">
        <v>2022</v>
      </c>
      <c r="L134" s="85">
        <v>6340.0999999999995</v>
      </c>
      <c r="M134" s="85" t="s">
        <v>630</v>
      </c>
      <c r="N134" s="128">
        <v>32243</v>
      </c>
      <c r="O134" s="128">
        <f t="shared" si="11"/>
        <v>870561</v>
      </c>
      <c r="P134" s="125" t="s">
        <v>769</v>
      </c>
      <c r="Q134" s="85" t="s">
        <v>47</v>
      </c>
      <c r="R134" s="220" t="s">
        <v>1888</v>
      </c>
      <c r="S134" s="220" t="s">
        <v>1861</v>
      </c>
      <c r="T134" s="85" t="s">
        <v>1491</v>
      </c>
      <c r="U134" t="s">
        <v>1972</v>
      </c>
      <c r="V134" t="s">
        <v>2832</v>
      </c>
    </row>
    <row r="135" spans="1:22" ht="15.75" thickBot="1" x14ac:dyDescent="0.3">
      <c r="A135" s="82" t="s">
        <v>3510</v>
      </c>
      <c r="B135" s="82" t="str">
        <f t="shared" si="8"/>
        <v>Barraqueiro Transportes, S.A.</v>
      </c>
      <c r="C135" s="82" t="str">
        <f t="shared" si="9"/>
        <v>Boa Viagem</v>
      </c>
      <c r="D135" s="83" t="s">
        <v>629</v>
      </c>
      <c r="E135" s="91" t="s">
        <v>1853</v>
      </c>
      <c r="F135" s="124" t="s">
        <v>620</v>
      </c>
      <c r="G135" s="333">
        <v>2009</v>
      </c>
      <c r="H135" s="341" t="s">
        <v>734</v>
      </c>
      <c r="I135" s="336" t="str">
        <f t="shared" si="10"/>
        <v>Pesado de Passageiros M3: III : Gasóleo : E5</v>
      </c>
      <c r="J135" s="125">
        <v>27</v>
      </c>
      <c r="K135" s="125">
        <v>2022</v>
      </c>
      <c r="L135" s="85">
        <v>5658.94</v>
      </c>
      <c r="M135" s="85" t="s">
        <v>630</v>
      </c>
      <c r="N135" s="128">
        <v>28827</v>
      </c>
      <c r="O135" s="128">
        <f t="shared" si="11"/>
        <v>778329</v>
      </c>
      <c r="P135" s="125" t="s">
        <v>770</v>
      </c>
      <c r="Q135" s="85" t="s">
        <v>47</v>
      </c>
      <c r="R135" s="220" t="s">
        <v>1888</v>
      </c>
      <c r="S135" s="220" t="s">
        <v>1861</v>
      </c>
      <c r="T135" s="85" t="s">
        <v>1491</v>
      </c>
      <c r="U135" t="s">
        <v>1972</v>
      </c>
      <c r="V135" t="s">
        <v>2832</v>
      </c>
    </row>
    <row r="136" spans="1:22" ht="15.75" thickBot="1" x14ac:dyDescent="0.3">
      <c r="A136" s="82" t="s">
        <v>3510</v>
      </c>
      <c r="B136" s="82" t="str">
        <f t="shared" si="8"/>
        <v>Barraqueiro Transportes, S.A.</v>
      </c>
      <c r="C136" s="82" t="str">
        <f t="shared" si="9"/>
        <v>Boa Viagem</v>
      </c>
      <c r="D136" s="83" t="s">
        <v>629</v>
      </c>
      <c r="E136" s="91" t="s">
        <v>1853</v>
      </c>
      <c r="F136" s="124" t="s">
        <v>620</v>
      </c>
      <c r="G136" s="333">
        <v>2009</v>
      </c>
      <c r="H136" s="341" t="s">
        <v>734</v>
      </c>
      <c r="I136" s="336" t="str">
        <f t="shared" si="10"/>
        <v>Pesado de Passageiros M3: III : Gasóleo : E5</v>
      </c>
      <c r="J136" s="125">
        <v>27</v>
      </c>
      <c r="K136" s="125">
        <v>2022</v>
      </c>
      <c r="L136" s="85">
        <v>3639.6500000000005</v>
      </c>
      <c r="M136" s="85" t="s">
        <v>630</v>
      </c>
      <c r="N136" s="128">
        <v>17017</v>
      </c>
      <c r="O136" s="128">
        <f t="shared" si="11"/>
        <v>459459</v>
      </c>
      <c r="P136" s="125" t="s">
        <v>771</v>
      </c>
      <c r="Q136" s="85" t="s">
        <v>47</v>
      </c>
      <c r="R136" s="220" t="s">
        <v>1888</v>
      </c>
      <c r="S136" s="220" t="s">
        <v>1861</v>
      </c>
      <c r="T136" s="85" t="s">
        <v>1491</v>
      </c>
      <c r="U136" t="s">
        <v>1972</v>
      </c>
      <c r="V136" t="s">
        <v>2832</v>
      </c>
    </row>
    <row r="137" spans="1:22" ht="15.75" thickBot="1" x14ac:dyDescent="0.3">
      <c r="A137" s="82" t="s">
        <v>3510</v>
      </c>
      <c r="B137" s="82" t="str">
        <f t="shared" si="8"/>
        <v>Barraqueiro Transportes, S.A.</v>
      </c>
      <c r="C137" s="82" t="str">
        <f t="shared" si="9"/>
        <v>Boa Viagem</v>
      </c>
      <c r="D137" s="83" t="s">
        <v>629</v>
      </c>
      <c r="E137" s="91" t="s">
        <v>1853</v>
      </c>
      <c r="F137" s="124" t="s">
        <v>620</v>
      </c>
      <c r="G137" s="333">
        <v>2005</v>
      </c>
      <c r="H137" s="341" t="s">
        <v>732</v>
      </c>
      <c r="I137" s="336" t="str">
        <f t="shared" si="10"/>
        <v>Pesado de Passageiros M3: III : Gasóleo : E3</v>
      </c>
      <c r="J137" s="125">
        <v>57</v>
      </c>
      <c r="K137" s="125">
        <v>2022</v>
      </c>
      <c r="L137" s="85">
        <v>16992.020000000004</v>
      </c>
      <c r="M137" s="85" t="s">
        <v>630</v>
      </c>
      <c r="N137" s="128">
        <v>46065</v>
      </c>
      <c r="O137" s="128">
        <f t="shared" si="11"/>
        <v>2625705</v>
      </c>
      <c r="P137" s="125" t="s">
        <v>772</v>
      </c>
      <c r="Q137" s="85" t="s">
        <v>47</v>
      </c>
      <c r="R137" s="220" t="s">
        <v>1888</v>
      </c>
      <c r="S137" s="220" t="s">
        <v>1861</v>
      </c>
      <c r="T137" s="85" t="s">
        <v>1491</v>
      </c>
      <c r="U137" t="s">
        <v>1972</v>
      </c>
      <c r="V137" t="s">
        <v>2832</v>
      </c>
    </row>
    <row r="138" spans="1:22" ht="15.75" thickBot="1" x14ac:dyDescent="0.3">
      <c r="A138" s="82" t="s">
        <v>3510</v>
      </c>
      <c r="B138" s="82" t="str">
        <f t="shared" si="8"/>
        <v>Barraqueiro Transportes, S.A.</v>
      </c>
      <c r="C138" s="82" t="str">
        <f t="shared" si="9"/>
        <v>Boa Viagem</v>
      </c>
      <c r="D138" s="83" t="s">
        <v>629</v>
      </c>
      <c r="E138" s="91" t="s">
        <v>1853</v>
      </c>
      <c r="F138" s="124" t="s">
        <v>620</v>
      </c>
      <c r="G138" s="333">
        <v>2005</v>
      </c>
      <c r="H138" s="341" t="s">
        <v>732</v>
      </c>
      <c r="I138" s="336" t="str">
        <f t="shared" si="10"/>
        <v>Pesado de Passageiros M3: III : Gasóleo : E3</v>
      </c>
      <c r="J138" s="125">
        <v>76</v>
      </c>
      <c r="K138" s="125">
        <v>2022</v>
      </c>
      <c r="L138" s="85">
        <v>21523.93</v>
      </c>
      <c r="M138" s="85" t="s">
        <v>630</v>
      </c>
      <c r="N138" s="128">
        <v>53341</v>
      </c>
      <c r="O138" s="128">
        <f t="shared" si="11"/>
        <v>4053916</v>
      </c>
      <c r="P138" s="125" t="s">
        <v>773</v>
      </c>
      <c r="Q138" s="85" t="s">
        <v>47</v>
      </c>
      <c r="R138" s="220" t="s">
        <v>1888</v>
      </c>
      <c r="S138" s="220" t="s">
        <v>1861</v>
      </c>
      <c r="T138" s="85" t="s">
        <v>1491</v>
      </c>
      <c r="U138" t="s">
        <v>1972</v>
      </c>
      <c r="V138" t="s">
        <v>2832</v>
      </c>
    </row>
    <row r="139" spans="1:22" ht="15.75" thickBot="1" x14ac:dyDescent="0.3">
      <c r="A139" s="82" t="s">
        <v>3510</v>
      </c>
      <c r="B139" s="82" t="str">
        <f t="shared" si="8"/>
        <v>Barraqueiro Transportes, S.A.</v>
      </c>
      <c r="C139" s="82" t="str">
        <f t="shared" si="9"/>
        <v>Boa Viagem</v>
      </c>
      <c r="D139" s="83" t="s">
        <v>629</v>
      </c>
      <c r="E139" s="91" t="s">
        <v>1853</v>
      </c>
      <c r="F139" s="124" t="s">
        <v>620</v>
      </c>
      <c r="G139" s="333">
        <v>2009</v>
      </c>
      <c r="H139" s="341" t="s">
        <v>734</v>
      </c>
      <c r="I139" s="336" t="str">
        <f t="shared" si="10"/>
        <v>Pesado de Passageiros M3: III : Gasóleo : E5</v>
      </c>
      <c r="J139" s="125">
        <v>55</v>
      </c>
      <c r="K139" s="125">
        <v>2022</v>
      </c>
      <c r="L139" s="85">
        <v>23755.930000000004</v>
      </c>
      <c r="M139" s="85" t="s">
        <v>630</v>
      </c>
      <c r="N139" s="128">
        <v>59889</v>
      </c>
      <c r="O139" s="128">
        <f t="shared" si="11"/>
        <v>3293895</v>
      </c>
      <c r="P139" s="125" t="s">
        <v>774</v>
      </c>
      <c r="Q139" s="85" t="s">
        <v>47</v>
      </c>
      <c r="R139" s="220" t="s">
        <v>1888</v>
      </c>
      <c r="S139" s="220" t="s">
        <v>1861</v>
      </c>
      <c r="T139" s="85" t="s">
        <v>1491</v>
      </c>
      <c r="U139" t="s">
        <v>1972</v>
      </c>
      <c r="V139" t="s">
        <v>2832</v>
      </c>
    </row>
    <row r="140" spans="1:22" ht="15.75" thickBot="1" x14ac:dyDescent="0.3">
      <c r="A140" s="82" t="s">
        <v>3510</v>
      </c>
      <c r="B140" s="82" t="str">
        <f t="shared" si="8"/>
        <v>Barraqueiro Transportes, S.A.</v>
      </c>
      <c r="C140" s="82" t="str">
        <f t="shared" si="9"/>
        <v>Boa Viagem</v>
      </c>
      <c r="D140" s="83" t="s">
        <v>629</v>
      </c>
      <c r="E140" s="91" t="s">
        <v>1853</v>
      </c>
      <c r="F140" s="124" t="s">
        <v>620</v>
      </c>
      <c r="G140" s="333">
        <v>2009</v>
      </c>
      <c r="H140" s="341" t="s">
        <v>734</v>
      </c>
      <c r="I140" s="336" t="str">
        <f t="shared" si="10"/>
        <v>Pesado de Passageiros M3: III : Gasóleo : E5</v>
      </c>
      <c r="J140" s="125">
        <v>55</v>
      </c>
      <c r="K140" s="125">
        <v>2022</v>
      </c>
      <c r="L140" s="85">
        <v>22723.639999999996</v>
      </c>
      <c r="M140" s="85" t="s">
        <v>630</v>
      </c>
      <c r="N140" s="128">
        <v>56282</v>
      </c>
      <c r="O140" s="128">
        <f t="shared" si="11"/>
        <v>3095510</v>
      </c>
      <c r="P140" s="125" t="s">
        <v>775</v>
      </c>
      <c r="Q140" s="85" t="s">
        <v>47</v>
      </c>
      <c r="R140" s="220" t="s">
        <v>1888</v>
      </c>
      <c r="S140" s="220" t="s">
        <v>1861</v>
      </c>
      <c r="T140" s="85" t="s">
        <v>1491</v>
      </c>
      <c r="U140" t="s">
        <v>1972</v>
      </c>
      <c r="V140" t="s">
        <v>2832</v>
      </c>
    </row>
    <row r="141" spans="1:22" ht="15.75" thickBot="1" x14ac:dyDescent="0.3">
      <c r="A141" s="82" t="s">
        <v>3510</v>
      </c>
      <c r="B141" s="82" t="str">
        <f t="shared" si="8"/>
        <v>Barraqueiro Transportes, S.A.</v>
      </c>
      <c r="C141" s="82" t="str">
        <f t="shared" si="9"/>
        <v>Boa Viagem</v>
      </c>
      <c r="D141" s="83" t="s">
        <v>629</v>
      </c>
      <c r="E141" s="91" t="s">
        <v>1853</v>
      </c>
      <c r="F141" s="124" t="s">
        <v>620</v>
      </c>
      <c r="G141" s="333">
        <v>2007</v>
      </c>
      <c r="H141" s="341" t="s">
        <v>731</v>
      </c>
      <c r="I141" s="336" t="str">
        <f t="shared" si="10"/>
        <v>Pesado de Passageiros M3: III : Gasóleo : E4</v>
      </c>
      <c r="J141" s="125">
        <v>21</v>
      </c>
      <c r="K141" s="125">
        <v>2022</v>
      </c>
      <c r="L141" s="85">
        <v>6796.4900000000007</v>
      </c>
      <c r="M141" s="85" t="s">
        <v>630</v>
      </c>
      <c r="N141" s="128">
        <v>32897</v>
      </c>
      <c r="O141" s="128">
        <f t="shared" si="11"/>
        <v>690837</v>
      </c>
      <c r="P141" s="125" t="s">
        <v>776</v>
      </c>
      <c r="Q141" s="85" t="s">
        <v>47</v>
      </c>
      <c r="R141" s="220" t="s">
        <v>1888</v>
      </c>
      <c r="S141" s="220" t="s">
        <v>1861</v>
      </c>
      <c r="T141" s="85" t="s">
        <v>1491</v>
      </c>
      <c r="U141" t="s">
        <v>1972</v>
      </c>
      <c r="V141" t="s">
        <v>2832</v>
      </c>
    </row>
    <row r="142" spans="1:22" ht="15.75" thickBot="1" x14ac:dyDescent="0.3">
      <c r="A142" s="82" t="s">
        <v>3510</v>
      </c>
      <c r="B142" s="82" t="str">
        <f t="shared" si="8"/>
        <v>Barraqueiro Transportes, S.A.</v>
      </c>
      <c r="C142" s="82" t="str">
        <f t="shared" si="9"/>
        <v>Boa Viagem</v>
      </c>
      <c r="D142" s="83" t="s">
        <v>629</v>
      </c>
      <c r="E142" s="91" t="s">
        <v>1853</v>
      </c>
      <c r="F142" s="124" t="s">
        <v>620</v>
      </c>
      <c r="G142" s="333">
        <v>2009</v>
      </c>
      <c r="H142" s="341" t="s">
        <v>734</v>
      </c>
      <c r="I142" s="336" t="str">
        <f t="shared" si="10"/>
        <v>Pesado de Passageiros M3: III : Gasóleo : E5</v>
      </c>
      <c r="J142" s="125">
        <v>71</v>
      </c>
      <c r="K142" s="125">
        <v>2022</v>
      </c>
      <c r="L142" s="85">
        <v>1698.72</v>
      </c>
      <c r="M142" s="85" t="s">
        <v>630</v>
      </c>
      <c r="N142" s="128">
        <v>3765</v>
      </c>
      <c r="O142" s="128">
        <f t="shared" si="11"/>
        <v>267315</v>
      </c>
      <c r="P142" s="125" t="s">
        <v>777</v>
      </c>
      <c r="Q142" s="85" t="s">
        <v>47</v>
      </c>
      <c r="R142" s="220" t="s">
        <v>1888</v>
      </c>
      <c r="S142" s="220" t="s">
        <v>1861</v>
      </c>
      <c r="T142" s="85" t="s">
        <v>1491</v>
      </c>
      <c r="U142" t="s">
        <v>1972</v>
      </c>
      <c r="V142" t="s">
        <v>2832</v>
      </c>
    </row>
    <row r="143" spans="1:22" ht="15.75" thickBot="1" x14ac:dyDescent="0.3">
      <c r="A143" s="82" t="s">
        <v>3510</v>
      </c>
      <c r="B143" s="82" t="str">
        <f t="shared" si="8"/>
        <v>Barraqueiro Transportes, S.A.</v>
      </c>
      <c r="C143" s="82" t="str">
        <f t="shared" si="9"/>
        <v>Boa Viagem</v>
      </c>
      <c r="D143" s="83" t="s">
        <v>629</v>
      </c>
      <c r="E143" s="91" t="s">
        <v>1853</v>
      </c>
      <c r="F143" s="124" t="s">
        <v>620</v>
      </c>
      <c r="G143" s="333">
        <v>2009</v>
      </c>
      <c r="H143" s="341" t="s">
        <v>734</v>
      </c>
      <c r="I143" s="336" t="str">
        <f t="shared" si="10"/>
        <v>Pesado de Passageiros M3: III : Gasóleo : E5</v>
      </c>
      <c r="J143" s="125">
        <v>71</v>
      </c>
      <c r="K143" s="125">
        <v>2022</v>
      </c>
      <c r="L143" s="85">
        <v>29439.13</v>
      </c>
      <c r="M143" s="85" t="s">
        <v>630</v>
      </c>
      <c r="N143" s="128">
        <v>68467</v>
      </c>
      <c r="O143" s="128">
        <f t="shared" si="11"/>
        <v>4861157</v>
      </c>
      <c r="P143" s="125" t="s">
        <v>778</v>
      </c>
      <c r="Q143" s="85" t="s">
        <v>47</v>
      </c>
      <c r="R143" s="220" t="s">
        <v>1888</v>
      </c>
      <c r="S143" s="220" t="s">
        <v>1861</v>
      </c>
      <c r="T143" s="85" t="s">
        <v>1491</v>
      </c>
      <c r="U143" t="s">
        <v>1972</v>
      </c>
      <c r="V143" t="s">
        <v>2832</v>
      </c>
    </row>
    <row r="144" spans="1:22" ht="15.75" thickBot="1" x14ac:dyDescent="0.3">
      <c r="A144" s="82" t="s">
        <v>3510</v>
      </c>
      <c r="B144" s="82" t="str">
        <f t="shared" si="8"/>
        <v>Barraqueiro Transportes, S.A.</v>
      </c>
      <c r="C144" s="82" t="str">
        <f t="shared" si="9"/>
        <v>Boa Viagem</v>
      </c>
      <c r="D144" s="83" t="s">
        <v>629</v>
      </c>
      <c r="E144" s="91" t="s">
        <v>1853</v>
      </c>
      <c r="F144" s="124" t="s">
        <v>620</v>
      </c>
      <c r="G144" s="333">
        <v>2016</v>
      </c>
      <c r="H144" s="341" t="s">
        <v>733</v>
      </c>
      <c r="I144" s="336" t="str">
        <f t="shared" si="10"/>
        <v>Pesado de Passageiros M3: III : Gasóleo : E6</v>
      </c>
      <c r="J144" s="125">
        <v>64</v>
      </c>
      <c r="K144" s="125">
        <v>2022</v>
      </c>
      <c r="L144" s="85">
        <v>15232.62</v>
      </c>
      <c r="M144" s="85" t="s">
        <v>630</v>
      </c>
      <c r="N144" s="128">
        <v>43910</v>
      </c>
      <c r="O144" s="128">
        <f t="shared" si="11"/>
        <v>2810240</v>
      </c>
      <c r="P144" s="125" t="s">
        <v>779</v>
      </c>
      <c r="Q144" s="85" t="s">
        <v>47</v>
      </c>
      <c r="R144" s="220" t="s">
        <v>1888</v>
      </c>
      <c r="S144" s="220" t="s">
        <v>1861</v>
      </c>
      <c r="T144" s="85" t="s">
        <v>1491</v>
      </c>
      <c r="U144" t="s">
        <v>1972</v>
      </c>
      <c r="V144" t="s">
        <v>2832</v>
      </c>
    </row>
    <row r="145" spans="1:22" ht="15.75" thickBot="1" x14ac:dyDescent="0.3">
      <c r="A145" s="82" t="s">
        <v>3510</v>
      </c>
      <c r="B145" s="82" t="str">
        <f t="shared" si="8"/>
        <v>Barraqueiro Transportes, S.A.</v>
      </c>
      <c r="C145" s="82" t="str">
        <f t="shared" si="9"/>
        <v>Boa Viagem</v>
      </c>
      <c r="D145" s="83" t="s">
        <v>629</v>
      </c>
      <c r="E145" s="91" t="s">
        <v>1853</v>
      </c>
      <c r="F145" s="124" t="s">
        <v>620</v>
      </c>
      <c r="G145" s="333">
        <v>1999</v>
      </c>
      <c r="H145" s="341" t="s">
        <v>736</v>
      </c>
      <c r="I145" s="336" t="str">
        <f t="shared" si="10"/>
        <v>Pesado de Passageiros M3: III : Gasóleo : E1</v>
      </c>
      <c r="J145" s="125">
        <v>51</v>
      </c>
      <c r="K145" s="125">
        <v>2022</v>
      </c>
      <c r="L145" s="85">
        <v>833</v>
      </c>
      <c r="M145" s="85" t="s">
        <v>630</v>
      </c>
      <c r="N145" s="128">
        <v>1974</v>
      </c>
      <c r="O145" s="128">
        <f t="shared" si="11"/>
        <v>100674</v>
      </c>
      <c r="P145" s="125" t="s">
        <v>780</v>
      </c>
      <c r="Q145" s="85" t="s">
        <v>47</v>
      </c>
      <c r="R145" s="220" t="s">
        <v>1888</v>
      </c>
      <c r="S145" s="220" t="s">
        <v>1861</v>
      </c>
      <c r="T145" s="85" t="s">
        <v>1491</v>
      </c>
      <c r="U145" t="s">
        <v>1972</v>
      </c>
      <c r="V145" t="s">
        <v>2832</v>
      </c>
    </row>
    <row r="146" spans="1:22" ht="15.75" thickBot="1" x14ac:dyDescent="0.3">
      <c r="A146" s="82" t="s">
        <v>3510</v>
      </c>
      <c r="B146" s="82" t="str">
        <f t="shared" si="8"/>
        <v>Barraqueiro Transportes, S.A.</v>
      </c>
      <c r="C146" s="82" t="str">
        <f t="shared" si="9"/>
        <v>Boa Viagem</v>
      </c>
      <c r="D146" s="83" t="s">
        <v>629</v>
      </c>
      <c r="E146" s="91" t="s">
        <v>1853</v>
      </c>
      <c r="F146" s="124" t="s">
        <v>620</v>
      </c>
      <c r="G146" s="333">
        <v>2001</v>
      </c>
      <c r="H146" s="341" t="s">
        <v>732</v>
      </c>
      <c r="I146" s="336" t="str">
        <f t="shared" si="10"/>
        <v>Pesado de Passageiros M3: III : Gasóleo : E3</v>
      </c>
      <c r="J146" s="125">
        <v>55</v>
      </c>
      <c r="K146" s="125">
        <v>2022</v>
      </c>
      <c r="L146" s="85">
        <v>11210.88</v>
      </c>
      <c r="M146" s="85" t="s">
        <v>630</v>
      </c>
      <c r="N146" s="128">
        <v>30054</v>
      </c>
      <c r="O146" s="128">
        <f t="shared" si="11"/>
        <v>1652970</v>
      </c>
      <c r="P146" s="125" t="s">
        <v>781</v>
      </c>
      <c r="Q146" s="85" t="s">
        <v>47</v>
      </c>
      <c r="R146" s="220" t="s">
        <v>1888</v>
      </c>
      <c r="S146" s="220" t="s">
        <v>1861</v>
      </c>
      <c r="T146" s="85" t="s">
        <v>1491</v>
      </c>
      <c r="U146" t="s">
        <v>1972</v>
      </c>
      <c r="V146" t="s">
        <v>2832</v>
      </c>
    </row>
    <row r="147" spans="1:22" ht="15.75" thickBot="1" x14ac:dyDescent="0.3">
      <c r="A147" s="82" t="s">
        <v>3510</v>
      </c>
      <c r="B147" s="82" t="str">
        <f t="shared" si="8"/>
        <v>Barraqueiro Transportes, S.A.</v>
      </c>
      <c r="C147" s="82" t="str">
        <f t="shared" si="9"/>
        <v>Boa Viagem</v>
      </c>
      <c r="D147" s="83" t="s">
        <v>629</v>
      </c>
      <c r="E147" s="91" t="s">
        <v>1853</v>
      </c>
      <c r="F147" s="124" t="s">
        <v>620</v>
      </c>
      <c r="G147" s="333">
        <v>1996</v>
      </c>
      <c r="H147" s="341" t="s">
        <v>736</v>
      </c>
      <c r="I147" s="336" t="str">
        <f t="shared" si="10"/>
        <v>Pesado de Passageiros M3: III : Gasóleo : E1</v>
      </c>
      <c r="J147" s="125">
        <v>53</v>
      </c>
      <c r="K147" s="125">
        <v>2022</v>
      </c>
      <c r="L147" s="85">
        <v>3204.88</v>
      </c>
      <c r="M147" s="85" t="s">
        <v>630</v>
      </c>
      <c r="N147" s="128">
        <v>8703</v>
      </c>
      <c r="O147" s="128">
        <f t="shared" si="11"/>
        <v>461259</v>
      </c>
      <c r="P147" s="125" t="s">
        <v>782</v>
      </c>
      <c r="Q147" s="85" t="s">
        <v>47</v>
      </c>
      <c r="R147" s="220" t="s">
        <v>1888</v>
      </c>
      <c r="S147" s="220" t="s">
        <v>1861</v>
      </c>
      <c r="T147" s="85" t="s">
        <v>1491</v>
      </c>
      <c r="U147" t="s">
        <v>1972</v>
      </c>
      <c r="V147" t="s">
        <v>2832</v>
      </c>
    </row>
    <row r="148" spans="1:22" ht="15.75" thickBot="1" x14ac:dyDescent="0.3">
      <c r="A148" s="82" t="s">
        <v>3510</v>
      </c>
      <c r="B148" s="82" t="str">
        <f t="shared" si="8"/>
        <v>Barraqueiro Transportes, S.A.</v>
      </c>
      <c r="C148" s="82" t="str">
        <f t="shared" si="9"/>
        <v>Boa Viagem</v>
      </c>
      <c r="D148" s="83" t="s">
        <v>629</v>
      </c>
      <c r="E148" s="91" t="s">
        <v>1853</v>
      </c>
      <c r="F148" s="124" t="s">
        <v>620</v>
      </c>
      <c r="G148" s="333">
        <v>2002</v>
      </c>
      <c r="H148" s="341" t="s">
        <v>732</v>
      </c>
      <c r="I148" s="336" t="str">
        <f t="shared" si="10"/>
        <v>Pesado de Passageiros M3: III : Gasóleo : E3</v>
      </c>
      <c r="J148" s="125">
        <v>57</v>
      </c>
      <c r="K148" s="125">
        <v>2022</v>
      </c>
      <c r="L148" s="85">
        <v>20607.59</v>
      </c>
      <c r="M148" s="85" t="s">
        <v>630</v>
      </c>
      <c r="N148" s="128">
        <v>50574</v>
      </c>
      <c r="O148" s="128">
        <f t="shared" si="11"/>
        <v>2882718</v>
      </c>
      <c r="P148" s="125" t="s">
        <v>783</v>
      </c>
      <c r="Q148" s="85" t="s">
        <v>47</v>
      </c>
      <c r="R148" s="220" t="s">
        <v>1888</v>
      </c>
      <c r="S148" s="220" t="s">
        <v>1861</v>
      </c>
      <c r="T148" s="85" t="s">
        <v>1491</v>
      </c>
      <c r="U148" t="s">
        <v>1972</v>
      </c>
      <c r="V148" t="s">
        <v>2832</v>
      </c>
    </row>
    <row r="149" spans="1:22" ht="15.75" thickBot="1" x14ac:dyDescent="0.3">
      <c r="A149" s="82" t="s">
        <v>3510</v>
      </c>
      <c r="B149" s="82" t="str">
        <f t="shared" si="8"/>
        <v>Barraqueiro Transportes, S.A.</v>
      </c>
      <c r="C149" s="82" t="str">
        <f t="shared" si="9"/>
        <v>Boa Viagem</v>
      </c>
      <c r="D149" s="83" t="s">
        <v>629</v>
      </c>
      <c r="E149" s="91" t="s">
        <v>1853</v>
      </c>
      <c r="F149" s="124" t="s">
        <v>620</v>
      </c>
      <c r="G149" s="333">
        <v>2002</v>
      </c>
      <c r="H149" s="341" t="s">
        <v>732</v>
      </c>
      <c r="I149" s="336" t="str">
        <f t="shared" si="10"/>
        <v>Pesado de Passageiros M3: III : Gasóleo : E3</v>
      </c>
      <c r="J149" s="125">
        <v>89</v>
      </c>
      <c r="K149" s="125">
        <v>2022</v>
      </c>
      <c r="L149" s="85">
        <v>14017.890000000001</v>
      </c>
      <c r="M149" s="85" t="s">
        <v>630</v>
      </c>
      <c r="N149" s="128">
        <v>36778</v>
      </c>
      <c r="O149" s="128">
        <f t="shared" si="11"/>
        <v>3273242</v>
      </c>
      <c r="P149" s="125" t="s">
        <v>784</v>
      </c>
      <c r="Q149" s="85" t="s">
        <v>47</v>
      </c>
      <c r="R149" s="220" t="s">
        <v>1888</v>
      </c>
      <c r="S149" s="220" t="s">
        <v>1861</v>
      </c>
      <c r="T149" s="85" t="s">
        <v>1491</v>
      </c>
      <c r="U149" t="s">
        <v>1972</v>
      </c>
      <c r="V149" t="s">
        <v>2832</v>
      </c>
    </row>
    <row r="150" spans="1:22" ht="15.75" thickBot="1" x14ac:dyDescent="0.3">
      <c r="A150" s="82" t="s">
        <v>3510</v>
      </c>
      <c r="B150" s="82" t="str">
        <f t="shared" si="8"/>
        <v>Barraqueiro Transportes, S.A.</v>
      </c>
      <c r="C150" s="82" t="str">
        <f t="shared" si="9"/>
        <v>Boa Viagem</v>
      </c>
      <c r="D150" s="83" t="s">
        <v>629</v>
      </c>
      <c r="E150" s="91" t="s">
        <v>1853</v>
      </c>
      <c r="F150" s="124" t="s">
        <v>620</v>
      </c>
      <c r="G150" s="333">
        <v>2002</v>
      </c>
      <c r="H150" s="341" t="s">
        <v>732</v>
      </c>
      <c r="I150" s="336" t="str">
        <f t="shared" si="10"/>
        <v>Pesado de Passageiros M3: III : Gasóleo : E3</v>
      </c>
      <c r="J150" s="125">
        <v>89</v>
      </c>
      <c r="K150" s="125">
        <v>2022</v>
      </c>
      <c r="L150" s="85">
        <v>15036.06</v>
      </c>
      <c r="M150" s="85" t="s">
        <v>630</v>
      </c>
      <c r="N150" s="128">
        <v>37609</v>
      </c>
      <c r="O150" s="128">
        <f t="shared" si="11"/>
        <v>3347201</v>
      </c>
      <c r="P150" s="125" t="s">
        <v>785</v>
      </c>
      <c r="Q150" s="85" t="s">
        <v>47</v>
      </c>
      <c r="R150" s="220" t="s">
        <v>1888</v>
      </c>
      <c r="S150" s="220" t="s">
        <v>1861</v>
      </c>
      <c r="T150" s="85" t="s">
        <v>1491</v>
      </c>
      <c r="U150" t="s">
        <v>1972</v>
      </c>
      <c r="V150" t="s">
        <v>2832</v>
      </c>
    </row>
    <row r="151" spans="1:22" ht="15.75" thickBot="1" x14ac:dyDescent="0.3">
      <c r="A151" s="82" t="s">
        <v>3510</v>
      </c>
      <c r="B151" s="82" t="str">
        <f t="shared" si="8"/>
        <v>Barraqueiro Transportes, S.A.</v>
      </c>
      <c r="C151" s="82" t="str">
        <f t="shared" si="9"/>
        <v>Boa Viagem</v>
      </c>
      <c r="D151" s="83" t="s">
        <v>629</v>
      </c>
      <c r="E151" s="91" t="s">
        <v>1853</v>
      </c>
      <c r="F151" s="124" t="s">
        <v>620</v>
      </c>
      <c r="G151" s="333">
        <v>2000</v>
      </c>
      <c r="H151" s="341" t="s">
        <v>735</v>
      </c>
      <c r="I151" s="336" t="str">
        <f t="shared" si="10"/>
        <v>Pesado de Passageiros M3: III : Gasóleo : E2</v>
      </c>
      <c r="J151" s="125">
        <v>83</v>
      </c>
      <c r="K151" s="125">
        <v>2022</v>
      </c>
      <c r="L151" s="85">
        <v>9550.3200000000015</v>
      </c>
      <c r="M151" s="85" t="s">
        <v>630</v>
      </c>
      <c r="N151" s="128">
        <v>22566</v>
      </c>
      <c r="O151" s="128">
        <f t="shared" si="11"/>
        <v>1872978</v>
      </c>
      <c r="P151" s="125" t="s">
        <v>786</v>
      </c>
      <c r="Q151" s="85" t="s">
        <v>47</v>
      </c>
      <c r="R151" s="220" t="s">
        <v>1888</v>
      </c>
      <c r="S151" s="220" t="s">
        <v>1861</v>
      </c>
      <c r="T151" s="85" t="s">
        <v>1491</v>
      </c>
      <c r="U151" t="s">
        <v>1972</v>
      </c>
      <c r="V151" t="s">
        <v>2832</v>
      </c>
    </row>
    <row r="152" spans="1:22" ht="15.75" thickBot="1" x14ac:dyDescent="0.3">
      <c r="A152" s="82" t="s">
        <v>3510</v>
      </c>
      <c r="B152" s="82" t="str">
        <f t="shared" si="8"/>
        <v>Barraqueiro Transportes, S.A.</v>
      </c>
      <c r="C152" s="82" t="str">
        <f t="shared" si="9"/>
        <v>Boa Viagem</v>
      </c>
      <c r="D152" s="83" t="s">
        <v>629</v>
      </c>
      <c r="E152" s="91" t="s">
        <v>1853</v>
      </c>
      <c r="F152" s="124" t="s">
        <v>620</v>
      </c>
      <c r="G152" s="333">
        <v>2004</v>
      </c>
      <c r="H152" s="341" t="s">
        <v>732</v>
      </c>
      <c r="I152" s="336" t="str">
        <f t="shared" si="10"/>
        <v>Pesado de Passageiros M3: III : Gasóleo : E3</v>
      </c>
      <c r="J152" s="125">
        <v>85</v>
      </c>
      <c r="K152" s="125">
        <v>2022</v>
      </c>
      <c r="L152" s="85">
        <v>6120.52</v>
      </c>
      <c r="M152" s="85" t="s">
        <v>630</v>
      </c>
      <c r="N152" s="128">
        <v>15790</v>
      </c>
      <c r="O152" s="128">
        <f t="shared" si="11"/>
        <v>1342150</v>
      </c>
      <c r="P152" s="125" t="s">
        <v>787</v>
      </c>
      <c r="Q152" s="85" t="s">
        <v>47</v>
      </c>
      <c r="R152" s="220" t="s">
        <v>1888</v>
      </c>
      <c r="S152" s="220" t="s">
        <v>1861</v>
      </c>
      <c r="T152" s="85" t="s">
        <v>1491</v>
      </c>
      <c r="U152" t="s">
        <v>1972</v>
      </c>
      <c r="V152" t="s">
        <v>2832</v>
      </c>
    </row>
    <row r="153" spans="1:22" ht="15.75" thickBot="1" x14ac:dyDescent="0.3">
      <c r="A153" s="82" t="s">
        <v>3510</v>
      </c>
      <c r="B153" s="82" t="str">
        <f t="shared" si="8"/>
        <v>Barraqueiro Transportes, S.A.</v>
      </c>
      <c r="C153" s="82" t="str">
        <f t="shared" si="9"/>
        <v>Boa Viagem</v>
      </c>
      <c r="D153" s="83" t="s">
        <v>629</v>
      </c>
      <c r="E153" s="91" t="s">
        <v>1853</v>
      </c>
      <c r="F153" s="124" t="s">
        <v>620</v>
      </c>
      <c r="G153" s="333">
        <v>2004</v>
      </c>
      <c r="H153" s="341" t="s">
        <v>732</v>
      </c>
      <c r="I153" s="336" t="str">
        <f t="shared" si="10"/>
        <v>Pesado de Passageiros M3: III : Gasóleo : E3</v>
      </c>
      <c r="J153" s="125">
        <v>85</v>
      </c>
      <c r="K153" s="125">
        <v>2022</v>
      </c>
      <c r="L153" s="85">
        <v>17161.03</v>
      </c>
      <c r="M153" s="85" t="s">
        <v>630</v>
      </c>
      <c r="N153" s="128">
        <v>44715</v>
      </c>
      <c r="O153" s="128">
        <f t="shared" si="11"/>
        <v>3800775</v>
      </c>
      <c r="P153" s="125" t="s">
        <v>788</v>
      </c>
      <c r="Q153" s="85" t="s">
        <v>47</v>
      </c>
      <c r="R153" s="220" t="s">
        <v>1888</v>
      </c>
      <c r="S153" s="220" t="s">
        <v>1861</v>
      </c>
      <c r="T153" s="85" t="s">
        <v>1491</v>
      </c>
      <c r="U153" t="s">
        <v>1972</v>
      </c>
      <c r="V153" t="s">
        <v>2832</v>
      </c>
    </row>
    <row r="154" spans="1:22" ht="15.75" thickBot="1" x14ac:dyDescent="0.3">
      <c r="A154" s="82" t="s">
        <v>3510</v>
      </c>
      <c r="B154" s="82" t="str">
        <f t="shared" si="8"/>
        <v>Barraqueiro Transportes, S.A.</v>
      </c>
      <c r="C154" s="82" t="str">
        <f t="shared" si="9"/>
        <v>Boa Viagem</v>
      </c>
      <c r="D154" s="83" t="s">
        <v>629</v>
      </c>
      <c r="E154" s="91" t="s">
        <v>1853</v>
      </c>
      <c r="F154" s="124" t="s">
        <v>620</v>
      </c>
      <c r="G154" s="333">
        <v>2021</v>
      </c>
      <c r="H154" s="341" t="s">
        <v>733</v>
      </c>
      <c r="I154" s="336" t="str">
        <f t="shared" si="10"/>
        <v>Pesado de Passageiros M3: III : Gasóleo : E6</v>
      </c>
      <c r="J154" s="125">
        <v>76</v>
      </c>
      <c r="K154" s="125">
        <v>2022</v>
      </c>
      <c r="L154" s="85">
        <v>4568.6200000000008</v>
      </c>
      <c r="M154" s="85" t="s">
        <v>630</v>
      </c>
      <c r="N154" s="128">
        <v>11534</v>
      </c>
      <c r="O154" s="128">
        <f t="shared" si="11"/>
        <v>876584</v>
      </c>
      <c r="P154" s="125" t="s">
        <v>789</v>
      </c>
      <c r="Q154" s="85" t="s">
        <v>47</v>
      </c>
      <c r="R154" s="220" t="s">
        <v>1888</v>
      </c>
      <c r="S154" s="220" t="s">
        <v>1861</v>
      </c>
      <c r="T154" s="85" t="s">
        <v>1491</v>
      </c>
      <c r="U154" t="s">
        <v>1972</v>
      </c>
      <c r="V154" t="s">
        <v>2832</v>
      </c>
    </row>
    <row r="155" spans="1:22" ht="15.75" thickBot="1" x14ac:dyDescent="0.3">
      <c r="A155" s="82" t="s">
        <v>3510</v>
      </c>
      <c r="B155" s="82" t="str">
        <f t="shared" si="8"/>
        <v>Barraqueiro Transportes, S.A.</v>
      </c>
      <c r="C155" s="82" t="str">
        <f t="shared" si="9"/>
        <v>Boa Viagem</v>
      </c>
      <c r="D155" s="83" t="s">
        <v>629</v>
      </c>
      <c r="E155" s="91" t="s">
        <v>1853</v>
      </c>
      <c r="F155" s="124" t="s">
        <v>620</v>
      </c>
      <c r="G155" s="333">
        <v>2021</v>
      </c>
      <c r="H155" s="341" t="s">
        <v>733</v>
      </c>
      <c r="I155" s="336" t="str">
        <f t="shared" si="10"/>
        <v>Pesado de Passageiros M3: III : Gasóleo : E6</v>
      </c>
      <c r="J155" s="125">
        <v>76</v>
      </c>
      <c r="K155" s="125">
        <v>2022</v>
      </c>
      <c r="L155" s="85">
        <v>5768.28</v>
      </c>
      <c r="M155" s="85" t="s">
        <v>630</v>
      </c>
      <c r="N155" s="128">
        <v>13536</v>
      </c>
      <c r="O155" s="128">
        <f t="shared" si="11"/>
        <v>1028736</v>
      </c>
      <c r="P155" s="125" t="s">
        <v>790</v>
      </c>
      <c r="Q155" s="85" t="s">
        <v>47</v>
      </c>
      <c r="R155" s="220" t="s">
        <v>1888</v>
      </c>
      <c r="S155" s="220" t="s">
        <v>1861</v>
      </c>
      <c r="T155" s="85" t="s">
        <v>1491</v>
      </c>
      <c r="U155" t="s">
        <v>1972</v>
      </c>
      <c r="V155" t="s">
        <v>2832</v>
      </c>
    </row>
    <row r="156" spans="1:22" ht="15.75" thickBot="1" x14ac:dyDescent="0.3">
      <c r="A156" s="82" t="s">
        <v>3510</v>
      </c>
      <c r="B156" s="82" t="str">
        <f t="shared" si="8"/>
        <v>Barraqueiro Transportes, S.A.</v>
      </c>
      <c r="C156" s="82" t="str">
        <f t="shared" si="9"/>
        <v>Boa Viagem</v>
      </c>
      <c r="D156" s="83" t="s">
        <v>629</v>
      </c>
      <c r="E156" s="91" t="s">
        <v>1853</v>
      </c>
      <c r="F156" s="124" t="s">
        <v>620</v>
      </c>
      <c r="G156" s="333">
        <v>2003</v>
      </c>
      <c r="H156" s="341" t="s">
        <v>732</v>
      </c>
      <c r="I156" s="336" t="str">
        <f t="shared" si="10"/>
        <v>Pesado de Passageiros M3: III : Gasóleo : E3</v>
      </c>
      <c r="J156" s="125">
        <v>74</v>
      </c>
      <c r="K156" s="125">
        <v>2022</v>
      </c>
      <c r="L156" s="85">
        <v>15031.73</v>
      </c>
      <c r="M156" s="85" t="s">
        <v>630</v>
      </c>
      <c r="N156" s="128">
        <v>34761</v>
      </c>
      <c r="O156" s="128">
        <f t="shared" si="11"/>
        <v>2572314</v>
      </c>
      <c r="P156" s="125" t="s">
        <v>791</v>
      </c>
      <c r="Q156" s="85" t="s">
        <v>47</v>
      </c>
      <c r="R156" s="220" t="s">
        <v>1888</v>
      </c>
      <c r="S156" s="220" t="s">
        <v>1861</v>
      </c>
      <c r="T156" s="85" t="s">
        <v>1491</v>
      </c>
      <c r="U156" t="s">
        <v>1972</v>
      </c>
      <c r="V156" t="s">
        <v>2832</v>
      </c>
    </row>
    <row r="157" spans="1:22" ht="15.75" thickBot="1" x14ac:dyDescent="0.3">
      <c r="A157" s="82" t="s">
        <v>3510</v>
      </c>
      <c r="B157" s="82" t="str">
        <f t="shared" si="8"/>
        <v>Barraqueiro Transportes, S.A.</v>
      </c>
      <c r="C157" s="82" t="str">
        <f t="shared" si="9"/>
        <v>Boa Viagem</v>
      </c>
      <c r="D157" s="83" t="s">
        <v>629</v>
      </c>
      <c r="E157" s="91" t="s">
        <v>1853</v>
      </c>
      <c r="F157" s="124" t="s">
        <v>620</v>
      </c>
      <c r="G157" s="333">
        <v>2005</v>
      </c>
      <c r="H157" s="341" t="s">
        <v>732</v>
      </c>
      <c r="I157" s="336" t="str">
        <f t="shared" si="10"/>
        <v>Pesado de Passageiros M3: III : Gasóleo : E3</v>
      </c>
      <c r="J157" s="125">
        <v>75</v>
      </c>
      <c r="K157" s="125">
        <v>2022</v>
      </c>
      <c r="L157" s="85">
        <v>22102.880000000001</v>
      </c>
      <c r="M157" s="85" t="s">
        <v>630</v>
      </c>
      <c r="N157" s="128">
        <v>59072</v>
      </c>
      <c r="O157" s="128">
        <f t="shared" si="11"/>
        <v>4430400</v>
      </c>
      <c r="P157" s="125" t="s">
        <v>792</v>
      </c>
      <c r="Q157" s="85" t="s">
        <v>47</v>
      </c>
      <c r="R157" s="220" t="s">
        <v>1888</v>
      </c>
      <c r="S157" s="220" t="s">
        <v>1861</v>
      </c>
      <c r="T157" s="85" t="s">
        <v>1491</v>
      </c>
      <c r="U157" t="s">
        <v>1972</v>
      </c>
      <c r="V157" t="s">
        <v>2832</v>
      </c>
    </row>
    <row r="158" spans="1:22" ht="15.75" thickBot="1" x14ac:dyDescent="0.3">
      <c r="A158" s="82" t="s">
        <v>3510</v>
      </c>
      <c r="B158" s="82" t="str">
        <f t="shared" si="8"/>
        <v>Barraqueiro Transportes, S.A.</v>
      </c>
      <c r="C158" s="82" t="str">
        <f t="shared" si="9"/>
        <v>Boa Viagem</v>
      </c>
      <c r="D158" s="83" t="s">
        <v>629</v>
      </c>
      <c r="E158" s="91" t="s">
        <v>1853</v>
      </c>
      <c r="F158" s="124" t="s">
        <v>620</v>
      </c>
      <c r="G158" s="333">
        <v>2005</v>
      </c>
      <c r="H158" s="341" t="s">
        <v>732</v>
      </c>
      <c r="I158" s="336" t="str">
        <f t="shared" si="10"/>
        <v>Pesado de Passageiros M3: III : Gasóleo : E3</v>
      </c>
      <c r="J158" s="125">
        <v>75</v>
      </c>
      <c r="K158" s="125">
        <v>2022</v>
      </c>
      <c r="L158" s="85">
        <v>16921.710000000003</v>
      </c>
      <c r="M158" s="85" t="s">
        <v>630</v>
      </c>
      <c r="N158" s="128">
        <v>44470</v>
      </c>
      <c r="O158" s="128">
        <f t="shared" si="11"/>
        <v>3335250</v>
      </c>
      <c r="P158" s="125" t="s">
        <v>793</v>
      </c>
      <c r="Q158" s="85" t="s">
        <v>47</v>
      </c>
      <c r="R158" s="220" t="s">
        <v>1888</v>
      </c>
      <c r="S158" s="220" t="s">
        <v>1861</v>
      </c>
      <c r="T158" s="85" t="s">
        <v>1491</v>
      </c>
      <c r="U158" t="s">
        <v>1972</v>
      </c>
      <c r="V158" t="s">
        <v>2832</v>
      </c>
    </row>
    <row r="159" spans="1:22" ht="15.75" thickBot="1" x14ac:dyDescent="0.3">
      <c r="A159" s="82" t="s">
        <v>3510</v>
      </c>
      <c r="B159" s="82" t="str">
        <f t="shared" si="8"/>
        <v>Barraqueiro Transportes, S.A.</v>
      </c>
      <c r="C159" s="82" t="str">
        <f t="shared" si="9"/>
        <v>Boa Viagem</v>
      </c>
      <c r="D159" s="83" t="s">
        <v>629</v>
      </c>
      <c r="E159" s="91" t="s">
        <v>1853</v>
      </c>
      <c r="F159" s="124" t="s">
        <v>620</v>
      </c>
      <c r="G159" s="333">
        <v>2001</v>
      </c>
      <c r="H159" s="341" t="s">
        <v>732</v>
      </c>
      <c r="I159" s="336" t="str">
        <f t="shared" si="10"/>
        <v>Pesado de Passageiros M3: III : Gasóleo : E3</v>
      </c>
      <c r="J159" s="125">
        <v>55</v>
      </c>
      <c r="K159" s="125">
        <v>2022</v>
      </c>
      <c r="L159" s="85">
        <v>15980.650000000001</v>
      </c>
      <c r="M159" s="85" t="s">
        <v>630</v>
      </c>
      <c r="N159" s="128">
        <v>41973</v>
      </c>
      <c r="O159" s="128">
        <f t="shared" si="11"/>
        <v>2308515</v>
      </c>
      <c r="P159" s="125" t="s">
        <v>794</v>
      </c>
      <c r="Q159" s="85" t="s">
        <v>47</v>
      </c>
      <c r="R159" s="220" t="s">
        <v>1888</v>
      </c>
      <c r="S159" s="220" t="s">
        <v>1861</v>
      </c>
      <c r="T159" s="85" t="s">
        <v>1491</v>
      </c>
      <c r="U159" t="s">
        <v>1972</v>
      </c>
      <c r="V159" t="s">
        <v>2832</v>
      </c>
    </row>
    <row r="160" spans="1:22" ht="15.75" thickBot="1" x14ac:dyDescent="0.3">
      <c r="A160" s="82" t="s">
        <v>3510</v>
      </c>
      <c r="B160" s="82" t="str">
        <f t="shared" si="8"/>
        <v>Barraqueiro Transportes, S.A.</v>
      </c>
      <c r="C160" s="82" t="str">
        <f t="shared" si="9"/>
        <v>Boa Viagem</v>
      </c>
      <c r="D160" s="83" t="s">
        <v>629</v>
      </c>
      <c r="E160" s="91" t="s">
        <v>1853</v>
      </c>
      <c r="F160" s="124" t="s">
        <v>620</v>
      </c>
      <c r="G160" s="333">
        <v>2000</v>
      </c>
      <c r="H160" s="341" t="s">
        <v>735</v>
      </c>
      <c r="I160" s="336" t="str">
        <f t="shared" si="10"/>
        <v>Pesado de Passageiros M3: III : Gasóleo : E2</v>
      </c>
      <c r="J160" s="125">
        <v>60</v>
      </c>
      <c r="K160" s="125">
        <v>2022</v>
      </c>
      <c r="L160" s="85">
        <v>10924.94</v>
      </c>
      <c r="M160" s="85" t="s">
        <v>630</v>
      </c>
      <c r="N160" s="128">
        <v>29903</v>
      </c>
      <c r="O160" s="128">
        <f t="shared" si="11"/>
        <v>1794180</v>
      </c>
      <c r="P160" s="125" t="s">
        <v>795</v>
      </c>
      <c r="Q160" s="85" t="s">
        <v>47</v>
      </c>
      <c r="R160" s="220" t="s">
        <v>1888</v>
      </c>
      <c r="S160" s="220" t="s">
        <v>1861</v>
      </c>
      <c r="T160" s="85" t="s">
        <v>1491</v>
      </c>
      <c r="U160" t="s">
        <v>1972</v>
      </c>
      <c r="V160" t="s">
        <v>2832</v>
      </c>
    </row>
    <row r="161" spans="1:22" ht="15.75" thickBot="1" x14ac:dyDescent="0.3">
      <c r="A161" s="82" t="s">
        <v>3510</v>
      </c>
      <c r="B161" s="82" t="str">
        <f t="shared" si="8"/>
        <v>Barraqueiro Transportes, S.A.</v>
      </c>
      <c r="C161" s="82" t="str">
        <f t="shared" si="9"/>
        <v>Boa Viagem</v>
      </c>
      <c r="D161" s="83" t="s">
        <v>629</v>
      </c>
      <c r="E161" s="91" t="s">
        <v>1853</v>
      </c>
      <c r="F161" s="124" t="s">
        <v>620</v>
      </c>
      <c r="G161" s="333">
        <v>2004</v>
      </c>
      <c r="H161" s="341" t="s">
        <v>732</v>
      </c>
      <c r="I161" s="336" t="str">
        <f t="shared" si="10"/>
        <v>Pesado de Passageiros M3: III : Gasóleo : E3</v>
      </c>
      <c r="J161" s="125">
        <v>51</v>
      </c>
      <c r="K161" s="125">
        <v>2022</v>
      </c>
      <c r="L161" s="85">
        <v>6790.3499999999995</v>
      </c>
      <c r="M161" s="85" t="s">
        <v>630</v>
      </c>
      <c r="N161" s="128">
        <v>17843</v>
      </c>
      <c r="O161" s="128">
        <f t="shared" si="11"/>
        <v>909993</v>
      </c>
      <c r="P161" s="125" t="s">
        <v>796</v>
      </c>
      <c r="Q161" s="85" t="s">
        <v>47</v>
      </c>
      <c r="R161" s="220" t="s">
        <v>1888</v>
      </c>
      <c r="S161" s="220" t="s">
        <v>1861</v>
      </c>
      <c r="T161" s="85" t="s">
        <v>1491</v>
      </c>
      <c r="U161" t="s">
        <v>1972</v>
      </c>
      <c r="V161" t="s">
        <v>2832</v>
      </c>
    </row>
    <row r="162" spans="1:22" ht="15.75" thickBot="1" x14ac:dyDescent="0.3">
      <c r="A162" s="82" t="s">
        <v>3510</v>
      </c>
      <c r="B162" s="82" t="str">
        <f t="shared" si="8"/>
        <v>Barraqueiro Transportes, S.A.</v>
      </c>
      <c r="C162" s="82" t="str">
        <f t="shared" si="9"/>
        <v>Boa Viagem</v>
      </c>
      <c r="D162" s="83" t="s">
        <v>629</v>
      </c>
      <c r="E162" s="91" t="s">
        <v>1853</v>
      </c>
      <c r="F162" s="124" t="s">
        <v>620</v>
      </c>
      <c r="G162" s="333">
        <v>2004</v>
      </c>
      <c r="H162" s="341" t="s">
        <v>732</v>
      </c>
      <c r="I162" s="336" t="str">
        <f t="shared" si="10"/>
        <v>Pesado de Passageiros M3: III : Gasóleo : E3</v>
      </c>
      <c r="J162" s="125">
        <v>51</v>
      </c>
      <c r="K162" s="125">
        <v>2022</v>
      </c>
      <c r="L162" s="85">
        <v>16397.030000000002</v>
      </c>
      <c r="M162" s="85" t="s">
        <v>630</v>
      </c>
      <c r="N162" s="128">
        <v>48533</v>
      </c>
      <c r="O162" s="128">
        <f t="shared" si="11"/>
        <v>2475183</v>
      </c>
      <c r="P162" s="125" t="s">
        <v>797</v>
      </c>
      <c r="Q162" s="85" t="s">
        <v>47</v>
      </c>
      <c r="R162" s="220" t="s">
        <v>1888</v>
      </c>
      <c r="S162" s="220" t="s">
        <v>1861</v>
      </c>
      <c r="T162" s="85" t="s">
        <v>1491</v>
      </c>
      <c r="U162" t="s">
        <v>1972</v>
      </c>
      <c r="V162" t="s">
        <v>2832</v>
      </c>
    </row>
    <row r="163" spans="1:22" ht="15.75" thickBot="1" x14ac:dyDescent="0.3">
      <c r="A163" s="82" t="s">
        <v>3510</v>
      </c>
      <c r="B163" s="82" t="str">
        <f t="shared" si="8"/>
        <v>Barraqueiro Transportes, S.A.</v>
      </c>
      <c r="C163" s="82" t="str">
        <f t="shared" si="9"/>
        <v>Boa Viagem</v>
      </c>
      <c r="D163" s="83" t="s">
        <v>629</v>
      </c>
      <c r="E163" s="91" t="s">
        <v>1853</v>
      </c>
      <c r="F163" s="124" t="s">
        <v>620</v>
      </c>
      <c r="G163" s="333">
        <v>2004</v>
      </c>
      <c r="H163" s="341" t="s">
        <v>732</v>
      </c>
      <c r="I163" s="336" t="str">
        <f t="shared" si="10"/>
        <v>Pesado de Passageiros M3: III : Gasóleo : E3</v>
      </c>
      <c r="J163" s="125">
        <v>51</v>
      </c>
      <c r="K163" s="125">
        <v>2022</v>
      </c>
      <c r="L163" s="85">
        <v>18613.21</v>
      </c>
      <c r="M163" s="85" t="s">
        <v>630</v>
      </c>
      <c r="N163" s="128">
        <v>49382</v>
      </c>
      <c r="O163" s="128">
        <f t="shared" si="11"/>
        <v>2518482</v>
      </c>
      <c r="P163" s="125" t="s">
        <v>798</v>
      </c>
      <c r="Q163" s="85" t="s">
        <v>47</v>
      </c>
      <c r="R163" s="220" t="s">
        <v>1888</v>
      </c>
      <c r="S163" s="220" t="s">
        <v>1861</v>
      </c>
      <c r="T163" s="85" t="s">
        <v>1491</v>
      </c>
      <c r="U163" t="s">
        <v>1972</v>
      </c>
      <c r="V163" t="s">
        <v>2832</v>
      </c>
    </row>
    <row r="164" spans="1:22" ht="15.75" thickBot="1" x14ac:dyDescent="0.3">
      <c r="A164" s="82" t="s">
        <v>3510</v>
      </c>
      <c r="B164" s="82" t="str">
        <f t="shared" si="8"/>
        <v>Barraqueiro Transportes, S.A.</v>
      </c>
      <c r="C164" s="82" t="str">
        <f t="shared" si="9"/>
        <v>Boa Viagem</v>
      </c>
      <c r="D164" s="83" t="s">
        <v>629</v>
      </c>
      <c r="E164" s="91" t="s">
        <v>1853</v>
      </c>
      <c r="F164" s="124" t="s">
        <v>620</v>
      </c>
      <c r="G164" s="333">
        <v>2002</v>
      </c>
      <c r="H164" s="341" t="s">
        <v>732</v>
      </c>
      <c r="I164" s="336" t="str">
        <f t="shared" si="10"/>
        <v>Pesado de Passageiros M3: III : Gasóleo : E3</v>
      </c>
      <c r="J164" s="125">
        <v>75</v>
      </c>
      <c r="K164" s="125">
        <v>2022</v>
      </c>
      <c r="L164" s="85">
        <v>16955.809999999998</v>
      </c>
      <c r="M164" s="85" t="s">
        <v>630</v>
      </c>
      <c r="N164" s="128">
        <v>40702</v>
      </c>
      <c r="O164" s="128">
        <f t="shared" si="11"/>
        <v>3052650</v>
      </c>
      <c r="P164" s="125" t="s">
        <v>799</v>
      </c>
      <c r="Q164" s="85" t="s">
        <v>47</v>
      </c>
      <c r="R164" s="220" t="s">
        <v>1888</v>
      </c>
      <c r="S164" s="220" t="s">
        <v>1861</v>
      </c>
      <c r="T164" s="85" t="s">
        <v>1491</v>
      </c>
      <c r="U164" t="s">
        <v>1972</v>
      </c>
      <c r="V164" t="s">
        <v>2832</v>
      </c>
    </row>
    <row r="165" spans="1:22" ht="15.75" thickBot="1" x14ac:dyDescent="0.3">
      <c r="A165" s="82" t="s">
        <v>3510</v>
      </c>
      <c r="B165" s="82" t="str">
        <f t="shared" si="8"/>
        <v>Barraqueiro Transportes, S.A.</v>
      </c>
      <c r="C165" s="82" t="str">
        <f t="shared" si="9"/>
        <v>Boa Viagem</v>
      </c>
      <c r="D165" s="83" t="s">
        <v>629</v>
      </c>
      <c r="E165" s="91" t="s">
        <v>1853</v>
      </c>
      <c r="F165" s="124" t="s">
        <v>620</v>
      </c>
      <c r="G165" s="333">
        <v>2004</v>
      </c>
      <c r="H165" s="341" t="s">
        <v>732</v>
      </c>
      <c r="I165" s="336" t="str">
        <f t="shared" si="10"/>
        <v>Pesado de Passageiros M3: III : Gasóleo : E3</v>
      </c>
      <c r="J165" s="125">
        <v>82</v>
      </c>
      <c r="K165" s="125">
        <v>2022</v>
      </c>
      <c r="L165" s="85">
        <v>17559.130000000005</v>
      </c>
      <c r="M165" s="85" t="s">
        <v>630</v>
      </c>
      <c r="N165" s="128">
        <v>49251</v>
      </c>
      <c r="O165" s="128">
        <f t="shared" si="11"/>
        <v>4038582</v>
      </c>
      <c r="P165" s="125" t="s">
        <v>800</v>
      </c>
      <c r="Q165" s="85" t="s">
        <v>47</v>
      </c>
      <c r="R165" s="220" t="s">
        <v>1888</v>
      </c>
      <c r="S165" s="220" t="s">
        <v>1861</v>
      </c>
      <c r="T165" s="85" t="s">
        <v>1491</v>
      </c>
      <c r="U165" t="s">
        <v>1972</v>
      </c>
      <c r="V165" t="s">
        <v>2832</v>
      </c>
    </row>
    <row r="166" spans="1:22" ht="15.75" thickBot="1" x14ac:dyDescent="0.3">
      <c r="A166" s="82" t="s">
        <v>3510</v>
      </c>
      <c r="B166" s="82" t="str">
        <f t="shared" si="8"/>
        <v>Barraqueiro Transportes, S.A.</v>
      </c>
      <c r="C166" s="82" t="str">
        <f t="shared" si="9"/>
        <v>Boa Viagem</v>
      </c>
      <c r="D166" s="83" t="s">
        <v>629</v>
      </c>
      <c r="E166" s="91" t="s">
        <v>1853</v>
      </c>
      <c r="F166" s="124" t="s">
        <v>620</v>
      </c>
      <c r="G166" s="333">
        <v>2015</v>
      </c>
      <c r="H166" s="341" t="s">
        <v>733</v>
      </c>
      <c r="I166" s="336" t="str">
        <f t="shared" si="10"/>
        <v>Pesado de Passageiros M3: III : Gasóleo : E6</v>
      </c>
      <c r="J166" s="125">
        <v>25</v>
      </c>
      <c r="K166" s="125">
        <v>2022</v>
      </c>
      <c r="L166" s="85">
        <v>3647.0099999999993</v>
      </c>
      <c r="M166" s="85" t="s">
        <v>630</v>
      </c>
      <c r="N166" s="128">
        <v>18563</v>
      </c>
      <c r="O166" s="128">
        <f t="shared" si="11"/>
        <v>464075</v>
      </c>
      <c r="P166" s="125" t="s">
        <v>801</v>
      </c>
      <c r="Q166" s="85" t="s">
        <v>47</v>
      </c>
      <c r="R166" s="220" t="s">
        <v>1888</v>
      </c>
      <c r="S166" s="220" t="s">
        <v>1861</v>
      </c>
      <c r="T166" s="85" t="s">
        <v>1491</v>
      </c>
      <c r="U166" t="s">
        <v>1972</v>
      </c>
      <c r="V166" t="s">
        <v>2832</v>
      </c>
    </row>
    <row r="167" spans="1:22" ht="15.75" thickBot="1" x14ac:dyDescent="0.3">
      <c r="A167" s="82" t="s">
        <v>3510</v>
      </c>
      <c r="B167" s="82" t="str">
        <f t="shared" si="8"/>
        <v>Barraqueiro Transportes, S.A.</v>
      </c>
      <c r="C167" s="82" t="str">
        <f t="shared" si="9"/>
        <v>Boa Viagem</v>
      </c>
      <c r="D167" s="83" t="s">
        <v>629</v>
      </c>
      <c r="E167" s="91" t="s">
        <v>1853</v>
      </c>
      <c r="F167" s="124" t="s">
        <v>620</v>
      </c>
      <c r="G167" s="333">
        <v>2015</v>
      </c>
      <c r="H167" s="341" t="s">
        <v>733</v>
      </c>
      <c r="I167" s="336" t="str">
        <f t="shared" si="10"/>
        <v>Pesado de Passageiros M3: III : Gasóleo : E6</v>
      </c>
      <c r="J167" s="125">
        <v>25</v>
      </c>
      <c r="K167" s="125">
        <v>2022</v>
      </c>
      <c r="L167" s="85">
        <v>4364.3999999999987</v>
      </c>
      <c r="M167" s="85" t="s">
        <v>630</v>
      </c>
      <c r="N167" s="128">
        <v>20920</v>
      </c>
      <c r="O167" s="128">
        <f t="shared" si="11"/>
        <v>523000</v>
      </c>
      <c r="P167" s="125" t="s">
        <v>802</v>
      </c>
      <c r="Q167" s="85" t="s">
        <v>47</v>
      </c>
      <c r="R167" s="220" t="s">
        <v>1888</v>
      </c>
      <c r="S167" s="220" t="s">
        <v>1861</v>
      </c>
      <c r="T167" s="85" t="s">
        <v>1491</v>
      </c>
      <c r="U167" t="s">
        <v>1972</v>
      </c>
      <c r="V167" t="s">
        <v>2832</v>
      </c>
    </row>
    <row r="168" spans="1:22" ht="15.75" thickBot="1" x14ac:dyDescent="0.3">
      <c r="A168" s="82" t="s">
        <v>3510</v>
      </c>
      <c r="B168" s="82" t="str">
        <f t="shared" si="8"/>
        <v>Barraqueiro Transportes, S.A.</v>
      </c>
      <c r="C168" s="82" t="str">
        <f t="shared" si="9"/>
        <v>Boa Viagem</v>
      </c>
      <c r="D168" s="83" t="s">
        <v>629</v>
      </c>
      <c r="E168" s="91" t="s">
        <v>1853</v>
      </c>
      <c r="F168" s="124" t="s">
        <v>620</v>
      </c>
      <c r="G168" s="333">
        <v>2011</v>
      </c>
      <c r="H168" s="341" t="s">
        <v>734</v>
      </c>
      <c r="I168" s="336" t="str">
        <f t="shared" si="10"/>
        <v>Pesado de Passageiros M3: III : Gasóleo : E5</v>
      </c>
      <c r="J168" s="125">
        <v>51</v>
      </c>
      <c r="K168" s="125">
        <v>2022</v>
      </c>
      <c r="L168" s="85">
        <v>16369.689999999999</v>
      </c>
      <c r="M168" s="85" t="s">
        <v>630</v>
      </c>
      <c r="N168" s="128">
        <v>45075</v>
      </c>
      <c r="O168" s="128">
        <f t="shared" si="11"/>
        <v>2298825</v>
      </c>
      <c r="P168" s="125" t="s">
        <v>803</v>
      </c>
      <c r="Q168" s="85" t="s">
        <v>47</v>
      </c>
      <c r="R168" s="220" t="s">
        <v>1888</v>
      </c>
      <c r="S168" s="220" t="s">
        <v>1861</v>
      </c>
      <c r="T168" s="85" t="s">
        <v>1491</v>
      </c>
      <c r="U168" t="s">
        <v>1972</v>
      </c>
      <c r="V168" t="s">
        <v>2832</v>
      </c>
    </row>
    <row r="169" spans="1:22" ht="15.75" thickBot="1" x14ac:dyDescent="0.3">
      <c r="A169" s="82" t="s">
        <v>3510</v>
      </c>
      <c r="B169" s="82" t="str">
        <f t="shared" si="8"/>
        <v>Barraqueiro Transportes, S.A.</v>
      </c>
      <c r="C169" s="82" t="str">
        <f t="shared" si="9"/>
        <v>Boa Viagem</v>
      </c>
      <c r="D169" s="83" t="s">
        <v>629</v>
      </c>
      <c r="E169" s="91" t="s">
        <v>1853</v>
      </c>
      <c r="F169" s="124" t="s">
        <v>620</v>
      </c>
      <c r="G169" s="333">
        <v>2007</v>
      </c>
      <c r="H169" s="341" t="s">
        <v>731</v>
      </c>
      <c r="I169" s="336" t="str">
        <f t="shared" si="10"/>
        <v>Pesado de Passageiros M3: III : Gasóleo : E4</v>
      </c>
      <c r="J169" s="125">
        <v>21</v>
      </c>
      <c r="K169" s="125">
        <v>2022</v>
      </c>
      <c r="L169" s="85">
        <v>6271.43</v>
      </c>
      <c r="M169" s="85" t="s">
        <v>630</v>
      </c>
      <c r="N169" s="128">
        <v>28985</v>
      </c>
      <c r="O169" s="128">
        <f t="shared" si="11"/>
        <v>608685</v>
      </c>
      <c r="P169" s="125" t="s">
        <v>804</v>
      </c>
      <c r="Q169" s="85" t="s">
        <v>47</v>
      </c>
      <c r="R169" s="220" t="s">
        <v>1888</v>
      </c>
      <c r="S169" s="220" t="s">
        <v>1861</v>
      </c>
      <c r="T169" s="85" t="s">
        <v>1491</v>
      </c>
      <c r="U169" t="s">
        <v>1972</v>
      </c>
      <c r="V169" t="s">
        <v>2832</v>
      </c>
    </row>
    <row r="170" spans="1:22" ht="15.75" thickBot="1" x14ac:dyDescent="0.3">
      <c r="A170" s="82" t="s">
        <v>3510</v>
      </c>
      <c r="B170" s="82" t="str">
        <f t="shared" si="8"/>
        <v>Barraqueiro Transportes, S.A.</v>
      </c>
      <c r="C170" s="82" t="str">
        <f t="shared" si="9"/>
        <v>Boa Viagem</v>
      </c>
      <c r="D170" s="83" t="s">
        <v>629</v>
      </c>
      <c r="E170" s="91" t="s">
        <v>1853</v>
      </c>
      <c r="F170" s="124" t="s">
        <v>620</v>
      </c>
      <c r="G170" s="333">
        <v>2008</v>
      </c>
      <c r="H170" s="341" t="s">
        <v>731</v>
      </c>
      <c r="I170" s="336" t="str">
        <f t="shared" si="10"/>
        <v>Pesado de Passageiros M3: III : Gasóleo : E4</v>
      </c>
      <c r="J170" s="125">
        <v>82</v>
      </c>
      <c r="K170" s="125">
        <v>2022</v>
      </c>
      <c r="L170" s="85">
        <v>4457.9400000000005</v>
      </c>
      <c r="M170" s="85" t="s">
        <v>630</v>
      </c>
      <c r="N170" s="128">
        <v>10395</v>
      </c>
      <c r="O170" s="128">
        <f t="shared" si="11"/>
        <v>852390</v>
      </c>
      <c r="P170" s="125" t="s">
        <v>805</v>
      </c>
      <c r="Q170" s="85" t="s">
        <v>47</v>
      </c>
      <c r="R170" s="220" t="s">
        <v>1888</v>
      </c>
      <c r="S170" s="220" t="s">
        <v>1861</v>
      </c>
      <c r="T170" s="85" t="s">
        <v>1491</v>
      </c>
      <c r="U170" t="s">
        <v>1972</v>
      </c>
      <c r="V170" t="s">
        <v>2832</v>
      </c>
    </row>
    <row r="171" spans="1:22" ht="15.75" thickBot="1" x14ac:dyDescent="0.3">
      <c r="A171" s="82" t="s">
        <v>3510</v>
      </c>
      <c r="B171" s="82" t="str">
        <f t="shared" si="8"/>
        <v>Barraqueiro Transportes, S.A.</v>
      </c>
      <c r="C171" s="82" t="str">
        <f t="shared" si="9"/>
        <v>Boa Viagem</v>
      </c>
      <c r="D171" s="83" t="s">
        <v>629</v>
      </c>
      <c r="E171" s="91" t="s">
        <v>1853</v>
      </c>
      <c r="F171" s="124" t="s">
        <v>620</v>
      </c>
      <c r="G171" s="333">
        <v>2008</v>
      </c>
      <c r="H171" s="341" t="s">
        <v>731</v>
      </c>
      <c r="I171" s="336" t="str">
        <f t="shared" si="10"/>
        <v>Pesado de Passageiros M3: III : Gasóleo : E4</v>
      </c>
      <c r="J171" s="125">
        <v>34</v>
      </c>
      <c r="K171" s="125">
        <v>2022</v>
      </c>
      <c r="L171" s="85">
        <v>10875.630000000001</v>
      </c>
      <c r="M171" s="85" t="s">
        <v>630</v>
      </c>
      <c r="N171" s="128">
        <v>32986</v>
      </c>
      <c r="O171" s="128">
        <f t="shared" si="11"/>
        <v>1121524</v>
      </c>
      <c r="P171" s="125" t="s">
        <v>806</v>
      </c>
      <c r="Q171" s="85" t="s">
        <v>47</v>
      </c>
      <c r="R171" s="220" t="s">
        <v>1888</v>
      </c>
      <c r="S171" s="220" t="s">
        <v>1861</v>
      </c>
      <c r="T171" s="85" t="s">
        <v>1491</v>
      </c>
      <c r="U171" t="s">
        <v>1972</v>
      </c>
      <c r="V171" t="s">
        <v>2832</v>
      </c>
    </row>
    <row r="172" spans="1:22" ht="15.75" thickBot="1" x14ac:dyDescent="0.3">
      <c r="A172" s="82" t="s">
        <v>3510</v>
      </c>
      <c r="B172" s="82" t="str">
        <f t="shared" si="8"/>
        <v>Barraqueiro Transportes, S.A.</v>
      </c>
      <c r="C172" s="82" t="str">
        <f t="shared" si="9"/>
        <v>Boa Viagem</v>
      </c>
      <c r="D172" s="83" t="s">
        <v>629</v>
      </c>
      <c r="E172" s="91" t="s">
        <v>1853</v>
      </c>
      <c r="F172" s="124" t="s">
        <v>620</v>
      </c>
      <c r="G172" s="333">
        <v>2008</v>
      </c>
      <c r="H172" s="341" t="s">
        <v>731</v>
      </c>
      <c r="I172" s="336" t="str">
        <f t="shared" si="10"/>
        <v>Pesado de Passageiros M3: III : Gasóleo : E4</v>
      </c>
      <c r="J172" s="125">
        <v>83</v>
      </c>
      <c r="K172" s="125">
        <v>2022</v>
      </c>
      <c r="L172" s="85">
        <v>15205.82</v>
      </c>
      <c r="M172" s="85" t="s">
        <v>630</v>
      </c>
      <c r="N172" s="128">
        <v>33898</v>
      </c>
      <c r="O172" s="128">
        <f t="shared" si="11"/>
        <v>2813534</v>
      </c>
      <c r="P172" s="125" t="s">
        <v>807</v>
      </c>
      <c r="Q172" s="85" t="s">
        <v>47</v>
      </c>
      <c r="R172" s="220" t="s">
        <v>1888</v>
      </c>
      <c r="S172" s="220" t="s">
        <v>1861</v>
      </c>
      <c r="T172" s="85" t="s">
        <v>1491</v>
      </c>
      <c r="U172" t="s">
        <v>1972</v>
      </c>
      <c r="V172" t="s">
        <v>2832</v>
      </c>
    </row>
    <row r="173" spans="1:22" ht="15.75" thickBot="1" x14ac:dyDescent="0.3">
      <c r="A173" s="82" t="s">
        <v>3510</v>
      </c>
      <c r="B173" s="82" t="str">
        <f t="shared" si="8"/>
        <v>Barraqueiro Transportes, S.A.</v>
      </c>
      <c r="C173" s="82" t="str">
        <f t="shared" si="9"/>
        <v>Boa Viagem</v>
      </c>
      <c r="D173" s="83" t="s">
        <v>629</v>
      </c>
      <c r="E173" s="91" t="s">
        <v>1853</v>
      </c>
      <c r="F173" s="124" t="s">
        <v>620</v>
      </c>
      <c r="G173" s="333">
        <v>2003</v>
      </c>
      <c r="H173" s="341" t="s">
        <v>732</v>
      </c>
      <c r="I173" s="336" t="str">
        <f t="shared" si="10"/>
        <v>Pesado de Passageiros M3: III : Gasóleo : E3</v>
      </c>
      <c r="J173" s="125">
        <v>81</v>
      </c>
      <c r="K173" s="125">
        <v>2022</v>
      </c>
      <c r="L173" s="85">
        <v>16232.279000000002</v>
      </c>
      <c r="M173" s="85" t="s">
        <v>630</v>
      </c>
      <c r="N173" s="128">
        <v>35032</v>
      </c>
      <c r="O173" s="128">
        <f t="shared" si="11"/>
        <v>2837592</v>
      </c>
      <c r="P173" s="125" t="s">
        <v>808</v>
      </c>
      <c r="Q173" s="85" t="s">
        <v>47</v>
      </c>
      <c r="R173" s="220" t="s">
        <v>1888</v>
      </c>
      <c r="S173" s="220" t="s">
        <v>1861</v>
      </c>
      <c r="T173" s="85" t="s">
        <v>1491</v>
      </c>
      <c r="U173" t="s">
        <v>1972</v>
      </c>
      <c r="V173" t="s">
        <v>2832</v>
      </c>
    </row>
    <row r="174" spans="1:22" ht="15.75" thickBot="1" x14ac:dyDescent="0.3">
      <c r="A174" s="82" t="s">
        <v>3510</v>
      </c>
      <c r="B174" s="82" t="str">
        <f t="shared" si="8"/>
        <v>Barraqueiro Transportes, S.A.</v>
      </c>
      <c r="C174" s="82" t="str">
        <f t="shared" si="9"/>
        <v>Boa Viagem</v>
      </c>
      <c r="D174" s="83" t="s">
        <v>629</v>
      </c>
      <c r="E174" s="91" t="s">
        <v>1853</v>
      </c>
      <c r="F174" s="124" t="s">
        <v>620</v>
      </c>
      <c r="G174" s="333">
        <v>2000</v>
      </c>
      <c r="H174" s="341" t="s">
        <v>735</v>
      </c>
      <c r="I174" s="336" t="str">
        <f t="shared" si="10"/>
        <v>Pesado de Passageiros M3: III : Gasóleo : E2</v>
      </c>
      <c r="J174" s="125">
        <v>50</v>
      </c>
      <c r="K174" s="125">
        <v>2022</v>
      </c>
      <c r="L174" s="85">
        <v>17187.219999999998</v>
      </c>
      <c r="M174" s="85" t="s">
        <v>630</v>
      </c>
      <c r="N174" s="128">
        <v>46726</v>
      </c>
      <c r="O174" s="128">
        <f t="shared" si="11"/>
        <v>2336300</v>
      </c>
      <c r="P174" s="125" t="s">
        <v>809</v>
      </c>
      <c r="Q174" s="85" t="s">
        <v>47</v>
      </c>
      <c r="R174" s="220" t="s">
        <v>1888</v>
      </c>
      <c r="S174" s="220" t="s">
        <v>1861</v>
      </c>
      <c r="T174" s="85" t="s">
        <v>1491</v>
      </c>
      <c r="U174" t="s">
        <v>1972</v>
      </c>
      <c r="V174" t="s">
        <v>2832</v>
      </c>
    </row>
    <row r="175" spans="1:22" ht="15.75" thickBot="1" x14ac:dyDescent="0.3">
      <c r="A175" s="82" t="s">
        <v>3510</v>
      </c>
      <c r="B175" s="82" t="str">
        <f t="shared" si="8"/>
        <v>Barraqueiro Transportes, S.A.</v>
      </c>
      <c r="C175" s="82" t="str">
        <f t="shared" si="9"/>
        <v>Boa Viagem</v>
      </c>
      <c r="D175" s="83" t="s">
        <v>629</v>
      </c>
      <c r="E175" s="91" t="s">
        <v>1853</v>
      </c>
      <c r="F175" s="124" t="s">
        <v>620</v>
      </c>
      <c r="G175" s="333">
        <v>2002</v>
      </c>
      <c r="H175" s="341" t="s">
        <v>732</v>
      </c>
      <c r="I175" s="336" t="str">
        <f t="shared" si="10"/>
        <v>Pesado de Passageiros M3: III : Gasóleo : E3</v>
      </c>
      <c r="J175" s="125">
        <v>62</v>
      </c>
      <c r="K175" s="125">
        <v>2022</v>
      </c>
      <c r="L175" s="85">
        <v>11878.68</v>
      </c>
      <c r="M175" s="85" t="s">
        <v>630</v>
      </c>
      <c r="N175" s="128">
        <v>33881</v>
      </c>
      <c r="O175" s="128">
        <f t="shared" si="11"/>
        <v>2100622</v>
      </c>
      <c r="P175" s="125" t="s">
        <v>810</v>
      </c>
      <c r="Q175" s="85" t="s">
        <v>47</v>
      </c>
      <c r="R175" s="220" t="s">
        <v>1888</v>
      </c>
      <c r="S175" s="220" t="s">
        <v>1861</v>
      </c>
      <c r="T175" s="85" t="s">
        <v>1491</v>
      </c>
      <c r="U175" t="s">
        <v>1972</v>
      </c>
      <c r="V175" t="s">
        <v>2832</v>
      </c>
    </row>
    <row r="176" spans="1:22" ht="15.75" thickBot="1" x14ac:dyDescent="0.3">
      <c r="A176" s="82" t="s">
        <v>3510</v>
      </c>
      <c r="B176" s="82" t="str">
        <f t="shared" si="8"/>
        <v>Barraqueiro Transportes, S.A.</v>
      </c>
      <c r="C176" s="82" t="str">
        <f t="shared" si="9"/>
        <v>Boa Viagem</v>
      </c>
      <c r="D176" s="83" t="s">
        <v>629</v>
      </c>
      <c r="E176" s="91" t="s">
        <v>1853</v>
      </c>
      <c r="F176" s="124" t="s">
        <v>620</v>
      </c>
      <c r="G176" s="333">
        <v>2000</v>
      </c>
      <c r="H176" s="341" t="s">
        <v>735</v>
      </c>
      <c r="I176" s="336" t="str">
        <f t="shared" si="10"/>
        <v>Pesado de Passageiros M3: III : Gasóleo : E2</v>
      </c>
      <c r="J176" s="125">
        <v>71</v>
      </c>
      <c r="K176" s="125">
        <v>2022</v>
      </c>
      <c r="L176" s="85">
        <v>13530.810000000001</v>
      </c>
      <c r="M176" s="85" t="s">
        <v>630</v>
      </c>
      <c r="N176" s="128">
        <v>37957</v>
      </c>
      <c r="O176" s="128">
        <f t="shared" si="11"/>
        <v>2694947</v>
      </c>
      <c r="P176" s="125" t="s">
        <v>811</v>
      </c>
      <c r="Q176" s="85" t="s">
        <v>47</v>
      </c>
      <c r="R176" s="220" t="s">
        <v>1888</v>
      </c>
      <c r="S176" s="220" t="s">
        <v>1861</v>
      </c>
      <c r="T176" s="85" t="s">
        <v>1491</v>
      </c>
      <c r="U176" t="s">
        <v>1972</v>
      </c>
      <c r="V176" t="s">
        <v>2832</v>
      </c>
    </row>
    <row r="177" spans="1:22" ht="15.75" thickBot="1" x14ac:dyDescent="0.3">
      <c r="A177" s="82" t="s">
        <v>3510</v>
      </c>
      <c r="B177" s="82" t="str">
        <f t="shared" si="8"/>
        <v>Barraqueiro Transportes, S.A.</v>
      </c>
      <c r="C177" s="82" t="str">
        <f t="shared" si="9"/>
        <v>Boa Viagem</v>
      </c>
      <c r="D177" s="83" t="s">
        <v>629</v>
      </c>
      <c r="E177" s="91" t="s">
        <v>1853</v>
      </c>
      <c r="F177" s="124" t="s">
        <v>620</v>
      </c>
      <c r="G177" s="333">
        <v>2001</v>
      </c>
      <c r="H177" s="341" t="s">
        <v>732</v>
      </c>
      <c r="I177" s="336" t="str">
        <f t="shared" si="10"/>
        <v>Pesado de Passageiros M3: III : Gasóleo : E3</v>
      </c>
      <c r="J177" s="125">
        <v>62</v>
      </c>
      <c r="K177" s="125">
        <v>2022</v>
      </c>
      <c r="L177" s="85">
        <v>12341.089999999998</v>
      </c>
      <c r="M177" s="85" t="s">
        <v>630</v>
      </c>
      <c r="N177" s="128">
        <v>34742</v>
      </c>
      <c r="O177" s="128">
        <f t="shared" si="11"/>
        <v>2154004</v>
      </c>
      <c r="P177" s="125" t="s">
        <v>812</v>
      </c>
      <c r="Q177" s="85" t="s">
        <v>47</v>
      </c>
      <c r="R177" s="220" t="s">
        <v>1888</v>
      </c>
      <c r="S177" s="220" t="s">
        <v>1861</v>
      </c>
      <c r="T177" s="85" t="s">
        <v>1491</v>
      </c>
      <c r="U177" t="s">
        <v>1972</v>
      </c>
      <c r="V177" t="s">
        <v>2832</v>
      </c>
    </row>
    <row r="178" spans="1:22" ht="15.75" thickBot="1" x14ac:dyDescent="0.3">
      <c r="A178" s="82" t="s">
        <v>3510</v>
      </c>
      <c r="B178" s="82" t="str">
        <f t="shared" si="8"/>
        <v>Barraqueiro Transportes, S.A.</v>
      </c>
      <c r="C178" s="82" t="str">
        <f t="shared" si="9"/>
        <v>Boa Viagem</v>
      </c>
      <c r="D178" s="83" t="s">
        <v>629</v>
      </c>
      <c r="E178" s="91" t="s">
        <v>1853</v>
      </c>
      <c r="F178" s="124" t="s">
        <v>620</v>
      </c>
      <c r="G178" s="333">
        <v>2000</v>
      </c>
      <c r="H178" s="341" t="s">
        <v>735</v>
      </c>
      <c r="I178" s="336" t="str">
        <f t="shared" si="10"/>
        <v>Pesado de Passageiros M3: III : Gasóleo : E2</v>
      </c>
      <c r="J178" s="125">
        <v>83</v>
      </c>
      <c r="K178" s="125">
        <v>2022</v>
      </c>
      <c r="L178" s="85">
        <v>19746</v>
      </c>
      <c r="M178" s="85" t="s">
        <v>630</v>
      </c>
      <c r="N178" s="128">
        <v>51293</v>
      </c>
      <c r="O178" s="128">
        <f t="shared" si="11"/>
        <v>4257319</v>
      </c>
      <c r="P178" s="125" t="s">
        <v>813</v>
      </c>
      <c r="Q178" s="85" t="s">
        <v>47</v>
      </c>
      <c r="R178" s="220" t="s">
        <v>1888</v>
      </c>
      <c r="S178" s="220" t="s">
        <v>1861</v>
      </c>
      <c r="T178" s="85" t="s">
        <v>1491</v>
      </c>
      <c r="U178" t="s">
        <v>1972</v>
      </c>
      <c r="V178" t="s">
        <v>2832</v>
      </c>
    </row>
    <row r="179" spans="1:22" ht="15.75" thickBot="1" x14ac:dyDescent="0.3">
      <c r="A179" s="82" t="s">
        <v>3510</v>
      </c>
      <c r="B179" s="82" t="str">
        <f t="shared" si="8"/>
        <v>Barraqueiro Transportes, S.A.</v>
      </c>
      <c r="C179" s="82" t="str">
        <f t="shared" si="9"/>
        <v>Boa Viagem</v>
      </c>
      <c r="D179" s="83" t="s">
        <v>629</v>
      </c>
      <c r="E179" s="91" t="s">
        <v>1853</v>
      </c>
      <c r="F179" s="124" t="s">
        <v>620</v>
      </c>
      <c r="G179" s="333">
        <v>2018</v>
      </c>
      <c r="H179" s="341" t="s">
        <v>733</v>
      </c>
      <c r="I179" s="336" t="str">
        <f t="shared" si="10"/>
        <v>Pesado de Passageiros M3: III : Gasóleo : E6</v>
      </c>
      <c r="J179" s="125">
        <v>29</v>
      </c>
      <c r="K179" s="125">
        <v>2022</v>
      </c>
      <c r="L179" s="85">
        <v>8218.2100000000009</v>
      </c>
      <c r="M179" s="85" t="s">
        <v>630</v>
      </c>
      <c r="N179" s="128">
        <v>39017</v>
      </c>
      <c r="O179" s="128">
        <f t="shared" si="11"/>
        <v>1131493</v>
      </c>
      <c r="P179" s="125" t="s">
        <v>814</v>
      </c>
      <c r="Q179" s="85" t="s">
        <v>47</v>
      </c>
      <c r="R179" s="220" t="s">
        <v>1888</v>
      </c>
      <c r="S179" s="220" t="s">
        <v>1861</v>
      </c>
      <c r="T179" s="85" t="s">
        <v>1491</v>
      </c>
      <c r="U179" t="s">
        <v>1972</v>
      </c>
      <c r="V179" t="s">
        <v>2832</v>
      </c>
    </row>
    <row r="180" spans="1:22" ht="15.75" thickBot="1" x14ac:dyDescent="0.3">
      <c r="A180" s="82" t="s">
        <v>3510</v>
      </c>
      <c r="B180" s="82" t="str">
        <f t="shared" si="8"/>
        <v>Barraqueiro Transportes, S.A.</v>
      </c>
      <c r="C180" s="82" t="str">
        <f t="shared" si="9"/>
        <v>Boa Viagem</v>
      </c>
      <c r="D180" s="83" t="s">
        <v>629</v>
      </c>
      <c r="E180" s="91" t="s">
        <v>1853</v>
      </c>
      <c r="F180" s="124" t="s">
        <v>620</v>
      </c>
      <c r="G180" s="333">
        <v>2008</v>
      </c>
      <c r="H180" s="341" t="s">
        <v>731</v>
      </c>
      <c r="I180" s="336" t="str">
        <f t="shared" si="10"/>
        <v>Pesado de Passageiros M3: III : Gasóleo : E4</v>
      </c>
      <c r="J180" s="125">
        <v>59</v>
      </c>
      <c r="K180" s="125">
        <v>2022</v>
      </c>
      <c r="L180" s="85">
        <v>21671.4</v>
      </c>
      <c r="M180" s="85" t="s">
        <v>630</v>
      </c>
      <c r="N180" s="128">
        <v>54571</v>
      </c>
      <c r="O180" s="128">
        <f t="shared" si="11"/>
        <v>3219689</v>
      </c>
      <c r="P180" s="125" t="s">
        <v>815</v>
      </c>
      <c r="Q180" s="85" t="s">
        <v>47</v>
      </c>
      <c r="R180" s="220" t="s">
        <v>1888</v>
      </c>
      <c r="S180" s="220" t="s">
        <v>1861</v>
      </c>
      <c r="T180" s="85" t="s">
        <v>1491</v>
      </c>
      <c r="U180" t="s">
        <v>1972</v>
      </c>
      <c r="V180" t="s">
        <v>2832</v>
      </c>
    </row>
    <row r="181" spans="1:22" ht="15.75" thickBot="1" x14ac:dyDescent="0.3">
      <c r="A181" s="82" t="s">
        <v>3510</v>
      </c>
      <c r="B181" s="82" t="str">
        <f t="shared" si="8"/>
        <v>Barraqueiro Transportes, S.A.</v>
      </c>
      <c r="C181" s="82" t="str">
        <f t="shared" si="9"/>
        <v>Boa Viagem</v>
      </c>
      <c r="D181" s="83" t="s">
        <v>629</v>
      </c>
      <c r="E181" s="91" t="s">
        <v>1853</v>
      </c>
      <c r="F181" s="124" t="s">
        <v>620</v>
      </c>
      <c r="G181" s="333">
        <v>1997</v>
      </c>
      <c r="H181" s="341" t="s">
        <v>736</v>
      </c>
      <c r="I181" s="336" t="str">
        <f t="shared" si="10"/>
        <v>Pesado de Passageiros M3: III : Gasóleo : E1</v>
      </c>
      <c r="J181" s="125">
        <v>70</v>
      </c>
      <c r="K181" s="125">
        <v>2022</v>
      </c>
      <c r="L181" s="85">
        <v>15683.56</v>
      </c>
      <c r="M181" s="85" t="s">
        <v>630</v>
      </c>
      <c r="N181" s="128">
        <v>42015</v>
      </c>
      <c r="O181" s="128">
        <f t="shared" si="11"/>
        <v>2941050</v>
      </c>
      <c r="P181" s="125" t="s">
        <v>816</v>
      </c>
      <c r="Q181" s="85" t="s">
        <v>47</v>
      </c>
      <c r="R181" s="220" t="s">
        <v>1888</v>
      </c>
      <c r="S181" s="220" t="s">
        <v>1861</v>
      </c>
      <c r="T181" s="85" t="s">
        <v>1491</v>
      </c>
      <c r="U181" t="s">
        <v>1972</v>
      </c>
      <c r="V181" t="s">
        <v>2832</v>
      </c>
    </row>
    <row r="182" spans="1:22" ht="15.75" thickBot="1" x14ac:dyDescent="0.3">
      <c r="A182" s="82" t="s">
        <v>3510</v>
      </c>
      <c r="B182" s="82" t="str">
        <f t="shared" si="8"/>
        <v>Barraqueiro Transportes, S.A.</v>
      </c>
      <c r="C182" s="82" t="str">
        <f t="shared" si="9"/>
        <v>Boa Viagem</v>
      </c>
      <c r="D182" s="83" t="s">
        <v>629</v>
      </c>
      <c r="E182" s="91" t="s">
        <v>1853</v>
      </c>
      <c r="F182" s="124" t="s">
        <v>620</v>
      </c>
      <c r="G182" s="333">
        <v>2000</v>
      </c>
      <c r="H182" s="341" t="s">
        <v>735</v>
      </c>
      <c r="I182" s="336" t="str">
        <f t="shared" si="10"/>
        <v>Pesado de Passageiros M3: III : Gasóleo : E2</v>
      </c>
      <c r="J182" s="125">
        <v>43</v>
      </c>
      <c r="K182" s="125">
        <v>2022</v>
      </c>
      <c r="L182" s="85">
        <v>17141.269999999997</v>
      </c>
      <c r="M182" s="85" t="s">
        <v>630</v>
      </c>
      <c r="N182" s="128">
        <v>39925</v>
      </c>
      <c r="O182" s="128">
        <f t="shared" si="11"/>
        <v>1716775</v>
      </c>
      <c r="P182" s="125" t="s">
        <v>817</v>
      </c>
      <c r="Q182" s="85" t="s">
        <v>47</v>
      </c>
      <c r="R182" s="220" t="s">
        <v>1888</v>
      </c>
      <c r="S182" s="220" t="s">
        <v>1861</v>
      </c>
      <c r="T182" s="85" t="s">
        <v>1491</v>
      </c>
      <c r="U182" t="s">
        <v>1972</v>
      </c>
      <c r="V182" t="s">
        <v>2832</v>
      </c>
    </row>
    <row r="183" spans="1:22" ht="15.75" thickBot="1" x14ac:dyDescent="0.3">
      <c r="A183" s="82" t="s">
        <v>3510</v>
      </c>
      <c r="B183" s="82" t="str">
        <f t="shared" si="8"/>
        <v>Barraqueiro Transportes, S.A.</v>
      </c>
      <c r="C183" s="82" t="str">
        <f t="shared" si="9"/>
        <v>Boa Viagem</v>
      </c>
      <c r="D183" s="83" t="s">
        <v>629</v>
      </c>
      <c r="E183" s="91" t="s">
        <v>1853</v>
      </c>
      <c r="F183" s="124" t="s">
        <v>620</v>
      </c>
      <c r="G183" s="333">
        <v>1998</v>
      </c>
      <c r="H183" s="341" t="s">
        <v>736</v>
      </c>
      <c r="I183" s="336" t="str">
        <f t="shared" si="10"/>
        <v>Pesado de Passageiros M3: III : Gasóleo : E1</v>
      </c>
      <c r="J183" s="125">
        <v>70</v>
      </c>
      <c r="K183" s="125">
        <v>2022</v>
      </c>
      <c r="L183" s="85">
        <v>10045.560000000001</v>
      </c>
      <c r="M183" s="85" t="s">
        <v>630</v>
      </c>
      <c r="N183" s="128">
        <v>25602</v>
      </c>
      <c r="O183" s="128">
        <f t="shared" si="11"/>
        <v>1792140</v>
      </c>
      <c r="P183" s="125" t="s">
        <v>818</v>
      </c>
      <c r="Q183" s="85" t="s">
        <v>47</v>
      </c>
      <c r="R183" s="220" t="s">
        <v>1888</v>
      </c>
      <c r="S183" s="220" t="s">
        <v>1861</v>
      </c>
      <c r="T183" s="85" t="s">
        <v>1491</v>
      </c>
      <c r="U183" t="s">
        <v>1972</v>
      </c>
      <c r="V183" t="s">
        <v>2832</v>
      </c>
    </row>
    <row r="184" spans="1:22" ht="15.75" thickBot="1" x14ac:dyDescent="0.3">
      <c r="A184" s="82" t="s">
        <v>3510</v>
      </c>
      <c r="B184" s="82" t="str">
        <f t="shared" si="8"/>
        <v>Barraqueiro Transportes, S.A.</v>
      </c>
      <c r="C184" s="82" t="str">
        <f t="shared" si="9"/>
        <v>Boa Viagem</v>
      </c>
      <c r="D184" s="83" t="s">
        <v>629</v>
      </c>
      <c r="E184" s="91" t="s">
        <v>1853</v>
      </c>
      <c r="F184" s="124" t="s">
        <v>620</v>
      </c>
      <c r="G184" s="333">
        <v>1998</v>
      </c>
      <c r="H184" s="341" t="s">
        <v>736</v>
      </c>
      <c r="I184" s="336" t="str">
        <f t="shared" si="10"/>
        <v>Pesado de Passageiros M3: III : Gasóleo : E1</v>
      </c>
      <c r="J184" s="125">
        <v>70</v>
      </c>
      <c r="K184" s="125">
        <v>2022</v>
      </c>
      <c r="L184" s="85">
        <v>17734.580000000002</v>
      </c>
      <c r="M184" s="85" t="s">
        <v>630</v>
      </c>
      <c r="N184" s="128">
        <v>43788</v>
      </c>
      <c r="O184" s="128">
        <f t="shared" si="11"/>
        <v>3065160</v>
      </c>
      <c r="P184" s="125" t="s">
        <v>819</v>
      </c>
      <c r="Q184" s="85" t="s">
        <v>47</v>
      </c>
      <c r="R184" s="220" t="s">
        <v>1888</v>
      </c>
      <c r="S184" s="220" t="s">
        <v>1861</v>
      </c>
      <c r="T184" s="85" t="s">
        <v>1491</v>
      </c>
      <c r="U184" t="s">
        <v>1972</v>
      </c>
      <c r="V184" t="s">
        <v>2832</v>
      </c>
    </row>
    <row r="185" spans="1:22" ht="15.75" thickBot="1" x14ac:dyDescent="0.3">
      <c r="A185" s="82" t="s">
        <v>3510</v>
      </c>
      <c r="B185" s="82" t="str">
        <f t="shared" si="8"/>
        <v>Barraqueiro Transportes, S.A.</v>
      </c>
      <c r="C185" s="82" t="str">
        <f t="shared" si="9"/>
        <v>Boa Viagem</v>
      </c>
      <c r="D185" s="83" t="s">
        <v>629</v>
      </c>
      <c r="E185" s="91" t="s">
        <v>1853</v>
      </c>
      <c r="F185" s="124" t="s">
        <v>620</v>
      </c>
      <c r="G185" s="333">
        <v>2011</v>
      </c>
      <c r="H185" s="341" t="s">
        <v>734</v>
      </c>
      <c r="I185" s="336" t="str">
        <f t="shared" si="10"/>
        <v>Pesado de Passageiros M3: III : Gasóleo : E5</v>
      </c>
      <c r="J185" s="125">
        <v>53</v>
      </c>
      <c r="K185" s="125">
        <v>2022</v>
      </c>
      <c r="L185" s="85">
        <v>15795.645</v>
      </c>
      <c r="M185" s="85" t="s">
        <v>630</v>
      </c>
      <c r="N185" s="128">
        <v>51911</v>
      </c>
      <c r="O185" s="128">
        <f t="shared" si="11"/>
        <v>2751283</v>
      </c>
      <c r="P185" s="125" t="s">
        <v>820</v>
      </c>
      <c r="Q185" s="85" t="s">
        <v>47</v>
      </c>
      <c r="R185" s="220" t="s">
        <v>1888</v>
      </c>
      <c r="S185" s="220" t="s">
        <v>1861</v>
      </c>
      <c r="T185" s="85" t="s">
        <v>1491</v>
      </c>
      <c r="U185" t="s">
        <v>1972</v>
      </c>
      <c r="V185" t="s">
        <v>2832</v>
      </c>
    </row>
    <row r="186" spans="1:22" ht="15.75" thickBot="1" x14ac:dyDescent="0.3">
      <c r="A186" s="82" t="s">
        <v>3510</v>
      </c>
      <c r="B186" s="82" t="str">
        <f t="shared" si="8"/>
        <v>Barraqueiro Transportes, S.A.</v>
      </c>
      <c r="C186" s="82" t="str">
        <f t="shared" si="9"/>
        <v>Boa Viagem</v>
      </c>
      <c r="D186" s="83" t="s">
        <v>629</v>
      </c>
      <c r="E186" s="91" t="s">
        <v>1853</v>
      </c>
      <c r="F186" s="124" t="s">
        <v>620</v>
      </c>
      <c r="G186" s="333">
        <v>2011</v>
      </c>
      <c r="H186" s="341" t="s">
        <v>734</v>
      </c>
      <c r="I186" s="336" t="str">
        <f t="shared" si="10"/>
        <v>Pesado de Passageiros M3: III : Gasóleo : E5</v>
      </c>
      <c r="J186" s="125">
        <v>53</v>
      </c>
      <c r="K186" s="125">
        <v>2022</v>
      </c>
      <c r="L186" s="85">
        <v>20868.808000000001</v>
      </c>
      <c r="M186" s="85" t="s">
        <v>630</v>
      </c>
      <c r="N186" s="128">
        <v>65820</v>
      </c>
      <c r="O186" s="128">
        <f t="shared" si="11"/>
        <v>3488460</v>
      </c>
      <c r="P186" s="125" t="s">
        <v>821</v>
      </c>
      <c r="Q186" s="85" t="s">
        <v>47</v>
      </c>
      <c r="R186" s="220" t="s">
        <v>1888</v>
      </c>
      <c r="S186" s="220" t="s">
        <v>1861</v>
      </c>
      <c r="T186" s="85" t="s">
        <v>1491</v>
      </c>
      <c r="U186" t="s">
        <v>1972</v>
      </c>
      <c r="V186" t="s">
        <v>2832</v>
      </c>
    </row>
    <row r="187" spans="1:22" ht="15.75" thickBot="1" x14ac:dyDescent="0.3">
      <c r="A187" s="82" t="s">
        <v>3510</v>
      </c>
      <c r="B187" s="82" t="str">
        <f t="shared" si="8"/>
        <v>Barraqueiro Transportes, S.A.</v>
      </c>
      <c r="C187" s="82" t="str">
        <f t="shared" si="9"/>
        <v>Boa Viagem</v>
      </c>
      <c r="D187" s="83" t="s">
        <v>629</v>
      </c>
      <c r="E187" s="91" t="s">
        <v>1853</v>
      </c>
      <c r="F187" s="124" t="s">
        <v>620</v>
      </c>
      <c r="G187" s="333">
        <v>1996</v>
      </c>
      <c r="H187" s="341" t="s">
        <v>736</v>
      </c>
      <c r="I187" s="336" t="str">
        <f t="shared" si="10"/>
        <v>Pesado de Passageiros M3: III : Gasóleo : E1</v>
      </c>
      <c r="J187" s="125">
        <v>80</v>
      </c>
      <c r="K187" s="125">
        <v>2022</v>
      </c>
      <c r="L187" s="85">
        <v>11521.949999999999</v>
      </c>
      <c r="M187" s="85" t="s">
        <v>630</v>
      </c>
      <c r="N187" s="128">
        <v>32252</v>
      </c>
      <c r="O187" s="128">
        <f t="shared" si="11"/>
        <v>2580160</v>
      </c>
      <c r="P187" s="125" t="s">
        <v>822</v>
      </c>
      <c r="Q187" s="85" t="s">
        <v>47</v>
      </c>
      <c r="R187" s="220" t="s">
        <v>1888</v>
      </c>
      <c r="S187" s="220" t="s">
        <v>1861</v>
      </c>
      <c r="T187" s="85" t="s">
        <v>1491</v>
      </c>
      <c r="U187" t="s">
        <v>1972</v>
      </c>
      <c r="V187" t="s">
        <v>2832</v>
      </c>
    </row>
    <row r="188" spans="1:22" ht="15.75" thickBot="1" x14ac:dyDescent="0.3">
      <c r="A188" s="82" t="s">
        <v>3510</v>
      </c>
      <c r="B188" s="82" t="str">
        <f t="shared" si="8"/>
        <v>Barraqueiro Transportes, S.A.</v>
      </c>
      <c r="C188" s="82" t="str">
        <f t="shared" si="9"/>
        <v>Boa Viagem</v>
      </c>
      <c r="D188" s="83" t="s">
        <v>629</v>
      </c>
      <c r="E188" s="91" t="s">
        <v>1853</v>
      </c>
      <c r="F188" s="124" t="s">
        <v>620</v>
      </c>
      <c r="G188" s="333">
        <v>1997</v>
      </c>
      <c r="H188" s="341" t="s">
        <v>736</v>
      </c>
      <c r="I188" s="336" t="str">
        <f t="shared" si="10"/>
        <v>Pesado de Passageiros M3: III : Gasóleo : E1</v>
      </c>
      <c r="J188" s="125">
        <v>70</v>
      </c>
      <c r="K188" s="125">
        <v>2022</v>
      </c>
      <c r="L188" s="85">
        <v>5502.49</v>
      </c>
      <c r="M188" s="85" t="s">
        <v>630</v>
      </c>
      <c r="N188" s="128">
        <v>16574</v>
      </c>
      <c r="O188" s="128">
        <f t="shared" si="11"/>
        <v>1160180</v>
      </c>
      <c r="P188" s="125" t="s">
        <v>823</v>
      </c>
      <c r="Q188" s="85" t="s">
        <v>47</v>
      </c>
      <c r="R188" s="220" t="s">
        <v>1888</v>
      </c>
      <c r="S188" s="220" t="s">
        <v>1861</v>
      </c>
      <c r="T188" s="85" t="s">
        <v>1491</v>
      </c>
      <c r="U188" t="s">
        <v>1972</v>
      </c>
      <c r="V188" t="s">
        <v>2832</v>
      </c>
    </row>
    <row r="189" spans="1:22" ht="15.75" thickBot="1" x14ac:dyDescent="0.3">
      <c r="A189" s="82" t="s">
        <v>3510</v>
      </c>
      <c r="B189" s="82" t="str">
        <f t="shared" si="8"/>
        <v>Barraqueiro Transportes, S.A.</v>
      </c>
      <c r="C189" s="82" t="str">
        <f t="shared" si="9"/>
        <v>Boa Viagem</v>
      </c>
      <c r="D189" s="83" t="s">
        <v>629</v>
      </c>
      <c r="E189" s="91" t="s">
        <v>1853</v>
      </c>
      <c r="F189" s="124" t="s">
        <v>620</v>
      </c>
      <c r="G189" s="333">
        <v>2007</v>
      </c>
      <c r="H189" s="341" t="s">
        <v>731</v>
      </c>
      <c r="I189" s="336" t="str">
        <f t="shared" si="10"/>
        <v>Pesado de Passageiros M3: III : Gasóleo : E4</v>
      </c>
      <c r="J189" s="125">
        <v>74</v>
      </c>
      <c r="K189" s="125">
        <v>2022</v>
      </c>
      <c r="L189" s="85">
        <v>18436.290000000005</v>
      </c>
      <c r="M189" s="85" t="s">
        <v>630</v>
      </c>
      <c r="N189" s="128">
        <v>48829</v>
      </c>
      <c r="O189" s="128">
        <f t="shared" si="11"/>
        <v>3613346</v>
      </c>
      <c r="P189" s="125" t="s">
        <v>824</v>
      </c>
      <c r="Q189" s="85" t="s">
        <v>47</v>
      </c>
      <c r="R189" s="220" t="s">
        <v>1888</v>
      </c>
      <c r="S189" s="220" t="s">
        <v>1861</v>
      </c>
      <c r="T189" s="85" t="s">
        <v>1491</v>
      </c>
      <c r="U189" t="s">
        <v>1972</v>
      </c>
      <c r="V189" t="s">
        <v>2832</v>
      </c>
    </row>
    <row r="190" spans="1:22" ht="15.75" thickBot="1" x14ac:dyDescent="0.3">
      <c r="A190" s="82" t="s">
        <v>3510</v>
      </c>
      <c r="B190" s="82" t="str">
        <f t="shared" si="8"/>
        <v>Barraqueiro Transportes, S.A.</v>
      </c>
      <c r="C190" s="82" t="str">
        <f t="shared" si="9"/>
        <v>Boa Viagem</v>
      </c>
      <c r="D190" s="83" t="s">
        <v>629</v>
      </c>
      <c r="E190" s="91" t="s">
        <v>1853</v>
      </c>
      <c r="F190" s="124" t="s">
        <v>620</v>
      </c>
      <c r="G190" s="333">
        <v>2008</v>
      </c>
      <c r="H190" s="341" t="s">
        <v>731</v>
      </c>
      <c r="I190" s="336" t="str">
        <f t="shared" si="10"/>
        <v>Pesado de Passageiros M3: III : Gasóleo : E4</v>
      </c>
      <c r="J190" s="125">
        <v>82</v>
      </c>
      <c r="K190" s="125">
        <v>2022</v>
      </c>
      <c r="L190" s="85">
        <v>17479</v>
      </c>
      <c r="M190" s="85" t="s">
        <v>630</v>
      </c>
      <c r="N190" s="128">
        <v>49414</v>
      </c>
      <c r="O190" s="128">
        <f t="shared" si="11"/>
        <v>4051948</v>
      </c>
      <c r="P190" s="125" t="s">
        <v>825</v>
      </c>
      <c r="Q190" s="85" t="s">
        <v>47</v>
      </c>
      <c r="R190" s="220" t="s">
        <v>1888</v>
      </c>
      <c r="S190" s="220" t="s">
        <v>1861</v>
      </c>
      <c r="T190" s="85" t="s">
        <v>1491</v>
      </c>
      <c r="U190" t="s">
        <v>1972</v>
      </c>
      <c r="V190" t="s">
        <v>2832</v>
      </c>
    </row>
    <row r="191" spans="1:22" ht="15.75" thickBot="1" x14ac:dyDescent="0.3">
      <c r="A191" s="82" t="s">
        <v>3510</v>
      </c>
      <c r="B191" s="82" t="str">
        <f t="shared" si="8"/>
        <v>Barraqueiro Transportes, S.A.</v>
      </c>
      <c r="C191" s="82" t="str">
        <f t="shared" si="9"/>
        <v>Boa Viagem</v>
      </c>
      <c r="D191" s="83" t="s">
        <v>629</v>
      </c>
      <c r="E191" s="91" t="s">
        <v>1853</v>
      </c>
      <c r="F191" s="124" t="s">
        <v>620</v>
      </c>
      <c r="G191" s="333">
        <v>2008</v>
      </c>
      <c r="H191" s="341" t="s">
        <v>731</v>
      </c>
      <c r="I191" s="336" t="str">
        <f t="shared" si="10"/>
        <v>Pesado de Passageiros M3: III : Gasóleo : E4</v>
      </c>
      <c r="J191" s="125">
        <v>82</v>
      </c>
      <c r="K191" s="125">
        <v>2022</v>
      </c>
      <c r="L191" s="85">
        <v>26773.24</v>
      </c>
      <c r="M191" s="85" t="s">
        <v>630</v>
      </c>
      <c r="N191" s="128">
        <v>73424</v>
      </c>
      <c r="O191" s="128">
        <f t="shared" si="11"/>
        <v>6020768</v>
      </c>
      <c r="P191" s="125" t="s">
        <v>826</v>
      </c>
      <c r="Q191" s="85" t="s">
        <v>47</v>
      </c>
      <c r="R191" s="220" t="s">
        <v>1888</v>
      </c>
      <c r="S191" s="220" t="s">
        <v>1861</v>
      </c>
      <c r="T191" s="85" t="s">
        <v>1491</v>
      </c>
      <c r="U191" t="s">
        <v>1972</v>
      </c>
      <c r="V191" t="s">
        <v>2832</v>
      </c>
    </row>
    <row r="192" spans="1:22" ht="15.75" thickBot="1" x14ac:dyDescent="0.3">
      <c r="A192" s="82" t="s">
        <v>3510</v>
      </c>
      <c r="B192" s="82" t="str">
        <f t="shared" si="8"/>
        <v>Barraqueiro Transportes, S.A.</v>
      </c>
      <c r="C192" s="82" t="str">
        <f t="shared" si="9"/>
        <v>Boa Viagem</v>
      </c>
      <c r="D192" s="83" t="s">
        <v>629</v>
      </c>
      <c r="E192" s="91" t="s">
        <v>1853</v>
      </c>
      <c r="F192" s="124" t="s">
        <v>620</v>
      </c>
      <c r="G192" s="333">
        <v>2008</v>
      </c>
      <c r="H192" s="341" t="s">
        <v>731</v>
      </c>
      <c r="I192" s="336" t="str">
        <f t="shared" si="10"/>
        <v>Pesado de Passageiros M3: III : Gasóleo : E4</v>
      </c>
      <c r="J192" s="125">
        <v>82</v>
      </c>
      <c r="K192" s="125">
        <v>2022</v>
      </c>
      <c r="L192" s="85">
        <v>18546.07</v>
      </c>
      <c r="M192" s="85" t="s">
        <v>630</v>
      </c>
      <c r="N192" s="128">
        <v>50334</v>
      </c>
      <c r="O192" s="128">
        <f t="shared" si="11"/>
        <v>4127388</v>
      </c>
      <c r="P192" s="125" t="s">
        <v>827</v>
      </c>
      <c r="Q192" s="85" t="s">
        <v>47</v>
      </c>
      <c r="R192" s="220" t="s">
        <v>1888</v>
      </c>
      <c r="S192" s="220" t="s">
        <v>1861</v>
      </c>
      <c r="T192" s="85" t="s">
        <v>1491</v>
      </c>
      <c r="U192" t="s">
        <v>1972</v>
      </c>
      <c r="V192" t="s">
        <v>2832</v>
      </c>
    </row>
    <row r="193" spans="1:22" ht="15.75" thickBot="1" x14ac:dyDescent="0.3">
      <c r="A193" s="82" t="s">
        <v>3510</v>
      </c>
      <c r="B193" s="82" t="str">
        <f t="shared" si="8"/>
        <v>Barraqueiro Transportes, S.A.</v>
      </c>
      <c r="C193" s="82" t="str">
        <f t="shared" si="9"/>
        <v>Boa Viagem</v>
      </c>
      <c r="D193" s="83" t="s">
        <v>629</v>
      </c>
      <c r="E193" s="91" t="s">
        <v>1853</v>
      </c>
      <c r="F193" s="124" t="s">
        <v>620</v>
      </c>
      <c r="G193" s="333">
        <v>2004</v>
      </c>
      <c r="H193" s="341" t="s">
        <v>732</v>
      </c>
      <c r="I193" s="336" t="str">
        <f t="shared" si="10"/>
        <v>Pesado de Passageiros M3: III : Gasóleo : E3</v>
      </c>
      <c r="J193" s="125">
        <v>55</v>
      </c>
      <c r="K193" s="125">
        <v>2022</v>
      </c>
      <c r="L193" s="85">
        <v>16524.219999999998</v>
      </c>
      <c r="M193" s="85" t="s">
        <v>630</v>
      </c>
      <c r="N193" s="128">
        <v>42097</v>
      </c>
      <c r="O193" s="128">
        <f t="shared" si="11"/>
        <v>2315335</v>
      </c>
      <c r="P193" s="125" t="s">
        <v>828</v>
      </c>
      <c r="Q193" s="85" t="s">
        <v>47</v>
      </c>
      <c r="R193" s="220" t="s">
        <v>1888</v>
      </c>
      <c r="S193" s="220" t="s">
        <v>1861</v>
      </c>
      <c r="T193" s="85" t="s">
        <v>1491</v>
      </c>
      <c r="U193" t="s">
        <v>1972</v>
      </c>
      <c r="V193" t="s">
        <v>2832</v>
      </c>
    </row>
    <row r="194" spans="1:22" ht="15.75" thickBot="1" x14ac:dyDescent="0.3">
      <c r="A194" s="82" t="s">
        <v>3510</v>
      </c>
      <c r="B194" s="82" t="str">
        <f t="shared" si="8"/>
        <v>Barraqueiro Transportes, S.A.</v>
      </c>
      <c r="C194" s="82" t="str">
        <f t="shared" si="9"/>
        <v>Boa Viagem</v>
      </c>
      <c r="D194" s="83" t="s">
        <v>629</v>
      </c>
      <c r="E194" s="91" t="s">
        <v>1853</v>
      </c>
      <c r="F194" s="124" t="s">
        <v>620</v>
      </c>
      <c r="G194" s="333">
        <v>2004</v>
      </c>
      <c r="H194" s="341" t="s">
        <v>732</v>
      </c>
      <c r="I194" s="336" t="str">
        <f t="shared" si="10"/>
        <v>Pesado de Passageiros M3: III : Gasóleo : E3</v>
      </c>
      <c r="J194" s="125">
        <v>76</v>
      </c>
      <c r="K194" s="125">
        <v>2022</v>
      </c>
      <c r="L194" s="85">
        <v>4267.2699999999995</v>
      </c>
      <c r="M194" s="85" t="s">
        <v>630</v>
      </c>
      <c r="N194" s="128">
        <v>10782</v>
      </c>
      <c r="O194" s="128">
        <f t="shared" si="11"/>
        <v>819432</v>
      </c>
      <c r="P194" s="125" t="s">
        <v>829</v>
      </c>
      <c r="Q194" s="85" t="s">
        <v>47</v>
      </c>
      <c r="R194" s="220" t="s">
        <v>1888</v>
      </c>
      <c r="S194" s="220" t="s">
        <v>1861</v>
      </c>
      <c r="T194" s="85" t="s">
        <v>1491</v>
      </c>
      <c r="U194" t="s">
        <v>1972</v>
      </c>
      <c r="V194" t="s">
        <v>2832</v>
      </c>
    </row>
    <row r="195" spans="1:22" ht="15.75" thickBot="1" x14ac:dyDescent="0.3">
      <c r="A195" s="82" t="s">
        <v>3510</v>
      </c>
      <c r="B195" s="82" t="str">
        <f t="shared" ref="B195:B258" si="12">LEFT(A195,IFERROR(FIND(" - ",A195)-1,LEN(A195)))</f>
        <v>Barraqueiro Transportes, S.A.</v>
      </c>
      <c r="C195" s="82" t="str">
        <f t="shared" si="9"/>
        <v>Boa Viagem</v>
      </c>
      <c r="D195" s="83" t="s">
        <v>629</v>
      </c>
      <c r="E195" s="91" t="s">
        <v>1853</v>
      </c>
      <c r="F195" s="124" t="s">
        <v>620</v>
      </c>
      <c r="G195" s="333">
        <v>2005</v>
      </c>
      <c r="H195" s="341" t="s">
        <v>732</v>
      </c>
      <c r="I195" s="336" t="str">
        <f t="shared" si="10"/>
        <v>Pesado de Passageiros M3: III : Gasóleo : E3</v>
      </c>
      <c r="J195" s="125">
        <v>86</v>
      </c>
      <c r="K195" s="125">
        <v>2022</v>
      </c>
      <c r="L195" s="85">
        <v>19362.620000000003</v>
      </c>
      <c r="M195" s="85" t="s">
        <v>630</v>
      </c>
      <c r="N195" s="128">
        <v>48172</v>
      </c>
      <c r="O195" s="128">
        <f t="shared" si="11"/>
        <v>4142792</v>
      </c>
      <c r="P195" s="125" t="s">
        <v>830</v>
      </c>
      <c r="Q195" s="85" t="s">
        <v>47</v>
      </c>
      <c r="R195" s="220" t="s">
        <v>1888</v>
      </c>
      <c r="S195" s="220" t="s">
        <v>1861</v>
      </c>
      <c r="T195" s="85" t="s">
        <v>1491</v>
      </c>
      <c r="U195" t="s">
        <v>1972</v>
      </c>
      <c r="V195" t="s">
        <v>2832</v>
      </c>
    </row>
    <row r="196" spans="1:22" ht="15.75" thickBot="1" x14ac:dyDescent="0.3">
      <c r="A196" s="82" t="s">
        <v>3510</v>
      </c>
      <c r="B196" s="82" t="str">
        <f t="shared" si="12"/>
        <v>Barraqueiro Transportes, S.A.</v>
      </c>
      <c r="C196" s="82" t="str">
        <f t="shared" ref="C196:C259" si="13">IF(A196=B196,B196,RIGHT(A196,LEN(A196)-LEN(B196)-3))</f>
        <v>Boa Viagem</v>
      </c>
      <c r="D196" s="83" t="s">
        <v>629</v>
      </c>
      <c r="E196" s="91" t="s">
        <v>1853</v>
      </c>
      <c r="F196" s="124" t="s">
        <v>620</v>
      </c>
      <c r="G196" s="333">
        <v>2005</v>
      </c>
      <c r="H196" s="341" t="s">
        <v>732</v>
      </c>
      <c r="I196" s="336" t="str">
        <f t="shared" ref="I196:I259" si="14">D196&amp;": "&amp;E196&amp;" : "&amp;F196&amp;" : "&amp;H196</f>
        <v>Pesado de Passageiros M3: III : Gasóleo : E3</v>
      </c>
      <c r="J196" s="125">
        <v>86</v>
      </c>
      <c r="K196" s="125">
        <v>2022</v>
      </c>
      <c r="L196" s="85">
        <v>16083.529999999999</v>
      </c>
      <c r="M196" s="85" t="s">
        <v>630</v>
      </c>
      <c r="N196" s="128">
        <v>41213</v>
      </c>
      <c r="O196" s="128">
        <f t="shared" ref="O196:O259" si="15">N196*J196</f>
        <v>3544318</v>
      </c>
      <c r="P196" s="125" t="s">
        <v>831</v>
      </c>
      <c r="Q196" s="85" t="s">
        <v>47</v>
      </c>
      <c r="R196" s="220" t="s">
        <v>1888</v>
      </c>
      <c r="S196" s="220" t="s">
        <v>1861</v>
      </c>
      <c r="T196" s="85" t="s">
        <v>1491</v>
      </c>
      <c r="U196" t="s">
        <v>1972</v>
      </c>
      <c r="V196" t="s">
        <v>2832</v>
      </c>
    </row>
    <row r="197" spans="1:22" ht="15.75" thickBot="1" x14ac:dyDescent="0.3">
      <c r="A197" s="82" t="s">
        <v>3510</v>
      </c>
      <c r="B197" s="82" t="str">
        <f t="shared" si="12"/>
        <v>Barraqueiro Transportes, S.A.</v>
      </c>
      <c r="C197" s="82" t="str">
        <f t="shared" si="13"/>
        <v>Boa Viagem</v>
      </c>
      <c r="D197" s="83" t="s">
        <v>629</v>
      </c>
      <c r="E197" s="91" t="s">
        <v>1853</v>
      </c>
      <c r="F197" s="124" t="s">
        <v>620</v>
      </c>
      <c r="G197" s="333">
        <v>1995</v>
      </c>
      <c r="H197" s="341" t="s">
        <v>736</v>
      </c>
      <c r="I197" s="336" t="str">
        <f t="shared" si="14"/>
        <v>Pesado de Passageiros M3: III : Gasóleo : E1</v>
      </c>
      <c r="J197" s="125">
        <v>70</v>
      </c>
      <c r="K197" s="125">
        <v>2022</v>
      </c>
      <c r="L197" s="85">
        <v>9468.7799999999988</v>
      </c>
      <c r="M197" s="85" t="s">
        <v>630</v>
      </c>
      <c r="N197" s="128">
        <v>26497</v>
      </c>
      <c r="O197" s="128">
        <f t="shared" si="15"/>
        <v>1854790</v>
      </c>
      <c r="P197" s="125" t="s">
        <v>832</v>
      </c>
      <c r="Q197" s="85" t="s">
        <v>47</v>
      </c>
      <c r="R197" s="220" t="s">
        <v>1888</v>
      </c>
      <c r="S197" s="220" t="s">
        <v>1861</v>
      </c>
      <c r="T197" s="85" t="s">
        <v>1491</v>
      </c>
      <c r="U197" t="s">
        <v>1972</v>
      </c>
      <c r="V197" t="s">
        <v>2832</v>
      </c>
    </row>
    <row r="198" spans="1:22" ht="15.75" thickBot="1" x14ac:dyDescent="0.3">
      <c r="A198" s="82" t="s">
        <v>3510</v>
      </c>
      <c r="B198" s="82" t="str">
        <f t="shared" si="12"/>
        <v>Barraqueiro Transportes, S.A.</v>
      </c>
      <c r="C198" s="82" t="str">
        <f t="shared" si="13"/>
        <v>Boa Viagem</v>
      </c>
      <c r="D198" s="83" t="s">
        <v>629</v>
      </c>
      <c r="E198" s="91" t="s">
        <v>1853</v>
      </c>
      <c r="F198" s="124" t="s">
        <v>620</v>
      </c>
      <c r="G198" s="333">
        <v>2006</v>
      </c>
      <c r="H198" s="341" t="s">
        <v>731</v>
      </c>
      <c r="I198" s="336" t="str">
        <f t="shared" si="14"/>
        <v>Pesado de Passageiros M3: III : Gasóleo : E4</v>
      </c>
      <c r="J198" s="125">
        <v>55</v>
      </c>
      <c r="K198" s="125">
        <v>2022</v>
      </c>
      <c r="L198" s="85">
        <v>6109</v>
      </c>
      <c r="M198" s="85" t="s">
        <v>630</v>
      </c>
      <c r="N198" s="128">
        <v>15581</v>
      </c>
      <c r="O198" s="128">
        <f t="shared" si="15"/>
        <v>856955</v>
      </c>
      <c r="P198" s="125" t="s">
        <v>833</v>
      </c>
      <c r="Q198" s="85" t="s">
        <v>47</v>
      </c>
      <c r="R198" s="220" t="s">
        <v>1888</v>
      </c>
      <c r="S198" s="220" t="s">
        <v>1861</v>
      </c>
      <c r="T198" s="85" t="s">
        <v>1491</v>
      </c>
      <c r="U198" t="s">
        <v>1972</v>
      </c>
      <c r="V198" t="s">
        <v>2832</v>
      </c>
    </row>
    <row r="199" spans="1:22" ht="15.75" thickBot="1" x14ac:dyDescent="0.3">
      <c r="A199" s="82" t="s">
        <v>3510</v>
      </c>
      <c r="B199" s="82" t="str">
        <f t="shared" si="12"/>
        <v>Barraqueiro Transportes, S.A.</v>
      </c>
      <c r="C199" s="82" t="str">
        <f t="shared" si="13"/>
        <v>Boa Viagem</v>
      </c>
      <c r="D199" s="83" t="s">
        <v>629</v>
      </c>
      <c r="E199" s="91" t="s">
        <v>1853</v>
      </c>
      <c r="F199" s="124" t="s">
        <v>620</v>
      </c>
      <c r="G199" s="333">
        <v>2008</v>
      </c>
      <c r="H199" s="341" t="s">
        <v>731</v>
      </c>
      <c r="I199" s="336" t="str">
        <f t="shared" si="14"/>
        <v>Pesado de Passageiros M3: III : Gasóleo : E4</v>
      </c>
      <c r="J199" s="125">
        <v>35</v>
      </c>
      <c r="K199" s="125">
        <v>2022</v>
      </c>
      <c r="L199" s="85">
        <v>5870.3099999999995</v>
      </c>
      <c r="M199" s="85" t="s">
        <v>630</v>
      </c>
      <c r="N199" s="128">
        <v>18513</v>
      </c>
      <c r="O199" s="128">
        <f t="shared" si="15"/>
        <v>647955</v>
      </c>
      <c r="P199" s="125" t="s">
        <v>834</v>
      </c>
      <c r="Q199" s="85" t="s">
        <v>47</v>
      </c>
      <c r="R199" s="220" t="s">
        <v>1888</v>
      </c>
      <c r="S199" s="220" t="s">
        <v>1861</v>
      </c>
      <c r="T199" s="85" t="s">
        <v>1491</v>
      </c>
      <c r="U199" t="s">
        <v>1972</v>
      </c>
      <c r="V199" t="s">
        <v>2832</v>
      </c>
    </row>
    <row r="200" spans="1:22" ht="15.75" thickBot="1" x14ac:dyDescent="0.3">
      <c r="A200" s="82" t="s">
        <v>3510</v>
      </c>
      <c r="B200" s="82" t="str">
        <f t="shared" si="12"/>
        <v>Barraqueiro Transportes, S.A.</v>
      </c>
      <c r="C200" s="82" t="str">
        <f t="shared" si="13"/>
        <v>Boa Viagem</v>
      </c>
      <c r="D200" s="83" t="s">
        <v>629</v>
      </c>
      <c r="E200" s="91" t="s">
        <v>1853</v>
      </c>
      <c r="F200" s="124" t="s">
        <v>620</v>
      </c>
      <c r="G200" s="333">
        <v>2010</v>
      </c>
      <c r="H200" s="341" t="s">
        <v>734</v>
      </c>
      <c r="I200" s="336" t="str">
        <f t="shared" si="14"/>
        <v>Pesado de Passageiros M3: III : Gasóleo : E5</v>
      </c>
      <c r="J200" s="125">
        <v>35</v>
      </c>
      <c r="K200" s="125">
        <v>2022</v>
      </c>
      <c r="L200" s="85">
        <v>13188.7</v>
      </c>
      <c r="M200" s="85" t="s">
        <v>630</v>
      </c>
      <c r="N200" s="128">
        <v>42253</v>
      </c>
      <c r="O200" s="128">
        <f t="shared" si="15"/>
        <v>1478855</v>
      </c>
      <c r="P200" s="125" t="s">
        <v>835</v>
      </c>
      <c r="Q200" s="85" t="s">
        <v>47</v>
      </c>
      <c r="R200" s="220" t="s">
        <v>1888</v>
      </c>
      <c r="S200" s="220" t="s">
        <v>1861</v>
      </c>
      <c r="T200" s="85" t="s">
        <v>1491</v>
      </c>
      <c r="U200" t="s">
        <v>1972</v>
      </c>
      <c r="V200" t="s">
        <v>2832</v>
      </c>
    </row>
    <row r="201" spans="1:22" ht="15.75" thickBot="1" x14ac:dyDescent="0.3">
      <c r="A201" s="82" t="s">
        <v>3510</v>
      </c>
      <c r="B201" s="82" t="str">
        <f t="shared" si="12"/>
        <v>Barraqueiro Transportes, S.A.</v>
      </c>
      <c r="C201" s="82" t="str">
        <f t="shared" si="13"/>
        <v>Boa Viagem</v>
      </c>
      <c r="D201" s="83" t="s">
        <v>629</v>
      </c>
      <c r="E201" s="91" t="s">
        <v>1853</v>
      </c>
      <c r="F201" s="124" t="s">
        <v>620</v>
      </c>
      <c r="G201" s="333">
        <v>2010</v>
      </c>
      <c r="H201" s="341" t="s">
        <v>734</v>
      </c>
      <c r="I201" s="336" t="str">
        <f t="shared" si="14"/>
        <v>Pesado de Passageiros M3: III : Gasóleo : E5</v>
      </c>
      <c r="J201" s="125">
        <v>35</v>
      </c>
      <c r="K201" s="125">
        <v>2022</v>
      </c>
      <c r="L201" s="85">
        <v>4673.18</v>
      </c>
      <c r="M201" s="85" t="s">
        <v>630</v>
      </c>
      <c r="N201" s="128">
        <v>14624</v>
      </c>
      <c r="O201" s="128">
        <f t="shared" si="15"/>
        <v>511840</v>
      </c>
      <c r="P201" s="125" t="s">
        <v>836</v>
      </c>
      <c r="Q201" s="85" t="s">
        <v>47</v>
      </c>
      <c r="R201" s="220" t="s">
        <v>1888</v>
      </c>
      <c r="S201" s="220" t="s">
        <v>1861</v>
      </c>
      <c r="T201" s="85" t="s">
        <v>1491</v>
      </c>
      <c r="U201" t="s">
        <v>1972</v>
      </c>
      <c r="V201" t="s">
        <v>2832</v>
      </c>
    </row>
    <row r="202" spans="1:22" ht="15.75" thickBot="1" x14ac:dyDescent="0.3">
      <c r="A202" s="82" t="s">
        <v>3510</v>
      </c>
      <c r="B202" s="82" t="str">
        <f t="shared" si="12"/>
        <v>Barraqueiro Transportes, S.A.</v>
      </c>
      <c r="C202" s="82" t="str">
        <f t="shared" si="13"/>
        <v>Boa Viagem</v>
      </c>
      <c r="D202" s="83" t="s">
        <v>629</v>
      </c>
      <c r="E202" s="91" t="s">
        <v>1853</v>
      </c>
      <c r="F202" s="124" t="s">
        <v>620</v>
      </c>
      <c r="G202" s="333">
        <v>2001</v>
      </c>
      <c r="H202" s="341" t="s">
        <v>732</v>
      </c>
      <c r="I202" s="336" t="str">
        <f t="shared" si="14"/>
        <v>Pesado de Passageiros M3: III : Gasóleo : E3</v>
      </c>
      <c r="J202" s="125">
        <v>55</v>
      </c>
      <c r="K202" s="125">
        <v>2022</v>
      </c>
      <c r="L202" s="85">
        <v>14951.09</v>
      </c>
      <c r="M202" s="85" t="s">
        <v>630</v>
      </c>
      <c r="N202" s="128">
        <v>39500</v>
      </c>
      <c r="O202" s="128">
        <f t="shared" si="15"/>
        <v>2172500</v>
      </c>
      <c r="P202" s="125" t="s">
        <v>837</v>
      </c>
      <c r="Q202" s="85" t="s">
        <v>47</v>
      </c>
      <c r="R202" s="220" t="s">
        <v>1888</v>
      </c>
      <c r="S202" s="220" t="s">
        <v>1861</v>
      </c>
      <c r="T202" s="85" t="s">
        <v>1491</v>
      </c>
      <c r="U202" t="s">
        <v>1972</v>
      </c>
      <c r="V202" t="s">
        <v>2832</v>
      </c>
    </row>
    <row r="203" spans="1:22" ht="15.75" thickBot="1" x14ac:dyDescent="0.3">
      <c r="A203" s="82" t="s">
        <v>3510</v>
      </c>
      <c r="B203" s="82" t="str">
        <f t="shared" si="12"/>
        <v>Barraqueiro Transportes, S.A.</v>
      </c>
      <c r="C203" s="82" t="str">
        <f t="shared" si="13"/>
        <v>Boa Viagem</v>
      </c>
      <c r="D203" s="83" t="s">
        <v>629</v>
      </c>
      <c r="E203" s="91" t="s">
        <v>1853</v>
      </c>
      <c r="F203" s="124" t="s">
        <v>620</v>
      </c>
      <c r="G203" s="333">
        <v>2001</v>
      </c>
      <c r="H203" s="341" t="s">
        <v>732</v>
      </c>
      <c r="I203" s="336" t="str">
        <f t="shared" si="14"/>
        <v>Pesado de Passageiros M3: III : Gasóleo : E3</v>
      </c>
      <c r="J203" s="125">
        <v>55</v>
      </c>
      <c r="K203" s="125">
        <v>2022</v>
      </c>
      <c r="L203" s="85">
        <v>4591.04</v>
      </c>
      <c r="M203" s="85" t="s">
        <v>630</v>
      </c>
      <c r="N203" s="128">
        <v>11894</v>
      </c>
      <c r="O203" s="128">
        <f t="shared" si="15"/>
        <v>654170</v>
      </c>
      <c r="P203" s="125" t="s">
        <v>838</v>
      </c>
      <c r="Q203" s="85" t="s">
        <v>47</v>
      </c>
      <c r="R203" s="220" t="s">
        <v>1888</v>
      </c>
      <c r="S203" s="220" t="s">
        <v>1861</v>
      </c>
      <c r="T203" s="85" t="s">
        <v>1491</v>
      </c>
      <c r="U203" t="s">
        <v>1972</v>
      </c>
      <c r="V203" t="s">
        <v>2832</v>
      </c>
    </row>
    <row r="204" spans="1:22" ht="15.75" thickBot="1" x14ac:dyDescent="0.3">
      <c r="A204" s="82" t="s">
        <v>3510</v>
      </c>
      <c r="B204" s="82" t="str">
        <f t="shared" si="12"/>
        <v>Barraqueiro Transportes, S.A.</v>
      </c>
      <c r="C204" s="82" t="str">
        <f t="shared" si="13"/>
        <v>Boa Viagem</v>
      </c>
      <c r="D204" s="83" t="s">
        <v>629</v>
      </c>
      <c r="E204" s="91" t="s">
        <v>1853</v>
      </c>
      <c r="F204" s="124" t="s">
        <v>620</v>
      </c>
      <c r="G204" s="333">
        <v>2001</v>
      </c>
      <c r="H204" s="341" t="s">
        <v>732</v>
      </c>
      <c r="I204" s="336" t="str">
        <f t="shared" si="14"/>
        <v>Pesado de Passageiros M3: III : Gasóleo : E3</v>
      </c>
      <c r="J204" s="125">
        <v>55</v>
      </c>
      <c r="K204" s="125">
        <v>2022</v>
      </c>
      <c r="L204" s="85">
        <v>11715.32</v>
      </c>
      <c r="M204" s="85" t="s">
        <v>630</v>
      </c>
      <c r="N204" s="128">
        <v>29899</v>
      </c>
      <c r="O204" s="128">
        <f t="shared" si="15"/>
        <v>1644445</v>
      </c>
      <c r="P204" s="125" t="s">
        <v>839</v>
      </c>
      <c r="Q204" s="85" t="s">
        <v>47</v>
      </c>
      <c r="R204" s="220" t="s">
        <v>1888</v>
      </c>
      <c r="S204" s="220" t="s">
        <v>1861</v>
      </c>
      <c r="T204" s="85" t="s">
        <v>1491</v>
      </c>
      <c r="U204" t="s">
        <v>1972</v>
      </c>
      <c r="V204" t="s">
        <v>2832</v>
      </c>
    </row>
    <row r="205" spans="1:22" ht="15.75" thickBot="1" x14ac:dyDescent="0.3">
      <c r="A205" s="82" t="s">
        <v>3510</v>
      </c>
      <c r="B205" s="82" t="str">
        <f t="shared" si="12"/>
        <v>Barraqueiro Transportes, S.A.</v>
      </c>
      <c r="C205" s="82" t="str">
        <f t="shared" si="13"/>
        <v>Boa Viagem</v>
      </c>
      <c r="D205" s="83" t="s">
        <v>629</v>
      </c>
      <c r="E205" s="91" t="s">
        <v>1853</v>
      </c>
      <c r="F205" s="124" t="s">
        <v>620</v>
      </c>
      <c r="G205" s="333">
        <v>2000</v>
      </c>
      <c r="H205" s="341" t="s">
        <v>735</v>
      </c>
      <c r="I205" s="336" t="str">
        <f t="shared" si="14"/>
        <v>Pesado de Passageiros M3: III : Gasóleo : E2</v>
      </c>
      <c r="J205" s="125">
        <v>51</v>
      </c>
      <c r="K205" s="125">
        <v>2022</v>
      </c>
      <c r="L205" s="85">
        <v>13542.309999999998</v>
      </c>
      <c r="M205" s="85" t="s">
        <v>630</v>
      </c>
      <c r="N205" s="128">
        <v>36835</v>
      </c>
      <c r="O205" s="128">
        <f t="shared" si="15"/>
        <v>1878585</v>
      </c>
      <c r="P205" s="125" t="s">
        <v>840</v>
      </c>
      <c r="Q205" s="85" t="s">
        <v>47</v>
      </c>
      <c r="R205" s="220" t="s">
        <v>1888</v>
      </c>
      <c r="S205" s="220" t="s">
        <v>1861</v>
      </c>
      <c r="T205" s="85" t="s">
        <v>1491</v>
      </c>
      <c r="U205" t="s">
        <v>1972</v>
      </c>
      <c r="V205" t="s">
        <v>2832</v>
      </c>
    </row>
    <row r="206" spans="1:22" ht="15.75" thickBot="1" x14ac:dyDescent="0.3">
      <c r="A206" s="82" t="s">
        <v>3510</v>
      </c>
      <c r="B206" s="82" t="str">
        <f t="shared" si="12"/>
        <v>Barraqueiro Transportes, S.A.</v>
      </c>
      <c r="C206" s="82" t="str">
        <f t="shared" si="13"/>
        <v>Boa Viagem</v>
      </c>
      <c r="D206" s="83" t="s">
        <v>629</v>
      </c>
      <c r="E206" s="91" t="s">
        <v>1853</v>
      </c>
      <c r="F206" s="124" t="s">
        <v>620</v>
      </c>
      <c r="G206" s="333">
        <v>2005</v>
      </c>
      <c r="H206" s="341" t="s">
        <v>732</v>
      </c>
      <c r="I206" s="336" t="str">
        <f t="shared" si="14"/>
        <v>Pesado de Passageiros M3: III : Gasóleo : E3</v>
      </c>
      <c r="J206" s="125">
        <v>66</v>
      </c>
      <c r="K206" s="125">
        <v>2022</v>
      </c>
      <c r="L206" s="85">
        <v>15823.76</v>
      </c>
      <c r="M206" s="85" t="s">
        <v>630</v>
      </c>
      <c r="N206" s="128">
        <v>42623</v>
      </c>
      <c r="O206" s="128">
        <f t="shared" si="15"/>
        <v>2813118</v>
      </c>
      <c r="P206" s="125" t="s">
        <v>841</v>
      </c>
      <c r="Q206" s="85" t="s">
        <v>47</v>
      </c>
      <c r="R206" s="220" t="s">
        <v>1888</v>
      </c>
      <c r="S206" s="220" t="s">
        <v>1861</v>
      </c>
      <c r="T206" s="85" t="s">
        <v>1491</v>
      </c>
      <c r="U206" t="s">
        <v>1972</v>
      </c>
      <c r="V206" t="s">
        <v>2832</v>
      </c>
    </row>
    <row r="207" spans="1:22" ht="15.75" thickBot="1" x14ac:dyDescent="0.3">
      <c r="A207" s="82" t="s">
        <v>3510</v>
      </c>
      <c r="B207" s="82" t="str">
        <f t="shared" si="12"/>
        <v>Barraqueiro Transportes, S.A.</v>
      </c>
      <c r="C207" s="82" t="str">
        <f t="shared" si="13"/>
        <v>Boa Viagem</v>
      </c>
      <c r="D207" s="83" t="s">
        <v>629</v>
      </c>
      <c r="E207" s="91" t="s">
        <v>1853</v>
      </c>
      <c r="F207" s="124" t="s">
        <v>620</v>
      </c>
      <c r="G207" s="333">
        <v>2004</v>
      </c>
      <c r="H207" s="341" t="s">
        <v>732</v>
      </c>
      <c r="I207" s="336" t="str">
        <f t="shared" si="14"/>
        <v>Pesado de Passageiros M3: III : Gasóleo : E3</v>
      </c>
      <c r="J207" s="125">
        <v>53</v>
      </c>
      <c r="K207" s="125">
        <v>2022</v>
      </c>
      <c r="L207" s="85">
        <v>13774.29</v>
      </c>
      <c r="M207" s="85" t="s">
        <v>630</v>
      </c>
      <c r="N207" s="128">
        <v>38614</v>
      </c>
      <c r="O207" s="128">
        <f t="shared" si="15"/>
        <v>2046542</v>
      </c>
      <c r="P207" s="125" t="s">
        <v>842</v>
      </c>
      <c r="Q207" s="85" t="s">
        <v>47</v>
      </c>
      <c r="R207" s="220" t="s">
        <v>1888</v>
      </c>
      <c r="S207" s="220" t="s">
        <v>1861</v>
      </c>
      <c r="T207" s="85" t="s">
        <v>1491</v>
      </c>
      <c r="U207" t="s">
        <v>1972</v>
      </c>
      <c r="V207" t="s">
        <v>2832</v>
      </c>
    </row>
    <row r="208" spans="1:22" ht="15.75" thickBot="1" x14ac:dyDescent="0.3">
      <c r="A208" s="82" t="s">
        <v>3510</v>
      </c>
      <c r="B208" s="82" t="str">
        <f t="shared" si="12"/>
        <v>Barraqueiro Transportes, S.A.</v>
      </c>
      <c r="C208" s="82" t="str">
        <f t="shared" si="13"/>
        <v>Boa Viagem</v>
      </c>
      <c r="D208" s="83" t="s">
        <v>629</v>
      </c>
      <c r="E208" s="91" t="s">
        <v>1853</v>
      </c>
      <c r="F208" s="124" t="s">
        <v>620</v>
      </c>
      <c r="G208" s="333">
        <v>2004</v>
      </c>
      <c r="H208" s="341" t="s">
        <v>732</v>
      </c>
      <c r="I208" s="336" t="str">
        <f t="shared" si="14"/>
        <v>Pesado de Passageiros M3: III : Gasóleo : E3</v>
      </c>
      <c r="J208" s="125">
        <v>49</v>
      </c>
      <c r="K208" s="125">
        <v>2022</v>
      </c>
      <c r="L208" s="85">
        <v>11512.480000000001</v>
      </c>
      <c r="M208" s="85" t="s">
        <v>630</v>
      </c>
      <c r="N208" s="128">
        <v>29365</v>
      </c>
      <c r="O208" s="128">
        <f t="shared" si="15"/>
        <v>1438885</v>
      </c>
      <c r="P208" s="125" t="s">
        <v>843</v>
      </c>
      <c r="Q208" s="85" t="s">
        <v>47</v>
      </c>
      <c r="R208" s="220" t="s">
        <v>1888</v>
      </c>
      <c r="S208" s="220" t="s">
        <v>1861</v>
      </c>
      <c r="T208" s="85" t="s">
        <v>1491</v>
      </c>
      <c r="U208" t="s">
        <v>1972</v>
      </c>
      <c r="V208" t="s">
        <v>2832</v>
      </c>
    </row>
    <row r="209" spans="1:22" ht="15.75" thickBot="1" x14ac:dyDescent="0.3">
      <c r="A209" s="82" t="s">
        <v>3510</v>
      </c>
      <c r="B209" s="82" t="str">
        <f t="shared" si="12"/>
        <v>Barraqueiro Transportes, S.A.</v>
      </c>
      <c r="C209" s="82" t="str">
        <f t="shared" si="13"/>
        <v>Boa Viagem</v>
      </c>
      <c r="D209" s="83" t="s">
        <v>629</v>
      </c>
      <c r="E209" s="91" t="s">
        <v>1853</v>
      </c>
      <c r="F209" s="124" t="s">
        <v>620</v>
      </c>
      <c r="G209" s="333">
        <v>2004</v>
      </c>
      <c r="H209" s="341" t="s">
        <v>732</v>
      </c>
      <c r="I209" s="336" t="str">
        <f t="shared" si="14"/>
        <v>Pesado de Passageiros M3: III : Gasóleo : E3</v>
      </c>
      <c r="J209" s="125">
        <v>55</v>
      </c>
      <c r="K209" s="125">
        <v>2022</v>
      </c>
      <c r="L209" s="85">
        <v>15196.119999999999</v>
      </c>
      <c r="M209" s="85" t="s">
        <v>630</v>
      </c>
      <c r="N209" s="128">
        <v>37619</v>
      </c>
      <c r="O209" s="128">
        <f t="shared" si="15"/>
        <v>2069045</v>
      </c>
      <c r="P209" s="125" t="s">
        <v>844</v>
      </c>
      <c r="Q209" s="85" t="s">
        <v>47</v>
      </c>
      <c r="R209" s="220" t="s">
        <v>1888</v>
      </c>
      <c r="S209" s="220" t="s">
        <v>1861</v>
      </c>
      <c r="T209" s="85" t="s">
        <v>1491</v>
      </c>
      <c r="U209" t="s">
        <v>1972</v>
      </c>
      <c r="V209" t="s">
        <v>2832</v>
      </c>
    </row>
    <row r="210" spans="1:22" ht="15.75" thickBot="1" x14ac:dyDescent="0.3">
      <c r="A210" s="82" t="s">
        <v>3510</v>
      </c>
      <c r="B210" s="82" t="str">
        <f t="shared" si="12"/>
        <v>Barraqueiro Transportes, S.A.</v>
      </c>
      <c r="C210" s="82" t="str">
        <f t="shared" si="13"/>
        <v>Boa Viagem</v>
      </c>
      <c r="D210" s="83" t="s">
        <v>629</v>
      </c>
      <c r="E210" s="91" t="s">
        <v>1853</v>
      </c>
      <c r="F210" s="124" t="s">
        <v>620</v>
      </c>
      <c r="G210" s="333">
        <v>2004</v>
      </c>
      <c r="H210" s="341" t="s">
        <v>732</v>
      </c>
      <c r="I210" s="336" t="str">
        <f t="shared" si="14"/>
        <v>Pesado de Passageiros M3: III : Gasóleo : E3</v>
      </c>
      <c r="J210" s="125">
        <v>55</v>
      </c>
      <c r="K210" s="125">
        <v>2022</v>
      </c>
      <c r="L210" s="85">
        <v>12880.480000000001</v>
      </c>
      <c r="M210" s="85" t="s">
        <v>630</v>
      </c>
      <c r="N210" s="128">
        <v>32223</v>
      </c>
      <c r="O210" s="128">
        <f t="shared" si="15"/>
        <v>1772265</v>
      </c>
      <c r="P210" s="125" t="s">
        <v>845</v>
      </c>
      <c r="Q210" s="85" t="s">
        <v>47</v>
      </c>
      <c r="R210" s="220" t="s">
        <v>1888</v>
      </c>
      <c r="S210" s="220" t="s">
        <v>1861</v>
      </c>
      <c r="T210" s="85" t="s">
        <v>1491</v>
      </c>
      <c r="U210" t="s">
        <v>1972</v>
      </c>
      <c r="V210" t="s">
        <v>2832</v>
      </c>
    </row>
    <row r="211" spans="1:22" ht="15.75" thickBot="1" x14ac:dyDescent="0.3">
      <c r="A211" s="82" t="s">
        <v>3510</v>
      </c>
      <c r="B211" s="82" t="str">
        <f t="shared" si="12"/>
        <v>Barraqueiro Transportes, S.A.</v>
      </c>
      <c r="C211" s="82" t="str">
        <f t="shared" si="13"/>
        <v>Boa Viagem</v>
      </c>
      <c r="D211" s="83" t="s">
        <v>629</v>
      </c>
      <c r="E211" s="91" t="s">
        <v>1853</v>
      </c>
      <c r="F211" s="124" t="s">
        <v>620</v>
      </c>
      <c r="G211" s="333">
        <v>2005</v>
      </c>
      <c r="H211" s="341" t="s">
        <v>732</v>
      </c>
      <c r="I211" s="336" t="str">
        <f t="shared" si="14"/>
        <v>Pesado de Passageiros M3: III : Gasóleo : E3</v>
      </c>
      <c r="J211" s="125">
        <v>66</v>
      </c>
      <c r="K211" s="125">
        <v>2022</v>
      </c>
      <c r="L211" s="85">
        <v>8322.39</v>
      </c>
      <c r="M211" s="85" t="s">
        <v>630</v>
      </c>
      <c r="N211" s="128">
        <v>23301</v>
      </c>
      <c r="O211" s="128">
        <f t="shared" si="15"/>
        <v>1537866</v>
      </c>
      <c r="P211" s="125" t="s">
        <v>846</v>
      </c>
      <c r="Q211" s="85" t="s">
        <v>47</v>
      </c>
      <c r="R211" s="220" t="s">
        <v>1888</v>
      </c>
      <c r="S211" s="220" t="s">
        <v>1861</v>
      </c>
      <c r="T211" s="85" t="s">
        <v>1491</v>
      </c>
      <c r="U211" t="s">
        <v>1972</v>
      </c>
      <c r="V211" t="s">
        <v>2832</v>
      </c>
    </row>
    <row r="212" spans="1:22" ht="15.75" thickBot="1" x14ac:dyDescent="0.3">
      <c r="A212" s="82" t="s">
        <v>3510</v>
      </c>
      <c r="B212" s="82" t="str">
        <f t="shared" si="12"/>
        <v>Barraqueiro Transportes, S.A.</v>
      </c>
      <c r="C212" s="82" t="str">
        <f t="shared" si="13"/>
        <v>Boa Viagem</v>
      </c>
      <c r="D212" s="83" t="s">
        <v>629</v>
      </c>
      <c r="E212" s="91" t="s">
        <v>1853</v>
      </c>
      <c r="F212" s="124" t="s">
        <v>620</v>
      </c>
      <c r="G212" s="333">
        <v>2005</v>
      </c>
      <c r="H212" s="341" t="s">
        <v>732</v>
      </c>
      <c r="I212" s="336" t="str">
        <f t="shared" si="14"/>
        <v>Pesado de Passageiros M3: III : Gasóleo : E3</v>
      </c>
      <c r="J212" s="125">
        <v>37</v>
      </c>
      <c r="K212" s="125">
        <v>2022</v>
      </c>
      <c r="L212" s="85">
        <v>19124.299999999996</v>
      </c>
      <c r="M212" s="85" t="s">
        <v>630</v>
      </c>
      <c r="N212" s="128">
        <v>51903</v>
      </c>
      <c r="O212" s="128">
        <f t="shared" si="15"/>
        <v>1920411</v>
      </c>
      <c r="P212" s="125" t="s">
        <v>847</v>
      </c>
      <c r="Q212" s="85" t="s">
        <v>47</v>
      </c>
      <c r="R212" s="220" t="s">
        <v>1888</v>
      </c>
      <c r="S212" s="220" t="s">
        <v>1861</v>
      </c>
      <c r="T212" s="85" t="s">
        <v>1491</v>
      </c>
      <c r="U212" t="s">
        <v>1972</v>
      </c>
      <c r="V212" t="s">
        <v>2832</v>
      </c>
    </row>
    <row r="213" spans="1:22" ht="15.75" thickBot="1" x14ac:dyDescent="0.3">
      <c r="A213" s="82" t="s">
        <v>3510</v>
      </c>
      <c r="B213" s="82" t="str">
        <f t="shared" si="12"/>
        <v>Barraqueiro Transportes, S.A.</v>
      </c>
      <c r="C213" s="82" t="str">
        <f t="shared" si="13"/>
        <v>Boa Viagem</v>
      </c>
      <c r="D213" s="83" t="s">
        <v>629</v>
      </c>
      <c r="E213" s="91" t="s">
        <v>1853</v>
      </c>
      <c r="F213" s="124" t="s">
        <v>620</v>
      </c>
      <c r="G213" s="333">
        <v>2005</v>
      </c>
      <c r="H213" s="341" t="s">
        <v>732</v>
      </c>
      <c r="I213" s="336" t="str">
        <f t="shared" si="14"/>
        <v>Pesado de Passageiros M3: III : Gasóleo : E3</v>
      </c>
      <c r="J213" s="125">
        <v>37</v>
      </c>
      <c r="K213" s="125">
        <v>2022</v>
      </c>
      <c r="L213" s="85">
        <v>14291.93</v>
      </c>
      <c r="M213" s="85" t="s">
        <v>630</v>
      </c>
      <c r="N213" s="128">
        <v>43254</v>
      </c>
      <c r="O213" s="128">
        <f t="shared" si="15"/>
        <v>1600398</v>
      </c>
      <c r="P213" s="125" t="s">
        <v>848</v>
      </c>
      <c r="Q213" s="85" t="s">
        <v>47</v>
      </c>
      <c r="R213" s="220" t="s">
        <v>1888</v>
      </c>
      <c r="S213" s="220" t="s">
        <v>1861</v>
      </c>
      <c r="T213" s="85" t="s">
        <v>1491</v>
      </c>
      <c r="U213" t="s">
        <v>1972</v>
      </c>
      <c r="V213" t="s">
        <v>2832</v>
      </c>
    </row>
    <row r="214" spans="1:22" ht="15.75" thickBot="1" x14ac:dyDescent="0.3">
      <c r="A214" s="82" t="s">
        <v>3510</v>
      </c>
      <c r="B214" s="82" t="str">
        <f t="shared" si="12"/>
        <v>Barraqueiro Transportes, S.A.</v>
      </c>
      <c r="C214" s="82" t="str">
        <f t="shared" si="13"/>
        <v>Boa Viagem</v>
      </c>
      <c r="D214" s="83" t="s">
        <v>629</v>
      </c>
      <c r="E214" s="91" t="s">
        <v>1853</v>
      </c>
      <c r="F214" s="124" t="s">
        <v>620</v>
      </c>
      <c r="G214" s="333">
        <v>2005</v>
      </c>
      <c r="H214" s="341" t="s">
        <v>732</v>
      </c>
      <c r="I214" s="336" t="str">
        <f t="shared" si="14"/>
        <v>Pesado de Passageiros M3: III : Gasóleo : E3</v>
      </c>
      <c r="J214" s="125">
        <v>37</v>
      </c>
      <c r="K214" s="125">
        <v>2022</v>
      </c>
      <c r="L214" s="85">
        <v>16712.95</v>
      </c>
      <c r="M214" s="85" t="s">
        <v>630</v>
      </c>
      <c r="N214" s="128">
        <v>48427</v>
      </c>
      <c r="O214" s="128">
        <f t="shared" si="15"/>
        <v>1791799</v>
      </c>
      <c r="P214" s="125" t="s">
        <v>849</v>
      </c>
      <c r="Q214" s="85" t="s">
        <v>47</v>
      </c>
      <c r="R214" s="220" t="s">
        <v>1888</v>
      </c>
      <c r="S214" s="220" t="s">
        <v>1861</v>
      </c>
      <c r="T214" s="85" t="s">
        <v>1491</v>
      </c>
      <c r="U214" t="s">
        <v>1972</v>
      </c>
      <c r="V214" t="s">
        <v>2832</v>
      </c>
    </row>
    <row r="215" spans="1:22" ht="15.75" thickBot="1" x14ac:dyDescent="0.3">
      <c r="A215" s="82" t="s">
        <v>3510</v>
      </c>
      <c r="B215" s="82" t="str">
        <f t="shared" si="12"/>
        <v>Barraqueiro Transportes, S.A.</v>
      </c>
      <c r="C215" s="82" t="str">
        <f t="shared" si="13"/>
        <v>Boa Viagem</v>
      </c>
      <c r="D215" s="83" t="s">
        <v>629</v>
      </c>
      <c r="E215" s="91" t="s">
        <v>1853</v>
      </c>
      <c r="F215" s="124" t="s">
        <v>620</v>
      </c>
      <c r="G215" s="333">
        <v>2005</v>
      </c>
      <c r="H215" s="341" t="s">
        <v>732</v>
      </c>
      <c r="I215" s="336" t="str">
        <f t="shared" si="14"/>
        <v>Pesado de Passageiros M3: III : Gasóleo : E3</v>
      </c>
      <c r="J215" s="125">
        <v>37</v>
      </c>
      <c r="K215" s="125">
        <v>2022</v>
      </c>
      <c r="L215" s="85">
        <v>13225.6</v>
      </c>
      <c r="M215" s="85" t="s">
        <v>630</v>
      </c>
      <c r="N215" s="128">
        <v>39219</v>
      </c>
      <c r="O215" s="128">
        <f t="shared" si="15"/>
        <v>1451103</v>
      </c>
      <c r="P215" s="125" t="s">
        <v>850</v>
      </c>
      <c r="Q215" s="85" t="s">
        <v>47</v>
      </c>
      <c r="R215" s="220" t="s">
        <v>1888</v>
      </c>
      <c r="S215" s="220" t="s">
        <v>1861</v>
      </c>
      <c r="T215" s="85" t="s">
        <v>1491</v>
      </c>
      <c r="U215" t="s">
        <v>1972</v>
      </c>
      <c r="V215" t="s">
        <v>2832</v>
      </c>
    </row>
    <row r="216" spans="1:22" ht="15.75" thickBot="1" x14ac:dyDescent="0.3">
      <c r="A216" s="82" t="s">
        <v>3510</v>
      </c>
      <c r="B216" s="82" t="str">
        <f t="shared" si="12"/>
        <v>Barraqueiro Transportes, S.A.</v>
      </c>
      <c r="C216" s="82" t="str">
        <f t="shared" si="13"/>
        <v>Boa Viagem</v>
      </c>
      <c r="D216" s="83" t="s">
        <v>629</v>
      </c>
      <c r="E216" s="91" t="s">
        <v>1853</v>
      </c>
      <c r="F216" s="124" t="s">
        <v>620</v>
      </c>
      <c r="G216" s="333">
        <v>2005</v>
      </c>
      <c r="H216" s="341" t="s">
        <v>732</v>
      </c>
      <c r="I216" s="336" t="str">
        <f t="shared" si="14"/>
        <v>Pesado de Passageiros M3: III : Gasóleo : E3</v>
      </c>
      <c r="J216" s="125">
        <v>37</v>
      </c>
      <c r="K216" s="125">
        <v>2022</v>
      </c>
      <c r="L216" s="85">
        <v>19825.165000000001</v>
      </c>
      <c r="M216" s="85" t="s">
        <v>630</v>
      </c>
      <c r="N216" s="128">
        <v>54312</v>
      </c>
      <c r="O216" s="128">
        <f t="shared" si="15"/>
        <v>2009544</v>
      </c>
      <c r="P216" s="125" t="s">
        <v>851</v>
      </c>
      <c r="Q216" s="85" t="s">
        <v>47</v>
      </c>
      <c r="R216" s="220" t="s">
        <v>1888</v>
      </c>
      <c r="S216" s="220" t="s">
        <v>1861</v>
      </c>
      <c r="T216" s="85" t="s">
        <v>1491</v>
      </c>
      <c r="U216" t="s">
        <v>1972</v>
      </c>
      <c r="V216" t="s">
        <v>2832</v>
      </c>
    </row>
    <row r="217" spans="1:22" ht="15.75" thickBot="1" x14ac:dyDescent="0.3">
      <c r="A217" s="82" t="s">
        <v>3510</v>
      </c>
      <c r="B217" s="82" t="str">
        <f t="shared" si="12"/>
        <v>Barraqueiro Transportes, S.A.</v>
      </c>
      <c r="C217" s="82" t="str">
        <f t="shared" si="13"/>
        <v>Boa Viagem</v>
      </c>
      <c r="D217" s="83" t="s">
        <v>629</v>
      </c>
      <c r="E217" s="91" t="s">
        <v>1853</v>
      </c>
      <c r="F217" s="124" t="s">
        <v>620</v>
      </c>
      <c r="G217" s="333">
        <v>2005</v>
      </c>
      <c r="H217" s="341" t="s">
        <v>732</v>
      </c>
      <c r="I217" s="336" t="str">
        <f t="shared" si="14"/>
        <v>Pesado de Passageiros M3: III : Gasóleo : E3</v>
      </c>
      <c r="J217" s="125">
        <v>37</v>
      </c>
      <c r="K217" s="125">
        <v>2022</v>
      </c>
      <c r="L217" s="85">
        <v>7526.4000000000005</v>
      </c>
      <c r="M217" s="85" t="s">
        <v>630</v>
      </c>
      <c r="N217" s="128">
        <v>20746</v>
      </c>
      <c r="O217" s="128">
        <f t="shared" si="15"/>
        <v>767602</v>
      </c>
      <c r="P217" s="125" t="s">
        <v>852</v>
      </c>
      <c r="Q217" s="85" t="s">
        <v>47</v>
      </c>
      <c r="R217" s="220" t="s">
        <v>1888</v>
      </c>
      <c r="S217" s="220" t="s">
        <v>1861</v>
      </c>
      <c r="T217" s="85" t="s">
        <v>1491</v>
      </c>
      <c r="U217" t="s">
        <v>1972</v>
      </c>
      <c r="V217" t="s">
        <v>2832</v>
      </c>
    </row>
    <row r="218" spans="1:22" ht="15.75" thickBot="1" x14ac:dyDescent="0.3">
      <c r="A218" s="82" t="s">
        <v>3510</v>
      </c>
      <c r="B218" s="82" t="str">
        <f t="shared" si="12"/>
        <v>Barraqueiro Transportes, S.A.</v>
      </c>
      <c r="C218" s="82" t="str">
        <f t="shared" si="13"/>
        <v>Boa Viagem</v>
      </c>
      <c r="D218" s="83" t="s">
        <v>629</v>
      </c>
      <c r="E218" s="91" t="s">
        <v>1853</v>
      </c>
      <c r="F218" s="124" t="s">
        <v>620</v>
      </c>
      <c r="G218" s="333">
        <v>2005</v>
      </c>
      <c r="H218" s="341" t="s">
        <v>732</v>
      </c>
      <c r="I218" s="336" t="str">
        <f t="shared" si="14"/>
        <v>Pesado de Passageiros M3: III : Gasóleo : E3</v>
      </c>
      <c r="J218" s="125">
        <v>37</v>
      </c>
      <c r="K218" s="125">
        <v>2022</v>
      </c>
      <c r="L218" s="85">
        <v>20046.690000000002</v>
      </c>
      <c r="M218" s="85" t="s">
        <v>630</v>
      </c>
      <c r="N218" s="128">
        <v>54544</v>
      </c>
      <c r="O218" s="128">
        <f t="shared" si="15"/>
        <v>2018128</v>
      </c>
      <c r="P218" s="125" t="s">
        <v>853</v>
      </c>
      <c r="Q218" s="85" t="s">
        <v>47</v>
      </c>
      <c r="R218" s="220" t="s">
        <v>1888</v>
      </c>
      <c r="S218" s="220" t="s">
        <v>1861</v>
      </c>
      <c r="T218" s="85" t="s">
        <v>1491</v>
      </c>
      <c r="U218" t="s">
        <v>1972</v>
      </c>
      <c r="V218" t="s">
        <v>2832</v>
      </c>
    </row>
    <row r="219" spans="1:22" ht="15.75" thickBot="1" x14ac:dyDescent="0.3">
      <c r="A219" s="82" t="s">
        <v>3510</v>
      </c>
      <c r="B219" s="82" t="str">
        <f t="shared" si="12"/>
        <v>Barraqueiro Transportes, S.A.</v>
      </c>
      <c r="C219" s="82" t="str">
        <f t="shared" si="13"/>
        <v>Boa Viagem</v>
      </c>
      <c r="D219" s="83" t="s">
        <v>629</v>
      </c>
      <c r="E219" s="91" t="s">
        <v>1853</v>
      </c>
      <c r="F219" s="124" t="s">
        <v>620</v>
      </c>
      <c r="G219" s="333">
        <v>2005</v>
      </c>
      <c r="H219" s="341" t="s">
        <v>732</v>
      </c>
      <c r="I219" s="336" t="str">
        <f t="shared" si="14"/>
        <v>Pesado de Passageiros M3: III : Gasóleo : E3</v>
      </c>
      <c r="J219" s="125">
        <v>37</v>
      </c>
      <c r="K219" s="125">
        <v>2022</v>
      </c>
      <c r="L219" s="85">
        <v>5491.9</v>
      </c>
      <c r="M219" s="85" t="s">
        <v>630</v>
      </c>
      <c r="N219" s="128">
        <v>16060</v>
      </c>
      <c r="O219" s="128">
        <f t="shared" si="15"/>
        <v>594220</v>
      </c>
      <c r="P219" s="125" t="s">
        <v>854</v>
      </c>
      <c r="Q219" s="85" t="s">
        <v>47</v>
      </c>
      <c r="R219" s="220" t="s">
        <v>1888</v>
      </c>
      <c r="S219" s="220" t="s">
        <v>1861</v>
      </c>
      <c r="T219" s="85" t="s">
        <v>1491</v>
      </c>
      <c r="U219" t="s">
        <v>1972</v>
      </c>
      <c r="V219" t="s">
        <v>2832</v>
      </c>
    </row>
    <row r="220" spans="1:22" ht="15.75" thickBot="1" x14ac:dyDescent="0.3">
      <c r="A220" s="82" t="s">
        <v>3510</v>
      </c>
      <c r="B220" s="82" t="str">
        <f t="shared" si="12"/>
        <v>Barraqueiro Transportes, S.A.</v>
      </c>
      <c r="C220" s="82" t="str">
        <f t="shared" si="13"/>
        <v>Boa Viagem</v>
      </c>
      <c r="D220" s="83" t="s">
        <v>629</v>
      </c>
      <c r="E220" s="91" t="s">
        <v>1853</v>
      </c>
      <c r="F220" s="124" t="s">
        <v>620</v>
      </c>
      <c r="G220" s="333">
        <v>2005</v>
      </c>
      <c r="H220" s="341" t="s">
        <v>732</v>
      </c>
      <c r="I220" s="336" t="str">
        <f t="shared" si="14"/>
        <v>Pesado de Passageiros M3: III : Gasóleo : E3</v>
      </c>
      <c r="J220" s="125">
        <v>37</v>
      </c>
      <c r="K220" s="125">
        <v>2022</v>
      </c>
      <c r="L220" s="85">
        <v>21956.990999999998</v>
      </c>
      <c r="M220" s="85" t="s">
        <v>630</v>
      </c>
      <c r="N220" s="128">
        <v>60348</v>
      </c>
      <c r="O220" s="128">
        <f t="shared" si="15"/>
        <v>2232876</v>
      </c>
      <c r="P220" s="125" t="s">
        <v>855</v>
      </c>
      <c r="Q220" s="85" t="s">
        <v>47</v>
      </c>
      <c r="R220" s="220" t="s">
        <v>1888</v>
      </c>
      <c r="S220" s="220" t="s">
        <v>1861</v>
      </c>
      <c r="T220" s="85" t="s">
        <v>1491</v>
      </c>
      <c r="U220" t="s">
        <v>1972</v>
      </c>
      <c r="V220" t="s">
        <v>2832</v>
      </c>
    </row>
    <row r="221" spans="1:22" ht="15.75" thickBot="1" x14ac:dyDescent="0.3">
      <c r="A221" s="82" t="s">
        <v>3510</v>
      </c>
      <c r="B221" s="82" t="str">
        <f t="shared" si="12"/>
        <v>Barraqueiro Transportes, S.A.</v>
      </c>
      <c r="C221" s="82" t="str">
        <f t="shared" si="13"/>
        <v>Boa Viagem</v>
      </c>
      <c r="D221" s="83" t="s">
        <v>629</v>
      </c>
      <c r="E221" s="91" t="s">
        <v>1853</v>
      </c>
      <c r="F221" s="124" t="s">
        <v>620</v>
      </c>
      <c r="G221" s="333">
        <v>2007</v>
      </c>
      <c r="H221" s="341" t="s">
        <v>731</v>
      </c>
      <c r="I221" s="336" t="str">
        <f t="shared" si="14"/>
        <v>Pesado de Passageiros M3: III : Gasóleo : E4</v>
      </c>
      <c r="J221" s="125">
        <v>55</v>
      </c>
      <c r="K221" s="125">
        <v>2022</v>
      </c>
      <c r="L221" s="85">
        <v>22187.574000000001</v>
      </c>
      <c r="M221" s="85" t="s">
        <v>630</v>
      </c>
      <c r="N221" s="128">
        <v>60977</v>
      </c>
      <c r="O221" s="128">
        <f t="shared" si="15"/>
        <v>3353735</v>
      </c>
      <c r="P221" s="125" t="s">
        <v>856</v>
      </c>
      <c r="Q221" s="85" t="s">
        <v>47</v>
      </c>
      <c r="R221" s="220" t="s">
        <v>1888</v>
      </c>
      <c r="S221" s="220" t="s">
        <v>1861</v>
      </c>
      <c r="T221" s="85" t="s">
        <v>1491</v>
      </c>
      <c r="U221" t="s">
        <v>1972</v>
      </c>
      <c r="V221" t="s">
        <v>2832</v>
      </c>
    </row>
    <row r="222" spans="1:22" ht="15.75" thickBot="1" x14ac:dyDescent="0.3">
      <c r="A222" s="82" t="s">
        <v>3510</v>
      </c>
      <c r="B222" s="82" t="str">
        <f t="shared" si="12"/>
        <v>Barraqueiro Transportes, S.A.</v>
      </c>
      <c r="C222" s="82" t="str">
        <f t="shared" si="13"/>
        <v>Boa Viagem</v>
      </c>
      <c r="D222" s="83" t="s">
        <v>629</v>
      </c>
      <c r="E222" s="91" t="s">
        <v>1853</v>
      </c>
      <c r="F222" s="124" t="s">
        <v>620</v>
      </c>
      <c r="G222" s="333">
        <v>2013</v>
      </c>
      <c r="H222" s="341" t="s">
        <v>733</v>
      </c>
      <c r="I222" s="336" t="str">
        <f t="shared" si="14"/>
        <v>Pesado de Passageiros M3: III : Gasóleo : E6</v>
      </c>
      <c r="J222" s="125">
        <v>53</v>
      </c>
      <c r="K222" s="125">
        <v>2022</v>
      </c>
      <c r="L222" s="85">
        <v>21644.26</v>
      </c>
      <c r="M222" s="85" t="s">
        <v>630</v>
      </c>
      <c r="N222" s="128">
        <v>62042</v>
      </c>
      <c r="O222" s="128">
        <f t="shared" si="15"/>
        <v>3288226</v>
      </c>
      <c r="P222" s="125" t="s">
        <v>857</v>
      </c>
      <c r="Q222" s="85" t="s">
        <v>47</v>
      </c>
      <c r="R222" s="220" t="s">
        <v>1888</v>
      </c>
      <c r="S222" s="220" t="s">
        <v>1861</v>
      </c>
      <c r="T222" s="85" t="s">
        <v>1491</v>
      </c>
      <c r="U222" t="s">
        <v>1972</v>
      </c>
      <c r="V222" t="s">
        <v>2832</v>
      </c>
    </row>
    <row r="223" spans="1:22" ht="15.75" thickBot="1" x14ac:dyDescent="0.3">
      <c r="A223" s="82" t="s">
        <v>3510</v>
      </c>
      <c r="B223" s="82" t="str">
        <f t="shared" si="12"/>
        <v>Barraqueiro Transportes, S.A.</v>
      </c>
      <c r="C223" s="82" t="str">
        <f t="shared" si="13"/>
        <v>Boa Viagem</v>
      </c>
      <c r="D223" s="83" t="s">
        <v>629</v>
      </c>
      <c r="E223" s="91" t="s">
        <v>1853</v>
      </c>
      <c r="F223" s="124" t="s">
        <v>620</v>
      </c>
      <c r="G223" s="333">
        <v>2013</v>
      </c>
      <c r="H223" s="341" t="s">
        <v>733</v>
      </c>
      <c r="I223" s="336" t="str">
        <f t="shared" si="14"/>
        <v>Pesado de Passageiros M3: III : Gasóleo : E6</v>
      </c>
      <c r="J223" s="125">
        <v>53</v>
      </c>
      <c r="K223" s="125">
        <v>2022</v>
      </c>
      <c r="L223" s="85">
        <v>16702.331999999999</v>
      </c>
      <c r="M223" s="85" t="s">
        <v>630</v>
      </c>
      <c r="N223" s="128">
        <v>50843</v>
      </c>
      <c r="O223" s="128">
        <f t="shared" si="15"/>
        <v>2694679</v>
      </c>
      <c r="P223" s="125" t="s">
        <v>858</v>
      </c>
      <c r="Q223" s="85" t="s">
        <v>47</v>
      </c>
      <c r="R223" s="220" t="s">
        <v>1888</v>
      </c>
      <c r="S223" s="220" t="s">
        <v>1861</v>
      </c>
      <c r="T223" s="85" t="s">
        <v>1491</v>
      </c>
      <c r="U223" t="s">
        <v>1972</v>
      </c>
      <c r="V223" t="s">
        <v>2832</v>
      </c>
    </row>
    <row r="224" spans="1:22" ht="15.75" thickBot="1" x14ac:dyDescent="0.3">
      <c r="A224" s="82" t="s">
        <v>3507</v>
      </c>
      <c r="B224" s="82" t="str">
        <f t="shared" si="12"/>
        <v>Barraqueiro Transportes, S.A.</v>
      </c>
      <c r="C224" s="82" t="str">
        <f t="shared" si="13"/>
        <v>Estremadura</v>
      </c>
      <c r="D224" s="83" t="s">
        <v>629</v>
      </c>
      <c r="E224" s="91" t="s">
        <v>1853</v>
      </c>
      <c r="F224" s="124" t="s">
        <v>620</v>
      </c>
      <c r="G224" s="333">
        <v>2019</v>
      </c>
      <c r="H224" s="341" t="s">
        <v>733</v>
      </c>
      <c r="I224" s="336" t="str">
        <f t="shared" si="14"/>
        <v>Pesado de Passageiros M3: III : Gasóleo : E6</v>
      </c>
      <c r="J224" s="125">
        <v>53</v>
      </c>
      <c r="K224" s="125">
        <v>2022</v>
      </c>
      <c r="L224" s="85">
        <v>30721.37</v>
      </c>
      <c r="M224" s="85" t="s">
        <v>630</v>
      </c>
      <c r="N224" s="128">
        <v>125345</v>
      </c>
      <c r="O224" s="128">
        <f t="shared" si="15"/>
        <v>6643285</v>
      </c>
      <c r="P224" s="125" t="s">
        <v>859</v>
      </c>
      <c r="Q224" s="85" t="s">
        <v>47</v>
      </c>
      <c r="R224" s="220" t="s">
        <v>1888</v>
      </c>
      <c r="S224" s="220" t="s">
        <v>1861</v>
      </c>
      <c r="T224" s="85" t="s">
        <v>1491</v>
      </c>
      <c r="U224" t="s">
        <v>1972</v>
      </c>
      <c r="V224" t="s">
        <v>2832</v>
      </c>
    </row>
    <row r="225" spans="1:22" ht="15.75" thickBot="1" x14ac:dyDescent="0.3">
      <c r="A225" s="82" t="s">
        <v>3507</v>
      </c>
      <c r="B225" s="82" t="str">
        <f t="shared" si="12"/>
        <v>Barraqueiro Transportes, S.A.</v>
      </c>
      <c r="C225" s="82" t="str">
        <f t="shared" si="13"/>
        <v>Estremadura</v>
      </c>
      <c r="D225" s="83" t="s">
        <v>629</v>
      </c>
      <c r="E225" s="91" t="s">
        <v>1853</v>
      </c>
      <c r="F225" s="124" t="s">
        <v>620</v>
      </c>
      <c r="G225" s="333">
        <v>2019</v>
      </c>
      <c r="H225" s="341" t="s">
        <v>733</v>
      </c>
      <c r="I225" s="336" t="str">
        <f t="shared" si="14"/>
        <v>Pesado de Passageiros M3: III : Gasóleo : E6</v>
      </c>
      <c r="J225" s="125">
        <v>53</v>
      </c>
      <c r="K225" s="125">
        <v>2022</v>
      </c>
      <c r="L225" s="85">
        <v>21905.25</v>
      </c>
      <c r="M225" s="85" t="s">
        <v>630</v>
      </c>
      <c r="N225" s="128">
        <v>88805</v>
      </c>
      <c r="O225" s="128">
        <f t="shared" si="15"/>
        <v>4706665</v>
      </c>
      <c r="P225" s="125" t="s">
        <v>860</v>
      </c>
      <c r="Q225" s="85" t="s">
        <v>47</v>
      </c>
      <c r="R225" s="220" t="s">
        <v>1888</v>
      </c>
      <c r="S225" s="220" t="s">
        <v>1861</v>
      </c>
      <c r="T225" s="85" t="s">
        <v>1491</v>
      </c>
      <c r="U225" t="s">
        <v>1972</v>
      </c>
      <c r="V225" t="s">
        <v>2832</v>
      </c>
    </row>
    <row r="226" spans="1:22" ht="15.75" thickBot="1" x14ac:dyDescent="0.3">
      <c r="A226" s="82" t="s">
        <v>3507</v>
      </c>
      <c r="B226" s="82" t="str">
        <f t="shared" si="12"/>
        <v>Barraqueiro Transportes, S.A.</v>
      </c>
      <c r="C226" s="82" t="str">
        <f t="shared" si="13"/>
        <v>Estremadura</v>
      </c>
      <c r="D226" s="83" t="s">
        <v>629</v>
      </c>
      <c r="E226" s="91" t="s">
        <v>1853</v>
      </c>
      <c r="F226" s="124" t="s">
        <v>620</v>
      </c>
      <c r="G226" s="333">
        <v>2019</v>
      </c>
      <c r="H226" s="341" t="s">
        <v>733</v>
      </c>
      <c r="I226" s="336" t="str">
        <f t="shared" si="14"/>
        <v>Pesado de Passageiros M3: III : Gasóleo : E6</v>
      </c>
      <c r="J226" s="125">
        <v>53</v>
      </c>
      <c r="K226" s="125">
        <v>2022</v>
      </c>
      <c r="L226" s="85">
        <v>22278.77</v>
      </c>
      <c r="M226" s="85" t="s">
        <v>630</v>
      </c>
      <c r="N226" s="128">
        <v>88546</v>
      </c>
      <c r="O226" s="128">
        <f t="shared" si="15"/>
        <v>4692938</v>
      </c>
      <c r="P226" s="125" t="s">
        <v>861</v>
      </c>
      <c r="Q226" s="85" t="s">
        <v>47</v>
      </c>
      <c r="R226" s="220" t="s">
        <v>1888</v>
      </c>
      <c r="S226" s="220" t="s">
        <v>1861</v>
      </c>
      <c r="T226" s="85" t="s">
        <v>1491</v>
      </c>
      <c r="U226" t="s">
        <v>1972</v>
      </c>
      <c r="V226" t="s">
        <v>2832</v>
      </c>
    </row>
    <row r="227" spans="1:22" ht="15.75" thickBot="1" x14ac:dyDescent="0.3">
      <c r="A227" s="82" t="s">
        <v>3507</v>
      </c>
      <c r="B227" s="82" t="str">
        <f t="shared" si="12"/>
        <v>Barraqueiro Transportes, S.A.</v>
      </c>
      <c r="C227" s="82" t="str">
        <f t="shared" si="13"/>
        <v>Estremadura</v>
      </c>
      <c r="D227" s="83" t="s">
        <v>629</v>
      </c>
      <c r="E227" s="91" t="s">
        <v>1853</v>
      </c>
      <c r="F227" s="124" t="s">
        <v>620</v>
      </c>
      <c r="G227" s="333">
        <v>2019</v>
      </c>
      <c r="H227" s="341" t="s">
        <v>733</v>
      </c>
      <c r="I227" s="336" t="str">
        <f t="shared" si="14"/>
        <v>Pesado de Passageiros M3: III : Gasóleo : E6</v>
      </c>
      <c r="J227" s="125">
        <v>53</v>
      </c>
      <c r="K227" s="125">
        <v>2022</v>
      </c>
      <c r="L227" s="85">
        <v>22057.75</v>
      </c>
      <c r="M227" s="85" t="s">
        <v>630</v>
      </c>
      <c r="N227" s="128">
        <v>91538</v>
      </c>
      <c r="O227" s="128">
        <f t="shared" si="15"/>
        <v>4851514</v>
      </c>
      <c r="P227" s="125" t="s">
        <v>862</v>
      </c>
      <c r="Q227" s="85" t="s">
        <v>47</v>
      </c>
      <c r="R227" s="220" t="s">
        <v>1888</v>
      </c>
      <c r="S227" s="220" t="s">
        <v>1861</v>
      </c>
      <c r="T227" s="85" t="s">
        <v>1491</v>
      </c>
      <c r="U227" t="s">
        <v>1972</v>
      </c>
      <c r="V227" t="s">
        <v>2832</v>
      </c>
    </row>
    <row r="228" spans="1:22" ht="15.75" thickBot="1" x14ac:dyDescent="0.3">
      <c r="A228" s="82" t="s">
        <v>3507</v>
      </c>
      <c r="B228" s="82" t="str">
        <f t="shared" si="12"/>
        <v>Barraqueiro Transportes, S.A.</v>
      </c>
      <c r="C228" s="82" t="str">
        <f t="shared" si="13"/>
        <v>Estremadura</v>
      </c>
      <c r="D228" s="83" t="s">
        <v>629</v>
      </c>
      <c r="E228" s="91" t="s">
        <v>1853</v>
      </c>
      <c r="F228" s="124" t="s">
        <v>620</v>
      </c>
      <c r="G228" s="333">
        <v>2019</v>
      </c>
      <c r="H228" s="341" t="s">
        <v>733</v>
      </c>
      <c r="I228" s="336" t="str">
        <f t="shared" si="14"/>
        <v>Pesado de Passageiros M3: III : Gasóleo : E6</v>
      </c>
      <c r="J228" s="125">
        <v>53</v>
      </c>
      <c r="K228" s="125">
        <v>2022</v>
      </c>
      <c r="L228" s="85">
        <v>34800.58</v>
      </c>
      <c r="M228" s="85" t="s">
        <v>630</v>
      </c>
      <c r="N228" s="128">
        <v>141959</v>
      </c>
      <c r="O228" s="128">
        <f t="shared" si="15"/>
        <v>7523827</v>
      </c>
      <c r="P228" s="125" t="s">
        <v>863</v>
      </c>
      <c r="Q228" s="85" t="s">
        <v>47</v>
      </c>
      <c r="R228" s="220" t="s">
        <v>1888</v>
      </c>
      <c r="S228" s="220" t="s">
        <v>1861</v>
      </c>
      <c r="T228" s="85" t="s">
        <v>1491</v>
      </c>
      <c r="U228" t="s">
        <v>1972</v>
      </c>
      <c r="V228" t="s">
        <v>2832</v>
      </c>
    </row>
    <row r="229" spans="1:22" ht="15.75" thickBot="1" x14ac:dyDescent="0.3">
      <c r="A229" s="82" t="s">
        <v>3507</v>
      </c>
      <c r="B229" s="82" t="str">
        <f t="shared" si="12"/>
        <v>Barraqueiro Transportes, S.A.</v>
      </c>
      <c r="C229" s="82" t="str">
        <f t="shared" si="13"/>
        <v>Estremadura</v>
      </c>
      <c r="D229" s="83" t="s">
        <v>629</v>
      </c>
      <c r="E229" s="91" t="s">
        <v>1853</v>
      </c>
      <c r="F229" s="124" t="s">
        <v>620</v>
      </c>
      <c r="G229" s="333">
        <v>2019</v>
      </c>
      <c r="H229" s="341" t="s">
        <v>733</v>
      </c>
      <c r="I229" s="336" t="str">
        <f t="shared" si="14"/>
        <v>Pesado de Passageiros M3: III : Gasóleo : E6</v>
      </c>
      <c r="J229" s="125">
        <v>53</v>
      </c>
      <c r="K229" s="125">
        <v>2022</v>
      </c>
      <c r="L229" s="85">
        <v>28332.68</v>
      </c>
      <c r="M229" s="85" t="s">
        <v>630</v>
      </c>
      <c r="N229" s="128">
        <v>111639</v>
      </c>
      <c r="O229" s="128">
        <f t="shared" si="15"/>
        <v>5916867</v>
      </c>
      <c r="P229" s="125" t="s">
        <v>864</v>
      </c>
      <c r="Q229" s="85" t="s">
        <v>47</v>
      </c>
      <c r="R229" s="220" t="s">
        <v>1888</v>
      </c>
      <c r="S229" s="220" t="s">
        <v>1861</v>
      </c>
      <c r="T229" s="85" t="s">
        <v>1491</v>
      </c>
      <c r="U229" t="s">
        <v>1972</v>
      </c>
      <c r="V229" t="s">
        <v>2832</v>
      </c>
    </row>
    <row r="230" spans="1:22" ht="15.75" thickBot="1" x14ac:dyDescent="0.3">
      <c r="A230" s="82" t="s">
        <v>3507</v>
      </c>
      <c r="B230" s="82" t="str">
        <f t="shared" si="12"/>
        <v>Barraqueiro Transportes, S.A.</v>
      </c>
      <c r="C230" s="82" t="str">
        <f t="shared" si="13"/>
        <v>Estremadura</v>
      </c>
      <c r="D230" s="83" t="s">
        <v>629</v>
      </c>
      <c r="E230" s="91" t="s">
        <v>1853</v>
      </c>
      <c r="F230" s="124" t="s">
        <v>620</v>
      </c>
      <c r="G230" s="333">
        <v>2019</v>
      </c>
      <c r="H230" s="341" t="s">
        <v>733</v>
      </c>
      <c r="I230" s="336" t="str">
        <f t="shared" si="14"/>
        <v>Pesado de Passageiros M3: III : Gasóleo : E6</v>
      </c>
      <c r="J230" s="125">
        <v>39</v>
      </c>
      <c r="K230" s="125">
        <v>2022</v>
      </c>
      <c r="L230" s="85">
        <v>14209.59</v>
      </c>
      <c r="M230" s="85" t="s">
        <v>630</v>
      </c>
      <c r="N230" s="128">
        <v>50385</v>
      </c>
      <c r="O230" s="128">
        <f t="shared" si="15"/>
        <v>1965015</v>
      </c>
      <c r="P230" s="125" t="s">
        <v>865</v>
      </c>
      <c r="Q230" s="85" t="s">
        <v>47</v>
      </c>
      <c r="R230" s="220" t="s">
        <v>1888</v>
      </c>
      <c r="S230" s="220" t="s">
        <v>1861</v>
      </c>
      <c r="T230" s="85" t="s">
        <v>1491</v>
      </c>
      <c r="U230" t="s">
        <v>1972</v>
      </c>
      <c r="V230" t="s">
        <v>2832</v>
      </c>
    </row>
    <row r="231" spans="1:22" ht="15.75" thickBot="1" x14ac:dyDescent="0.3">
      <c r="A231" s="82" t="s">
        <v>3507</v>
      </c>
      <c r="B231" s="82" t="str">
        <f t="shared" si="12"/>
        <v>Barraqueiro Transportes, S.A.</v>
      </c>
      <c r="C231" s="82" t="str">
        <f t="shared" si="13"/>
        <v>Estremadura</v>
      </c>
      <c r="D231" s="83" t="s">
        <v>629</v>
      </c>
      <c r="E231" s="91" t="s">
        <v>1853</v>
      </c>
      <c r="F231" s="124" t="s">
        <v>620</v>
      </c>
      <c r="G231" s="333">
        <v>2019</v>
      </c>
      <c r="H231" s="341" t="s">
        <v>733</v>
      </c>
      <c r="I231" s="336" t="str">
        <f t="shared" si="14"/>
        <v>Pesado de Passageiros M3: III : Gasóleo : E6</v>
      </c>
      <c r="J231" s="125">
        <v>39</v>
      </c>
      <c r="K231" s="125">
        <v>2022</v>
      </c>
      <c r="L231" s="85">
        <v>14914.73</v>
      </c>
      <c r="M231" s="85" t="s">
        <v>630</v>
      </c>
      <c r="N231" s="128">
        <v>54595</v>
      </c>
      <c r="O231" s="128">
        <f t="shared" si="15"/>
        <v>2129205</v>
      </c>
      <c r="P231" s="125" t="s">
        <v>866</v>
      </c>
      <c r="Q231" s="85" t="s">
        <v>47</v>
      </c>
      <c r="R231" s="220" t="s">
        <v>1888</v>
      </c>
      <c r="S231" s="220" t="s">
        <v>1861</v>
      </c>
      <c r="T231" s="85" t="s">
        <v>1491</v>
      </c>
      <c r="U231" t="s">
        <v>1972</v>
      </c>
      <c r="V231" t="s">
        <v>2832</v>
      </c>
    </row>
    <row r="232" spans="1:22" ht="15.75" thickBot="1" x14ac:dyDescent="0.3">
      <c r="A232" s="82" t="s">
        <v>3507</v>
      </c>
      <c r="B232" s="82" t="str">
        <f t="shared" si="12"/>
        <v>Barraqueiro Transportes, S.A.</v>
      </c>
      <c r="C232" s="82" t="str">
        <f t="shared" si="13"/>
        <v>Estremadura</v>
      </c>
      <c r="D232" s="83" t="s">
        <v>629</v>
      </c>
      <c r="E232" s="91" t="s">
        <v>1853</v>
      </c>
      <c r="F232" s="124" t="s">
        <v>620</v>
      </c>
      <c r="G232" s="333">
        <v>2019</v>
      </c>
      <c r="H232" s="341" t="s">
        <v>733</v>
      </c>
      <c r="I232" s="336" t="str">
        <f t="shared" si="14"/>
        <v>Pesado de Passageiros M3: III : Gasóleo : E6</v>
      </c>
      <c r="J232" s="125">
        <v>63</v>
      </c>
      <c r="K232" s="125">
        <v>2022</v>
      </c>
      <c r="L232" s="85">
        <v>58340.22</v>
      </c>
      <c r="M232" s="85" t="s">
        <v>630</v>
      </c>
      <c r="N232" s="128">
        <v>193964</v>
      </c>
      <c r="O232" s="128">
        <f t="shared" si="15"/>
        <v>12219732</v>
      </c>
      <c r="P232" s="125" t="s">
        <v>867</v>
      </c>
      <c r="Q232" s="85" t="s">
        <v>47</v>
      </c>
      <c r="R232" s="220" t="s">
        <v>1888</v>
      </c>
      <c r="S232" s="220" t="s">
        <v>1861</v>
      </c>
      <c r="T232" s="85" t="s">
        <v>1491</v>
      </c>
      <c r="U232" t="s">
        <v>1972</v>
      </c>
      <c r="V232" t="s">
        <v>2832</v>
      </c>
    </row>
    <row r="233" spans="1:22" ht="15.75" thickBot="1" x14ac:dyDescent="0.3">
      <c r="A233" s="82" t="s">
        <v>3507</v>
      </c>
      <c r="B233" s="82" t="str">
        <f t="shared" si="12"/>
        <v>Barraqueiro Transportes, S.A.</v>
      </c>
      <c r="C233" s="82" t="str">
        <f t="shared" si="13"/>
        <v>Estremadura</v>
      </c>
      <c r="D233" s="83" t="s">
        <v>629</v>
      </c>
      <c r="E233" s="91" t="s">
        <v>1853</v>
      </c>
      <c r="F233" s="124" t="s">
        <v>620</v>
      </c>
      <c r="G233" s="333">
        <v>2019</v>
      </c>
      <c r="H233" s="341" t="s">
        <v>733</v>
      </c>
      <c r="I233" s="336" t="str">
        <f t="shared" si="14"/>
        <v>Pesado de Passageiros M3: III : Gasóleo : E6</v>
      </c>
      <c r="J233" s="125">
        <v>19</v>
      </c>
      <c r="K233" s="125">
        <v>2022</v>
      </c>
      <c r="L233" s="85">
        <v>4640.3600000000006</v>
      </c>
      <c r="M233" s="85" t="s">
        <v>630</v>
      </c>
      <c r="N233" s="128">
        <v>25605</v>
      </c>
      <c r="O233" s="128">
        <f t="shared" si="15"/>
        <v>486495</v>
      </c>
      <c r="P233" s="125" t="s">
        <v>868</v>
      </c>
      <c r="Q233" s="85" t="s">
        <v>47</v>
      </c>
      <c r="R233" s="220" t="s">
        <v>1888</v>
      </c>
      <c r="S233" s="220" t="s">
        <v>1861</v>
      </c>
      <c r="T233" s="85" t="s">
        <v>1491</v>
      </c>
      <c r="U233" t="s">
        <v>1972</v>
      </c>
      <c r="V233" t="s">
        <v>2832</v>
      </c>
    </row>
    <row r="234" spans="1:22" ht="15.75" thickBot="1" x14ac:dyDescent="0.3">
      <c r="A234" s="82" t="s">
        <v>3507</v>
      </c>
      <c r="B234" s="82" t="str">
        <f t="shared" si="12"/>
        <v>Barraqueiro Transportes, S.A.</v>
      </c>
      <c r="C234" s="82" t="str">
        <f t="shared" si="13"/>
        <v>Estremadura</v>
      </c>
      <c r="D234" s="83" t="s">
        <v>629</v>
      </c>
      <c r="E234" s="91" t="s">
        <v>1853</v>
      </c>
      <c r="F234" s="124" t="s">
        <v>620</v>
      </c>
      <c r="G234" s="333">
        <v>2019</v>
      </c>
      <c r="H234" s="341" t="s">
        <v>733</v>
      </c>
      <c r="I234" s="336" t="str">
        <f t="shared" si="14"/>
        <v>Pesado de Passageiros M3: III : Gasóleo : E6</v>
      </c>
      <c r="J234" s="125">
        <v>39</v>
      </c>
      <c r="K234" s="125">
        <v>2022</v>
      </c>
      <c r="L234" s="85">
        <v>14279.4</v>
      </c>
      <c r="M234" s="85" t="s">
        <v>630</v>
      </c>
      <c r="N234" s="128">
        <v>52981</v>
      </c>
      <c r="O234" s="128">
        <f t="shared" si="15"/>
        <v>2066259</v>
      </c>
      <c r="P234" s="125" t="s">
        <v>869</v>
      </c>
      <c r="Q234" s="85" t="s">
        <v>47</v>
      </c>
      <c r="R234" s="220" t="s">
        <v>1888</v>
      </c>
      <c r="S234" s="220" t="s">
        <v>1861</v>
      </c>
      <c r="T234" s="85" t="s">
        <v>1491</v>
      </c>
      <c r="U234" t="s">
        <v>1972</v>
      </c>
      <c r="V234" t="s">
        <v>2832</v>
      </c>
    </row>
    <row r="235" spans="1:22" ht="15.75" thickBot="1" x14ac:dyDescent="0.3">
      <c r="A235" s="82" t="s">
        <v>3507</v>
      </c>
      <c r="B235" s="82" t="str">
        <f t="shared" si="12"/>
        <v>Barraqueiro Transportes, S.A.</v>
      </c>
      <c r="C235" s="82" t="str">
        <f t="shared" si="13"/>
        <v>Estremadura</v>
      </c>
      <c r="D235" s="83" t="s">
        <v>629</v>
      </c>
      <c r="E235" s="91" t="s">
        <v>1853</v>
      </c>
      <c r="F235" s="124" t="s">
        <v>620</v>
      </c>
      <c r="G235" s="333">
        <v>2019</v>
      </c>
      <c r="H235" s="341" t="s">
        <v>733</v>
      </c>
      <c r="I235" s="336" t="str">
        <f t="shared" si="14"/>
        <v>Pesado de Passageiros M3: III : Gasóleo : E6</v>
      </c>
      <c r="J235" s="125">
        <v>53</v>
      </c>
      <c r="K235" s="125">
        <v>2022</v>
      </c>
      <c r="L235" s="85">
        <v>27826.34</v>
      </c>
      <c r="M235" s="85" t="s">
        <v>630</v>
      </c>
      <c r="N235" s="128">
        <v>110366</v>
      </c>
      <c r="O235" s="128">
        <f t="shared" si="15"/>
        <v>5849398</v>
      </c>
      <c r="P235" s="125" t="s">
        <v>870</v>
      </c>
      <c r="Q235" s="85" t="s">
        <v>47</v>
      </c>
      <c r="R235" s="220" t="s">
        <v>1888</v>
      </c>
      <c r="S235" s="220" t="s">
        <v>1861</v>
      </c>
      <c r="T235" s="85" t="s">
        <v>1491</v>
      </c>
      <c r="U235" t="s">
        <v>1972</v>
      </c>
      <c r="V235" t="s">
        <v>2832</v>
      </c>
    </row>
    <row r="236" spans="1:22" ht="15.75" thickBot="1" x14ac:dyDescent="0.3">
      <c r="A236" s="82" t="s">
        <v>3507</v>
      </c>
      <c r="B236" s="82" t="str">
        <f t="shared" si="12"/>
        <v>Barraqueiro Transportes, S.A.</v>
      </c>
      <c r="C236" s="82" t="str">
        <f t="shared" si="13"/>
        <v>Estremadura</v>
      </c>
      <c r="D236" s="83" t="s">
        <v>629</v>
      </c>
      <c r="E236" s="91" t="s">
        <v>1853</v>
      </c>
      <c r="F236" s="124" t="s">
        <v>620</v>
      </c>
      <c r="G236" s="333">
        <v>2019</v>
      </c>
      <c r="H236" s="341" t="s">
        <v>733</v>
      </c>
      <c r="I236" s="336" t="str">
        <f t="shared" si="14"/>
        <v>Pesado de Passageiros M3: III : Gasóleo : E6</v>
      </c>
      <c r="J236" s="125">
        <v>29</v>
      </c>
      <c r="K236" s="125">
        <v>2022</v>
      </c>
      <c r="L236" s="85">
        <v>3666.77</v>
      </c>
      <c r="M236" s="85" t="s">
        <v>630</v>
      </c>
      <c r="N236" s="128">
        <v>16135</v>
      </c>
      <c r="O236" s="128">
        <f t="shared" si="15"/>
        <v>467915</v>
      </c>
      <c r="P236" s="125" t="s">
        <v>871</v>
      </c>
      <c r="Q236" s="85" t="s">
        <v>47</v>
      </c>
      <c r="R236" s="220" t="s">
        <v>1888</v>
      </c>
      <c r="S236" s="220" t="s">
        <v>1861</v>
      </c>
      <c r="T236" s="85" t="s">
        <v>1491</v>
      </c>
      <c r="U236" t="s">
        <v>1972</v>
      </c>
      <c r="V236" t="s">
        <v>2832</v>
      </c>
    </row>
    <row r="237" spans="1:22" ht="15.75" thickBot="1" x14ac:dyDescent="0.3">
      <c r="A237" s="82" t="s">
        <v>3507</v>
      </c>
      <c r="B237" s="82" t="str">
        <f t="shared" si="12"/>
        <v>Barraqueiro Transportes, S.A.</v>
      </c>
      <c r="C237" s="82" t="str">
        <f t="shared" si="13"/>
        <v>Estremadura</v>
      </c>
      <c r="D237" s="83" t="s">
        <v>629</v>
      </c>
      <c r="E237" s="91" t="s">
        <v>1853</v>
      </c>
      <c r="F237" s="124" t="s">
        <v>620</v>
      </c>
      <c r="G237" s="333">
        <v>2019</v>
      </c>
      <c r="H237" s="341" t="s">
        <v>733</v>
      </c>
      <c r="I237" s="336" t="str">
        <f t="shared" si="14"/>
        <v>Pesado de Passageiros M3: III : Gasóleo : E6</v>
      </c>
      <c r="J237" s="125">
        <v>29</v>
      </c>
      <c r="K237" s="125">
        <v>2022</v>
      </c>
      <c r="L237" s="85">
        <v>3279.96</v>
      </c>
      <c r="M237" s="85" t="s">
        <v>630</v>
      </c>
      <c r="N237" s="128">
        <v>14522</v>
      </c>
      <c r="O237" s="128">
        <f t="shared" si="15"/>
        <v>421138</v>
      </c>
      <c r="P237" s="125" t="s">
        <v>872</v>
      </c>
      <c r="Q237" s="85" t="s">
        <v>47</v>
      </c>
      <c r="R237" s="220" t="s">
        <v>1888</v>
      </c>
      <c r="S237" s="220" t="s">
        <v>1861</v>
      </c>
      <c r="T237" s="85" t="s">
        <v>1491</v>
      </c>
      <c r="U237" t="s">
        <v>1972</v>
      </c>
      <c r="V237" t="s">
        <v>2832</v>
      </c>
    </row>
    <row r="238" spans="1:22" ht="15.75" thickBot="1" x14ac:dyDescent="0.3">
      <c r="A238" s="82" t="s">
        <v>3507</v>
      </c>
      <c r="B238" s="82" t="str">
        <f t="shared" si="12"/>
        <v>Barraqueiro Transportes, S.A.</v>
      </c>
      <c r="C238" s="82" t="str">
        <f t="shared" si="13"/>
        <v>Estremadura</v>
      </c>
      <c r="D238" s="83" t="s">
        <v>629</v>
      </c>
      <c r="E238" s="91" t="s">
        <v>1853</v>
      </c>
      <c r="F238" s="124" t="s">
        <v>620</v>
      </c>
      <c r="G238" s="333">
        <v>2019</v>
      </c>
      <c r="H238" s="341" t="s">
        <v>733</v>
      </c>
      <c r="I238" s="336" t="str">
        <f t="shared" si="14"/>
        <v>Pesado de Passageiros M3: III : Gasóleo : E6</v>
      </c>
      <c r="J238" s="125">
        <v>29</v>
      </c>
      <c r="K238" s="125">
        <v>2022</v>
      </c>
      <c r="L238" s="85">
        <v>3921.12</v>
      </c>
      <c r="M238" s="85" t="s">
        <v>630</v>
      </c>
      <c r="N238" s="128">
        <v>17984</v>
      </c>
      <c r="O238" s="128">
        <f t="shared" si="15"/>
        <v>521536</v>
      </c>
      <c r="P238" s="125" t="s">
        <v>873</v>
      </c>
      <c r="Q238" s="85" t="s">
        <v>47</v>
      </c>
      <c r="R238" s="220" t="s">
        <v>1888</v>
      </c>
      <c r="S238" s="220" t="s">
        <v>1861</v>
      </c>
      <c r="T238" s="85" t="s">
        <v>1491</v>
      </c>
      <c r="U238" t="s">
        <v>1972</v>
      </c>
      <c r="V238" t="s">
        <v>2832</v>
      </c>
    </row>
    <row r="239" spans="1:22" ht="15.75" thickBot="1" x14ac:dyDescent="0.3">
      <c r="A239" s="82" t="s">
        <v>3507</v>
      </c>
      <c r="B239" s="82" t="str">
        <f t="shared" si="12"/>
        <v>Barraqueiro Transportes, S.A.</v>
      </c>
      <c r="C239" s="82" t="str">
        <f t="shared" si="13"/>
        <v>Estremadura</v>
      </c>
      <c r="D239" s="83" t="s">
        <v>629</v>
      </c>
      <c r="E239" s="91" t="s">
        <v>1853</v>
      </c>
      <c r="F239" s="124" t="s">
        <v>620</v>
      </c>
      <c r="G239" s="333">
        <v>2012</v>
      </c>
      <c r="H239" s="341" t="s">
        <v>734</v>
      </c>
      <c r="I239" s="336" t="str">
        <f t="shared" si="14"/>
        <v>Pesado de Passageiros M3: III : Gasóleo : E5</v>
      </c>
      <c r="J239" s="125">
        <v>57</v>
      </c>
      <c r="K239" s="125">
        <v>2022</v>
      </c>
      <c r="L239" s="85">
        <v>21205.773000000001</v>
      </c>
      <c r="M239" s="85" t="s">
        <v>630</v>
      </c>
      <c r="N239" s="128">
        <v>68017</v>
      </c>
      <c r="O239" s="128">
        <f t="shared" si="15"/>
        <v>3876969</v>
      </c>
      <c r="P239" s="125" t="s">
        <v>874</v>
      </c>
      <c r="Q239" s="85" t="s">
        <v>47</v>
      </c>
      <c r="R239" s="220" t="s">
        <v>1888</v>
      </c>
      <c r="S239" s="220" t="s">
        <v>1861</v>
      </c>
      <c r="T239" s="85" t="s">
        <v>1491</v>
      </c>
      <c r="U239" t="s">
        <v>1972</v>
      </c>
      <c r="V239" t="s">
        <v>2832</v>
      </c>
    </row>
    <row r="240" spans="1:22" ht="15.75" thickBot="1" x14ac:dyDescent="0.3">
      <c r="A240" s="82" t="s">
        <v>3507</v>
      </c>
      <c r="B240" s="82" t="str">
        <f t="shared" si="12"/>
        <v>Barraqueiro Transportes, S.A.</v>
      </c>
      <c r="C240" s="82" t="str">
        <f t="shared" si="13"/>
        <v>Estremadura</v>
      </c>
      <c r="D240" s="83" t="s">
        <v>629</v>
      </c>
      <c r="E240" s="91" t="s">
        <v>1853</v>
      </c>
      <c r="F240" s="124" t="s">
        <v>620</v>
      </c>
      <c r="G240" s="333">
        <v>2019</v>
      </c>
      <c r="H240" s="341" t="s">
        <v>733</v>
      </c>
      <c r="I240" s="336" t="str">
        <f t="shared" si="14"/>
        <v>Pesado de Passageiros M3: III : Gasóleo : E6</v>
      </c>
      <c r="J240" s="125">
        <v>25</v>
      </c>
      <c r="K240" s="125">
        <v>2022</v>
      </c>
      <c r="L240" s="85">
        <v>15966.19</v>
      </c>
      <c r="M240" s="85" t="s">
        <v>630</v>
      </c>
      <c r="N240" s="128">
        <v>86875</v>
      </c>
      <c r="O240" s="128">
        <f t="shared" si="15"/>
        <v>2171875</v>
      </c>
      <c r="P240" s="125" t="s">
        <v>875</v>
      </c>
      <c r="Q240" s="85" t="s">
        <v>47</v>
      </c>
      <c r="R240" s="220" t="s">
        <v>1888</v>
      </c>
      <c r="S240" s="220" t="s">
        <v>1861</v>
      </c>
      <c r="T240" s="85" t="s">
        <v>1491</v>
      </c>
      <c r="U240" t="s">
        <v>1972</v>
      </c>
      <c r="V240" t="s">
        <v>2832</v>
      </c>
    </row>
    <row r="241" spans="1:22" ht="15.75" thickBot="1" x14ac:dyDescent="0.3">
      <c r="A241" s="82" t="s">
        <v>3507</v>
      </c>
      <c r="B241" s="82" t="str">
        <f t="shared" si="12"/>
        <v>Barraqueiro Transportes, S.A.</v>
      </c>
      <c r="C241" s="82" t="str">
        <f t="shared" si="13"/>
        <v>Estremadura</v>
      </c>
      <c r="D241" s="83" t="s">
        <v>629</v>
      </c>
      <c r="E241" s="91" t="s">
        <v>1853</v>
      </c>
      <c r="F241" s="124" t="s">
        <v>620</v>
      </c>
      <c r="G241" s="333">
        <v>2015</v>
      </c>
      <c r="H241" s="341" t="s">
        <v>733</v>
      </c>
      <c r="I241" s="336" t="str">
        <f t="shared" si="14"/>
        <v>Pesado de Passageiros M3: III : Gasóleo : E6</v>
      </c>
      <c r="J241" s="125">
        <v>25</v>
      </c>
      <c r="K241" s="125">
        <v>2022</v>
      </c>
      <c r="L241" s="85">
        <v>1456.77</v>
      </c>
      <c r="M241" s="85" t="s">
        <v>630</v>
      </c>
      <c r="N241" s="128">
        <v>7253</v>
      </c>
      <c r="O241" s="128">
        <f t="shared" si="15"/>
        <v>181325</v>
      </c>
      <c r="P241" s="125" t="s">
        <v>876</v>
      </c>
      <c r="Q241" s="85" t="s">
        <v>47</v>
      </c>
      <c r="R241" s="220" t="s">
        <v>1888</v>
      </c>
      <c r="S241" s="220" t="s">
        <v>1861</v>
      </c>
      <c r="T241" s="85" t="s">
        <v>1491</v>
      </c>
      <c r="U241" t="s">
        <v>1972</v>
      </c>
      <c r="V241" t="s">
        <v>2832</v>
      </c>
    </row>
    <row r="242" spans="1:22" ht="15.75" thickBot="1" x14ac:dyDescent="0.3">
      <c r="A242" s="82" t="s">
        <v>3507</v>
      </c>
      <c r="B242" s="82" t="str">
        <f t="shared" si="12"/>
        <v>Barraqueiro Transportes, S.A.</v>
      </c>
      <c r="C242" s="82" t="str">
        <f t="shared" si="13"/>
        <v>Estremadura</v>
      </c>
      <c r="D242" s="83" t="s">
        <v>629</v>
      </c>
      <c r="E242" s="91" t="s">
        <v>1853</v>
      </c>
      <c r="F242" s="124" t="s">
        <v>620</v>
      </c>
      <c r="G242" s="333">
        <v>2019</v>
      </c>
      <c r="H242" s="341" t="s">
        <v>733</v>
      </c>
      <c r="I242" s="336" t="str">
        <f t="shared" si="14"/>
        <v>Pesado de Passageiros M3: III : Gasóleo : E6</v>
      </c>
      <c r="J242" s="125">
        <v>25</v>
      </c>
      <c r="K242" s="125">
        <v>2022</v>
      </c>
      <c r="L242" s="85">
        <v>6130.18</v>
      </c>
      <c r="M242" s="85" t="s">
        <v>630</v>
      </c>
      <c r="N242" s="128">
        <v>35935</v>
      </c>
      <c r="O242" s="128">
        <f t="shared" si="15"/>
        <v>898375</v>
      </c>
      <c r="P242" s="125" t="s">
        <v>877</v>
      </c>
      <c r="Q242" s="85" t="s">
        <v>47</v>
      </c>
      <c r="R242" s="220" t="s">
        <v>1888</v>
      </c>
      <c r="S242" s="220" t="s">
        <v>1861</v>
      </c>
      <c r="T242" s="85" t="s">
        <v>1491</v>
      </c>
      <c r="U242" t="s">
        <v>1972</v>
      </c>
      <c r="V242" t="s">
        <v>2832</v>
      </c>
    </row>
    <row r="243" spans="1:22" ht="15.75" thickBot="1" x14ac:dyDescent="0.3">
      <c r="A243" s="82" t="s">
        <v>3507</v>
      </c>
      <c r="B243" s="82" t="str">
        <f t="shared" si="12"/>
        <v>Barraqueiro Transportes, S.A.</v>
      </c>
      <c r="C243" s="82" t="str">
        <f t="shared" si="13"/>
        <v>Estremadura</v>
      </c>
      <c r="D243" s="83" t="s">
        <v>629</v>
      </c>
      <c r="E243" s="91" t="s">
        <v>1853</v>
      </c>
      <c r="F243" s="124" t="s">
        <v>620</v>
      </c>
      <c r="G243" s="333">
        <v>2020</v>
      </c>
      <c r="H243" s="341" t="s">
        <v>733</v>
      </c>
      <c r="I243" s="336" t="str">
        <f t="shared" si="14"/>
        <v>Pesado de Passageiros M3: III : Gasóleo : E6</v>
      </c>
      <c r="J243" s="125">
        <v>53</v>
      </c>
      <c r="K243" s="125">
        <v>2022</v>
      </c>
      <c r="L243" s="85">
        <v>26206.86</v>
      </c>
      <c r="M243" s="85" t="s">
        <v>630</v>
      </c>
      <c r="N243" s="128">
        <v>105882</v>
      </c>
      <c r="O243" s="128">
        <f t="shared" si="15"/>
        <v>5611746</v>
      </c>
      <c r="P243" s="125" t="s">
        <v>878</v>
      </c>
      <c r="Q243" s="85" t="s">
        <v>47</v>
      </c>
      <c r="R243" s="220" t="s">
        <v>1888</v>
      </c>
      <c r="S243" s="220" t="s">
        <v>1861</v>
      </c>
      <c r="T243" s="85" t="s">
        <v>1491</v>
      </c>
      <c r="U243" t="s">
        <v>1972</v>
      </c>
      <c r="V243" t="s">
        <v>2832</v>
      </c>
    </row>
    <row r="244" spans="1:22" ht="15.75" thickBot="1" x14ac:dyDescent="0.3">
      <c r="A244" s="82" t="s">
        <v>3507</v>
      </c>
      <c r="B244" s="82" t="str">
        <f t="shared" si="12"/>
        <v>Barraqueiro Transportes, S.A.</v>
      </c>
      <c r="C244" s="82" t="str">
        <f t="shared" si="13"/>
        <v>Estremadura</v>
      </c>
      <c r="D244" s="83" t="s">
        <v>629</v>
      </c>
      <c r="E244" s="91" t="s">
        <v>1853</v>
      </c>
      <c r="F244" s="124" t="s">
        <v>620</v>
      </c>
      <c r="G244" s="333">
        <v>2020</v>
      </c>
      <c r="H244" s="341" t="s">
        <v>733</v>
      </c>
      <c r="I244" s="336" t="str">
        <f t="shared" si="14"/>
        <v>Pesado de Passageiros M3: III : Gasóleo : E6</v>
      </c>
      <c r="J244" s="125">
        <v>53</v>
      </c>
      <c r="K244" s="125">
        <v>2022</v>
      </c>
      <c r="L244" s="85">
        <v>26831.059999999998</v>
      </c>
      <c r="M244" s="85" t="s">
        <v>630</v>
      </c>
      <c r="N244" s="128">
        <v>104124</v>
      </c>
      <c r="O244" s="128">
        <f t="shared" si="15"/>
        <v>5518572</v>
      </c>
      <c r="P244" s="125" t="s">
        <v>879</v>
      </c>
      <c r="Q244" s="85" t="s">
        <v>47</v>
      </c>
      <c r="R244" s="220" t="s">
        <v>1888</v>
      </c>
      <c r="S244" s="220" t="s">
        <v>1861</v>
      </c>
      <c r="T244" s="85" t="s">
        <v>1491</v>
      </c>
      <c r="U244" t="s">
        <v>1972</v>
      </c>
      <c r="V244" t="s">
        <v>2832</v>
      </c>
    </row>
    <row r="245" spans="1:22" ht="15.75" thickBot="1" x14ac:dyDescent="0.3">
      <c r="A245" s="82" t="s">
        <v>3507</v>
      </c>
      <c r="B245" s="82" t="str">
        <f t="shared" si="12"/>
        <v>Barraqueiro Transportes, S.A.</v>
      </c>
      <c r="C245" s="82" t="str">
        <f t="shared" si="13"/>
        <v>Estremadura</v>
      </c>
      <c r="D245" s="83" t="s">
        <v>629</v>
      </c>
      <c r="E245" s="91" t="s">
        <v>1853</v>
      </c>
      <c r="F245" s="124" t="s">
        <v>620</v>
      </c>
      <c r="G245" s="333">
        <v>2020</v>
      </c>
      <c r="H245" s="341" t="s">
        <v>733</v>
      </c>
      <c r="I245" s="336" t="str">
        <f t="shared" si="14"/>
        <v>Pesado de Passageiros M3: III : Gasóleo : E6</v>
      </c>
      <c r="J245" s="125">
        <v>53</v>
      </c>
      <c r="K245" s="125">
        <v>2022</v>
      </c>
      <c r="L245" s="85">
        <v>28882.090000000004</v>
      </c>
      <c r="M245" s="85" t="s">
        <v>630</v>
      </c>
      <c r="N245" s="128">
        <v>116828</v>
      </c>
      <c r="O245" s="128">
        <f t="shared" si="15"/>
        <v>6191884</v>
      </c>
      <c r="P245" s="125" t="s">
        <v>880</v>
      </c>
      <c r="Q245" s="85" t="s">
        <v>47</v>
      </c>
      <c r="R245" s="220" t="s">
        <v>1888</v>
      </c>
      <c r="S245" s="220" t="s">
        <v>1861</v>
      </c>
      <c r="T245" s="85" t="s">
        <v>1491</v>
      </c>
      <c r="U245" t="s">
        <v>1972</v>
      </c>
      <c r="V245" t="s">
        <v>2832</v>
      </c>
    </row>
    <row r="246" spans="1:22" ht="15.75" thickBot="1" x14ac:dyDescent="0.3">
      <c r="A246" s="82" t="s">
        <v>3507</v>
      </c>
      <c r="B246" s="82" t="str">
        <f t="shared" si="12"/>
        <v>Barraqueiro Transportes, S.A.</v>
      </c>
      <c r="C246" s="82" t="str">
        <f t="shared" si="13"/>
        <v>Estremadura</v>
      </c>
      <c r="D246" s="83" t="s">
        <v>629</v>
      </c>
      <c r="E246" s="91" t="s">
        <v>1853</v>
      </c>
      <c r="F246" s="124" t="s">
        <v>620</v>
      </c>
      <c r="G246" s="333">
        <v>2020</v>
      </c>
      <c r="H246" s="341" t="s">
        <v>733</v>
      </c>
      <c r="I246" s="336" t="str">
        <f t="shared" si="14"/>
        <v>Pesado de Passageiros M3: III : Gasóleo : E6</v>
      </c>
      <c r="J246" s="125">
        <v>53</v>
      </c>
      <c r="K246" s="125">
        <v>2022</v>
      </c>
      <c r="L246" s="85">
        <v>32375.040000000001</v>
      </c>
      <c r="M246" s="85" t="s">
        <v>630</v>
      </c>
      <c r="N246" s="128">
        <v>132282</v>
      </c>
      <c r="O246" s="128">
        <f t="shared" si="15"/>
        <v>7010946</v>
      </c>
      <c r="P246" s="125" t="s">
        <v>881</v>
      </c>
      <c r="Q246" s="85" t="s">
        <v>47</v>
      </c>
      <c r="R246" s="220" t="s">
        <v>1888</v>
      </c>
      <c r="S246" s="220" t="s">
        <v>1861</v>
      </c>
      <c r="T246" s="85" t="s">
        <v>1491</v>
      </c>
      <c r="U246" t="s">
        <v>1972</v>
      </c>
      <c r="V246" t="s">
        <v>2832</v>
      </c>
    </row>
    <row r="247" spans="1:22" ht="15.75" thickBot="1" x14ac:dyDescent="0.3">
      <c r="A247" s="82" t="s">
        <v>3507</v>
      </c>
      <c r="B247" s="82" t="str">
        <f t="shared" si="12"/>
        <v>Barraqueiro Transportes, S.A.</v>
      </c>
      <c r="C247" s="82" t="str">
        <f t="shared" si="13"/>
        <v>Estremadura</v>
      </c>
      <c r="D247" s="83" t="s">
        <v>629</v>
      </c>
      <c r="E247" s="91" t="s">
        <v>1853</v>
      </c>
      <c r="F247" s="124" t="s">
        <v>620</v>
      </c>
      <c r="G247" s="333">
        <v>2020</v>
      </c>
      <c r="H247" s="341" t="s">
        <v>733</v>
      </c>
      <c r="I247" s="336" t="str">
        <f t="shared" si="14"/>
        <v>Pesado de Passageiros M3: III : Gasóleo : E6</v>
      </c>
      <c r="J247" s="125">
        <v>63</v>
      </c>
      <c r="K247" s="125">
        <v>2022</v>
      </c>
      <c r="L247" s="85">
        <v>71262.09</v>
      </c>
      <c r="M247" s="85" t="s">
        <v>630</v>
      </c>
      <c r="N247" s="128">
        <v>246632</v>
      </c>
      <c r="O247" s="128">
        <f t="shared" si="15"/>
        <v>15537816</v>
      </c>
      <c r="P247" s="125" t="s">
        <v>882</v>
      </c>
      <c r="Q247" s="85" t="s">
        <v>47</v>
      </c>
      <c r="R247" s="220" t="s">
        <v>1888</v>
      </c>
      <c r="S247" s="220" t="s">
        <v>1861</v>
      </c>
      <c r="T247" s="85" t="s">
        <v>1491</v>
      </c>
      <c r="U247" t="s">
        <v>1972</v>
      </c>
      <c r="V247" t="s">
        <v>2832</v>
      </c>
    </row>
    <row r="248" spans="1:22" ht="15.75" thickBot="1" x14ac:dyDescent="0.3">
      <c r="A248" s="82" t="s">
        <v>3507</v>
      </c>
      <c r="B248" s="82" t="str">
        <f t="shared" si="12"/>
        <v>Barraqueiro Transportes, S.A.</v>
      </c>
      <c r="C248" s="82" t="str">
        <f t="shared" si="13"/>
        <v>Estremadura</v>
      </c>
      <c r="D248" s="83" t="s">
        <v>629</v>
      </c>
      <c r="E248" s="91" t="s">
        <v>1853</v>
      </c>
      <c r="F248" s="124" t="s">
        <v>620</v>
      </c>
      <c r="G248" s="333">
        <v>2020</v>
      </c>
      <c r="H248" s="341" t="s">
        <v>733</v>
      </c>
      <c r="I248" s="336" t="str">
        <f t="shared" si="14"/>
        <v>Pesado de Passageiros M3: III : Gasóleo : E6</v>
      </c>
      <c r="J248" s="125">
        <v>29</v>
      </c>
      <c r="K248" s="125">
        <v>2022</v>
      </c>
      <c r="L248" s="85">
        <v>3506.84</v>
      </c>
      <c r="M248" s="85" t="s">
        <v>630</v>
      </c>
      <c r="N248" s="128">
        <v>18896</v>
      </c>
      <c r="O248" s="128">
        <f t="shared" si="15"/>
        <v>547984</v>
      </c>
      <c r="P248" s="125" t="s">
        <v>883</v>
      </c>
      <c r="Q248" s="85" t="s">
        <v>47</v>
      </c>
      <c r="R248" s="220" t="s">
        <v>1888</v>
      </c>
      <c r="S248" s="220" t="s">
        <v>1861</v>
      </c>
      <c r="T248" s="85" t="s">
        <v>1491</v>
      </c>
      <c r="U248" t="s">
        <v>1972</v>
      </c>
      <c r="V248" t="s">
        <v>2832</v>
      </c>
    </row>
    <row r="249" spans="1:22" ht="15.75" thickBot="1" x14ac:dyDescent="0.3">
      <c r="A249" s="82" t="s">
        <v>3507</v>
      </c>
      <c r="B249" s="82" t="str">
        <f t="shared" si="12"/>
        <v>Barraqueiro Transportes, S.A.</v>
      </c>
      <c r="C249" s="82" t="str">
        <f t="shared" si="13"/>
        <v>Estremadura</v>
      </c>
      <c r="D249" s="83" t="s">
        <v>629</v>
      </c>
      <c r="E249" s="91" t="s">
        <v>1853</v>
      </c>
      <c r="F249" s="124" t="s">
        <v>620</v>
      </c>
      <c r="G249" s="333">
        <v>2020</v>
      </c>
      <c r="H249" s="341" t="s">
        <v>733</v>
      </c>
      <c r="I249" s="336" t="str">
        <f t="shared" si="14"/>
        <v>Pesado de Passageiros M3: III : Gasóleo : E6</v>
      </c>
      <c r="J249" s="125">
        <v>29</v>
      </c>
      <c r="K249" s="125">
        <v>2022</v>
      </c>
      <c r="L249" s="85">
        <v>2928.9499999999994</v>
      </c>
      <c r="M249" s="85" t="s">
        <v>630</v>
      </c>
      <c r="N249" s="128">
        <v>13405</v>
      </c>
      <c r="O249" s="128">
        <f t="shared" si="15"/>
        <v>388745</v>
      </c>
      <c r="P249" s="125" t="s">
        <v>884</v>
      </c>
      <c r="Q249" s="85" t="s">
        <v>47</v>
      </c>
      <c r="R249" s="220" t="s">
        <v>1888</v>
      </c>
      <c r="S249" s="220" t="s">
        <v>1861</v>
      </c>
      <c r="T249" s="85" t="s">
        <v>1491</v>
      </c>
      <c r="U249" t="s">
        <v>1972</v>
      </c>
      <c r="V249" t="s">
        <v>2832</v>
      </c>
    </row>
    <row r="250" spans="1:22" ht="15.75" thickBot="1" x14ac:dyDescent="0.3">
      <c r="A250" s="82" t="s">
        <v>3507</v>
      </c>
      <c r="B250" s="82" t="str">
        <f t="shared" si="12"/>
        <v>Barraqueiro Transportes, S.A.</v>
      </c>
      <c r="C250" s="82" t="str">
        <f t="shared" si="13"/>
        <v>Estremadura</v>
      </c>
      <c r="D250" s="83" t="s">
        <v>629</v>
      </c>
      <c r="E250" s="91" t="s">
        <v>1853</v>
      </c>
      <c r="F250" s="124" t="s">
        <v>620</v>
      </c>
      <c r="G250" s="333">
        <v>2020</v>
      </c>
      <c r="H250" s="341" t="s">
        <v>733</v>
      </c>
      <c r="I250" s="336" t="str">
        <f t="shared" si="14"/>
        <v>Pesado de Passageiros M3: III : Gasóleo : E6</v>
      </c>
      <c r="J250" s="125">
        <v>29</v>
      </c>
      <c r="K250" s="125">
        <v>2022</v>
      </c>
      <c r="L250" s="85">
        <v>2184.25</v>
      </c>
      <c r="M250" s="85" t="s">
        <v>630</v>
      </c>
      <c r="N250" s="128">
        <v>10445</v>
      </c>
      <c r="O250" s="128">
        <f t="shared" si="15"/>
        <v>302905</v>
      </c>
      <c r="P250" s="125" t="s">
        <v>885</v>
      </c>
      <c r="Q250" s="85" t="s">
        <v>47</v>
      </c>
      <c r="R250" s="220" t="s">
        <v>1888</v>
      </c>
      <c r="S250" s="220" t="s">
        <v>1861</v>
      </c>
      <c r="T250" s="85" t="s">
        <v>1491</v>
      </c>
      <c r="U250" t="s">
        <v>1972</v>
      </c>
      <c r="V250" t="s">
        <v>2832</v>
      </c>
    </row>
    <row r="251" spans="1:22" ht="15.75" thickBot="1" x14ac:dyDescent="0.3">
      <c r="A251" s="82" t="s">
        <v>3507</v>
      </c>
      <c r="B251" s="82" t="str">
        <f t="shared" si="12"/>
        <v>Barraqueiro Transportes, S.A.</v>
      </c>
      <c r="C251" s="82" t="str">
        <f t="shared" si="13"/>
        <v>Estremadura</v>
      </c>
      <c r="D251" s="83" t="s">
        <v>629</v>
      </c>
      <c r="E251" s="91" t="s">
        <v>1853</v>
      </c>
      <c r="F251" s="124" t="s">
        <v>620</v>
      </c>
      <c r="G251" s="333">
        <v>2020</v>
      </c>
      <c r="H251" s="341" t="s">
        <v>733</v>
      </c>
      <c r="I251" s="336" t="str">
        <f t="shared" si="14"/>
        <v>Pesado de Passageiros M3: III : Gasóleo : E6</v>
      </c>
      <c r="J251" s="125">
        <v>29</v>
      </c>
      <c r="K251" s="125">
        <v>2022</v>
      </c>
      <c r="L251" s="85">
        <v>2619.5500000000002</v>
      </c>
      <c r="M251" s="85" t="s">
        <v>630</v>
      </c>
      <c r="N251" s="128">
        <v>12291</v>
      </c>
      <c r="O251" s="128">
        <f t="shared" si="15"/>
        <v>356439</v>
      </c>
      <c r="P251" s="125" t="s">
        <v>886</v>
      </c>
      <c r="Q251" s="85" t="s">
        <v>47</v>
      </c>
      <c r="R251" s="220" t="s">
        <v>1888</v>
      </c>
      <c r="S251" s="220" t="s">
        <v>1861</v>
      </c>
      <c r="T251" s="85" t="s">
        <v>1491</v>
      </c>
      <c r="U251" t="s">
        <v>1972</v>
      </c>
      <c r="V251" t="s">
        <v>2832</v>
      </c>
    </row>
    <row r="252" spans="1:22" ht="15.75" thickBot="1" x14ac:dyDescent="0.3">
      <c r="A252" s="82" t="s">
        <v>3507</v>
      </c>
      <c r="B252" s="82" t="str">
        <f t="shared" si="12"/>
        <v>Barraqueiro Transportes, S.A.</v>
      </c>
      <c r="C252" s="82" t="str">
        <f t="shared" si="13"/>
        <v>Estremadura</v>
      </c>
      <c r="D252" s="83" t="s">
        <v>629</v>
      </c>
      <c r="E252" s="91" t="s">
        <v>1853</v>
      </c>
      <c r="F252" s="124" t="s">
        <v>620</v>
      </c>
      <c r="G252" s="333">
        <v>2007</v>
      </c>
      <c r="H252" s="341" t="s">
        <v>731</v>
      </c>
      <c r="I252" s="336" t="str">
        <f t="shared" si="14"/>
        <v>Pesado de Passageiros M3: III : Gasóleo : E4</v>
      </c>
      <c r="J252" s="125">
        <v>53</v>
      </c>
      <c r="K252" s="125">
        <v>2022</v>
      </c>
      <c r="L252" s="85">
        <v>14582.240000000002</v>
      </c>
      <c r="M252" s="85" t="s">
        <v>630</v>
      </c>
      <c r="N252" s="128">
        <v>46318</v>
      </c>
      <c r="O252" s="128">
        <f t="shared" si="15"/>
        <v>2454854</v>
      </c>
      <c r="P252" s="125" t="s">
        <v>887</v>
      </c>
      <c r="Q252" s="85" t="s">
        <v>47</v>
      </c>
      <c r="R252" s="220" t="s">
        <v>1888</v>
      </c>
      <c r="S252" s="220" t="s">
        <v>1861</v>
      </c>
      <c r="T252" s="85" t="s">
        <v>1491</v>
      </c>
      <c r="U252" t="s">
        <v>1972</v>
      </c>
      <c r="V252" t="s">
        <v>2832</v>
      </c>
    </row>
    <row r="253" spans="1:22" ht="15.75" thickBot="1" x14ac:dyDescent="0.3">
      <c r="A253" s="82" t="s">
        <v>3507</v>
      </c>
      <c r="B253" s="82" t="str">
        <f t="shared" si="12"/>
        <v>Barraqueiro Transportes, S.A.</v>
      </c>
      <c r="C253" s="82" t="str">
        <f t="shared" si="13"/>
        <v>Estremadura</v>
      </c>
      <c r="D253" s="83" t="s">
        <v>629</v>
      </c>
      <c r="E253" s="91" t="s">
        <v>1853</v>
      </c>
      <c r="F253" s="124" t="s">
        <v>620</v>
      </c>
      <c r="G253" s="333">
        <v>2015</v>
      </c>
      <c r="H253" s="341" t="s">
        <v>733</v>
      </c>
      <c r="I253" s="336" t="str">
        <f t="shared" si="14"/>
        <v>Pesado de Passageiros M3: III : Gasóleo : E6</v>
      </c>
      <c r="J253" s="125">
        <v>39</v>
      </c>
      <c r="K253" s="125">
        <v>2022</v>
      </c>
      <c r="L253" s="85">
        <v>14058.049999999997</v>
      </c>
      <c r="M253" s="85" t="s">
        <v>630</v>
      </c>
      <c r="N253" s="128">
        <v>48166</v>
      </c>
      <c r="O253" s="128">
        <f t="shared" si="15"/>
        <v>1878474</v>
      </c>
      <c r="P253" s="125" t="s">
        <v>888</v>
      </c>
      <c r="Q253" s="85" t="s">
        <v>47</v>
      </c>
      <c r="R253" s="220" t="s">
        <v>1888</v>
      </c>
      <c r="S253" s="220" t="s">
        <v>1861</v>
      </c>
      <c r="T253" s="85" t="s">
        <v>1491</v>
      </c>
      <c r="U253" t="s">
        <v>1972</v>
      </c>
      <c r="V253" t="s">
        <v>2832</v>
      </c>
    </row>
    <row r="254" spans="1:22" ht="15.75" thickBot="1" x14ac:dyDescent="0.3">
      <c r="A254" s="82" t="s">
        <v>3507</v>
      </c>
      <c r="B254" s="82" t="str">
        <f t="shared" si="12"/>
        <v>Barraqueiro Transportes, S.A.</v>
      </c>
      <c r="C254" s="82" t="str">
        <f t="shared" si="13"/>
        <v>Estremadura</v>
      </c>
      <c r="D254" s="83" t="s">
        <v>629</v>
      </c>
      <c r="E254" s="91" t="s">
        <v>1853</v>
      </c>
      <c r="F254" s="124" t="s">
        <v>620</v>
      </c>
      <c r="G254" s="333">
        <v>2009</v>
      </c>
      <c r="H254" s="341" t="s">
        <v>734</v>
      </c>
      <c r="I254" s="336" t="str">
        <f t="shared" si="14"/>
        <v>Pesado de Passageiros M3: III : Gasóleo : E5</v>
      </c>
      <c r="J254" s="125">
        <v>53</v>
      </c>
      <c r="K254" s="125">
        <v>2022</v>
      </c>
      <c r="L254" s="85">
        <v>21001.829999999998</v>
      </c>
      <c r="M254" s="85" t="s">
        <v>630</v>
      </c>
      <c r="N254" s="128">
        <v>71395</v>
      </c>
      <c r="O254" s="128">
        <f t="shared" si="15"/>
        <v>3783935</v>
      </c>
      <c r="P254" s="125" t="s">
        <v>889</v>
      </c>
      <c r="Q254" s="85" t="s">
        <v>47</v>
      </c>
      <c r="R254" s="220" t="s">
        <v>1888</v>
      </c>
      <c r="S254" s="220" t="s">
        <v>1861</v>
      </c>
      <c r="T254" s="85" t="s">
        <v>1491</v>
      </c>
      <c r="U254" t="s">
        <v>1972</v>
      </c>
      <c r="V254" t="s">
        <v>2832</v>
      </c>
    </row>
    <row r="255" spans="1:22" ht="15.75" thickBot="1" x14ac:dyDescent="0.3">
      <c r="A255" s="82" t="s">
        <v>3507</v>
      </c>
      <c r="B255" s="82" t="str">
        <f t="shared" si="12"/>
        <v>Barraqueiro Transportes, S.A.</v>
      </c>
      <c r="C255" s="82" t="str">
        <f t="shared" si="13"/>
        <v>Estremadura</v>
      </c>
      <c r="D255" s="83" t="s">
        <v>629</v>
      </c>
      <c r="E255" s="91" t="s">
        <v>1853</v>
      </c>
      <c r="F255" s="124" t="s">
        <v>620</v>
      </c>
      <c r="G255" s="333">
        <v>2009</v>
      </c>
      <c r="H255" s="341" t="s">
        <v>734</v>
      </c>
      <c r="I255" s="336" t="str">
        <f t="shared" si="14"/>
        <v>Pesado de Passageiros M3: III : Gasóleo : E5</v>
      </c>
      <c r="J255" s="125">
        <v>53</v>
      </c>
      <c r="K255" s="125">
        <v>2022</v>
      </c>
      <c r="L255" s="85">
        <v>12231.150000000001</v>
      </c>
      <c r="M255" s="85" t="s">
        <v>630</v>
      </c>
      <c r="N255" s="128">
        <v>41243</v>
      </c>
      <c r="O255" s="128">
        <f t="shared" si="15"/>
        <v>2185879</v>
      </c>
      <c r="P255" s="125" t="s">
        <v>890</v>
      </c>
      <c r="Q255" s="85" t="s">
        <v>47</v>
      </c>
      <c r="R255" s="220" t="s">
        <v>1888</v>
      </c>
      <c r="S255" s="220" t="s">
        <v>1861</v>
      </c>
      <c r="T255" s="85" t="s">
        <v>1491</v>
      </c>
      <c r="U255" t="s">
        <v>1972</v>
      </c>
      <c r="V255" t="s">
        <v>2832</v>
      </c>
    </row>
    <row r="256" spans="1:22" ht="15.75" thickBot="1" x14ac:dyDescent="0.3">
      <c r="A256" s="82" t="s">
        <v>3507</v>
      </c>
      <c r="B256" s="82" t="str">
        <f t="shared" si="12"/>
        <v>Barraqueiro Transportes, S.A.</v>
      </c>
      <c r="C256" s="82" t="str">
        <f t="shared" si="13"/>
        <v>Estremadura</v>
      </c>
      <c r="D256" s="83" t="s">
        <v>629</v>
      </c>
      <c r="E256" s="91" t="s">
        <v>1853</v>
      </c>
      <c r="F256" s="124" t="s">
        <v>620</v>
      </c>
      <c r="G256" s="333">
        <v>2009</v>
      </c>
      <c r="H256" s="341" t="s">
        <v>734</v>
      </c>
      <c r="I256" s="336" t="str">
        <f t="shared" si="14"/>
        <v>Pesado de Passageiros M3: III : Gasóleo : E5</v>
      </c>
      <c r="J256" s="125">
        <v>53</v>
      </c>
      <c r="K256" s="125">
        <v>2022</v>
      </c>
      <c r="L256" s="85">
        <v>27746.19</v>
      </c>
      <c r="M256" s="85" t="s">
        <v>630</v>
      </c>
      <c r="N256" s="128">
        <v>95053</v>
      </c>
      <c r="O256" s="128">
        <f t="shared" si="15"/>
        <v>5037809</v>
      </c>
      <c r="P256" s="125" t="s">
        <v>891</v>
      </c>
      <c r="Q256" s="85" t="s">
        <v>47</v>
      </c>
      <c r="R256" s="220" t="s">
        <v>1888</v>
      </c>
      <c r="S256" s="220" t="s">
        <v>1861</v>
      </c>
      <c r="T256" s="85" t="s">
        <v>1491</v>
      </c>
      <c r="U256" t="s">
        <v>1972</v>
      </c>
      <c r="V256" t="s">
        <v>2832</v>
      </c>
    </row>
    <row r="257" spans="1:22" ht="15.75" thickBot="1" x14ac:dyDescent="0.3">
      <c r="A257" s="82" t="s">
        <v>3507</v>
      </c>
      <c r="B257" s="82" t="str">
        <f t="shared" si="12"/>
        <v>Barraqueiro Transportes, S.A.</v>
      </c>
      <c r="C257" s="82" t="str">
        <f t="shared" si="13"/>
        <v>Estremadura</v>
      </c>
      <c r="D257" s="83" t="s">
        <v>629</v>
      </c>
      <c r="E257" s="91" t="s">
        <v>1853</v>
      </c>
      <c r="F257" s="124" t="s">
        <v>620</v>
      </c>
      <c r="G257" s="333">
        <v>2009</v>
      </c>
      <c r="H257" s="341" t="s">
        <v>734</v>
      </c>
      <c r="I257" s="336" t="str">
        <f t="shared" si="14"/>
        <v>Pesado de Passageiros M3: III : Gasóleo : E5</v>
      </c>
      <c r="J257" s="125">
        <v>53</v>
      </c>
      <c r="K257" s="125">
        <v>2022</v>
      </c>
      <c r="L257" s="85">
        <v>715.03</v>
      </c>
      <c r="M257" s="85" t="s">
        <v>630</v>
      </c>
      <c r="N257" s="128">
        <v>2334</v>
      </c>
      <c r="O257" s="128">
        <f t="shared" si="15"/>
        <v>123702</v>
      </c>
      <c r="P257" s="125" t="s">
        <v>892</v>
      </c>
      <c r="Q257" s="85" t="s">
        <v>47</v>
      </c>
      <c r="R257" s="220" t="s">
        <v>1888</v>
      </c>
      <c r="S257" s="220" t="s">
        <v>1861</v>
      </c>
      <c r="T257" s="85" t="s">
        <v>1491</v>
      </c>
      <c r="U257" t="s">
        <v>1972</v>
      </c>
      <c r="V257" t="s">
        <v>2832</v>
      </c>
    </row>
    <row r="258" spans="1:22" ht="15.75" thickBot="1" x14ac:dyDescent="0.3">
      <c r="A258" s="82" t="s">
        <v>3507</v>
      </c>
      <c r="B258" s="82" t="str">
        <f t="shared" si="12"/>
        <v>Barraqueiro Transportes, S.A.</v>
      </c>
      <c r="C258" s="82" t="str">
        <f t="shared" si="13"/>
        <v>Estremadura</v>
      </c>
      <c r="D258" s="83" t="s">
        <v>629</v>
      </c>
      <c r="E258" s="91" t="s">
        <v>1853</v>
      </c>
      <c r="F258" s="124" t="s">
        <v>620</v>
      </c>
      <c r="G258" s="333">
        <v>2009</v>
      </c>
      <c r="H258" s="341" t="s">
        <v>734</v>
      </c>
      <c r="I258" s="336" t="str">
        <f t="shared" si="14"/>
        <v>Pesado de Passageiros M3: III : Gasóleo : E5</v>
      </c>
      <c r="J258" s="125">
        <v>53</v>
      </c>
      <c r="K258" s="125">
        <v>2022</v>
      </c>
      <c r="L258" s="85">
        <v>18801.990000000005</v>
      </c>
      <c r="M258" s="85" t="s">
        <v>630</v>
      </c>
      <c r="N258" s="128">
        <v>57080</v>
      </c>
      <c r="O258" s="128">
        <f t="shared" si="15"/>
        <v>3025240</v>
      </c>
      <c r="P258" s="125" t="s">
        <v>893</v>
      </c>
      <c r="Q258" s="85" t="s">
        <v>47</v>
      </c>
      <c r="R258" s="220" t="s">
        <v>1888</v>
      </c>
      <c r="S258" s="220" t="s">
        <v>1861</v>
      </c>
      <c r="T258" s="85" t="s">
        <v>1491</v>
      </c>
      <c r="U258" t="s">
        <v>1972</v>
      </c>
      <c r="V258" t="s">
        <v>2832</v>
      </c>
    </row>
    <row r="259" spans="1:22" ht="15.75" thickBot="1" x14ac:dyDescent="0.3">
      <c r="A259" s="82" t="s">
        <v>3507</v>
      </c>
      <c r="B259" s="82" t="str">
        <f t="shared" ref="B259:B322" si="16">LEFT(A259,IFERROR(FIND(" - ",A259)-1,LEN(A259)))</f>
        <v>Barraqueiro Transportes, S.A.</v>
      </c>
      <c r="C259" s="82" t="str">
        <f t="shared" si="13"/>
        <v>Estremadura</v>
      </c>
      <c r="D259" s="83" t="s">
        <v>629</v>
      </c>
      <c r="E259" s="91" t="s">
        <v>1853</v>
      </c>
      <c r="F259" s="124" t="s">
        <v>620</v>
      </c>
      <c r="G259" s="333">
        <v>2009</v>
      </c>
      <c r="H259" s="341" t="s">
        <v>734</v>
      </c>
      <c r="I259" s="336" t="str">
        <f t="shared" si="14"/>
        <v>Pesado de Passageiros M3: III : Gasóleo : E5</v>
      </c>
      <c r="J259" s="125">
        <v>53</v>
      </c>
      <c r="K259" s="125">
        <v>2022</v>
      </c>
      <c r="L259" s="85">
        <v>26092.83</v>
      </c>
      <c r="M259" s="85" t="s">
        <v>630</v>
      </c>
      <c r="N259" s="128">
        <v>80002</v>
      </c>
      <c r="O259" s="128">
        <f t="shared" si="15"/>
        <v>4240106</v>
      </c>
      <c r="P259" s="125" t="s">
        <v>894</v>
      </c>
      <c r="Q259" s="85" t="s">
        <v>47</v>
      </c>
      <c r="R259" s="220" t="s">
        <v>1888</v>
      </c>
      <c r="S259" s="220" t="s">
        <v>1861</v>
      </c>
      <c r="T259" s="85" t="s">
        <v>1491</v>
      </c>
      <c r="U259" t="s">
        <v>1972</v>
      </c>
      <c r="V259" t="s">
        <v>2832</v>
      </c>
    </row>
    <row r="260" spans="1:22" ht="15.75" thickBot="1" x14ac:dyDescent="0.3">
      <c r="A260" s="82" t="s">
        <v>3507</v>
      </c>
      <c r="B260" s="82" t="str">
        <f t="shared" si="16"/>
        <v>Barraqueiro Transportes, S.A.</v>
      </c>
      <c r="C260" s="82" t="str">
        <f t="shared" ref="C260:C323" si="17">IF(A260=B260,B260,RIGHT(A260,LEN(A260)-LEN(B260)-3))</f>
        <v>Estremadura</v>
      </c>
      <c r="D260" s="83" t="s">
        <v>629</v>
      </c>
      <c r="E260" s="91" t="s">
        <v>1853</v>
      </c>
      <c r="F260" s="124" t="s">
        <v>620</v>
      </c>
      <c r="G260" s="333">
        <v>2009</v>
      </c>
      <c r="H260" s="341" t="s">
        <v>734</v>
      </c>
      <c r="I260" s="336" t="str">
        <f t="shared" ref="I260:I323" si="18">D260&amp;": "&amp;E260&amp;" : "&amp;F260&amp;" : "&amp;H260</f>
        <v>Pesado de Passageiros M3: III : Gasóleo : E5</v>
      </c>
      <c r="J260" s="125">
        <v>53</v>
      </c>
      <c r="K260" s="125">
        <v>2022</v>
      </c>
      <c r="L260" s="85">
        <v>21195.390000000003</v>
      </c>
      <c r="M260" s="85" t="s">
        <v>630</v>
      </c>
      <c r="N260" s="128">
        <v>65608</v>
      </c>
      <c r="O260" s="128">
        <f t="shared" ref="O260:O323" si="19">N260*J260</f>
        <v>3477224</v>
      </c>
      <c r="P260" s="125" t="s">
        <v>895</v>
      </c>
      <c r="Q260" s="85" t="s">
        <v>47</v>
      </c>
      <c r="R260" s="220" t="s">
        <v>1888</v>
      </c>
      <c r="S260" s="220" t="s">
        <v>1861</v>
      </c>
      <c r="T260" s="85" t="s">
        <v>1491</v>
      </c>
      <c r="U260" t="s">
        <v>1972</v>
      </c>
      <c r="V260" t="s">
        <v>2832</v>
      </c>
    </row>
    <row r="261" spans="1:22" ht="15.75" thickBot="1" x14ac:dyDescent="0.3">
      <c r="A261" s="82" t="s">
        <v>3507</v>
      </c>
      <c r="B261" s="82" t="str">
        <f t="shared" si="16"/>
        <v>Barraqueiro Transportes, S.A.</v>
      </c>
      <c r="C261" s="82" t="str">
        <f t="shared" si="17"/>
        <v>Estremadura</v>
      </c>
      <c r="D261" s="83" t="s">
        <v>629</v>
      </c>
      <c r="E261" s="91" t="s">
        <v>1853</v>
      </c>
      <c r="F261" s="124" t="s">
        <v>620</v>
      </c>
      <c r="G261" s="333">
        <v>2009</v>
      </c>
      <c r="H261" s="341" t="s">
        <v>734</v>
      </c>
      <c r="I261" s="336" t="str">
        <f t="shared" si="18"/>
        <v>Pesado de Passageiros M3: III : Gasóleo : E5</v>
      </c>
      <c r="J261" s="125">
        <v>53</v>
      </c>
      <c r="K261" s="125">
        <v>2022</v>
      </c>
      <c r="L261" s="85">
        <v>18345.189999999999</v>
      </c>
      <c r="M261" s="85" t="s">
        <v>630</v>
      </c>
      <c r="N261" s="128">
        <v>56274</v>
      </c>
      <c r="O261" s="128">
        <f t="shared" si="19"/>
        <v>2982522</v>
      </c>
      <c r="P261" s="125" t="s">
        <v>896</v>
      </c>
      <c r="Q261" s="85" t="s">
        <v>47</v>
      </c>
      <c r="R261" s="220" t="s">
        <v>1888</v>
      </c>
      <c r="S261" s="220" t="s">
        <v>1861</v>
      </c>
      <c r="T261" s="85" t="s">
        <v>1491</v>
      </c>
      <c r="U261" t="s">
        <v>1972</v>
      </c>
      <c r="V261" t="s">
        <v>2832</v>
      </c>
    </row>
    <row r="262" spans="1:22" ht="15.75" thickBot="1" x14ac:dyDescent="0.3">
      <c r="A262" s="82" t="s">
        <v>3507</v>
      </c>
      <c r="B262" s="82" t="str">
        <f t="shared" si="16"/>
        <v>Barraqueiro Transportes, S.A.</v>
      </c>
      <c r="C262" s="82" t="str">
        <f t="shared" si="17"/>
        <v>Estremadura</v>
      </c>
      <c r="D262" s="83" t="s">
        <v>629</v>
      </c>
      <c r="E262" s="91" t="s">
        <v>1853</v>
      </c>
      <c r="F262" s="124" t="s">
        <v>620</v>
      </c>
      <c r="G262" s="333">
        <v>2009</v>
      </c>
      <c r="H262" s="341" t="s">
        <v>734</v>
      </c>
      <c r="I262" s="336" t="str">
        <f t="shared" si="18"/>
        <v>Pesado de Passageiros M3: III : Gasóleo : E5</v>
      </c>
      <c r="J262" s="125">
        <v>25</v>
      </c>
      <c r="K262" s="125">
        <v>2022</v>
      </c>
      <c r="L262" s="85">
        <v>0</v>
      </c>
      <c r="M262" s="85" t="s">
        <v>630</v>
      </c>
      <c r="N262" s="128">
        <v>0</v>
      </c>
      <c r="O262" s="128">
        <f t="shared" si="19"/>
        <v>0</v>
      </c>
      <c r="P262" s="125" t="s">
        <v>897</v>
      </c>
      <c r="Q262" s="85" t="s">
        <v>47</v>
      </c>
      <c r="R262" s="220" t="s">
        <v>1888</v>
      </c>
      <c r="S262" s="220" t="s">
        <v>1861</v>
      </c>
      <c r="T262" s="85" t="s">
        <v>1491</v>
      </c>
      <c r="U262" t="s">
        <v>1972</v>
      </c>
      <c r="V262" t="s">
        <v>2832</v>
      </c>
    </row>
    <row r="263" spans="1:22" ht="15.75" thickBot="1" x14ac:dyDescent="0.3">
      <c r="A263" s="82" t="s">
        <v>3507</v>
      </c>
      <c r="B263" s="82" t="str">
        <f t="shared" si="16"/>
        <v>Barraqueiro Transportes, S.A.</v>
      </c>
      <c r="C263" s="82" t="str">
        <f t="shared" si="17"/>
        <v>Estremadura</v>
      </c>
      <c r="D263" s="83" t="s">
        <v>629</v>
      </c>
      <c r="E263" s="91" t="s">
        <v>1853</v>
      </c>
      <c r="F263" s="124" t="s">
        <v>620</v>
      </c>
      <c r="G263" s="333">
        <v>2010</v>
      </c>
      <c r="H263" s="341" t="s">
        <v>734</v>
      </c>
      <c r="I263" s="336" t="str">
        <f t="shared" si="18"/>
        <v>Pesado de Passageiros M3: III : Gasóleo : E5</v>
      </c>
      <c r="J263" s="125">
        <v>53</v>
      </c>
      <c r="K263" s="125">
        <v>2022</v>
      </c>
      <c r="L263" s="85">
        <v>29419.870000000003</v>
      </c>
      <c r="M263" s="85" t="s">
        <v>630</v>
      </c>
      <c r="N263" s="128">
        <v>99900</v>
      </c>
      <c r="O263" s="128">
        <f t="shared" si="19"/>
        <v>5294700</v>
      </c>
      <c r="P263" s="125" t="s">
        <v>898</v>
      </c>
      <c r="Q263" s="85" t="s">
        <v>47</v>
      </c>
      <c r="R263" s="220" t="s">
        <v>1888</v>
      </c>
      <c r="S263" s="220" t="s">
        <v>1861</v>
      </c>
      <c r="T263" s="85" t="s">
        <v>1491</v>
      </c>
      <c r="U263" t="s">
        <v>1972</v>
      </c>
      <c r="V263" t="s">
        <v>2832</v>
      </c>
    </row>
    <row r="264" spans="1:22" ht="15.75" thickBot="1" x14ac:dyDescent="0.3">
      <c r="A264" s="82" t="s">
        <v>3507</v>
      </c>
      <c r="B264" s="82" t="str">
        <f t="shared" si="16"/>
        <v>Barraqueiro Transportes, S.A.</v>
      </c>
      <c r="C264" s="82" t="str">
        <f t="shared" si="17"/>
        <v>Estremadura</v>
      </c>
      <c r="D264" s="83" t="s">
        <v>629</v>
      </c>
      <c r="E264" s="91" t="s">
        <v>1853</v>
      </c>
      <c r="F264" s="124" t="s">
        <v>620</v>
      </c>
      <c r="G264" s="333">
        <v>2016</v>
      </c>
      <c r="H264" s="341" t="s">
        <v>733</v>
      </c>
      <c r="I264" s="336" t="str">
        <f t="shared" si="18"/>
        <v>Pesado de Passageiros M3: III : Gasóleo : E6</v>
      </c>
      <c r="J264" s="125">
        <v>53</v>
      </c>
      <c r="K264" s="125">
        <v>2022</v>
      </c>
      <c r="L264" s="85">
        <v>27604.68</v>
      </c>
      <c r="M264" s="85" t="s">
        <v>630</v>
      </c>
      <c r="N264" s="128">
        <v>100322</v>
      </c>
      <c r="O264" s="128">
        <f t="shared" si="19"/>
        <v>5317066</v>
      </c>
      <c r="P264" s="125" t="s">
        <v>899</v>
      </c>
      <c r="Q264" s="85" t="s">
        <v>47</v>
      </c>
      <c r="R264" s="220" t="s">
        <v>1888</v>
      </c>
      <c r="S264" s="220" t="s">
        <v>1861</v>
      </c>
      <c r="T264" s="85" t="s">
        <v>1491</v>
      </c>
      <c r="U264" t="s">
        <v>1972</v>
      </c>
      <c r="V264" t="s">
        <v>2832</v>
      </c>
    </row>
    <row r="265" spans="1:22" ht="15.75" thickBot="1" x14ac:dyDescent="0.3">
      <c r="A265" s="82" t="s">
        <v>3507</v>
      </c>
      <c r="B265" s="82" t="str">
        <f t="shared" si="16"/>
        <v>Barraqueiro Transportes, S.A.</v>
      </c>
      <c r="C265" s="82" t="str">
        <f t="shared" si="17"/>
        <v>Estremadura</v>
      </c>
      <c r="D265" s="83" t="s">
        <v>629</v>
      </c>
      <c r="E265" s="91" t="s">
        <v>1853</v>
      </c>
      <c r="F265" s="124" t="s">
        <v>620</v>
      </c>
      <c r="G265" s="333">
        <v>2016</v>
      </c>
      <c r="H265" s="341" t="s">
        <v>733</v>
      </c>
      <c r="I265" s="336" t="str">
        <f t="shared" si="18"/>
        <v>Pesado de Passageiros M3: III : Gasóleo : E6</v>
      </c>
      <c r="J265" s="125">
        <v>53</v>
      </c>
      <c r="K265" s="125">
        <v>2022</v>
      </c>
      <c r="L265" s="85">
        <v>35040.909999999996</v>
      </c>
      <c r="M265" s="85" t="s">
        <v>630</v>
      </c>
      <c r="N265" s="128">
        <v>123555</v>
      </c>
      <c r="O265" s="128">
        <f t="shared" si="19"/>
        <v>6548415</v>
      </c>
      <c r="P265" s="125" t="s">
        <v>900</v>
      </c>
      <c r="Q265" s="85" t="s">
        <v>47</v>
      </c>
      <c r="R265" s="220" t="s">
        <v>1888</v>
      </c>
      <c r="S265" s="220" t="s">
        <v>1861</v>
      </c>
      <c r="T265" s="85" t="s">
        <v>1491</v>
      </c>
      <c r="U265" t="s">
        <v>1972</v>
      </c>
      <c r="V265" t="s">
        <v>2832</v>
      </c>
    </row>
    <row r="266" spans="1:22" ht="15.75" thickBot="1" x14ac:dyDescent="0.3">
      <c r="A266" s="82" t="s">
        <v>3507</v>
      </c>
      <c r="B266" s="82" t="str">
        <f t="shared" si="16"/>
        <v>Barraqueiro Transportes, S.A.</v>
      </c>
      <c r="C266" s="82" t="str">
        <f t="shared" si="17"/>
        <v>Estremadura</v>
      </c>
      <c r="D266" s="83" t="s">
        <v>629</v>
      </c>
      <c r="E266" s="91" t="s">
        <v>1853</v>
      </c>
      <c r="F266" s="124" t="s">
        <v>620</v>
      </c>
      <c r="G266" s="333">
        <v>2016</v>
      </c>
      <c r="H266" s="341" t="s">
        <v>733</v>
      </c>
      <c r="I266" s="336" t="str">
        <f t="shared" si="18"/>
        <v>Pesado de Passageiros M3: III : Gasóleo : E6</v>
      </c>
      <c r="J266" s="125">
        <v>53</v>
      </c>
      <c r="K266" s="125">
        <v>2022</v>
      </c>
      <c r="L266" s="85">
        <v>34558.770000000004</v>
      </c>
      <c r="M266" s="85" t="s">
        <v>630</v>
      </c>
      <c r="N266" s="128">
        <v>126205</v>
      </c>
      <c r="O266" s="128">
        <f t="shared" si="19"/>
        <v>6688865</v>
      </c>
      <c r="P266" s="125" t="s">
        <v>901</v>
      </c>
      <c r="Q266" s="85" t="s">
        <v>47</v>
      </c>
      <c r="R266" s="220" t="s">
        <v>1888</v>
      </c>
      <c r="S266" s="220" t="s">
        <v>1861</v>
      </c>
      <c r="T266" s="85" t="s">
        <v>1491</v>
      </c>
      <c r="U266" t="s">
        <v>1972</v>
      </c>
      <c r="V266" t="s">
        <v>2832</v>
      </c>
    </row>
    <row r="267" spans="1:22" ht="15.75" thickBot="1" x14ac:dyDescent="0.3">
      <c r="A267" s="82" t="s">
        <v>3507</v>
      </c>
      <c r="B267" s="82" t="str">
        <f t="shared" si="16"/>
        <v>Barraqueiro Transportes, S.A.</v>
      </c>
      <c r="C267" s="82" t="str">
        <f t="shared" si="17"/>
        <v>Estremadura</v>
      </c>
      <c r="D267" s="83" t="s">
        <v>629</v>
      </c>
      <c r="E267" s="91" t="s">
        <v>1853</v>
      </c>
      <c r="F267" s="124" t="s">
        <v>620</v>
      </c>
      <c r="G267" s="333">
        <v>2016</v>
      </c>
      <c r="H267" s="341" t="s">
        <v>733</v>
      </c>
      <c r="I267" s="336" t="str">
        <f t="shared" si="18"/>
        <v>Pesado de Passageiros M3: III : Gasóleo : E6</v>
      </c>
      <c r="J267" s="125">
        <v>53</v>
      </c>
      <c r="K267" s="125">
        <v>2022</v>
      </c>
      <c r="L267" s="85">
        <v>35617.640000000007</v>
      </c>
      <c r="M267" s="85" t="s">
        <v>630</v>
      </c>
      <c r="N267" s="128">
        <v>130238</v>
      </c>
      <c r="O267" s="128">
        <f t="shared" si="19"/>
        <v>6902614</v>
      </c>
      <c r="P267" s="125" t="s">
        <v>902</v>
      </c>
      <c r="Q267" s="85" t="s">
        <v>47</v>
      </c>
      <c r="R267" s="220" t="s">
        <v>1888</v>
      </c>
      <c r="S267" s="220" t="s">
        <v>1861</v>
      </c>
      <c r="T267" s="85" t="s">
        <v>1491</v>
      </c>
      <c r="U267" t="s">
        <v>1972</v>
      </c>
      <c r="V267" t="s">
        <v>2832</v>
      </c>
    </row>
    <row r="268" spans="1:22" ht="15.75" thickBot="1" x14ac:dyDescent="0.3">
      <c r="A268" s="82" t="s">
        <v>3507</v>
      </c>
      <c r="B268" s="82" t="str">
        <f t="shared" si="16"/>
        <v>Barraqueiro Transportes, S.A.</v>
      </c>
      <c r="C268" s="82" t="str">
        <f t="shared" si="17"/>
        <v>Estremadura</v>
      </c>
      <c r="D268" s="83" t="s">
        <v>629</v>
      </c>
      <c r="E268" s="91" t="s">
        <v>1853</v>
      </c>
      <c r="F268" s="124" t="s">
        <v>620</v>
      </c>
      <c r="G268" s="333">
        <v>2016</v>
      </c>
      <c r="H268" s="341" t="s">
        <v>733</v>
      </c>
      <c r="I268" s="336" t="str">
        <f t="shared" si="18"/>
        <v>Pesado de Passageiros M3: III : Gasóleo : E6</v>
      </c>
      <c r="J268" s="125">
        <v>63</v>
      </c>
      <c r="K268" s="125">
        <v>2022</v>
      </c>
      <c r="L268" s="85">
        <v>59307.360000000008</v>
      </c>
      <c r="M268" s="85" t="s">
        <v>630</v>
      </c>
      <c r="N268" s="128">
        <v>206306</v>
      </c>
      <c r="O268" s="128">
        <f t="shared" si="19"/>
        <v>12997278</v>
      </c>
      <c r="P268" s="125" t="s">
        <v>903</v>
      </c>
      <c r="Q268" s="85" t="s">
        <v>47</v>
      </c>
      <c r="R268" s="220" t="s">
        <v>1888</v>
      </c>
      <c r="S268" s="220" t="s">
        <v>1861</v>
      </c>
      <c r="T268" s="85" t="s">
        <v>1491</v>
      </c>
      <c r="U268" t="s">
        <v>1972</v>
      </c>
      <c r="V268" t="s">
        <v>2832</v>
      </c>
    </row>
    <row r="269" spans="1:22" ht="15.75" thickBot="1" x14ac:dyDescent="0.3">
      <c r="A269" s="82" t="s">
        <v>3507</v>
      </c>
      <c r="B269" s="82" t="str">
        <f t="shared" si="16"/>
        <v>Barraqueiro Transportes, S.A.</v>
      </c>
      <c r="C269" s="82" t="str">
        <f t="shared" si="17"/>
        <v>Estremadura</v>
      </c>
      <c r="D269" s="83" t="s">
        <v>629</v>
      </c>
      <c r="E269" s="91" t="s">
        <v>1853</v>
      </c>
      <c r="F269" s="124" t="s">
        <v>620</v>
      </c>
      <c r="G269" s="333">
        <v>2016</v>
      </c>
      <c r="H269" s="341" t="s">
        <v>733</v>
      </c>
      <c r="I269" s="336" t="str">
        <f t="shared" si="18"/>
        <v>Pesado de Passageiros M3: III : Gasóleo : E6</v>
      </c>
      <c r="J269" s="125">
        <v>63</v>
      </c>
      <c r="K269" s="125">
        <v>2022</v>
      </c>
      <c r="L269" s="85">
        <v>69130.320000000007</v>
      </c>
      <c r="M269" s="85" t="s">
        <v>630</v>
      </c>
      <c r="N269" s="128">
        <v>228726</v>
      </c>
      <c r="O269" s="128">
        <f t="shared" si="19"/>
        <v>14409738</v>
      </c>
      <c r="P269" s="125" t="s">
        <v>904</v>
      </c>
      <c r="Q269" s="85" t="s">
        <v>47</v>
      </c>
      <c r="R269" s="220" t="s">
        <v>1888</v>
      </c>
      <c r="S269" s="220" t="s">
        <v>1861</v>
      </c>
      <c r="T269" s="85" t="s">
        <v>1491</v>
      </c>
      <c r="U269" t="s">
        <v>1972</v>
      </c>
      <c r="V269" t="s">
        <v>2832</v>
      </c>
    </row>
    <row r="270" spans="1:22" ht="15.75" thickBot="1" x14ac:dyDescent="0.3">
      <c r="A270" s="82" t="s">
        <v>3507</v>
      </c>
      <c r="B270" s="82" t="str">
        <f t="shared" si="16"/>
        <v>Barraqueiro Transportes, S.A.</v>
      </c>
      <c r="C270" s="82" t="str">
        <f t="shared" si="17"/>
        <v>Estremadura</v>
      </c>
      <c r="D270" s="83" t="s">
        <v>629</v>
      </c>
      <c r="E270" s="91" t="s">
        <v>1853</v>
      </c>
      <c r="F270" s="124" t="s">
        <v>620</v>
      </c>
      <c r="G270" s="333">
        <v>2016</v>
      </c>
      <c r="H270" s="341" t="s">
        <v>733</v>
      </c>
      <c r="I270" s="336" t="str">
        <f t="shared" si="18"/>
        <v>Pesado de Passageiros M3: III : Gasóleo : E6</v>
      </c>
      <c r="J270" s="125">
        <v>19</v>
      </c>
      <c r="K270" s="125">
        <v>2022</v>
      </c>
      <c r="L270" s="85">
        <v>3892.47</v>
      </c>
      <c r="M270" s="85" t="s">
        <v>630</v>
      </c>
      <c r="N270" s="128">
        <v>21125</v>
      </c>
      <c r="O270" s="128">
        <f t="shared" si="19"/>
        <v>401375</v>
      </c>
      <c r="P270" s="125" t="s">
        <v>905</v>
      </c>
      <c r="Q270" s="85" t="s">
        <v>47</v>
      </c>
      <c r="R270" s="220" t="s">
        <v>1888</v>
      </c>
      <c r="S270" s="220" t="s">
        <v>1861</v>
      </c>
      <c r="T270" s="85" t="s">
        <v>1491</v>
      </c>
      <c r="U270" t="s">
        <v>1972</v>
      </c>
      <c r="V270" t="s">
        <v>2832</v>
      </c>
    </row>
    <row r="271" spans="1:22" ht="15.75" thickBot="1" x14ac:dyDescent="0.3">
      <c r="A271" s="82" t="s">
        <v>3507</v>
      </c>
      <c r="B271" s="82" t="str">
        <f t="shared" si="16"/>
        <v>Barraqueiro Transportes, S.A.</v>
      </c>
      <c r="C271" s="82" t="str">
        <f t="shared" si="17"/>
        <v>Estremadura</v>
      </c>
      <c r="D271" s="83" t="s">
        <v>629</v>
      </c>
      <c r="E271" s="91" t="s">
        <v>1853</v>
      </c>
      <c r="F271" s="124" t="s">
        <v>620</v>
      </c>
      <c r="G271" s="333">
        <v>2016</v>
      </c>
      <c r="H271" s="341" t="s">
        <v>733</v>
      </c>
      <c r="I271" s="336" t="str">
        <f t="shared" si="18"/>
        <v>Pesado de Passageiros M3: III : Gasóleo : E6</v>
      </c>
      <c r="J271" s="125">
        <v>40</v>
      </c>
      <c r="K271" s="125">
        <v>2022</v>
      </c>
      <c r="L271" s="85">
        <v>6581.4</v>
      </c>
      <c r="M271" s="85" t="s">
        <v>630</v>
      </c>
      <c r="N271" s="128">
        <v>21075</v>
      </c>
      <c r="O271" s="128">
        <f t="shared" si="19"/>
        <v>843000</v>
      </c>
      <c r="P271" s="125" t="s">
        <v>906</v>
      </c>
      <c r="Q271" s="85" t="s">
        <v>47</v>
      </c>
      <c r="R271" s="220" t="s">
        <v>1888</v>
      </c>
      <c r="S271" s="220" t="s">
        <v>1861</v>
      </c>
      <c r="T271" s="85" t="s">
        <v>1491</v>
      </c>
      <c r="U271" t="s">
        <v>1972</v>
      </c>
      <c r="V271" t="s">
        <v>2832</v>
      </c>
    </row>
    <row r="272" spans="1:22" ht="15.75" thickBot="1" x14ac:dyDescent="0.3">
      <c r="A272" s="82" t="s">
        <v>3507</v>
      </c>
      <c r="B272" s="82" t="str">
        <f t="shared" si="16"/>
        <v>Barraqueiro Transportes, S.A.</v>
      </c>
      <c r="C272" s="82" t="str">
        <f t="shared" si="17"/>
        <v>Estremadura</v>
      </c>
      <c r="D272" s="83" t="s">
        <v>629</v>
      </c>
      <c r="E272" s="91" t="s">
        <v>1853</v>
      </c>
      <c r="F272" s="124" t="s">
        <v>620</v>
      </c>
      <c r="G272" s="333">
        <v>2016</v>
      </c>
      <c r="H272" s="341" t="s">
        <v>733</v>
      </c>
      <c r="I272" s="336" t="str">
        <f t="shared" si="18"/>
        <v>Pesado de Passageiros M3: III : Gasóleo : E6</v>
      </c>
      <c r="J272" s="125">
        <v>40</v>
      </c>
      <c r="K272" s="125">
        <v>2022</v>
      </c>
      <c r="L272" s="85">
        <v>5522.1900000000005</v>
      </c>
      <c r="M272" s="85" t="s">
        <v>630</v>
      </c>
      <c r="N272" s="128">
        <v>17307</v>
      </c>
      <c r="O272" s="128">
        <f t="shared" si="19"/>
        <v>692280</v>
      </c>
      <c r="P272" s="125" t="s">
        <v>907</v>
      </c>
      <c r="Q272" s="85" t="s">
        <v>47</v>
      </c>
      <c r="R272" s="220" t="s">
        <v>1888</v>
      </c>
      <c r="S272" s="220" t="s">
        <v>1861</v>
      </c>
      <c r="T272" s="85" t="s">
        <v>1491</v>
      </c>
      <c r="U272" t="s">
        <v>1972</v>
      </c>
      <c r="V272" t="s">
        <v>2832</v>
      </c>
    </row>
    <row r="273" spans="1:22" ht="15.75" thickBot="1" x14ac:dyDescent="0.3">
      <c r="A273" s="82" t="s">
        <v>3507</v>
      </c>
      <c r="B273" s="82" t="str">
        <f t="shared" si="16"/>
        <v>Barraqueiro Transportes, S.A.</v>
      </c>
      <c r="C273" s="82" t="str">
        <f t="shared" si="17"/>
        <v>Estremadura</v>
      </c>
      <c r="D273" s="83" t="s">
        <v>629</v>
      </c>
      <c r="E273" s="91" t="s">
        <v>1853</v>
      </c>
      <c r="F273" s="124" t="s">
        <v>620</v>
      </c>
      <c r="G273" s="333">
        <v>2016</v>
      </c>
      <c r="H273" s="341" t="s">
        <v>733</v>
      </c>
      <c r="I273" s="336" t="str">
        <f t="shared" si="18"/>
        <v>Pesado de Passageiros M3: III : Gasóleo : E6</v>
      </c>
      <c r="J273" s="125">
        <v>31</v>
      </c>
      <c r="K273" s="125">
        <v>2022</v>
      </c>
      <c r="L273" s="85">
        <v>2913.13</v>
      </c>
      <c r="M273" s="85" t="s">
        <v>630</v>
      </c>
      <c r="N273" s="128">
        <v>9172</v>
      </c>
      <c r="O273" s="128">
        <f t="shared" si="19"/>
        <v>284332</v>
      </c>
      <c r="P273" s="125" t="s">
        <v>908</v>
      </c>
      <c r="Q273" s="85" t="s">
        <v>47</v>
      </c>
      <c r="R273" s="220" t="s">
        <v>1888</v>
      </c>
      <c r="S273" s="220" t="s">
        <v>1861</v>
      </c>
      <c r="T273" s="85" t="s">
        <v>1491</v>
      </c>
      <c r="U273" t="s">
        <v>1972</v>
      </c>
      <c r="V273" t="s">
        <v>2832</v>
      </c>
    </row>
    <row r="274" spans="1:22" ht="15.75" thickBot="1" x14ac:dyDescent="0.3">
      <c r="A274" s="82" t="s">
        <v>3507</v>
      </c>
      <c r="B274" s="82" t="str">
        <f t="shared" si="16"/>
        <v>Barraqueiro Transportes, S.A.</v>
      </c>
      <c r="C274" s="82" t="str">
        <f t="shared" si="17"/>
        <v>Estremadura</v>
      </c>
      <c r="D274" s="83" t="s">
        <v>629</v>
      </c>
      <c r="E274" s="91" t="s">
        <v>1853</v>
      </c>
      <c r="F274" s="124" t="s">
        <v>620</v>
      </c>
      <c r="G274" s="333">
        <v>2016</v>
      </c>
      <c r="H274" s="341" t="s">
        <v>733</v>
      </c>
      <c r="I274" s="336" t="str">
        <f t="shared" si="18"/>
        <v>Pesado de Passageiros M3: III : Gasóleo : E6</v>
      </c>
      <c r="J274" s="125">
        <v>31</v>
      </c>
      <c r="K274" s="125">
        <v>2022</v>
      </c>
      <c r="L274" s="85">
        <v>2328.1</v>
      </c>
      <c r="M274" s="85" t="s">
        <v>630</v>
      </c>
      <c r="N274" s="128">
        <v>7383</v>
      </c>
      <c r="O274" s="128">
        <f t="shared" si="19"/>
        <v>228873</v>
      </c>
      <c r="P274" s="125" t="s">
        <v>909</v>
      </c>
      <c r="Q274" s="85" t="s">
        <v>47</v>
      </c>
      <c r="R274" s="220" t="s">
        <v>1888</v>
      </c>
      <c r="S274" s="220" t="s">
        <v>1861</v>
      </c>
      <c r="T274" s="85" t="s">
        <v>1491</v>
      </c>
      <c r="U274" t="s">
        <v>1972</v>
      </c>
      <c r="V274" t="s">
        <v>2832</v>
      </c>
    </row>
    <row r="275" spans="1:22" ht="15.75" thickBot="1" x14ac:dyDescent="0.3">
      <c r="A275" s="82" t="s">
        <v>3507</v>
      </c>
      <c r="B275" s="82" t="str">
        <f t="shared" si="16"/>
        <v>Barraqueiro Transportes, S.A.</v>
      </c>
      <c r="C275" s="82" t="str">
        <f t="shared" si="17"/>
        <v>Estremadura</v>
      </c>
      <c r="D275" s="83" t="s">
        <v>629</v>
      </c>
      <c r="E275" s="91" t="s">
        <v>1853</v>
      </c>
      <c r="F275" s="124" t="s">
        <v>620</v>
      </c>
      <c r="G275" s="333">
        <v>2012</v>
      </c>
      <c r="H275" s="341" t="s">
        <v>734</v>
      </c>
      <c r="I275" s="336" t="str">
        <f t="shared" si="18"/>
        <v>Pesado de Passageiros M3: III : Gasóleo : E5</v>
      </c>
      <c r="J275" s="125">
        <v>63</v>
      </c>
      <c r="K275" s="125">
        <v>2022</v>
      </c>
      <c r="L275" s="85">
        <v>42370.46</v>
      </c>
      <c r="M275" s="85" t="s">
        <v>630</v>
      </c>
      <c r="N275" s="128">
        <v>138955</v>
      </c>
      <c r="O275" s="128">
        <f t="shared" si="19"/>
        <v>8754165</v>
      </c>
      <c r="P275" s="125" t="s">
        <v>910</v>
      </c>
      <c r="Q275" s="85" t="s">
        <v>47</v>
      </c>
      <c r="R275" s="220" t="s">
        <v>1888</v>
      </c>
      <c r="S275" s="220" t="s">
        <v>1861</v>
      </c>
      <c r="T275" s="85" t="s">
        <v>1491</v>
      </c>
      <c r="U275" t="s">
        <v>1972</v>
      </c>
      <c r="V275" t="s">
        <v>2832</v>
      </c>
    </row>
    <row r="276" spans="1:22" ht="15.75" thickBot="1" x14ac:dyDescent="0.3">
      <c r="A276" s="82" t="s">
        <v>3507</v>
      </c>
      <c r="B276" s="82" t="str">
        <f t="shared" si="16"/>
        <v>Barraqueiro Transportes, S.A.</v>
      </c>
      <c r="C276" s="82" t="str">
        <f t="shared" si="17"/>
        <v>Estremadura</v>
      </c>
      <c r="D276" s="83" t="s">
        <v>629</v>
      </c>
      <c r="E276" s="91" t="s">
        <v>1853</v>
      </c>
      <c r="F276" s="124" t="s">
        <v>620</v>
      </c>
      <c r="G276" s="333">
        <v>2012</v>
      </c>
      <c r="H276" s="341" t="s">
        <v>734</v>
      </c>
      <c r="I276" s="336" t="str">
        <f t="shared" si="18"/>
        <v>Pesado de Passageiros M3: III : Gasóleo : E5</v>
      </c>
      <c r="J276" s="125">
        <v>34</v>
      </c>
      <c r="K276" s="125">
        <v>2022</v>
      </c>
      <c r="L276" s="85">
        <v>7237.6859999999997</v>
      </c>
      <c r="M276" s="85" t="s">
        <v>630</v>
      </c>
      <c r="N276" s="128">
        <v>24977</v>
      </c>
      <c r="O276" s="128">
        <f t="shared" si="19"/>
        <v>849218</v>
      </c>
      <c r="P276" s="125" t="s">
        <v>911</v>
      </c>
      <c r="Q276" s="85" t="s">
        <v>47</v>
      </c>
      <c r="R276" s="220" t="s">
        <v>1888</v>
      </c>
      <c r="S276" s="220" t="s">
        <v>1861</v>
      </c>
      <c r="T276" s="85" t="s">
        <v>1491</v>
      </c>
      <c r="U276" t="s">
        <v>1972</v>
      </c>
      <c r="V276" t="s">
        <v>2832</v>
      </c>
    </row>
    <row r="277" spans="1:22" ht="15.75" thickBot="1" x14ac:dyDescent="0.3">
      <c r="A277" s="82" t="s">
        <v>3507</v>
      </c>
      <c r="B277" s="82" t="str">
        <f t="shared" si="16"/>
        <v>Barraqueiro Transportes, S.A.</v>
      </c>
      <c r="C277" s="82" t="str">
        <f t="shared" si="17"/>
        <v>Estremadura</v>
      </c>
      <c r="D277" s="83" t="s">
        <v>629</v>
      </c>
      <c r="E277" s="91" t="s">
        <v>1853</v>
      </c>
      <c r="F277" s="124" t="s">
        <v>620</v>
      </c>
      <c r="G277" s="333">
        <v>2012</v>
      </c>
      <c r="H277" s="341" t="s">
        <v>734</v>
      </c>
      <c r="I277" s="336" t="str">
        <f t="shared" si="18"/>
        <v>Pesado de Passageiros M3: III : Gasóleo : E5</v>
      </c>
      <c r="J277" s="125">
        <v>27</v>
      </c>
      <c r="K277" s="125">
        <v>2022</v>
      </c>
      <c r="L277" s="85">
        <v>2541.8700000000003</v>
      </c>
      <c r="M277" s="85" t="s">
        <v>630</v>
      </c>
      <c r="N277" s="128">
        <v>11979</v>
      </c>
      <c r="O277" s="128">
        <f t="shared" si="19"/>
        <v>323433</v>
      </c>
      <c r="P277" s="125" t="s">
        <v>912</v>
      </c>
      <c r="Q277" s="85" t="s">
        <v>47</v>
      </c>
      <c r="R277" s="220" t="s">
        <v>1888</v>
      </c>
      <c r="S277" s="220" t="s">
        <v>1861</v>
      </c>
      <c r="T277" s="85" t="s">
        <v>1491</v>
      </c>
      <c r="U277" t="s">
        <v>1972</v>
      </c>
      <c r="V277" t="s">
        <v>2832</v>
      </c>
    </row>
    <row r="278" spans="1:22" ht="15.75" thickBot="1" x14ac:dyDescent="0.3">
      <c r="A278" s="82" t="s">
        <v>3507</v>
      </c>
      <c r="B278" s="82" t="str">
        <f t="shared" si="16"/>
        <v>Barraqueiro Transportes, S.A.</v>
      </c>
      <c r="C278" s="82" t="str">
        <f t="shared" si="17"/>
        <v>Estremadura</v>
      </c>
      <c r="D278" s="83" t="s">
        <v>629</v>
      </c>
      <c r="E278" s="91" t="s">
        <v>1853</v>
      </c>
      <c r="F278" s="124" t="s">
        <v>620</v>
      </c>
      <c r="G278" s="333">
        <v>2012</v>
      </c>
      <c r="H278" s="341" t="s">
        <v>734</v>
      </c>
      <c r="I278" s="336" t="str">
        <f t="shared" si="18"/>
        <v>Pesado de Passageiros M3: III : Gasóleo : E5</v>
      </c>
      <c r="J278" s="125">
        <v>27</v>
      </c>
      <c r="K278" s="125">
        <v>2022</v>
      </c>
      <c r="L278" s="85">
        <v>2300.4899999999998</v>
      </c>
      <c r="M278" s="85" t="s">
        <v>630</v>
      </c>
      <c r="N278" s="128">
        <v>9754</v>
      </c>
      <c r="O278" s="128">
        <f t="shared" si="19"/>
        <v>263358</v>
      </c>
      <c r="P278" s="125" t="s">
        <v>913</v>
      </c>
      <c r="Q278" s="85" t="s">
        <v>47</v>
      </c>
      <c r="R278" s="220" t="s">
        <v>1888</v>
      </c>
      <c r="S278" s="220" t="s">
        <v>1861</v>
      </c>
      <c r="T278" s="85" t="s">
        <v>1491</v>
      </c>
      <c r="U278" t="s">
        <v>1972</v>
      </c>
      <c r="V278" t="s">
        <v>2832</v>
      </c>
    </row>
    <row r="279" spans="1:22" ht="15.75" thickBot="1" x14ac:dyDescent="0.3">
      <c r="A279" s="82" t="s">
        <v>3507</v>
      </c>
      <c r="B279" s="82" t="str">
        <f t="shared" si="16"/>
        <v>Barraqueiro Transportes, S.A.</v>
      </c>
      <c r="C279" s="82" t="str">
        <f t="shared" si="17"/>
        <v>Estremadura</v>
      </c>
      <c r="D279" s="83" t="s">
        <v>629</v>
      </c>
      <c r="E279" s="91" t="s">
        <v>1853</v>
      </c>
      <c r="F279" s="124" t="s">
        <v>620</v>
      </c>
      <c r="G279" s="333">
        <v>2012</v>
      </c>
      <c r="H279" s="341" t="s">
        <v>734</v>
      </c>
      <c r="I279" s="336" t="str">
        <f t="shared" si="18"/>
        <v>Pesado de Passageiros M3: III : Gasóleo : E5</v>
      </c>
      <c r="J279" s="125">
        <v>27</v>
      </c>
      <c r="K279" s="125">
        <v>2022</v>
      </c>
      <c r="L279" s="85">
        <v>1207.96</v>
      </c>
      <c r="M279" s="85" t="s">
        <v>630</v>
      </c>
      <c r="N279" s="128">
        <v>5427</v>
      </c>
      <c r="O279" s="128">
        <f t="shared" si="19"/>
        <v>146529</v>
      </c>
      <c r="P279" s="125" t="s">
        <v>914</v>
      </c>
      <c r="Q279" s="85" t="s">
        <v>47</v>
      </c>
      <c r="R279" s="220" t="s">
        <v>1888</v>
      </c>
      <c r="S279" s="220" t="s">
        <v>1861</v>
      </c>
      <c r="T279" s="85" t="s">
        <v>1491</v>
      </c>
      <c r="U279" t="s">
        <v>1972</v>
      </c>
      <c r="V279" t="s">
        <v>2832</v>
      </c>
    </row>
    <row r="280" spans="1:22" ht="15.75" thickBot="1" x14ac:dyDescent="0.3">
      <c r="A280" s="82" t="s">
        <v>3507</v>
      </c>
      <c r="B280" s="82" t="str">
        <f t="shared" si="16"/>
        <v>Barraqueiro Transportes, S.A.</v>
      </c>
      <c r="C280" s="82" t="str">
        <f t="shared" si="17"/>
        <v>Estremadura</v>
      </c>
      <c r="D280" s="83" t="s">
        <v>629</v>
      </c>
      <c r="E280" s="91" t="s">
        <v>1853</v>
      </c>
      <c r="F280" s="124" t="s">
        <v>620</v>
      </c>
      <c r="G280" s="333">
        <v>2012</v>
      </c>
      <c r="H280" s="341" t="s">
        <v>734</v>
      </c>
      <c r="I280" s="336" t="str">
        <f t="shared" si="18"/>
        <v>Pesado de Passageiros M3: III : Gasóleo : E5</v>
      </c>
      <c r="J280" s="125">
        <v>27</v>
      </c>
      <c r="K280" s="125">
        <v>2022</v>
      </c>
      <c r="L280" s="85">
        <v>1263.76</v>
      </c>
      <c r="M280" s="85" t="s">
        <v>630</v>
      </c>
      <c r="N280" s="128">
        <v>5948</v>
      </c>
      <c r="O280" s="128">
        <f t="shared" si="19"/>
        <v>160596</v>
      </c>
      <c r="P280" s="125" t="s">
        <v>915</v>
      </c>
      <c r="Q280" s="85" t="s">
        <v>47</v>
      </c>
      <c r="R280" s="220" t="s">
        <v>1888</v>
      </c>
      <c r="S280" s="220" t="s">
        <v>1861</v>
      </c>
      <c r="T280" s="85" t="s">
        <v>1491</v>
      </c>
      <c r="U280" t="s">
        <v>1972</v>
      </c>
      <c r="V280" t="s">
        <v>2832</v>
      </c>
    </row>
    <row r="281" spans="1:22" ht="15.75" thickBot="1" x14ac:dyDescent="0.3">
      <c r="A281" s="82" t="s">
        <v>3507</v>
      </c>
      <c r="B281" s="82" t="str">
        <f t="shared" si="16"/>
        <v>Barraqueiro Transportes, S.A.</v>
      </c>
      <c r="C281" s="82" t="str">
        <f t="shared" si="17"/>
        <v>Estremadura</v>
      </c>
      <c r="D281" s="83" t="s">
        <v>629</v>
      </c>
      <c r="E281" s="91" t="s">
        <v>1853</v>
      </c>
      <c r="F281" s="124" t="s">
        <v>620</v>
      </c>
      <c r="G281" s="333">
        <v>2012</v>
      </c>
      <c r="H281" s="341" t="s">
        <v>734</v>
      </c>
      <c r="I281" s="336" t="str">
        <f t="shared" si="18"/>
        <v>Pesado de Passageiros M3: III : Gasóleo : E5</v>
      </c>
      <c r="J281" s="125">
        <v>27</v>
      </c>
      <c r="K281" s="125">
        <v>2022</v>
      </c>
      <c r="L281" s="85">
        <v>1410.2800000000002</v>
      </c>
      <c r="M281" s="85" t="s">
        <v>630</v>
      </c>
      <c r="N281" s="128">
        <v>6316</v>
      </c>
      <c r="O281" s="128">
        <f t="shared" si="19"/>
        <v>170532</v>
      </c>
      <c r="P281" s="125" t="s">
        <v>916</v>
      </c>
      <c r="Q281" s="85" t="s">
        <v>47</v>
      </c>
      <c r="R281" s="220" t="s">
        <v>1888</v>
      </c>
      <c r="S281" s="220" t="s">
        <v>1861</v>
      </c>
      <c r="T281" s="85" t="s">
        <v>1491</v>
      </c>
      <c r="U281" t="s">
        <v>1972</v>
      </c>
      <c r="V281" t="s">
        <v>2832</v>
      </c>
    </row>
    <row r="282" spans="1:22" ht="15.75" thickBot="1" x14ac:dyDescent="0.3">
      <c r="A282" s="82" t="s">
        <v>3507</v>
      </c>
      <c r="B282" s="82" t="str">
        <f t="shared" si="16"/>
        <v>Barraqueiro Transportes, S.A.</v>
      </c>
      <c r="C282" s="82" t="str">
        <f t="shared" si="17"/>
        <v>Estremadura</v>
      </c>
      <c r="D282" s="83" t="s">
        <v>629</v>
      </c>
      <c r="E282" s="91" t="s">
        <v>1853</v>
      </c>
      <c r="F282" s="124" t="s">
        <v>620</v>
      </c>
      <c r="G282" s="333">
        <v>2012</v>
      </c>
      <c r="H282" s="341" t="s">
        <v>734</v>
      </c>
      <c r="I282" s="336" t="str">
        <f t="shared" si="18"/>
        <v>Pesado de Passageiros M3: III : Gasóleo : E5</v>
      </c>
      <c r="J282" s="125">
        <v>27</v>
      </c>
      <c r="K282" s="125">
        <v>2022</v>
      </c>
      <c r="L282" s="85">
        <v>2459.2599999999998</v>
      </c>
      <c r="M282" s="85" t="s">
        <v>630</v>
      </c>
      <c r="N282" s="128">
        <v>11500</v>
      </c>
      <c r="O282" s="128">
        <f t="shared" si="19"/>
        <v>310500</v>
      </c>
      <c r="P282" s="125" t="s">
        <v>917</v>
      </c>
      <c r="Q282" s="85" t="s">
        <v>47</v>
      </c>
      <c r="R282" s="220" t="s">
        <v>1888</v>
      </c>
      <c r="S282" s="220" t="s">
        <v>1861</v>
      </c>
      <c r="T282" s="85" t="s">
        <v>1491</v>
      </c>
      <c r="U282" t="s">
        <v>1972</v>
      </c>
      <c r="V282" t="s">
        <v>2832</v>
      </c>
    </row>
    <row r="283" spans="1:22" ht="15.75" thickBot="1" x14ac:dyDescent="0.3">
      <c r="A283" s="82" t="s">
        <v>3507</v>
      </c>
      <c r="B283" s="82" t="str">
        <f t="shared" si="16"/>
        <v>Barraqueiro Transportes, S.A.</v>
      </c>
      <c r="C283" s="82" t="str">
        <f t="shared" si="17"/>
        <v>Estremadura</v>
      </c>
      <c r="D283" s="83" t="s">
        <v>629</v>
      </c>
      <c r="E283" s="91" t="s">
        <v>1853</v>
      </c>
      <c r="F283" s="124" t="s">
        <v>620</v>
      </c>
      <c r="G283" s="333">
        <v>2012</v>
      </c>
      <c r="H283" s="341" t="s">
        <v>734</v>
      </c>
      <c r="I283" s="336" t="str">
        <f t="shared" si="18"/>
        <v>Pesado de Passageiros M3: III : Gasóleo : E5</v>
      </c>
      <c r="J283" s="125">
        <v>27</v>
      </c>
      <c r="K283" s="125">
        <v>2022</v>
      </c>
      <c r="L283" s="85">
        <v>1576.0700000000002</v>
      </c>
      <c r="M283" s="85" t="s">
        <v>630</v>
      </c>
      <c r="N283" s="128">
        <v>7205</v>
      </c>
      <c r="O283" s="128">
        <f t="shared" si="19"/>
        <v>194535</v>
      </c>
      <c r="P283" s="125" t="s">
        <v>918</v>
      </c>
      <c r="Q283" s="85" t="s">
        <v>47</v>
      </c>
      <c r="R283" s="220" t="s">
        <v>1888</v>
      </c>
      <c r="S283" s="220" t="s">
        <v>1861</v>
      </c>
      <c r="T283" s="85" t="s">
        <v>1491</v>
      </c>
      <c r="U283" t="s">
        <v>1972</v>
      </c>
      <c r="V283" t="s">
        <v>2832</v>
      </c>
    </row>
    <row r="284" spans="1:22" ht="15.75" thickBot="1" x14ac:dyDescent="0.3">
      <c r="A284" s="82" t="s">
        <v>3507</v>
      </c>
      <c r="B284" s="82" t="str">
        <f t="shared" si="16"/>
        <v>Barraqueiro Transportes, S.A.</v>
      </c>
      <c r="C284" s="82" t="str">
        <f t="shared" si="17"/>
        <v>Estremadura</v>
      </c>
      <c r="D284" s="83" t="s">
        <v>629</v>
      </c>
      <c r="E284" s="91" t="s">
        <v>1853</v>
      </c>
      <c r="F284" s="124" t="s">
        <v>620</v>
      </c>
      <c r="G284" s="333">
        <v>2012</v>
      </c>
      <c r="H284" s="341" t="s">
        <v>734</v>
      </c>
      <c r="I284" s="336" t="str">
        <f t="shared" si="18"/>
        <v>Pesado de Passageiros M3: III : Gasóleo : E5</v>
      </c>
      <c r="J284" s="125">
        <v>27</v>
      </c>
      <c r="K284" s="125">
        <v>2022</v>
      </c>
      <c r="L284" s="85">
        <v>1174.24</v>
      </c>
      <c r="M284" s="85" t="s">
        <v>630</v>
      </c>
      <c r="N284" s="128">
        <v>5349</v>
      </c>
      <c r="O284" s="128">
        <f t="shared" si="19"/>
        <v>144423</v>
      </c>
      <c r="P284" s="125" t="s">
        <v>919</v>
      </c>
      <c r="Q284" s="85" t="s">
        <v>47</v>
      </c>
      <c r="R284" s="220" t="s">
        <v>1888</v>
      </c>
      <c r="S284" s="220" t="s">
        <v>1861</v>
      </c>
      <c r="T284" s="85" t="s">
        <v>1491</v>
      </c>
      <c r="U284" t="s">
        <v>1972</v>
      </c>
      <c r="V284" t="s">
        <v>2832</v>
      </c>
    </row>
    <row r="285" spans="1:22" ht="15.75" thickBot="1" x14ac:dyDescent="0.3">
      <c r="A285" s="82" t="s">
        <v>3507</v>
      </c>
      <c r="B285" s="82" t="str">
        <f t="shared" si="16"/>
        <v>Barraqueiro Transportes, S.A.</v>
      </c>
      <c r="C285" s="82" t="str">
        <f t="shared" si="17"/>
        <v>Estremadura</v>
      </c>
      <c r="D285" s="83" t="s">
        <v>629</v>
      </c>
      <c r="E285" s="91" t="s">
        <v>1853</v>
      </c>
      <c r="F285" s="124" t="s">
        <v>620</v>
      </c>
      <c r="G285" s="333">
        <v>2013</v>
      </c>
      <c r="H285" s="341" t="s">
        <v>733</v>
      </c>
      <c r="I285" s="336" t="str">
        <f t="shared" si="18"/>
        <v>Pesado de Passageiros M3: III : Gasóleo : E6</v>
      </c>
      <c r="J285" s="125">
        <v>34</v>
      </c>
      <c r="K285" s="125">
        <v>2022</v>
      </c>
      <c r="L285" s="85">
        <v>12232.41</v>
      </c>
      <c r="M285" s="85" t="s">
        <v>630</v>
      </c>
      <c r="N285" s="128">
        <v>39665</v>
      </c>
      <c r="O285" s="128">
        <f t="shared" si="19"/>
        <v>1348610</v>
      </c>
      <c r="P285" s="125" t="s">
        <v>920</v>
      </c>
      <c r="Q285" s="85" t="s">
        <v>47</v>
      </c>
      <c r="R285" s="220" t="s">
        <v>1888</v>
      </c>
      <c r="S285" s="220" t="s">
        <v>1861</v>
      </c>
      <c r="T285" s="85" t="s">
        <v>1491</v>
      </c>
      <c r="U285" t="s">
        <v>1972</v>
      </c>
      <c r="V285" t="s">
        <v>2832</v>
      </c>
    </row>
    <row r="286" spans="1:22" ht="15.75" thickBot="1" x14ac:dyDescent="0.3">
      <c r="A286" s="82" t="s">
        <v>3507</v>
      </c>
      <c r="B286" s="82" t="str">
        <f t="shared" si="16"/>
        <v>Barraqueiro Transportes, S.A.</v>
      </c>
      <c r="C286" s="82" t="str">
        <f t="shared" si="17"/>
        <v>Estremadura</v>
      </c>
      <c r="D286" s="83" t="s">
        <v>629</v>
      </c>
      <c r="E286" s="91" t="s">
        <v>1853</v>
      </c>
      <c r="F286" s="124" t="s">
        <v>620</v>
      </c>
      <c r="G286" s="333">
        <v>2013</v>
      </c>
      <c r="H286" s="341" t="s">
        <v>733</v>
      </c>
      <c r="I286" s="336" t="str">
        <f t="shared" si="18"/>
        <v>Pesado de Passageiros M3: III : Gasóleo : E6</v>
      </c>
      <c r="J286" s="125">
        <v>34</v>
      </c>
      <c r="K286" s="125">
        <v>2022</v>
      </c>
      <c r="L286" s="85">
        <v>6851.369999999999</v>
      </c>
      <c r="M286" s="85" t="s">
        <v>630</v>
      </c>
      <c r="N286" s="128">
        <v>23512</v>
      </c>
      <c r="O286" s="128">
        <f t="shared" si="19"/>
        <v>799408</v>
      </c>
      <c r="P286" s="125" t="s">
        <v>921</v>
      </c>
      <c r="Q286" s="85" t="s">
        <v>47</v>
      </c>
      <c r="R286" s="220" t="s">
        <v>1888</v>
      </c>
      <c r="S286" s="220" t="s">
        <v>1861</v>
      </c>
      <c r="T286" s="85" t="s">
        <v>1491</v>
      </c>
      <c r="U286" t="s">
        <v>1972</v>
      </c>
      <c r="V286" t="s">
        <v>2832</v>
      </c>
    </row>
    <row r="287" spans="1:22" ht="15.75" thickBot="1" x14ac:dyDescent="0.3">
      <c r="A287" s="82" t="s">
        <v>3507</v>
      </c>
      <c r="B287" s="82" t="str">
        <f t="shared" si="16"/>
        <v>Barraqueiro Transportes, S.A.</v>
      </c>
      <c r="C287" s="82" t="str">
        <f t="shared" si="17"/>
        <v>Estremadura</v>
      </c>
      <c r="D287" s="83" t="s">
        <v>629</v>
      </c>
      <c r="E287" s="91" t="s">
        <v>1853</v>
      </c>
      <c r="F287" s="124" t="s">
        <v>620</v>
      </c>
      <c r="G287" s="333">
        <v>2014</v>
      </c>
      <c r="H287" s="341" t="s">
        <v>733</v>
      </c>
      <c r="I287" s="336" t="str">
        <f t="shared" si="18"/>
        <v>Pesado de Passageiros M3: III : Gasóleo : E6</v>
      </c>
      <c r="J287" s="125">
        <v>34</v>
      </c>
      <c r="K287" s="125">
        <v>2022</v>
      </c>
      <c r="L287" s="85">
        <v>14258.029999999999</v>
      </c>
      <c r="M287" s="85" t="s">
        <v>630</v>
      </c>
      <c r="N287" s="128">
        <v>50660</v>
      </c>
      <c r="O287" s="128">
        <f t="shared" si="19"/>
        <v>1722440</v>
      </c>
      <c r="P287" s="125" t="s">
        <v>922</v>
      </c>
      <c r="Q287" s="85" t="s">
        <v>47</v>
      </c>
      <c r="R287" s="220" t="s">
        <v>1888</v>
      </c>
      <c r="S287" s="220" t="s">
        <v>1861</v>
      </c>
      <c r="T287" s="85" t="s">
        <v>1491</v>
      </c>
      <c r="U287" t="s">
        <v>1972</v>
      </c>
      <c r="V287" t="s">
        <v>2832</v>
      </c>
    </row>
    <row r="288" spans="1:22" ht="15.75" thickBot="1" x14ac:dyDescent="0.3">
      <c r="A288" s="82" t="s">
        <v>3507</v>
      </c>
      <c r="B288" s="82" t="str">
        <f t="shared" si="16"/>
        <v>Barraqueiro Transportes, S.A.</v>
      </c>
      <c r="C288" s="82" t="str">
        <f t="shared" si="17"/>
        <v>Estremadura</v>
      </c>
      <c r="D288" s="83" t="s">
        <v>629</v>
      </c>
      <c r="E288" s="91" t="s">
        <v>1853</v>
      </c>
      <c r="F288" s="124" t="s">
        <v>620</v>
      </c>
      <c r="G288" s="333">
        <v>2014</v>
      </c>
      <c r="H288" s="341" t="s">
        <v>733</v>
      </c>
      <c r="I288" s="336" t="str">
        <f t="shared" si="18"/>
        <v>Pesado de Passageiros M3: III : Gasóleo : E6</v>
      </c>
      <c r="J288" s="125">
        <v>34</v>
      </c>
      <c r="K288" s="125">
        <v>2022</v>
      </c>
      <c r="L288" s="85">
        <v>12065.869999999999</v>
      </c>
      <c r="M288" s="85" t="s">
        <v>630</v>
      </c>
      <c r="N288" s="128">
        <v>42539</v>
      </c>
      <c r="O288" s="128">
        <f t="shared" si="19"/>
        <v>1446326</v>
      </c>
      <c r="P288" s="125" t="s">
        <v>923</v>
      </c>
      <c r="Q288" s="85" t="s">
        <v>47</v>
      </c>
      <c r="R288" s="220" t="s">
        <v>1888</v>
      </c>
      <c r="S288" s="220" t="s">
        <v>1861</v>
      </c>
      <c r="T288" s="85" t="s">
        <v>1491</v>
      </c>
      <c r="U288" t="s">
        <v>1972</v>
      </c>
      <c r="V288" t="s">
        <v>2832</v>
      </c>
    </row>
    <row r="289" spans="1:22" ht="15.75" thickBot="1" x14ac:dyDescent="0.3">
      <c r="A289" s="82" t="s">
        <v>3507</v>
      </c>
      <c r="B289" s="82" t="str">
        <f t="shared" si="16"/>
        <v>Barraqueiro Transportes, S.A.</v>
      </c>
      <c r="C289" s="82" t="str">
        <f t="shared" si="17"/>
        <v>Estremadura</v>
      </c>
      <c r="D289" s="83" t="s">
        <v>629</v>
      </c>
      <c r="E289" s="91" t="s">
        <v>1853</v>
      </c>
      <c r="F289" s="124" t="s">
        <v>620</v>
      </c>
      <c r="G289" s="333">
        <v>2014</v>
      </c>
      <c r="H289" s="341" t="s">
        <v>733</v>
      </c>
      <c r="I289" s="336" t="str">
        <f t="shared" si="18"/>
        <v>Pesado de Passageiros M3: III : Gasóleo : E6</v>
      </c>
      <c r="J289" s="125">
        <v>63</v>
      </c>
      <c r="K289" s="125">
        <v>2022</v>
      </c>
      <c r="L289" s="85">
        <v>17082.13</v>
      </c>
      <c r="M289" s="85" t="s">
        <v>630</v>
      </c>
      <c r="N289" s="128">
        <v>58494</v>
      </c>
      <c r="O289" s="128">
        <f t="shared" si="19"/>
        <v>3685122</v>
      </c>
      <c r="P289" s="125" t="s">
        <v>924</v>
      </c>
      <c r="Q289" s="85" t="s">
        <v>47</v>
      </c>
      <c r="R289" s="220" t="s">
        <v>1888</v>
      </c>
      <c r="S289" s="220" t="s">
        <v>1861</v>
      </c>
      <c r="T289" s="85" t="s">
        <v>1491</v>
      </c>
      <c r="U289" t="s">
        <v>1972</v>
      </c>
      <c r="V289" t="s">
        <v>2832</v>
      </c>
    </row>
    <row r="290" spans="1:22" ht="15.75" thickBot="1" x14ac:dyDescent="0.3">
      <c r="A290" s="82" t="s">
        <v>3507</v>
      </c>
      <c r="B290" s="82" t="str">
        <f t="shared" si="16"/>
        <v>Barraqueiro Transportes, S.A.</v>
      </c>
      <c r="C290" s="82" t="str">
        <f t="shared" si="17"/>
        <v>Estremadura</v>
      </c>
      <c r="D290" s="83" t="s">
        <v>629</v>
      </c>
      <c r="E290" s="91" t="s">
        <v>1853</v>
      </c>
      <c r="F290" s="124" t="s">
        <v>620</v>
      </c>
      <c r="G290" s="333">
        <v>2014</v>
      </c>
      <c r="H290" s="341" t="s">
        <v>733</v>
      </c>
      <c r="I290" s="336" t="str">
        <f t="shared" si="18"/>
        <v>Pesado de Passageiros M3: III : Gasóleo : E6</v>
      </c>
      <c r="J290" s="125">
        <v>53</v>
      </c>
      <c r="K290" s="125">
        <v>2022</v>
      </c>
      <c r="L290" s="85">
        <v>12172.220000000001</v>
      </c>
      <c r="M290" s="85" t="s">
        <v>630</v>
      </c>
      <c r="N290" s="128">
        <v>43699</v>
      </c>
      <c r="O290" s="128">
        <f t="shared" si="19"/>
        <v>2316047</v>
      </c>
      <c r="P290" s="125" t="s">
        <v>925</v>
      </c>
      <c r="Q290" s="85" t="s">
        <v>47</v>
      </c>
      <c r="R290" s="220" t="s">
        <v>1888</v>
      </c>
      <c r="S290" s="220" t="s">
        <v>1861</v>
      </c>
      <c r="T290" s="85" t="s">
        <v>1491</v>
      </c>
      <c r="U290" t="s">
        <v>1972</v>
      </c>
      <c r="V290" t="s">
        <v>2832</v>
      </c>
    </row>
    <row r="291" spans="1:22" ht="15.75" thickBot="1" x14ac:dyDescent="0.3">
      <c r="A291" s="82" t="s">
        <v>3507</v>
      </c>
      <c r="B291" s="82" t="str">
        <f t="shared" si="16"/>
        <v>Barraqueiro Transportes, S.A.</v>
      </c>
      <c r="C291" s="82" t="str">
        <f t="shared" si="17"/>
        <v>Estremadura</v>
      </c>
      <c r="D291" s="83" t="s">
        <v>629</v>
      </c>
      <c r="E291" s="91" t="s">
        <v>1853</v>
      </c>
      <c r="F291" s="124" t="s">
        <v>620</v>
      </c>
      <c r="G291" s="333">
        <v>2014</v>
      </c>
      <c r="H291" s="341" t="s">
        <v>733</v>
      </c>
      <c r="I291" s="336" t="str">
        <f t="shared" si="18"/>
        <v>Pesado de Passageiros M3: III : Gasóleo : E6</v>
      </c>
      <c r="J291" s="125">
        <v>53</v>
      </c>
      <c r="K291" s="125">
        <v>2022</v>
      </c>
      <c r="L291" s="85">
        <v>31099.68</v>
      </c>
      <c r="M291" s="85" t="s">
        <v>630</v>
      </c>
      <c r="N291" s="128">
        <v>111508</v>
      </c>
      <c r="O291" s="128">
        <f t="shared" si="19"/>
        <v>5909924</v>
      </c>
      <c r="P291" s="125" t="s">
        <v>926</v>
      </c>
      <c r="Q291" s="85" t="s">
        <v>47</v>
      </c>
      <c r="R291" s="220" t="s">
        <v>1888</v>
      </c>
      <c r="S291" s="220" t="s">
        <v>1861</v>
      </c>
      <c r="T291" s="85" t="s">
        <v>1491</v>
      </c>
      <c r="U291" t="s">
        <v>1972</v>
      </c>
      <c r="V291" t="s">
        <v>2832</v>
      </c>
    </row>
    <row r="292" spans="1:22" ht="15.75" thickBot="1" x14ac:dyDescent="0.3">
      <c r="A292" s="82" t="s">
        <v>3507</v>
      </c>
      <c r="B292" s="82" t="str">
        <f t="shared" si="16"/>
        <v>Barraqueiro Transportes, S.A.</v>
      </c>
      <c r="C292" s="82" t="str">
        <f t="shared" si="17"/>
        <v>Estremadura</v>
      </c>
      <c r="D292" s="83" t="s">
        <v>629</v>
      </c>
      <c r="E292" s="91" t="s">
        <v>1853</v>
      </c>
      <c r="F292" s="124" t="s">
        <v>620</v>
      </c>
      <c r="G292" s="333">
        <v>2014</v>
      </c>
      <c r="H292" s="341" t="s">
        <v>733</v>
      </c>
      <c r="I292" s="336" t="str">
        <f t="shared" si="18"/>
        <v>Pesado de Passageiros M3: III : Gasóleo : E6</v>
      </c>
      <c r="J292" s="125">
        <v>53</v>
      </c>
      <c r="K292" s="125">
        <v>2022</v>
      </c>
      <c r="L292" s="85">
        <v>25963.49</v>
      </c>
      <c r="M292" s="85" t="s">
        <v>630</v>
      </c>
      <c r="N292" s="128">
        <v>91271</v>
      </c>
      <c r="O292" s="128">
        <f t="shared" si="19"/>
        <v>4837363</v>
      </c>
      <c r="P292" s="125" t="s">
        <v>927</v>
      </c>
      <c r="Q292" s="85" t="s">
        <v>47</v>
      </c>
      <c r="R292" s="220" t="s">
        <v>1888</v>
      </c>
      <c r="S292" s="220" t="s">
        <v>1861</v>
      </c>
      <c r="T292" s="85" t="s">
        <v>1491</v>
      </c>
      <c r="U292" t="s">
        <v>1972</v>
      </c>
      <c r="V292" t="s">
        <v>2832</v>
      </c>
    </row>
    <row r="293" spans="1:22" ht="15.75" thickBot="1" x14ac:dyDescent="0.3">
      <c r="A293" s="82" t="s">
        <v>3507</v>
      </c>
      <c r="B293" s="82" t="str">
        <f t="shared" si="16"/>
        <v>Barraqueiro Transportes, S.A.</v>
      </c>
      <c r="C293" s="82" t="str">
        <f t="shared" si="17"/>
        <v>Estremadura</v>
      </c>
      <c r="D293" s="83" t="s">
        <v>629</v>
      </c>
      <c r="E293" s="91" t="s">
        <v>1853</v>
      </c>
      <c r="F293" s="124" t="s">
        <v>620</v>
      </c>
      <c r="G293" s="333">
        <v>2017</v>
      </c>
      <c r="H293" s="341" t="s">
        <v>733</v>
      </c>
      <c r="I293" s="336" t="str">
        <f t="shared" si="18"/>
        <v>Pesado de Passageiros M3: III : Gasóleo : E6</v>
      </c>
      <c r="J293" s="125">
        <v>53</v>
      </c>
      <c r="K293" s="125">
        <v>2022</v>
      </c>
      <c r="L293" s="85">
        <v>32299.860000000004</v>
      </c>
      <c r="M293" s="85" t="s">
        <v>630</v>
      </c>
      <c r="N293" s="128">
        <v>122547</v>
      </c>
      <c r="O293" s="128">
        <f t="shared" si="19"/>
        <v>6494991</v>
      </c>
      <c r="P293" s="125" t="s">
        <v>928</v>
      </c>
      <c r="Q293" s="85" t="s">
        <v>47</v>
      </c>
      <c r="R293" s="220" t="s">
        <v>1888</v>
      </c>
      <c r="S293" s="220" t="s">
        <v>1861</v>
      </c>
      <c r="T293" s="85" t="s">
        <v>1491</v>
      </c>
      <c r="U293" t="s">
        <v>1972</v>
      </c>
      <c r="V293" t="s">
        <v>2832</v>
      </c>
    </row>
    <row r="294" spans="1:22" ht="15.75" thickBot="1" x14ac:dyDescent="0.3">
      <c r="A294" s="82" t="s">
        <v>3507</v>
      </c>
      <c r="B294" s="82" t="str">
        <f t="shared" si="16"/>
        <v>Barraqueiro Transportes, S.A.</v>
      </c>
      <c r="C294" s="82" t="str">
        <f t="shared" si="17"/>
        <v>Estremadura</v>
      </c>
      <c r="D294" s="83" t="s">
        <v>629</v>
      </c>
      <c r="E294" s="91" t="s">
        <v>1853</v>
      </c>
      <c r="F294" s="124" t="s">
        <v>620</v>
      </c>
      <c r="G294" s="333">
        <v>2017</v>
      </c>
      <c r="H294" s="341" t="s">
        <v>733</v>
      </c>
      <c r="I294" s="336" t="str">
        <f t="shared" si="18"/>
        <v>Pesado de Passageiros M3: III : Gasóleo : E6</v>
      </c>
      <c r="J294" s="125">
        <v>53</v>
      </c>
      <c r="K294" s="125">
        <v>2022</v>
      </c>
      <c r="L294" s="85">
        <v>42730.66</v>
      </c>
      <c r="M294" s="85" t="s">
        <v>630</v>
      </c>
      <c r="N294" s="128">
        <v>156487</v>
      </c>
      <c r="O294" s="128">
        <f t="shared" si="19"/>
        <v>8293811</v>
      </c>
      <c r="P294" s="125" t="s">
        <v>929</v>
      </c>
      <c r="Q294" s="85" t="s">
        <v>47</v>
      </c>
      <c r="R294" s="220" t="s">
        <v>1888</v>
      </c>
      <c r="S294" s="220" t="s">
        <v>1861</v>
      </c>
      <c r="T294" s="85" t="s">
        <v>1491</v>
      </c>
      <c r="U294" t="s">
        <v>1972</v>
      </c>
      <c r="V294" t="s">
        <v>2832</v>
      </c>
    </row>
    <row r="295" spans="1:22" ht="15.75" thickBot="1" x14ac:dyDescent="0.3">
      <c r="A295" s="82" t="s">
        <v>3507</v>
      </c>
      <c r="B295" s="82" t="str">
        <f t="shared" si="16"/>
        <v>Barraqueiro Transportes, S.A.</v>
      </c>
      <c r="C295" s="82" t="str">
        <f t="shared" si="17"/>
        <v>Estremadura</v>
      </c>
      <c r="D295" s="83" t="s">
        <v>629</v>
      </c>
      <c r="E295" s="91" t="s">
        <v>1853</v>
      </c>
      <c r="F295" s="124" t="s">
        <v>620</v>
      </c>
      <c r="G295" s="333">
        <v>2017</v>
      </c>
      <c r="H295" s="341" t="s">
        <v>733</v>
      </c>
      <c r="I295" s="336" t="str">
        <f t="shared" si="18"/>
        <v>Pesado de Passageiros M3: III : Gasóleo : E6</v>
      </c>
      <c r="J295" s="125">
        <v>53</v>
      </c>
      <c r="K295" s="125">
        <v>2022</v>
      </c>
      <c r="L295" s="85">
        <v>33489.65</v>
      </c>
      <c r="M295" s="85" t="s">
        <v>630</v>
      </c>
      <c r="N295" s="128">
        <v>124692</v>
      </c>
      <c r="O295" s="128">
        <f t="shared" si="19"/>
        <v>6608676</v>
      </c>
      <c r="P295" s="125" t="s">
        <v>930</v>
      </c>
      <c r="Q295" s="85" t="s">
        <v>47</v>
      </c>
      <c r="R295" s="220" t="s">
        <v>1888</v>
      </c>
      <c r="S295" s="220" t="s">
        <v>1861</v>
      </c>
      <c r="T295" s="85" t="s">
        <v>1491</v>
      </c>
      <c r="U295" t="s">
        <v>1972</v>
      </c>
      <c r="V295" t="s">
        <v>2832</v>
      </c>
    </row>
    <row r="296" spans="1:22" ht="15.75" thickBot="1" x14ac:dyDescent="0.3">
      <c r="A296" s="82" t="s">
        <v>3507</v>
      </c>
      <c r="B296" s="82" t="str">
        <f t="shared" si="16"/>
        <v>Barraqueiro Transportes, S.A.</v>
      </c>
      <c r="C296" s="82" t="str">
        <f t="shared" si="17"/>
        <v>Estremadura</v>
      </c>
      <c r="D296" s="83" t="s">
        <v>629</v>
      </c>
      <c r="E296" s="91" t="s">
        <v>1853</v>
      </c>
      <c r="F296" s="124" t="s">
        <v>620</v>
      </c>
      <c r="G296" s="333">
        <v>2017</v>
      </c>
      <c r="H296" s="341" t="s">
        <v>733</v>
      </c>
      <c r="I296" s="336" t="str">
        <f t="shared" si="18"/>
        <v>Pesado de Passageiros M3: III : Gasóleo : E6</v>
      </c>
      <c r="J296" s="125">
        <v>63</v>
      </c>
      <c r="K296" s="125">
        <v>2022</v>
      </c>
      <c r="L296" s="85">
        <v>67064.59</v>
      </c>
      <c r="M296" s="85" t="s">
        <v>630</v>
      </c>
      <c r="N296" s="128">
        <v>215326</v>
      </c>
      <c r="O296" s="128">
        <f t="shared" si="19"/>
        <v>13565538</v>
      </c>
      <c r="P296" s="125" t="s">
        <v>931</v>
      </c>
      <c r="Q296" s="85" t="s">
        <v>47</v>
      </c>
      <c r="R296" s="220" t="s">
        <v>1888</v>
      </c>
      <c r="S296" s="220" t="s">
        <v>1861</v>
      </c>
      <c r="T296" s="85" t="s">
        <v>1491</v>
      </c>
      <c r="U296" t="s">
        <v>1972</v>
      </c>
      <c r="V296" t="s">
        <v>2832</v>
      </c>
    </row>
    <row r="297" spans="1:22" ht="15.75" thickBot="1" x14ac:dyDescent="0.3">
      <c r="A297" s="82" t="s">
        <v>3507</v>
      </c>
      <c r="B297" s="82" t="str">
        <f t="shared" si="16"/>
        <v>Barraqueiro Transportes, S.A.</v>
      </c>
      <c r="C297" s="82" t="str">
        <f t="shared" si="17"/>
        <v>Estremadura</v>
      </c>
      <c r="D297" s="83" t="s">
        <v>629</v>
      </c>
      <c r="E297" s="91" t="s">
        <v>1853</v>
      </c>
      <c r="F297" s="124" t="s">
        <v>620</v>
      </c>
      <c r="G297" s="333">
        <v>2015</v>
      </c>
      <c r="H297" s="341" t="s">
        <v>733</v>
      </c>
      <c r="I297" s="336" t="str">
        <f t="shared" si="18"/>
        <v>Pesado de Passageiros M3: III : Gasóleo : E6</v>
      </c>
      <c r="J297" s="125">
        <v>53</v>
      </c>
      <c r="K297" s="125">
        <v>2022</v>
      </c>
      <c r="L297" s="85">
        <v>38470.28</v>
      </c>
      <c r="M297" s="85" t="s">
        <v>630</v>
      </c>
      <c r="N297" s="128">
        <v>142442</v>
      </c>
      <c r="O297" s="128">
        <f t="shared" si="19"/>
        <v>7549426</v>
      </c>
      <c r="P297" s="125" t="s">
        <v>932</v>
      </c>
      <c r="Q297" s="85" t="s">
        <v>47</v>
      </c>
      <c r="R297" s="220" t="s">
        <v>1888</v>
      </c>
      <c r="S297" s="220" t="s">
        <v>1861</v>
      </c>
      <c r="T297" s="85" t="s">
        <v>1491</v>
      </c>
      <c r="U297" t="s">
        <v>1972</v>
      </c>
      <c r="V297" t="s">
        <v>2832</v>
      </c>
    </row>
    <row r="298" spans="1:22" ht="15.75" thickBot="1" x14ac:dyDescent="0.3">
      <c r="A298" s="82" t="s">
        <v>3507</v>
      </c>
      <c r="B298" s="82" t="str">
        <f t="shared" si="16"/>
        <v>Barraqueiro Transportes, S.A.</v>
      </c>
      <c r="C298" s="82" t="str">
        <f t="shared" si="17"/>
        <v>Estremadura</v>
      </c>
      <c r="D298" s="83" t="s">
        <v>629</v>
      </c>
      <c r="E298" s="91" t="s">
        <v>1853</v>
      </c>
      <c r="F298" s="124" t="s">
        <v>620</v>
      </c>
      <c r="G298" s="333">
        <v>2015</v>
      </c>
      <c r="H298" s="341" t="s">
        <v>733</v>
      </c>
      <c r="I298" s="336" t="str">
        <f t="shared" si="18"/>
        <v>Pesado de Passageiros M3: III : Gasóleo : E6</v>
      </c>
      <c r="J298" s="125">
        <v>53</v>
      </c>
      <c r="K298" s="125">
        <v>2022</v>
      </c>
      <c r="L298" s="85">
        <v>32867.699999999997</v>
      </c>
      <c r="M298" s="85" t="s">
        <v>630</v>
      </c>
      <c r="N298" s="128">
        <v>118345</v>
      </c>
      <c r="O298" s="128">
        <f t="shared" si="19"/>
        <v>6272285</v>
      </c>
      <c r="P298" s="125" t="s">
        <v>933</v>
      </c>
      <c r="Q298" s="85" t="s">
        <v>47</v>
      </c>
      <c r="R298" s="220" t="s">
        <v>1888</v>
      </c>
      <c r="S298" s="220" t="s">
        <v>1861</v>
      </c>
      <c r="T298" s="85" t="s">
        <v>1491</v>
      </c>
      <c r="U298" t="s">
        <v>1972</v>
      </c>
      <c r="V298" t="s">
        <v>2832</v>
      </c>
    </row>
    <row r="299" spans="1:22" ht="15.75" thickBot="1" x14ac:dyDescent="0.3">
      <c r="A299" s="82" t="s">
        <v>3507</v>
      </c>
      <c r="B299" s="82" t="str">
        <f t="shared" si="16"/>
        <v>Barraqueiro Transportes, S.A.</v>
      </c>
      <c r="C299" s="82" t="str">
        <f t="shared" si="17"/>
        <v>Estremadura</v>
      </c>
      <c r="D299" s="83" t="s">
        <v>629</v>
      </c>
      <c r="E299" s="91" t="s">
        <v>1853</v>
      </c>
      <c r="F299" s="124" t="s">
        <v>620</v>
      </c>
      <c r="G299" s="333">
        <v>2017</v>
      </c>
      <c r="H299" s="341" t="s">
        <v>733</v>
      </c>
      <c r="I299" s="336" t="str">
        <f t="shared" si="18"/>
        <v>Pesado de Passageiros M3: III : Gasóleo : E6</v>
      </c>
      <c r="J299" s="125">
        <v>19</v>
      </c>
      <c r="K299" s="125">
        <v>2022</v>
      </c>
      <c r="L299" s="85">
        <v>3839.3000000000006</v>
      </c>
      <c r="M299" s="85" t="s">
        <v>630</v>
      </c>
      <c r="N299" s="128">
        <v>24185</v>
      </c>
      <c r="O299" s="128">
        <f t="shared" si="19"/>
        <v>459515</v>
      </c>
      <c r="P299" s="125" t="s">
        <v>934</v>
      </c>
      <c r="Q299" s="85" t="s">
        <v>47</v>
      </c>
      <c r="R299" s="220" t="s">
        <v>1888</v>
      </c>
      <c r="S299" s="220" t="s">
        <v>1861</v>
      </c>
      <c r="T299" s="85" t="s">
        <v>1491</v>
      </c>
      <c r="U299" t="s">
        <v>1972</v>
      </c>
      <c r="V299" t="s">
        <v>2832</v>
      </c>
    </row>
    <row r="300" spans="1:22" ht="15.75" thickBot="1" x14ac:dyDescent="0.3">
      <c r="A300" s="82" t="s">
        <v>3507</v>
      </c>
      <c r="B300" s="82" t="str">
        <f t="shared" si="16"/>
        <v>Barraqueiro Transportes, S.A.</v>
      </c>
      <c r="C300" s="82" t="str">
        <f t="shared" si="17"/>
        <v>Estremadura</v>
      </c>
      <c r="D300" s="83" t="s">
        <v>629</v>
      </c>
      <c r="E300" s="91" t="s">
        <v>1853</v>
      </c>
      <c r="F300" s="124" t="s">
        <v>620</v>
      </c>
      <c r="G300" s="333">
        <v>2017</v>
      </c>
      <c r="H300" s="341" t="s">
        <v>733</v>
      </c>
      <c r="I300" s="336" t="str">
        <f t="shared" si="18"/>
        <v>Pesado de Passageiros M3: III : Gasóleo : E6</v>
      </c>
      <c r="J300" s="125">
        <v>19</v>
      </c>
      <c r="K300" s="125">
        <v>2022</v>
      </c>
      <c r="L300" s="85">
        <v>4408.57</v>
      </c>
      <c r="M300" s="85" t="s">
        <v>630</v>
      </c>
      <c r="N300" s="128">
        <v>25708</v>
      </c>
      <c r="O300" s="128">
        <f t="shared" si="19"/>
        <v>488452</v>
      </c>
      <c r="P300" s="125" t="s">
        <v>935</v>
      </c>
      <c r="Q300" s="85" t="s">
        <v>47</v>
      </c>
      <c r="R300" s="220" t="s">
        <v>1888</v>
      </c>
      <c r="S300" s="220" t="s">
        <v>1861</v>
      </c>
      <c r="T300" s="85" t="s">
        <v>1491</v>
      </c>
      <c r="U300" t="s">
        <v>1972</v>
      </c>
      <c r="V300" t="s">
        <v>2832</v>
      </c>
    </row>
    <row r="301" spans="1:22" ht="15.75" thickBot="1" x14ac:dyDescent="0.3">
      <c r="A301" s="82" t="s">
        <v>3507</v>
      </c>
      <c r="B301" s="82" t="str">
        <f t="shared" si="16"/>
        <v>Barraqueiro Transportes, S.A.</v>
      </c>
      <c r="C301" s="82" t="str">
        <f t="shared" si="17"/>
        <v>Estremadura</v>
      </c>
      <c r="D301" s="83" t="s">
        <v>629</v>
      </c>
      <c r="E301" s="91" t="s">
        <v>1853</v>
      </c>
      <c r="F301" s="124" t="s">
        <v>620</v>
      </c>
      <c r="G301" s="333">
        <v>2017</v>
      </c>
      <c r="H301" s="341" t="s">
        <v>733</v>
      </c>
      <c r="I301" s="336" t="str">
        <f t="shared" si="18"/>
        <v>Pesado de Passageiros M3: III : Gasóleo : E6</v>
      </c>
      <c r="J301" s="125">
        <v>53</v>
      </c>
      <c r="K301" s="125">
        <v>2022</v>
      </c>
      <c r="L301" s="85">
        <v>36875.950000000004</v>
      </c>
      <c r="M301" s="85" t="s">
        <v>630</v>
      </c>
      <c r="N301" s="128">
        <v>123524</v>
      </c>
      <c r="O301" s="128">
        <f t="shared" si="19"/>
        <v>6546772</v>
      </c>
      <c r="P301" s="125" t="s">
        <v>936</v>
      </c>
      <c r="Q301" s="85" t="s">
        <v>47</v>
      </c>
      <c r="R301" s="220" t="s">
        <v>1888</v>
      </c>
      <c r="S301" s="220" t="s">
        <v>1861</v>
      </c>
      <c r="T301" s="85" t="s">
        <v>1491</v>
      </c>
      <c r="U301" t="s">
        <v>1972</v>
      </c>
      <c r="V301" t="s">
        <v>2832</v>
      </c>
    </row>
    <row r="302" spans="1:22" ht="15.75" thickBot="1" x14ac:dyDescent="0.3">
      <c r="A302" s="82" t="s">
        <v>3507</v>
      </c>
      <c r="B302" s="82" t="str">
        <f t="shared" si="16"/>
        <v>Barraqueiro Transportes, S.A.</v>
      </c>
      <c r="C302" s="82" t="str">
        <f t="shared" si="17"/>
        <v>Estremadura</v>
      </c>
      <c r="D302" s="83" t="s">
        <v>629</v>
      </c>
      <c r="E302" s="91" t="s">
        <v>1853</v>
      </c>
      <c r="F302" s="124" t="s">
        <v>620</v>
      </c>
      <c r="G302" s="333">
        <v>2017</v>
      </c>
      <c r="H302" s="341" t="s">
        <v>733</v>
      </c>
      <c r="I302" s="336" t="str">
        <f t="shared" si="18"/>
        <v>Pesado de Passageiros M3: III : Gasóleo : E6</v>
      </c>
      <c r="J302" s="125">
        <v>39</v>
      </c>
      <c r="K302" s="125">
        <v>2022</v>
      </c>
      <c r="L302" s="85">
        <v>9808.9499999999989</v>
      </c>
      <c r="M302" s="85" t="s">
        <v>630</v>
      </c>
      <c r="N302" s="128">
        <v>36999</v>
      </c>
      <c r="O302" s="128">
        <f t="shared" si="19"/>
        <v>1442961</v>
      </c>
      <c r="P302" s="125" t="s">
        <v>937</v>
      </c>
      <c r="Q302" s="85" t="s">
        <v>47</v>
      </c>
      <c r="R302" s="220" t="s">
        <v>1888</v>
      </c>
      <c r="S302" s="220" t="s">
        <v>1861</v>
      </c>
      <c r="T302" s="85" t="s">
        <v>1491</v>
      </c>
      <c r="U302" t="s">
        <v>1972</v>
      </c>
      <c r="V302" t="s">
        <v>2832</v>
      </c>
    </row>
    <row r="303" spans="1:22" ht="15.75" thickBot="1" x14ac:dyDescent="0.3">
      <c r="A303" s="82" t="s">
        <v>3507</v>
      </c>
      <c r="B303" s="82" t="str">
        <f t="shared" si="16"/>
        <v>Barraqueiro Transportes, S.A.</v>
      </c>
      <c r="C303" s="82" t="str">
        <f t="shared" si="17"/>
        <v>Estremadura</v>
      </c>
      <c r="D303" s="83" t="s">
        <v>629</v>
      </c>
      <c r="E303" s="91" t="s">
        <v>1853</v>
      </c>
      <c r="F303" s="124" t="s">
        <v>620</v>
      </c>
      <c r="G303" s="333">
        <v>2011</v>
      </c>
      <c r="H303" s="341" t="s">
        <v>734</v>
      </c>
      <c r="I303" s="336" t="str">
        <f t="shared" si="18"/>
        <v>Pesado de Passageiros M3: III : Gasóleo : E5</v>
      </c>
      <c r="J303" s="125">
        <v>24</v>
      </c>
      <c r="K303" s="125">
        <v>2022</v>
      </c>
      <c r="L303" s="85">
        <v>307.83000000000004</v>
      </c>
      <c r="M303" s="85" t="s">
        <v>630</v>
      </c>
      <c r="N303" s="128">
        <v>1619</v>
      </c>
      <c r="O303" s="128">
        <f t="shared" si="19"/>
        <v>38856</v>
      </c>
      <c r="P303" s="125" t="s">
        <v>938</v>
      </c>
      <c r="Q303" s="85" t="s">
        <v>47</v>
      </c>
      <c r="R303" s="220" t="s">
        <v>1888</v>
      </c>
      <c r="S303" s="220" t="s">
        <v>1861</v>
      </c>
      <c r="T303" s="85" t="s">
        <v>1491</v>
      </c>
      <c r="U303" t="s">
        <v>1972</v>
      </c>
      <c r="V303" t="s">
        <v>2832</v>
      </c>
    </row>
    <row r="304" spans="1:22" ht="15.75" thickBot="1" x14ac:dyDescent="0.3">
      <c r="A304" s="82" t="s">
        <v>3507</v>
      </c>
      <c r="B304" s="82" t="str">
        <f t="shared" si="16"/>
        <v>Barraqueiro Transportes, S.A.</v>
      </c>
      <c r="C304" s="82" t="str">
        <f t="shared" si="17"/>
        <v>Estremadura</v>
      </c>
      <c r="D304" s="83" t="s">
        <v>629</v>
      </c>
      <c r="E304" s="91" t="s">
        <v>1853</v>
      </c>
      <c r="F304" s="124" t="s">
        <v>620</v>
      </c>
      <c r="G304" s="333">
        <v>2011</v>
      </c>
      <c r="H304" s="341" t="s">
        <v>734</v>
      </c>
      <c r="I304" s="336" t="str">
        <f t="shared" si="18"/>
        <v>Pesado de Passageiros M3: III : Gasóleo : E5</v>
      </c>
      <c r="J304" s="125">
        <v>24</v>
      </c>
      <c r="K304" s="125">
        <v>2022</v>
      </c>
      <c r="L304" s="85">
        <v>160</v>
      </c>
      <c r="M304" s="85" t="s">
        <v>630</v>
      </c>
      <c r="N304" s="128">
        <v>842</v>
      </c>
      <c r="O304" s="128">
        <f t="shared" si="19"/>
        <v>20208</v>
      </c>
      <c r="P304" s="125" t="s">
        <v>939</v>
      </c>
      <c r="Q304" s="85" t="s">
        <v>47</v>
      </c>
      <c r="R304" s="220" t="s">
        <v>1888</v>
      </c>
      <c r="S304" s="220" t="s">
        <v>1861</v>
      </c>
      <c r="T304" s="85" t="s">
        <v>1491</v>
      </c>
      <c r="U304" t="s">
        <v>1972</v>
      </c>
      <c r="V304" t="s">
        <v>2832</v>
      </c>
    </row>
    <row r="305" spans="1:22" ht="15.75" thickBot="1" x14ac:dyDescent="0.3">
      <c r="A305" s="82" t="s">
        <v>3507</v>
      </c>
      <c r="B305" s="82" t="str">
        <f t="shared" si="16"/>
        <v>Barraqueiro Transportes, S.A.</v>
      </c>
      <c r="C305" s="82" t="str">
        <f t="shared" si="17"/>
        <v>Estremadura</v>
      </c>
      <c r="D305" s="83" t="s">
        <v>629</v>
      </c>
      <c r="E305" s="91" t="s">
        <v>1853</v>
      </c>
      <c r="F305" s="124" t="s">
        <v>620</v>
      </c>
      <c r="G305" s="333">
        <v>2011</v>
      </c>
      <c r="H305" s="341" t="s">
        <v>734</v>
      </c>
      <c r="I305" s="336" t="str">
        <f t="shared" si="18"/>
        <v>Pesado de Passageiros M3: III : Gasóleo : E5</v>
      </c>
      <c r="J305" s="125">
        <v>53</v>
      </c>
      <c r="K305" s="125">
        <v>2022</v>
      </c>
      <c r="L305" s="85">
        <v>31241.179999999997</v>
      </c>
      <c r="M305" s="85" t="s">
        <v>630</v>
      </c>
      <c r="N305" s="128">
        <v>100710</v>
      </c>
      <c r="O305" s="128">
        <f t="shared" si="19"/>
        <v>5337630</v>
      </c>
      <c r="P305" s="125" t="s">
        <v>940</v>
      </c>
      <c r="Q305" s="85" t="s">
        <v>47</v>
      </c>
      <c r="R305" s="220" t="s">
        <v>1888</v>
      </c>
      <c r="S305" s="220" t="s">
        <v>1861</v>
      </c>
      <c r="T305" s="85" t="s">
        <v>1491</v>
      </c>
      <c r="U305" t="s">
        <v>1972</v>
      </c>
      <c r="V305" t="s">
        <v>2832</v>
      </c>
    </row>
    <row r="306" spans="1:22" ht="15.75" thickBot="1" x14ac:dyDescent="0.3">
      <c r="A306" s="82" t="s">
        <v>3507</v>
      </c>
      <c r="B306" s="82" t="str">
        <f t="shared" si="16"/>
        <v>Barraqueiro Transportes, S.A.</v>
      </c>
      <c r="C306" s="82" t="str">
        <f t="shared" si="17"/>
        <v>Estremadura</v>
      </c>
      <c r="D306" s="83" t="s">
        <v>629</v>
      </c>
      <c r="E306" s="91" t="s">
        <v>1853</v>
      </c>
      <c r="F306" s="124" t="s">
        <v>620</v>
      </c>
      <c r="G306" s="333">
        <v>2011</v>
      </c>
      <c r="H306" s="341" t="s">
        <v>734</v>
      </c>
      <c r="I306" s="336" t="str">
        <f t="shared" si="18"/>
        <v>Pesado de Passageiros M3: III : Gasóleo : E5</v>
      </c>
      <c r="J306" s="125">
        <v>53</v>
      </c>
      <c r="K306" s="125">
        <v>2022</v>
      </c>
      <c r="L306" s="85">
        <v>27251.46</v>
      </c>
      <c r="M306" s="85" t="s">
        <v>630</v>
      </c>
      <c r="N306" s="128">
        <v>87781</v>
      </c>
      <c r="O306" s="128">
        <f t="shared" si="19"/>
        <v>4652393</v>
      </c>
      <c r="P306" s="125" t="s">
        <v>941</v>
      </c>
      <c r="Q306" s="85" t="s">
        <v>47</v>
      </c>
      <c r="R306" s="220" t="s">
        <v>1888</v>
      </c>
      <c r="S306" s="220" t="s">
        <v>1861</v>
      </c>
      <c r="T306" s="85" t="s">
        <v>1491</v>
      </c>
      <c r="U306" t="s">
        <v>1972</v>
      </c>
      <c r="V306" t="s">
        <v>2832</v>
      </c>
    </row>
    <row r="307" spans="1:22" ht="15.75" thickBot="1" x14ac:dyDescent="0.3">
      <c r="A307" s="82" t="s">
        <v>3507</v>
      </c>
      <c r="B307" s="82" t="str">
        <f t="shared" si="16"/>
        <v>Barraqueiro Transportes, S.A.</v>
      </c>
      <c r="C307" s="82" t="str">
        <f t="shared" si="17"/>
        <v>Estremadura</v>
      </c>
      <c r="D307" s="83" t="s">
        <v>629</v>
      </c>
      <c r="E307" s="91" t="s">
        <v>1853</v>
      </c>
      <c r="F307" s="124" t="s">
        <v>620</v>
      </c>
      <c r="G307" s="333">
        <v>2011</v>
      </c>
      <c r="H307" s="341" t="s">
        <v>734</v>
      </c>
      <c r="I307" s="336" t="str">
        <f t="shared" si="18"/>
        <v>Pesado de Passageiros M3: III : Gasóleo : E5</v>
      </c>
      <c r="J307" s="125">
        <v>53</v>
      </c>
      <c r="K307" s="125">
        <v>2022</v>
      </c>
      <c r="L307" s="85">
        <v>33718.769999999997</v>
      </c>
      <c r="M307" s="85" t="s">
        <v>630</v>
      </c>
      <c r="N307" s="128">
        <v>108505</v>
      </c>
      <c r="O307" s="128">
        <f t="shared" si="19"/>
        <v>5750765</v>
      </c>
      <c r="P307" s="125" t="s">
        <v>942</v>
      </c>
      <c r="Q307" s="85" t="s">
        <v>47</v>
      </c>
      <c r="R307" s="220" t="s">
        <v>1888</v>
      </c>
      <c r="S307" s="220" t="s">
        <v>1861</v>
      </c>
      <c r="T307" s="85" t="s">
        <v>1491</v>
      </c>
      <c r="U307" t="s">
        <v>1972</v>
      </c>
      <c r="V307" t="s">
        <v>2832</v>
      </c>
    </row>
    <row r="308" spans="1:22" ht="15.75" thickBot="1" x14ac:dyDescent="0.3">
      <c r="A308" s="82" t="s">
        <v>3507</v>
      </c>
      <c r="B308" s="82" t="str">
        <f t="shared" si="16"/>
        <v>Barraqueiro Transportes, S.A.</v>
      </c>
      <c r="C308" s="82" t="str">
        <f t="shared" si="17"/>
        <v>Estremadura</v>
      </c>
      <c r="D308" s="83" t="s">
        <v>629</v>
      </c>
      <c r="E308" s="91" t="s">
        <v>1853</v>
      </c>
      <c r="F308" s="124" t="s">
        <v>620</v>
      </c>
      <c r="G308" s="333">
        <v>2011</v>
      </c>
      <c r="H308" s="341" t="s">
        <v>734</v>
      </c>
      <c r="I308" s="336" t="str">
        <f t="shared" si="18"/>
        <v>Pesado de Passageiros M3: III : Gasóleo : E5</v>
      </c>
      <c r="J308" s="125">
        <v>53</v>
      </c>
      <c r="K308" s="125">
        <v>2022</v>
      </c>
      <c r="L308" s="85">
        <v>29433.68</v>
      </c>
      <c r="M308" s="85" t="s">
        <v>630</v>
      </c>
      <c r="N308" s="128">
        <v>96489</v>
      </c>
      <c r="O308" s="128">
        <f t="shared" si="19"/>
        <v>5113917</v>
      </c>
      <c r="P308" s="125" t="s">
        <v>943</v>
      </c>
      <c r="Q308" s="85" t="s">
        <v>47</v>
      </c>
      <c r="R308" s="220" t="s">
        <v>1888</v>
      </c>
      <c r="S308" s="220" t="s">
        <v>1861</v>
      </c>
      <c r="T308" s="85" t="s">
        <v>1491</v>
      </c>
      <c r="U308" t="s">
        <v>1972</v>
      </c>
      <c r="V308" t="s">
        <v>2832</v>
      </c>
    </row>
    <row r="309" spans="1:22" ht="15.75" thickBot="1" x14ac:dyDescent="0.3">
      <c r="A309" s="82" t="s">
        <v>3507</v>
      </c>
      <c r="B309" s="82" t="str">
        <f t="shared" si="16"/>
        <v>Barraqueiro Transportes, S.A.</v>
      </c>
      <c r="C309" s="82" t="str">
        <f t="shared" si="17"/>
        <v>Estremadura</v>
      </c>
      <c r="D309" s="83" t="s">
        <v>629</v>
      </c>
      <c r="E309" s="91" t="s">
        <v>1853</v>
      </c>
      <c r="F309" s="124" t="s">
        <v>620</v>
      </c>
      <c r="G309" s="333">
        <v>2018</v>
      </c>
      <c r="H309" s="341" t="s">
        <v>733</v>
      </c>
      <c r="I309" s="336" t="str">
        <f t="shared" si="18"/>
        <v>Pesado de Passageiros M3: III : Gasóleo : E6</v>
      </c>
      <c r="J309" s="125">
        <v>39</v>
      </c>
      <c r="K309" s="125">
        <v>2022</v>
      </c>
      <c r="L309" s="85">
        <v>12347.79</v>
      </c>
      <c r="M309" s="85" t="s">
        <v>630</v>
      </c>
      <c r="N309" s="128">
        <v>47329</v>
      </c>
      <c r="O309" s="128">
        <f t="shared" si="19"/>
        <v>1845831</v>
      </c>
      <c r="P309" s="125" t="s">
        <v>944</v>
      </c>
      <c r="Q309" s="85" t="s">
        <v>47</v>
      </c>
      <c r="R309" s="220" t="s">
        <v>1888</v>
      </c>
      <c r="S309" s="220" t="s">
        <v>1861</v>
      </c>
      <c r="T309" s="85" t="s">
        <v>1491</v>
      </c>
      <c r="U309" t="s">
        <v>1972</v>
      </c>
      <c r="V309" t="s">
        <v>2832</v>
      </c>
    </row>
    <row r="310" spans="1:22" ht="15.75" thickBot="1" x14ac:dyDescent="0.3">
      <c r="A310" s="82" t="s">
        <v>3507</v>
      </c>
      <c r="B310" s="82" t="str">
        <f t="shared" si="16"/>
        <v>Barraqueiro Transportes, S.A.</v>
      </c>
      <c r="C310" s="82" t="str">
        <f t="shared" si="17"/>
        <v>Estremadura</v>
      </c>
      <c r="D310" s="83" t="s">
        <v>629</v>
      </c>
      <c r="E310" s="91" t="s">
        <v>1853</v>
      </c>
      <c r="F310" s="124" t="s">
        <v>620</v>
      </c>
      <c r="G310" s="333">
        <v>2018</v>
      </c>
      <c r="H310" s="341" t="s">
        <v>733</v>
      </c>
      <c r="I310" s="336" t="str">
        <f t="shared" si="18"/>
        <v>Pesado de Passageiros M3: III : Gasóleo : E6</v>
      </c>
      <c r="J310" s="125">
        <v>39</v>
      </c>
      <c r="K310" s="125">
        <v>2022</v>
      </c>
      <c r="L310" s="85">
        <v>13429.99</v>
      </c>
      <c r="M310" s="85" t="s">
        <v>630</v>
      </c>
      <c r="N310" s="128">
        <v>49071</v>
      </c>
      <c r="O310" s="128">
        <f t="shared" si="19"/>
        <v>1913769</v>
      </c>
      <c r="P310" s="125" t="s">
        <v>945</v>
      </c>
      <c r="Q310" s="85" t="s">
        <v>47</v>
      </c>
      <c r="R310" s="220" t="s">
        <v>1888</v>
      </c>
      <c r="S310" s="220" t="s">
        <v>1861</v>
      </c>
      <c r="T310" s="85" t="s">
        <v>1491</v>
      </c>
      <c r="U310" t="s">
        <v>1972</v>
      </c>
      <c r="V310" t="s">
        <v>2832</v>
      </c>
    </row>
    <row r="311" spans="1:22" ht="15.75" thickBot="1" x14ac:dyDescent="0.3">
      <c r="A311" s="82" t="s">
        <v>3507</v>
      </c>
      <c r="B311" s="82" t="str">
        <f t="shared" si="16"/>
        <v>Barraqueiro Transportes, S.A.</v>
      </c>
      <c r="C311" s="82" t="str">
        <f t="shared" si="17"/>
        <v>Estremadura</v>
      </c>
      <c r="D311" s="83" t="s">
        <v>629</v>
      </c>
      <c r="E311" s="91" t="s">
        <v>1853</v>
      </c>
      <c r="F311" s="124" t="s">
        <v>620</v>
      </c>
      <c r="G311" s="333">
        <v>2018</v>
      </c>
      <c r="H311" s="341" t="s">
        <v>733</v>
      </c>
      <c r="I311" s="336" t="str">
        <f t="shared" si="18"/>
        <v>Pesado de Passageiros M3: III : Gasóleo : E6</v>
      </c>
      <c r="J311" s="125">
        <v>63</v>
      </c>
      <c r="K311" s="125">
        <v>2022</v>
      </c>
      <c r="L311" s="85">
        <v>65543.069999999992</v>
      </c>
      <c r="M311" s="85" t="s">
        <v>630</v>
      </c>
      <c r="N311" s="128">
        <v>220250</v>
      </c>
      <c r="O311" s="128">
        <f t="shared" si="19"/>
        <v>13875750</v>
      </c>
      <c r="P311" s="125" t="s">
        <v>946</v>
      </c>
      <c r="Q311" s="85" t="s">
        <v>47</v>
      </c>
      <c r="R311" s="220" t="s">
        <v>1888</v>
      </c>
      <c r="S311" s="220" t="s">
        <v>1861</v>
      </c>
      <c r="T311" s="85" t="s">
        <v>1491</v>
      </c>
      <c r="U311" t="s">
        <v>1972</v>
      </c>
      <c r="V311" t="s">
        <v>2832</v>
      </c>
    </row>
    <row r="312" spans="1:22" ht="15.75" thickBot="1" x14ac:dyDescent="0.3">
      <c r="A312" s="82" t="s">
        <v>3507</v>
      </c>
      <c r="B312" s="82" t="str">
        <f t="shared" si="16"/>
        <v>Barraqueiro Transportes, S.A.</v>
      </c>
      <c r="C312" s="82" t="str">
        <f t="shared" si="17"/>
        <v>Estremadura</v>
      </c>
      <c r="D312" s="83" t="s">
        <v>629</v>
      </c>
      <c r="E312" s="91" t="s">
        <v>1853</v>
      </c>
      <c r="F312" s="124" t="s">
        <v>620</v>
      </c>
      <c r="G312" s="333">
        <v>2018</v>
      </c>
      <c r="H312" s="341" t="s">
        <v>733</v>
      </c>
      <c r="I312" s="336" t="str">
        <f t="shared" si="18"/>
        <v>Pesado de Passageiros M3: III : Gasóleo : E6</v>
      </c>
      <c r="J312" s="125">
        <v>53</v>
      </c>
      <c r="K312" s="125">
        <v>2022</v>
      </c>
      <c r="L312" s="85">
        <v>30511.730000000003</v>
      </c>
      <c r="M312" s="85" t="s">
        <v>630</v>
      </c>
      <c r="N312" s="128">
        <v>116248</v>
      </c>
      <c r="O312" s="128">
        <f t="shared" si="19"/>
        <v>6161144</v>
      </c>
      <c r="P312" s="125" t="s">
        <v>947</v>
      </c>
      <c r="Q312" s="85" t="s">
        <v>47</v>
      </c>
      <c r="R312" s="220" t="s">
        <v>1888</v>
      </c>
      <c r="S312" s="220" t="s">
        <v>1861</v>
      </c>
      <c r="T312" s="85" t="s">
        <v>1491</v>
      </c>
      <c r="U312" t="s">
        <v>1972</v>
      </c>
      <c r="V312" t="s">
        <v>2832</v>
      </c>
    </row>
    <row r="313" spans="1:22" ht="15.75" thickBot="1" x14ac:dyDescent="0.3">
      <c r="A313" s="82" t="s">
        <v>3507</v>
      </c>
      <c r="B313" s="82" t="str">
        <f t="shared" si="16"/>
        <v>Barraqueiro Transportes, S.A.</v>
      </c>
      <c r="C313" s="82" t="str">
        <f t="shared" si="17"/>
        <v>Estremadura</v>
      </c>
      <c r="D313" s="83" t="s">
        <v>629</v>
      </c>
      <c r="E313" s="91" t="s">
        <v>1853</v>
      </c>
      <c r="F313" s="124" t="s">
        <v>620</v>
      </c>
      <c r="G313" s="333">
        <v>2018</v>
      </c>
      <c r="H313" s="341" t="s">
        <v>733</v>
      </c>
      <c r="I313" s="336" t="str">
        <f t="shared" si="18"/>
        <v>Pesado de Passageiros M3: III : Gasóleo : E6</v>
      </c>
      <c r="J313" s="125">
        <v>53</v>
      </c>
      <c r="K313" s="125">
        <v>2022</v>
      </c>
      <c r="L313" s="85">
        <v>31745.849000000002</v>
      </c>
      <c r="M313" s="85" t="s">
        <v>630</v>
      </c>
      <c r="N313" s="128">
        <v>121767</v>
      </c>
      <c r="O313" s="128">
        <f t="shared" si="19"/>
        <v>6453651</v>
      </c>
      <c r="P313" s="125" t="s">
        <v>948</v>
      </c>
      <c r="Q313" s="85" t="s">
        <v>47</v>
      </c>
      <c r="R313" s="220" t="s">
        <v>1888</v>
      </c>
      <c r="S313" s="220" t="s">
        <v>1861</v>
      </c>
      <c r="T313" s="85" t="s">
        <v>1491</v>
      </c>
      <c r="U313" t="s">
        <v>1972</v>
      </c>
      <c r="V313" t="s">
        <v>2832</v>
      </c>
    </row>
    <row r="314" spans="1:22" ht="15.75" thickBot="1" x14ac:dyDescent="0.3">
      <c r="A314" s="82" t="s">
        <v>3507</v>
      </c>
      <c r="B314" s="82" t="str">
        <f t="shared" si="16"/>
        <v>Barraqueiro Transportes, S.A.</v>
      </c>
      <c r="C314" s="82" t="str">
        <f t="shared" si="17"/>
        <v>Estremadura</v>
      </c>
      <c r="D314" s="83" t="s">
        <v>629</v>
      </c>
      <c r="E314" s="91" t="s">
        <v>1853</v>
      </c>
      <c r="F314" s="124" t="s">
        <v>620</v>
      </c>
      <c r="G314" s="333">
        <v>2018</v>
      </c>
      <c r="H314" s="341" t="s">
        <v>733</v>
      </c>
      <c r="I314" s="336" t="str">
        <f t="shared" si="18"/>
        <v>Pesado de Passageiros M3: III : Gasóleo : E6</v>
      </c>
      <c r="J314" s="125">
        <v>53</v>
      </c>
      <c r="K314" s="125">
        <v>2022</v>
      </c>
      <c r="L314" s="85">
        <v>27923.670000000006</v>
      </c>
      <c r="M314" s="85" t="s">
        <v>630</v>
      </c>
      <c r="N314" s="128">
        <v>107728</v>
      </c>
      <c r="O314" s="128">
        <f t="shared" si="19"/>
        <v>5709584</v>
      </c>
      <c r="P314" s="125" t="s">
        <v>949</v>
      </c>
      <c r="Q314" s="85" t="s">
        <v>47</v>
      </c>
      <c r="R314" s="220" t="s">
        <v>1888</v>
      </c>
      <c r="S314" s="220" t="s">
        <v>1861</v>
      </c>
      <c r="T314" s="85" t="s">
        <v>1491</v>
      </c>
      <c r="U314" t="s">
        <v>1972</v>
      </c>
      <c r="V314" t="s">
        <v>2832</v>
      </c>
    </row>
    <row r="315" spans="1:22" ht="15.75" thickBot="1" x14ac:dyDescent="0.3">
      <c r="A315" s="82" t="s">
        <v>3507</v>
      </c>
      <c r="B315" s="82" t="str">
        <f t="shared" si="16"/>
        <v>Barraqueiro Transportes, S.A.</v>
      </c>
      <c r="C315" s="82" t="str">
        <f t="shared" si="17"/>
        <v>Estremadura</v>
      </c>
      <c r="D315" s="83" t="s">
        <v>629</v>
      </c>
      <c r="E315" s="91" t="s">
        <v>1853</v>
      </c>
      <c r="F315" s="124" t="s">
        <v>620</v>
      </c>
      <c r="G315" s="333">
        <v>2018</v>
      </c>
      <c r="H315" s="341" t="s">
        <v>733</v>
      </c>
      <c r="I315" s="336" t="str">
        <f t="shared" si="18"/>
        <v>Pesado de Passageiros M3: III : Gasóleo : E6</v>
      </c>
      <c r="J315" s="125">
        <v>53</v>
      </c>
      <c r="K315" s="125">
        <v>2022</v>
      </c>
      <c r="L315" s="85">
        <v>30285.879999999997</v>
      </c>
      <c r="M315" s="85" t="s">
        <v>630</v>
      </c>
      <c r="N315" s="128">
        <v>114741</v>
      </c>
      <c r="O315" s="128">
        <f t="shared" si="19"/>
        <v>6081273</v>
      </c>
      <c r="P315" s="125" t="s">
        <v>950</v>
      </c>
      <c r="Q315" s="85" t="s">
        <v>47</v>
      </c>
      <c r="R315" s="220" t="s">
        <v>1888</v>
      </c>
      <c r="S315" s="220" t="s">
        <v>1861</v>
      </c>
      <c r="T315" s="85" t="s">
        <v>1491</v>
      </c>
      <c r="U315" t="s">
        <v>1972</v>
      </c>
      <c r="V315" t="s">
        <v>2832</v>
      </c>
    </row>
    <row r="316" spans="1:22" ht="15.75" thickBot="1" x14ac:dyDescent="0.3">
      <c r="A316" s="82" t="s">
        <v>3507</v>
      </c>
      <c r="B316" s="82" t="str">
        <f t="shared" si="16"/>
        <v>Barraqueiro Transportes, S.A.</v>
      </c>
      <c r="C316" s="82" t="str">
        <f t="shared" si="17"/>
        <v>Estremadura</v>
      </c>
      <c r="D316" s="83" t="s">
        <v>629</v>
      </c>
      <c r="E316" s="91" t="s">
        <v>1853</v>
      </c>
      <c r="F316" s="124" t="s">
        <v>620</v>
      </c>
      <c r="G316" s="333">
        <v>2018</v>
      </c>
      <c r="H316" s="341" t="s">
        <v>733</v>
      </c>
      <c r="I316" s="336" t="str">
        <f t="shared" si="18"/>
        <v>Pesado de Passageiros M3: III : Gasóleo : E6</v>
      </c>
      <c r="J316" s="125">
        <v>35</v>
      </c>
      <c r="K316" s="125">
        <v>2022</v>
      </c>
      <c r="L316" s="85">
        <v>17200.559999999998</v>
      </c>
      <c r="M316" s="85" t="s">
        <v>630</v>
      </c>
      <c r="N316" s="128">
        <v>70297</v>
      </c>
      <c r="O316" s="128">
        <f t="shared" si="19"/>
        <v>2460395</v>
      </c>
      <c r="P316" s="125" t="s">
        <v>951</v>
      </c>
      <c r="Q316" s="85" t="s">
        <v>47</v>
      </c>
      <c r="R316" s="220" t="s">
        <v>1888</v>
      </c>
      <c r="S316" s="220" t="s">
        <v>1861</v>
      </c>
      <c r="T316" s="85" t="s">
        <v>1491</v>
      </c>
      <c r="U316" t="s">
        <v>1972</v>
      </c>
      <c r="V316" t="s">
        <v>2832</v>
      </c>
    </row>
    <row r="317" spans="1:22" ht="15.75" thickBot="1" x14ac:dyDescent="0.3">
      <c r="A317" s="82" t="s">
        <v>3507</v>
      </c>
      <c r="B317" s="82" t="str">
        <f t="shared" si="16"/>
        <v>Barraqueiro Transportes, S.A.</v>
      </c>
      <c r="C317" s="82" t="str">
        <f t="shared" si="17"/>
        <v>Estremadura</v>
      </c>
      <c r="D317" s="83" t="s">
        <v>629</v>
      </c>
      <c r="E317" s="91" t="s">
        <v>1853</v>
      </c>
      <c r="F317" s="124" t="s">
        <v>620</v>
      </c>
      <c r="G317" s="333">
        <v>2018</v>
      </c>
      <c r="H317" s="341" t="s">
        <v>733</v>
      </c>
      <c r="I317" s="336" t="str">
        <f t="shared" si="18"/>
        <v>Pesado de Passageiros M3: III : Gasóleo : E6</v>
      </c>
      <c r="J317" s="125">
        <v>52</v>
      </c>
      <c r="K317" s="125">
        <v>2022</v>
      </c>
      <c r="L317" s="85">
        <v>5967.85</v>
      </c>
      <c r="M317" s="85" t="s">
        <v>630</v>
      </c>
      <c r="N317" s="128">
        <v>19216</v>
      </c>
      <c r="O317" s="128">
        <f t="shared" si="19"/>
        <v>999232</v>
      </c>
      <c r="P317" s="125" t="s">
        <v>952</v>
      </c>
      <c r="Q317" s="85" t="s">
        <v>47</v>
      </c>
      <c r="R317" s="220" t="s">
        <v>1888</v>
      </c>
      <c r="S317" s="220" t="s">
        <v>1861</v>
      </c>
      <c r="T317" s="85" t="s">
        <v>1491</v>
      </c>
      <c r="U317" t="s">
        <v>1972</v>
      </c>
      <c r="V317" t="s">
        <v>2832</v>
      </c>
    </row>
    <row r="318" spans="1:22" ht="15.75" thickBot="1" x14ac:dyDescent="0.3">
      <c r="A318" s="82" t="s">
        <v>3507</v>
      </c>
      <c r="B318" s="82" t="str">
        <f t="shared" si="16"/>
        <v>Barraqueiro Transportes, S.A.</v>
      </c>
      <c r="C318" s="82" t="str">
        <f t="shared" si="17"/>
        <v>Estremadura</v>
      </c>
      <c r="D318" s="83" t="s">
        <v>629</v>
      </c>
      <c r="E318" s="91" t="s">
        <v>1853</v>
      </c>
      <c r="F318" s="124" t="s">
        <v>620</v>
      </c>
      <c r="G318" s="333">
        <v>2018</v>
      </c>
      <c r="H318" s="341" t="s">
        <v>733</v>
      </c>
      <c r="I318" s="336" t="str">
        <f t="shared" si="18"/>
        <v>Pesado de Passageiros M3: III : Gasóleo : E6</v>
      </c>
      <c r="J318" s="125">
        <v>19</v>
      </c>
      <c r="K318" s="125">
        <v>2022</v>
      </c>
      <c r="L318" s="85">
        <v>6139.4399999999987</v>
      </c>
      <c r="M318" s="85" t="s">
        <v>630</v>
      </c>
      <c r="N318" s="128">
        <v>43176</v>
      </c>
      <c r="O318" s="128">
        <f t="shared" si="19"/>
        <v>820344</v>
      </c>
      <c r="P318" s="125" t="s">
        <v>953</v>
      </c>
      <c r="Q318" s="85" t="s">
        <v>47</v>
      </c>
      <c r="R318" s="220" t="s">
        <v>1888</v>
      </c>
      <c r="S318" s="220" t="s">
        <v>1861</v>
      </c>
      <c r="T318" s="85" t="s">
        <v>1491</v>
      </c>
      <c r="U318" t="s">
        <v>1972</v>
      </c>
      <c r="V318" t="s">
        <v>2832</v>
      </c>
    </row>
    <row r="319" spans="1:22" ht="15.75" thickBot="1" x14ac:dyDescent="0.3">
      <c r="A319" s="82" t="s">
        <v>3507</v>
      </c>
      <c r="B319" s="82" t="str">
        <f t="shared" si="16"/>
        <v>Barraqueiro Transportes, S.A.</v>
      </c>
      <c r="C319" s="82" t="str">
        <f t="shared" si="17"/>
        <v>Estremadura</v>
      </c>
      <c r="D319" s="83" t="s">
        <v>629</v>
      </c>
      <c r="E319" s="91" t="s">
        <v>1853</v>
      </c>
      <c r="F319" s="124" t="s">
        <v>620</v>
      </c>
      <c r="G319" s="333">
        <v>2018</v>
      </c>
      <c r="H319" s="341" t="s">
        <v>733</v>
      </c>
      <c r="I319" s="336" t="str">
        <f t="shared" si="18"/>
        <v>Pesado de Passageiros M3: III : Gasóleo : E6</v>
      </c>
      <c r="J319" s="125">
        <v>19</v>
      </c>
      <c r="K319" s="125">
        <v>2022</v>
      </c>
      <c r="L319" s="85">
        <v>5828.0300000000016</v>
      </c>
      <c r="M319" s="85" t="s">
        <v>630</v>
      </c>
      <c r="N319" s="128">
        <v>38619</v>
      </c>
      <c r="O319" s="128">
        <f t="shared" si="19"/>
        <v>733761</v>
      </c>
      <c r="P319" s="125" t="s">
        <v>954</v>
      </c>
      <c r="Q319" s="85" t="s">
        <v>47</v>
      </c>
      <c r="R319" s="220" t="s">
        <v>1888</v>
      </c>
      <c r="S319" s="220" t="s">
        <v>1861</v>
      </c>
      <c r="T319" s="85" t="s">
        <v>1491</v>
      </c>
      <c r="U319" t="s">
        <v>1972</v>
      </c>
      <c r="V319" t="s">
        <v>2832</v>
      </c>
    </row>
    <row r="320" spans="1:22" ht="15.75" thickBot="1" x14ac:dyDescent="0.3">
      <c r="A320" s="82" t="s">
        <v>3507</v>
      </c>
      <c r="B320" s="82" t="str">
        <f t="shared" si="16"/>
        <v>Barraqueiro Transportes, S.A.</v>
      </c>
      <c r="C320" s="82" t="str">
        <f t="shared" si="17"/>
        <v>Estremadura</v>
      </c>
      <c r="D320" s="83" t="s">
        <v>629</v>
      </c>
      <c r="E320" s="91" t="s">
        <v>1853</v>
      </c>
      <c r="F320" s="124" t="s">
        <v>620</v>
      </c>
      <c r="G320" s="333">
        <v>2018</v>
      </c>
      <c r="H320" s="341" t="s">
        <v>733</v>
      </c>
      <c r="I320" s="336" t="str">
        <f t="shared" si="18"/>
        <v>Pesado de Passageiros M3: III : Gasóleo : E6</v>
      </c>
      <c r="J320" s="125">
        <v>19</v>
      </c>
      <c r="K320" s="125">
        <v>2022</v>
      </c>
      <c r="L320" s="85">
        <v>6817.1799999999994</v>
      </c>
      <c r="M320" s="85" t="s">
        <v>630</v>
      </c>
      <c r="N320" s="128">
        <v>46838</v>
      </c>
      <c r="O320" s="128">
        <f t="shared" si="19"/>
        <v>889922</v>
      </c>
      <c r="P320" s="125" t="s">
        <v>955</v>
      </c>
      <c r="Q320" s="85" t="s">
        <v>47</v>
      </c>
      <c r="R320" s="220" t="s">
        <v>1888</v>
      </c>
      <c r="S320" s="220" t="s">
        <v>1861</v>
      </c>
      <c r="T320" s="85" t="s">
        <v>1491</v>
      </c>
      <c r="U320" t="s">
        <v>1972</v>
      </c>
      <c r="V320" t="s">
        <v>2832</v>
      </c>
    </row>
    <row r="321" spans="1:22" ht="15.75" thickBot="1" x14ac:dyDescent="0.3">
      <c r="A321" s="82" t="s">
        <v>3507</v>
      </c>
      <c r="B321" s="82" t="str">
        <f t="shared" si="16"/>
        <v>Barraqueiro Transportes, S.A.</v>
      </c>
      <c r="C321" s="82" t="str">
        <f t="shared" si="17"/>
        <v>Estremadura</v>
      </c>
      <c r="D321" s="83" t="s">
        <v>629</v>
      </c>
      <c r="E321" s="91" t="s">
        <v>1853</v>
      </c>
      <c r="F321" s="124" t="s">
        <v>620</v>
      </c>
      <c r="G321" s="333">
        <v>2005</v>
      </c>
      <c r="H321" s="341" t="s">
        <v>732</v>
      </c>
      <c r="I321" s="336" t="str">
        <f t="shared" si="18"/>
        <v>Pesado de Passageiros M3: III : Gasóleo : E3</v>
      </c>
      <c r="J321" s="125">
        <v>36</v>
      </c>
      <c r="K321" s="125">
        <v>2022</v>
      </c>
      <c r="L321" s="85">
        <v>7451.99</v>
      </c>
      <c r="M321" s="85" t="s">
        <v>630</v>
      </c>
      <c r="N321" s="128">
        <v>23261</v>
      </c>
      <c r="O321" s="128">
        <f t="shared" si="19"/>
        <v>837396</v>
      </c>
      <c r="P321" s="125" t="s">
        <v>956</v>
      </c>
      <c r="Q321" s="85" t="s">
        <v>47</v>
      </c>
      <c r="R321" s="220" t="s">
        <v>1888</v>
      </c>
      <c r="S321" s="220" t="s">
        <v>1861</v>
      </c>
      <c r="T321" s="85" t="s">
        <v>1491</v>
      </c>
      <c r="U321" t="s">
        <v>1972</v>
      </c>
      <c r="V321" t="s">
        <v>2832</v>
      </c>
    </row>
    <row r="322" spans="1:22" ht="15.75" thickBot="1" x14ac:dyDescent="0.3">
      <c r="A322" s="82" t="s">
        <v>3507</v>
      </c>
      <c r="B322" s="82" t="str">
        <f t="shared" si="16"/>
        <v>Barraqueiro Transportes, S.A.</v>
      </c>
      <c r="C322" s="82" t="str">
        <f t="shared" si="17"/>
        <v>Estremadura</v>
      </c>
      <c r="D322" s="83" t="s">
        <v>629</v>
      </c>
      <c r="E322" s="91" t="s">
        <v>1853</v>
      </c>
      <c r="F322" s="124" t="s">
        <v>620</v>
      </c>
      <c r="G322" s="333">
        <v>2011</v>
      </c>
      <c r="H322" s="341" t="s">
        <v>734</v>
      </c>
      <c r="I322" s="336" t="str">
        <f t="shared" si="18"/>
        <v>Pesado de Passageiros M3: III : Gasóleo : E5</v>
      </c>
      <c r="J322" s="125">
        <v>34</v>
      </c>
      <c r="K322" s="125">
        <v>2022</v>
      </c>
      <c r="L322" s="85">
        <v>27550.990000000005</v>
      </c>
      <c r="M322" s="85" t="s">
        <v>630</v>
      </c>
      <c r="N322" s="128">
        <v>86247</v>
      </c>
      <c r="O322" s="128">
        <f t="shared" si="19"/>
        <v>2932398</v>
      </c>
      <c r="P322" s="125" t="s">
        <v>957</v>
      </c>
      <c r="Q322" s="85" t="s">
        <v>47</v>
      </c>
      <c r="R322" s="220" t="s">
        <v>1888</v>
      </c>
      <c r="S322" s="220" t="s">
        <v>1861</v>
      </c>
      <c r="T322" s="85" t="s">
        <v>1491</v>
      </c>
      <c r="U322" t="s">
        <v>1972</v>
      </c>
      <c r="V322" t="s">
        <v>2832</v>
      </c>
    </row>
    <row r="323" spans="1:22" ht="15.75" thickBot="1" x14ac:dyDescent="0.3">
      <c r="A323" s="82" t="s">
        <v>3507</v>
      </c>
      <c r="B323" s="82" t="str">
        <f t="shared" ref="B323:B386" si="20">LEFT(A323,IFERROR(FIND(" - ",A323)-1,LEN(A323)))</f>
        <v>Barraqueiro Transportes, S.A.</v>
      </c>
      <c r="C323" s="82" t="str">
        <f t="shared" si="17"/>
        <v>Estremadura</v>
      </c>
      <c r="D323" s="83" t="s">
        <v>629</v>
      </c>
      <c r="E323" s="91" t="s">
        <v>1853</v>
      </c>
      <c r="F323" s="124" t="s">
        <v>620</v>
      </c>
      <c r="G323" s="333">
        <v>2012</v>
      </c>
      <c r="H323" s="341" t="s">
        <v>734</v>
      </c>
      <c r="I323" s="336" t="str">
        <f t="shared" si="18"/>
        <v>Pesado de Passageiros M3: III : Gasóleo : E5</v>
      </c>
      <c r="J323" s="125">
        <v>53</v>
      </c>
      <c r="K323" s="125">
        <v>2022</v>
      </c>
      <c r="L323" s="85">
        <v>34377.899999999994</v>
      </c>
      <c r="M323" s="85" t="s">
        <v>630</v>
      </c>
      <c r="N323" s="128">
        <v>114509</v>
      </c>
      <c r="O323" s="128">
        <f t="shared" si="19"/>
        <v>6068977</v>
      </c>
      <c r="P323" s="125" t="s">
        <v>958</v>
      </c>
      <c r="Q323" s="85" t="s">
        <v>47</v>
      </c>
      <c r="R323" s="220" t="s">
        <v>1888</v>
      </c>
      <c r="S323" s="220" t="s">
        <v>1861</v>
      </c>
      <c r="T323" s="85" t="s">
        <v>1491</v>
      </c>
      <c r="U323" t="s">
        <v>1972</v>
      </c>
      <c r="V323" t="s">
        <v>2832</v>
      </c>
    </row>
    <row r="324" spans="1:22" ht="15.75" thickBot="1" x14ac:dyDescent="0.3">
      <c r="A324" s="82" t="s">
        <v>3507</v>
      </c>
      <c r="B324" s="82" t="str">
        <f t="shared" si="20"/>
        <v>Barraqueiro Transportes, S.A.</v>
      </c>
      <c r="C324" s="82" t="str">
        <f t="shared" ref="C324:C387" si="21">IF(A324=B324,B324,RIGHT(A324,LEN(A324)-LEN(B324)-3))</f>
        <v>Estremadura</v>
      </c>
      <c r="D324" s="83" t="s">
        <v>629</v>
      </c>
      <c r="E324" s="91" t="s">
        <v>1853</v>
      </c>
      <c r="F324" s="124" t="s">
        <v>620</v>
      </c>
      <c r="G324" s="333">
        <v>2013</v>
      </c>
      <c r="H324" s="341" t="s">
        <v>733</v>
      </c>
      <c r="I324" s="336" t="str">
        <f t="shared" ref="I324:I387" si="22">D324&amp;": "&amp;E324&amp;" : "&amp;F324&amp;" : "&amp;H324</f>
        <v>Pesado de Passageiros M3: III : Gasóleo : E6</v>
      </c>
      <c r="J324" s="125">
        <v>53</v>
      </c>
      <c r="K324" s="125">
        <v>2022</v>
      </c>
      <c r="L324" s="85">
        <v>23980.310000000005</v>
      </c>
      <c r="M324" s="85" t="s">
        <v>630</v>
      </c>
      <c r="N324" s="128">
        <v>79554</v>
      </c>
      <c r="O324" s="128">
        <f t="shared" ref="O324:O387" si="23">N324*J324</f>
        <v>4216362</v>
      </c>
      <c r="P324" s="125" t="s">
        <v>959</v>
      </c>
      <c r="Q324" s="85" t="s">
        <v>47</v>
      </c>
      <c r="R324" s="220" t="s">
        <v>1888</v>
      </c>
      <c r="S324" s="220" t="s">
        <v>1861</v>
      </c>
      <c r="T324" s="85" t="s">
        <v>1491</v>
      </c>
      <c r="U324" t="s">
        <v>1972</v>
      </c>
      <c r="V324" t="s">
        <v>2832</v>
      </c>
    </row>
    <row r="325" spans="1:22" ht="15.75" thickBot="1" x14ac:dyDescent="0.3">
      <c r="A325" s="82" t="s">
        <v>3507</v>
      </c>
      <c r="B325" s="82" t="str">
        <f t="shared" si="20"/>
        <v>Barraqueiro Transportes, S.A.</v>
      </c>
      <c r="C325" s="82" t="str">
        <f t="shared" si="21"/>
        <v>Estremadura</v>
      </c>
      <c r="D325" s="83" t="s">
        <v>629</v>
      </c>
      <c r="E325" s="91" t="s">
        <v>1853</v>
      </c>
      <c r="F325" s="124" t="s">
        <v>620</v>
      </c>
      <c r="G325" s="333">
        <v>2013</v>
      </c>
      <c r="H325" s="341" t="s">
        <v>733</v>
      </c>
      <c r="I325" s="336" t="str">
        <f t="shared" si="22"/>
        <v>Pesado de Passageiros M3: III : Gasóleo : E6</v>
      </c>
      <c r="J325" s="125">
        <v>53</v>
      </c>
      <c r="K325" s="125">
        <v>2022</v>
      </c>
      <c r="L325" s="85">
        <v>0</v>
      </c>
      <c r="M325" s="85" t="s">
        <v>630</v>
      </c>
      <c r="N325" s="128">
        <v>0</v>
      </c>
      <c r="O325" s="128">
        <f t="shared" si="23"/>
        <v>0</v>
      </c>
      <c r="P325" s="125" t="s">
        <v>960</v>
      </c>
      <c r="Q325" s="85" t="s">
        <v>47</v>
      </c>
      <c r="R325" s="220" t="s">
        <v>1888</v>
      </c>
      <c r="S325" s="220" t="s">
        <v>1861</v>
      </c>
      <c r="T325" s="85" t="s">
        <v>1491</v>
      </c>
      <c r="U325" t="s">
        <v>1972</v>
      </c>
      <c r="V325" t="s">
        <v>2832</v>
      </c>
    </row>
    <row r="326" spans="1:22" ht="15.75" thickBot="1" x14ac:dyDescent="0.3">
      <c r="A326" s="82" t="s">
        <v>3507</v>
      </c>
      <c r="B326" s="82" t="str">
        <f t="shared" si="20"/>
        <v>Barraqueiro Transportes, S.A.</v>
      </c>
      <c r="C326" s="82" t="str">
        <f t="shared" si="21"/>
        <v>Estremadura</v>
      </c>
      <c r="D326" s="83" t="s">
        <v>629</v>
      </c>
      <c r="E326" s="91" t="s">
        <v>1853</v>
      </c>
      <c r="F326" s="124" t="s">
        <v>620</v>
      </c>
      <c r="G326" s="333">
        <v>2013</v>
      </c>
      <c r="H326" s="341" t="s">
        <v>733</v>
      </c>
      <c r="I326" s="336" t="str">
        <f t="shared" si="22"/>
        <v>Pesado de Passageiros M3: III : Gasóleo : E6</v>
      </c>
      <c r="J326" s="125">
        <v>55</v>
      </c>
      <c r="K326" s="125">
        <v>2022</v>
      </c>
      <c r="L326" s="85">
        <v>31687.210000000003</v>
      </c>
      <c r="M326" s="85" t="s">
        <v>630</v>
      </c>
      <c r="N326" s="128">
        <v>101173</v>
      </c>
      <c r="O326" s="128">
        <f t="shared" si="23"/>
        <v>5564515</v>
      </c>
      <c r="P326" s="125" t="s">
        <v>961</v>
      </c>
      <c r="Q326" s="85" t="s">
        <v>47</v>
      </c>
      <c r="R326" s="220" t="s">
        <v>1888</v>
      </c>
      <c r="S326" s="220" t="s">
        <v>1861</v>
      </c>
      <c r="T326" s="85" t="s">
        <v>1491</v>
      </c>
      <c r="U326" t="s">
        <v>1972</v>
      </c>
      <c r="V326" t="s">
        <v>2832</v>
      </c>
    </row>
    <row r="327" spans="1:22" ht="15.75" thickBot="1" x14ac:dyDescent="0.3">
      <c r="A327" s="82" t="s">
        <v>3507</v>
      </c>
      <c r="B327" s="82" t="str">
        <f t="shared" si="20"/>
        <v>Barraqueiro Transportes, S.A.</v>
      </c>
      <c r="C327" s="82" t="str">
        <f t="shared" si="21"/>
        <v>Estremadura</v>
      </c>
      <c r="D327" s="83" t="s">
        <v>629</v>
      </c>
      <c r="E327" s="91" t="s">
        <v>1853</v>
      </c>
      <c r="F327" s="124" t="s">
        <v>620</v>
      </c>
      <c r="G327" s="333">
        <v>2014</v>
      </c>
      <c r="H327" s="341" t="s">
        <v>733</v>
      </c>
      <c r="I327" s="336" t="str">
        <f t="shared" si="22"/>
        <v>Pesado de Passageiros M3: III : Gasóleo : E6</v>
      </c>
      <c r="J327" s="125">
        <v>53</v>
      </c>
      <c r="K327" s="125">
        <v>2022</v>
      </c>
      <c r="L327" s="85">
        <v>23223.269999999997</v>
      </c>
      <c r="M327" s="85" t="s">
        <v>630</v>
      </c>
      <c r="N327" s="128">
        <v>83307</v>
      </c>
      <c r="O327" s="128">
        <f t="shared" si="23"/>
        <v>4415271</v>
      </c>
      <c r="P327" s="125" t="s">
        <v>962</v>
      </c>
      <c r="Q327" s="85" t="s">
        <v>47</v>
      </c>
      <c r="R327" s="220" t="s">
        <v>1888</v>
      </c>
      <c r="S327" s="220" t="s">
        <v>1861</v>
      </c>
      <c r="T327" s="85" t="s">
        <v>1491</v>
      </c>
      <c r="U327" t="s">
        <v>1972</v>
      </c>
      <c r="V327" t="s">
        <v>2832</v>
      </c>
    </row>
    <row r="328" spans="1:22" ht="15.75" thickBot="1" x14ac:dyDescent="0.3">
      <c r="A328" s="82" t="s">
        <v>3507</v>
      </c>
      <c r="B328" s="82" t="str">
        <f t="shared" si="20"/>
        <v>Barraqueiro Transportes, S.A.</v>
      </c>
      <c r="C328" s="82" t="str">
        <f t="shared" si="21"/>
        <v>Estremadura</v>
      </c>
      <c r="D328" s="83" t="s">
        <v>629</v>
      </c>
      <c r="E328" s="91" t="s">
        <v>1853</v>
      </c>
      <c r="F328" s="124" t="s">
        <v>620</v>
      </c>
      <c r="G328" s="333">
        <v>2014</v>
      </c>
      <c r="H328" s="341" t="s">
        <v>733</v>
      </c>
      <c r="I328" s="336" t="str">
        <f t="shared" si="22"/>
        <v>Pesado de Passageiros M3: III : Gasóleo : E6</v>
      </c>
      <c r="J328" s="125">
        <v>53</v>
      </c>
      <c r="K328" s="125">
        <v>2022</v>
      </c>
      <c r="L328" s="85">
        <v>59276.82</v>
      </c>
      <c r="M328" s="85" t="s">
        <v>630</v>
      </c>
      <c r="N328" s="128">
        <v>207498</v>
      </c>
      <c r="O328" s="128">
        <f t="shared" si="23"/>
        <v>10997394</v>
      </c>
      <c r="P328" s="125" t="s">
        <v>963</v>
      </c>
      <c r="Q328" s="85" t="s">
        <v>47</v>
      </c>
      <c r="R328" s="220" t="s">
        <v>1888</v>
      </c>
      <c r="S328" s="220" t="s">
        <v>1861</v>
      </c>
      <c r="T328" s="85" t="s">
        <v>1491</v>
      </c>
      <c r="U328" t="s">
        <v>1972</v>
      </c>
      <c r="V328" t="s">
        <v>2832</v>
      </c>
    </row>
    <row r="329" spans="1:22" ht="15.75" thickBot="1" x14ac:dyDescent="0.3">
      <c r="A329" s="82" t="s">
        <v>3507</v>
      </c>
      <c r="B329" s="82" t="str">
        <f t="shared" si="20"/>
        <v>Barraqueiro Transportes, S.A.</v>
      </c>
      <c r="C329" s="82" t="str">
        <f t="shared" si="21"/>
        <v>Estremadura</v>
      </c>
      <c r="D329" s="83" t="s">
        <v>629</v>
      </c>
      <c r="E329" s="91" t="s">
        <v>1853</v>
      </c>
      <c r="F329" s="124" t="s">
        <v>620</v>
      </c>
      <c r="G329" s="333">
        <v>2015</v>
      </c>
      <c r="H329" s="341" t="s">
        <v>733</v>
      </c>
      <c r="I329" s="336" t="str">
        <f t="shared" si="22"/>
        <v>Pesado de Passageiros M3: III : Gasóleo : E6</v>
      </c>
      <c r="J329" s="125">
        <v>53</v>
      </c>
      <c r="K329" s="125">
        <v>2022</v>
      </c>
      <c r="L329" s="85">
        <v>48636.920000000006</v>
      </c>
      <c r="M329" s="85" t="s">
        <v>630</v>
      </c>
      <c r="N329" s="128">
        <v>181139</v>
      </c>
      <c r="O329" s="128">
        <f t="shared" si="23"/>
        <v>9600367</v>
      </c>
      <c r="P329" s="125" t="s">
        <v>964</v>
      </c>
      <c r="Q329" s="85" t="s">
        <v>47</v>
      </c>
      <c r="R329" s="220" t="s">
        <v>1888</v>
      </c>
      <c r="S329" s="220" t="s">
        <v>1861</v>
      </c>
      <c r="T329" s="85" t="s">
        <v>1491</v>
      </c>
      <c r="U329" t="s">
        <v>1972</v>
      </c>
      <c r="V329" t="s">
        <v>2832</v>
      </c>
    </row>
    <row r="330" spans="1:22" ht="15.75" thickBot="1" x14ac:dyDescent="0.3">
      <c r="A330" s="82" t="s">
        <v>3507</v>
      </c>
      <c r="B330" s="82" t="str">
        <f t="shared" si="20"/>
        <v>Barraqueiro Transportes, S.A.</v>
      </c>
      <c r="C330" s="82" t="str">
        <f t="shared" si="21"/>
        <v>Estremadura</v>
      </c>
      <c r="D330" s="83" t="s">
        <v>629</v>
      </c>
      <c r="E330" s="91" t="s">
        <v>1853</v>
      </c>
      <c r="F330" s="124" t="s">
        <v>620</v>
      </c>
      <c r="G330" s="333">
        <v>2015</v>
      </c>
      <c r="H330" s="341" t="s">
        <v>733</v>
      </c>
      <c r="I330" s="336" t="str">
        <f t="shared" si="22"/>
        <v>Pesado de Passageiros M3: III : Gasóleo : E6</v>
      </c>
      <c r="J330" s="125">
        <v>53</v>
      </c>
      <c r="K330" s="125">
        <v>2022</v>
      </c>
      <c r="L330" s="85">
        <v>51869.200000000004</v>
      </c>
      <c r="M330" s="85" t="s">
        <v>630</v>
      </c>
      <c r="N330" s="128">
        <v>189893</v>
      </c>
      <c r="O330" s="128">
        <f t="shared" si="23"/>
        <v>10064329</v>
      </c>
      <c r="P330" s="125" t="s">
        <v>965</v>
      </c>
      <c r="Q330" s="85" t="s">
        <v>47</v>
      </c>
      <c r="R330" s="220" t="s">
        <v>1888</v>
      </c>
      <c r="S330" s="220" t="s">
        <v>1861</v>
      </c>
      <c r="T330" s="85" t="s">
        <v>1491</v>
      </c>
      <c r="U330" t="s">
        <v>1972</v>
      </c>
      <c r="V330" t="s">
        <v>2832</v>
      </c>
    </row>
    <row r="331" spans="1:22" ht="15.75" thickBot="1" x14ac:dyDescent="0.3">
      <c r="A331" s="82" t="s">
        <v>3507</v>
      </c>
      <c r="B331" s="82" t="str">
        <f t="shared" si="20"/>
        <v>Barraqueiro Transportes, S.A.</v>
      </c>
      <c r="C331" s="82" t="str">
        <f t="shared" si="21"/>
        <v>Estremadura</v>
      </c>
      <c r="D331" s="83" t="s">
        <v>629</v>
      </c>
      <c r="E331" s="91" t="s">
        <v>1853</v>
      </c>
      <c r="F331" s="124" t="s">
        <v>620</v>
      </c>
      <c r="G331" s="333">
        <v>2015</v>
      </c>
      <c r="H331" s="341" t="s">
        <v>733</v>
      </c>
      <c r="I331" s="336" t="str">
        <f t="shared" si="22"/>
        <v>Pesado de Passageiros M3: III : Gasóleo : E6</v>
      </c>
      <c r="J331" s="125">
        <v>53</v>
      </c>
      <c r="K331" s="125">
        <v>2022</v>
      </c>
      <c r="L331" s="85">
        <v>59826.15</v>
      </c>
      <c r="M331" s="85" t="s">
        <v>630</v>
      </c>
      <c r="N331" s="128">
        <v>218929</v>
      </c>
      <c r="O331" s="128">
        <f t="shared" si="23"/>
        <v>11603237</v>
      </c>
      <c r="P331" s="125" t="s">
        <v>966</v>
      </c>
      <c r="Q331" s="85" t="s">
        <v>47</v>
      </c>
      <c r="R331" s="220" t="s">
        <v>1888</v>
      </c>
      <c r="S331" s="220" t="s">
        <v>1861</v>
      </c>
      <c r="T331" s="85" t="s">
        <v>1491</v>
      </c>
      <c r="U331" t="s">
        <v>1972</v>
      </c>
      <c r="V331" t="s">
        <v>2832</v>
      </c>
    </row>
    <row r="332" spans="1:22" ht="15.75" thickBot="1" x14ac:dyDescent="0.3">
      <c r="A332" s="82" t="s">
        <v>3507</v>
      </c>
      <c r="B332" s="82" t="str">
        <f t="shared" si="20"/>
        <v>Barraqueiro Transportes, S.A.</v>
      </c>
      <c r="C332" s="82" t="str">
        <f t="shared" si="21"/>
        <v>Estremadura</v>
      </c>
      <c r="D332" s="83" t="s">
        <v>629</v>
      </c>
      <c r="E332" s="91" t="s">
        <v>1853</v>
      </c>
      <c r="F332" s="124" t="s">
        <v>620</v>
      </c>
      <c r="G332" s="333">
        <v>2015</v>
      </c>
      <c r="H332" s="341" t="s">
        <v>733</v>
      </c>
      <c r="I332" s="336" t="str">
        <f t="shared" si="22"/>
        <v>Pesado de Passageiros M3: III : Gasóleo : E6</v>
      </c>
      <c r="J332" s="125">
        <v>53</v>
      </c>
      <c r="K332" s="125">
        <v>2022</v>
      </c>
      <c r="L332" s="85">
        <v>54196.82</v>
      </c>
      <c r="M332" s="85" t="s">
        <v>630</v>
      </c>
      <c r="N332" s="128">
        <v>203272</v>
      </c>
      <c r="O332" s="128">
        <f t="shared" si="23"/>
        <v>10773416</v>
      </c>
      <c r="P332" s="125" t="s">
        <v>967</v>
      </c>
      <c r="Q332" s="85" t="s">
        <v>47</v>
      </c>
      <c r="R332" s="220" t="s">
        <v>1888</v>
      </c>
      <c r="S332" s="220" t="s">
        <v>1861</v>
      </c>
      <c r="T332" s="85" t="s">
        <v>1491</v>
      </c>
      <c r="U332" t="s">
        <v>1972</v>
      </c>
      <c r="V332" t="s">
        <v>2832</v>
      </c>
    </row>
    <row r="333" spans="1:22" ht="15.75" thickBot="1" x14ac:dyDescent="0.3">
      <c r="A333" s="82" t="s">
        <v>3507</v>
      </c>
      <c r="B333" s="82" t="str">
        <f t="shared" si="20"/>
        <v>Barraqueiro Transportes, S.A.</v>
      </c>
      <c r="C333" s="82" t="str">
        <f t="shared" si="21"/>
        <v>Estremadura</v>
      </c>
      <c r="D333" s="83" t="s">
        <v>629</v>
      </c>
      <c r="E333" s="91" t="s">
        <v>1853</v>
      </c>
      <c r="F333" s="124" t="s">
        <v>620</v>
      </c>
      <c r="G333" s="333">
        <v>2015</v>
      </c>
      <c r="H333" s="341" t="s">
        <v>733</v>
      </c>
      <c r="I333" s="336" t="str">
        <f t="shared" si="22"/>
        <v>Pesado de Passageiros M3: III : Gasóleo : E6</v>
      </c>
      <c r="J333" s="125">
        <v>53</v>
      </c>
      <c r="K333" s="125">
        <v>2022</v>
      </c>
      <c r="L333" s="85">
        <v>53057.89</v>
      </c>
      <c r="M333" s="85" t="s">
        <v>630</v>
      </c>
      <c r="N333" s="128">
        <v>195890</v>
      </c>
      <c r="O333" s="128">
        <f t="shared" si="23"/>
        <v>10382170</v>
      </c>
      <c r="P333" s="125" t="s">
        <v>968</v>
      </c>
      <c r="Q333" s="85" t="s">
        <v>47</v>
      </c>
      <c r="R333" s="220" t="s">
        <v>1888</v>
      </c>
      <c r="S333" s="220" t="s">
        <v>1861</v>
      </c>
      <c r="T333" s="85" t="s">
        <v>1491</v>
      </c>
      <c r="U333" t="s">
        <v>1972</v>
      </c>
      <c r="V333" t="s">
        <v>2832</v>
      </c>
    </row>
    <row r="334" spans="1:22" ht="15.75" thickBot="1" x14ac:dyDescent="0.3">
      <c r="A334" s="82" t="s">
        <v>3507</v>
      </c>
      <c r="B334" s="82" t="str">
        <f t="shared" si="20"/>
        <v>Barraqueiro Transportes, S.A.</v>
      </c>
      <c r="C334" s="82" t="str">
        <f t="shared" si="21"/>
        <v>Estremadura</v>
      </c>
      <c r="D334" s="83" t="s">
        <v>629</v>
      </c>
      <c r="E334" s="91" t="s">
        <v>1853</v>
      </c>
      <c r="F334" s="124" t="s">
        <v>620</v>
      </c>
      <c r="G334" s="333">
        <v>2016</v>
      </c>
      <c r="H334" s="341" t="s">
        <v>733</v>
      </c>
      <c r="I334" s="336" t="str">
        <f t="shared" si="22"/>
        <v>Pesado de Passageiros M3: III : Gasóleo : E6</v>
      </c>
      <c r="J334" s="125">
        <v>53</v>
      </c>
      <c r="K334" s="125">
        <v>2022</v>
      </c>
      <c r="L334" s="85">
        <v>56407.200000000004</v>
      </c>
      <c r="M334" s="85" t="s">
        <v>630</v>
      </c>
      <c r="N334" s="128">
        <v>217394</v>
      </c>
      <c r="O334" s="128">
        <f t="shared" si="23"/>
        <v>11521882</v>
      </c>
      <c r="P334" s="125" t="s">
        <v>969</v>
      </c>
      <c r="Q334" s="85" t="s">
        <v>47</v>
      </c>
      <c r="R334" s="220" t="s">
        <v>1888</v>
      </c>
      <c r="S334" s="220" t="s">
        <v>1861</v>
      </c>
      <c r="T334" s="85" t="s">
        <v>1491</v>
      </c>
      <c r="U334" t="s">
        <v>1972</v>
      </c>
      <c r="V334" t="s">
        <v>2832</v>
      </c>
    </row>
    <row r="335" spans="1:22" ht="15.75" thickBot="1" x14ac:dyDescent="0.3">
      <c r="A335" s="82" t="s">
        <v>3507</v>
      </c>
      <c r="B335" s="82" t="str">
        <f t="shared" si="20"/>
        <v>Barraqueiro Transportes, S.A.</v>
      </c>
      <c r="C335" s="82" t="str">
        <f t="shared" si="21"/>
        <v>Estremadura</v>
      </c>
      <c r="D335" s="83" t="s">
        <v>629</v>
      </c>
      <c r="E335" s="91" t="s">
        <v>1853</v>
      </c>
      <c r="F335" s="124" t="s">
        <v>620</v>
      </c>
      <c r="G335" s="333">
        <v>2016</v>
      </c>
      <c r="H335" s="341" t="s">
        <v>733</v>
      </c>
      <c r="I335" s="336" t="str">
        <f t="shared" si="22"/>
        <v>Pesado de Passageiros M3: III : Gasóleo : E6</v>
      </c>
      <c r="J335" s="125">
        <v>53</v>
      </c>
      <c r="K335" s="125">
        <v>2022</v>
      </c>
      <c r="L335" s="85">
        <v>34811.760000000002</v>
      </c>
      <c r="M335" s="85" t="s">
        <v>630</v>
      </c>
      <c r="N335" s="128">
        <v>132746</v>
      </c>
      <c r="O335" s="128">
        <f t="shared" si="23"/>
        <v>7035538</v>
      </c>
      <c r="P335" s="125" t="s">
        <v>970</v>
      </c>
      <c r="Q335" s="85" t="s">
        <v>47</v>
      </c>
      <c r="R335" s="220" t="s">
        <v>1888</v>
      </c>
      <c r="S335" s="220" t="s">
        <v>1861</v>
      </c>
      <c r="T335" s="85" t="s">
        <v>1491</v>
      </c>
      <c r="U335" t="s">
        <v>1972</v>
      </c>
      <c r="V335" t="s">
        <v>2832</v>
      </c>
    </row>
    <row r="336" spans="1:22" ht="15.75" thickBot="1" x14ac:dyDescent="0.3">
      <c r="A336" s="82" t="s">
        <v>3507</v>
      </c>
      <c r="B336" s="82" t="str">
        <f t="shared" si="20"/>
        <v>Barraqueiro Transportes, S.A.</v>
      </c>
      <c r="C336" s="82" t="str">
        <f t="shared" si="21"/>
        <v>Estremadura</v>
      </c>
      <c r="D336" s="83" t="s">
        <v>629</v>
      </c>
      <c r="E336" s="91" t="s">
        <v>1853</v>
      </c>
      <c r="F336" s="124" t="s">
        <v>620</v>
      </c>
      <c r="G336" s="333">
        <v>2016</v>
      </c>
      <c r="H336" s="341" t="s">
        <v>733</v>
      </c>
      <c r="I336" s="336" t="str">
        <f t="shared" si="22"/>
        <v>Pesado de Passageiros M3: III : Gasóleo : E6</v>
      </c>
      <c r="J336" s="125">
        <v>53</v>
      </c>
      <c r="K336" s="125">
        <v>2022</v>
      </c>
      <c r="L336" s="85">
        <v>58695.99</v>
      </c>
      <c r="M336" s="85" t="s">
        <v>630</v>
      </c>
      <c r="N336" s="128">
        <v>223317</v>
      </c>
      <c r="O336" s="128">
        <f t="shared" si="23"/>
        <v>11835801</v>
      </c>
      <c r="P336" s="125" t="s">
        <v>971</v>
      </c>
      <c r="Q336" s="85" t="s">
        <v>47</v>
      </c>
      <c r="R336" s="220" t="s">
        <v>1888</v>
      </c>
      <c r="S336" s="220" t="s">
        <v>1861</v>
      </c>
      <c r="T336" s="85" t="s">
        <v>1491</v>
      </c>
      <c r="U336" t="s">
        <v>1972</v>
      </c>
      <c r="V336" t="s">
        <v>2832</v>
      </c>
    </row>
    <row r="337" spans="1:22" ht="15.75" thickBot="1" x14ac:dyDescent="0.3">
      <c r="A337" s="82" t="s">
        <v>3507</v>
      </c>
      <c r="B337" s="82" t="str">
        <f t="shared" si="20"/>
        <v>Barraqueiro Transportes, S.A.</v>
      </c>
      <c r="C337" s="82" t="str">
        <f t="shared" si="21"/>
        <v>Estremadura</v>
      </c>
      <c r="D337" s="83" t="s">
        <v>629</v>
      </c>
      <c r="E337" s="91" t="s">
        <v>1853</v>
      </c>
      <c r="F337" s="124" t="s">
        <v>620</v>
      </c>
      <c r="G337" s="333">
        <v>2016</v>
      </c>
      <c r="H337" s="341" t="s">
        <v>733</v>
      </c>
      <c r="I337" s="336" t="str">
        <f t="shared" si="22"/>
        <v>Pesado de Passageiros M3: III : Gasóleo : E6</v>
      </c>
      <c r="J337" s="125">
        <v>53</v>
      </c>
      <c r="K337" s="125">
        <v>2022</v>
      </c>
      <c r="L337" s="85">
        <v>51030.930000000008</v>
      </c>
      <c r="M337" s="85" t="s">
        <v>630</v>
      </c>
      <c r="N337" s="128">
        <v>200913</v>
      </c>
      <c r="O337" s="128">
        <f t="shared" si="23"/>
        <v>10648389</v>
      </c>
      <c r="P337" s="125" t="s">
        <v>972</v>
      </c>
      <c r="Q337" s="85" t="s">
        <v>47</v>
      </c>
      <c r="R337" s="220" t="s">
        <v>1888</v>
      </c>
      <c r="S337" s="220" t="s">
        <v>1861</v>
      </c>
      <c r="T337" s="85" t="s">
        <v>1491</v>
      </c>
      <c r="U337" t="s">
        <v>1972</v>
      </c>
      <c r="V337" t="s">
        <v>2832</v>
      </c>
    </row>
    <row r="338" spans="1:22" ht="15.75" thickBot="1" x14ac:dyDescent="0.3">
      <c r="A338" s="82" t="s">
        <v>3507</v>
      </c>
      <c r="B338" s="82" t="str">
        <f t="shared" si="20"/>
        <v>Barraqueiro Transportes, S.A.</v>
      </c>
      <c r="C338" s="82" t="str">
        <f t="shared" si="21"/>
        <v>Estremadura</v>
      </c>
      <c r="D338" s="83" t="s">
        <v>629</v>
      </c>
      <c r="E338" s="91" t="s">
        <v>1853</v>
      </c>
      <c r="F338" s="124" t="s">
        <v>620</v>
      </c>
      <c r="G338" s="333">
        <v>2017</v>
      </c>
      <c r="H338" s="341" t="s">
        <v>733</v>
      </c>
      <c r="I338" s="336" t="str">
        <f t="shared" si="22"/>
        <v>Pesado de Passageiros M3: III : Gasóleo : E6</v>
      </c>
      <c r="J338" s="125">
        <v>53</v>
      </c>
      <c r="K338" s="125">
        <v>2022</v>
      </c>
      <c r="L338" s="85">
        <v>69388.289999999994</v>
      </c>
      <c r="M338" s="85" t="s">
        <v>630</v>
      </c>
      <c r="N338" s="128">
        <v>282856</v>
      </c>
      <c r="O338" s="128">
        <f t="shared" si="23"/>
        <v>14991368</v>
      </c>
      <c r="P338" s="125" t="s">
        <v>973</v>
      </c>
      <c r="Q338" s="85" t="s">
        <v>47</v>
      </c>
      <c r="R338" s="220" t="s">
        <v>1888</v>
      </c>
      <c r="S338" s="220" t="s">
        <v>1861</v>
      </c>
      <c r="T338" s="85" t="s">
        <v>1491</v>
      </c>
      <c r="U338" t="s">
        <v>1972</v>
      </c>
      <c r="V338" t="s">
        <v>2832</v>
      </c>
    </row>
    <row r="339" spans="1:22" ht="15.75" thickBot="1" x14ac:dyDescent="0.3">
      <c r="A339" s="82" t="s">
        <v>3507</v>
      </c>
      <c r="B339" s="82" t="str">
        <f t="shared" si="20"/>
        <v>Barraqueiro Transportes, S.A.</v>
      </c>
      <c r="C339" s="82" t="str">
        <f t="shared" si="21"/>
        <v>Estremadura</v>
      </c>
      <c r="D339" s="83" t="s">
        <v>629</v>
      </c>
      <c r="E339" s="91" t="s">
        <v>1853</v>
      </c>
      <c r="F339" s="124" t="s">
        <v>620</v>
      </c>
      <c r="G339" s="333">
        <v>2017</v>
      </c>
      <c r="H339" s="341" t="s">
        <v>733</v>
      </c>
      <c r="I339" s="336" t="str">
        <f t="shared" si="22"/>
        <v>Pesado de Passageiros M3: III : Gasóleo : E6</v>
      </c>
      <c r="J339" s="125">
        <v>53</v>
      </c>
      <c r="K339" s="125">
        <v>2022</v>
      </c>
      <c r="L339" s="85">
        <v>65553.099999999991</v>
      </c>
      <c r="M339" s="85" t="s">
        <v>630</v>
      </c>
      <c r="N339" s="128">
        <v>260949</v>
      </c>
      <c r="O339" s="128">
        <f t="shared" si="23"/>
        <v>13830297</v>
      </c>
      <c r="P339" s="125" t="s">
        <v>974</v>
      </c>
      <c r="Q339" s="85" t="s">
        <v>47</v>
      </c>
      <c r="R339" s="220" t="s">
        <v>1888</v>
      </c>
      <c r="S339" s="220" t="s">
        <v>1861</v>
      </c>
      <c r="T339" s="85" t="s">
        <v>1491</v>
      </c>
      <c r="U339" t="s">
        <v>1972</v>
      </c>
      <c r="V339" t="s">
        <v>2832</v>
      </c>
    </row>
    <row r="340" spans="1:22" ht="15.75" thickBot="1" x14ac:dyDescent="0.3">
      <c r="A340" s="82" t="s">
        <v>3507</v>
      </c>
      <c r="B340" s="82" t="str">
        <f t="shared" si="20"/>
        <v>Barraqueiro Transportes, S.A.</v>
      </c>
      <c r="C340" s="82" t="str">
        <f t="shared" si="21"/>
        <v>Estremadura</v>
      </c>
      <c r="D340" s="83" t="s">
        <v>629</v>
      </c>
      <c r="E340" s="91" t="s">
        <v>1853</v>
      </c>
      <c r="F340" s="124" t="s">
        <v>620</v>
      </c>
      <c r="G340" s="333">
        <v>2017</v>
      </c>
      <c r="H340" s="341" t="s">
        <v>733</v>
      </c>
      <c r="I340" s="336" t="str">
        <f t="shared" si="22"/>
        <v>Pesado de Passageiros M3: III : Gasóleo : E6</v>
      </c>
      <c r="J340" s="125">
        <v>53</v>
      </c>
      <c r="K340" s="125">
        <v>2022</v>
      </c>
      <c r="L340" s="85">
        <v>68009.34</v>
      </c>
      <c r="M340" s="85" t="s">
        <v>630</v>
      </c>
      <c r="N340" s="128">
        <v>269747</v>
      </c>
      <c r="O340" s="128">
        <f t="shared" si="23"/>
        <v>14296591</v>
      </c>
      <c r="P340" s="125" t="s">
        <v>975</v>
      </c>
      <c r="Q340" s="85" t="s">
        <v>47</v>
      </c>
      <c r="R340" s="220" t="s">
        <v>1888</v>
      </c>
      <c r="S340" s="220" t="s">
        <v>1861</v>
      </c>
      <c r="T340" s="85" t="s">
        <v>1491</v>
      </c>
      <c r="U340" t="s">
        <v>1972</v>
      </c>
      <c r="V340" t="s">
        <v>2832</v>
      </c>
    </row>
    <row r="341" spans="1:22" ht="15.75" thickBot="1" x14ac:dyDescent="0.3">
      <c r="A341" s="82" t="s">
        <v>3507</v>
      </c>
      <c r="B341" s="82" t="str">
        <f t="shared" si="20"/>
        <v>Barraqueiro Transportes, S.A.</v>
      </c>
      <c r="C341" s="82" t="str">
        <f t="shared" si="21"/>
        <v>Estremadura</v>
      </c>
      <c r="D341" s="83" t="s">
        <v>629</v>
      </c>
      <c r="E341" s="91" t="s">
        <v>1853</v>
      </c>
      <c r="F341" s="124" t="s">
        <v>620</v>
      </c>
      <c r="G341" s="333">
        <v>2017</v>
      </c>
      <c r="H341" s="341" t="s">
        <v>733</v>
      </c>
      <c r="I341" s="336" t="str">
        <f t="shared" si="22"/>
        <v>Pesado de Passageiros M3: III : Gasóleo : E6</v>
      </c>
      <c r="J341" s="125">
        <v>53</v>
      </c>
      <c r="K341" s="125">
        <v>2022</v>
      </c>
      <c r="L341" s="85">
        <v>70619.38</v>
      </c>
      <c r="M341" s="85" t="s">
        <v>630</v>
      </c>
      <c r="N341" s="128">
        <v>289326</v>
      </c>
      <c r="O341" s="128">
        <f t="shared" si="23"/>
        <v>15334278</v>
      </c>
      <c r="P341" s="125" t="s">
        <v>976</v>
      </c>
      <c r="Q341" s="85" t="s">
        <v>47</v>
      </c>
      <c r="R341" s="220" t="s">
        <v>1888</v>
      </c>
      <c r="S341" s="220" t="s">
        <v>1861</v>
      </c>
      <c r="T341" s="85" t="s">
        <v>1491</v>
      </c>
      <c r="U341" t="s">
        <v>1972</v>
      </c>
      <c r="V341" t="s">
        <v>2832</v>
      </c>
    </row>
    <row r="342" spans="1:22" ht="15.75" thickBot="1" x14ac:dyDescent="0.3">
      <c r="A342" s="82" t="s">
        <v>3507</v>
      </c>
      <c r="B342" s="82" t="str">
        <f t="shared" si="20"/>
        <v>Barraqueiro Transportes, S.A.</v>
      </c>
      <c r="C342" s="82" t="str">
        <f t="shared" si="21"/>
        <v>Estremadura</v>
      </c>
      <c r="D342" s="83" t="s">
        <v>629</v>
      </c>
      <c r="E342" s="91" t="s">
        <v>1853</v>
      </c>
      <c r="F342" s="124" t="s">
        <v>620</v>
      </c>
      <c r="G342" s="333">
        <v>2017</v>
      </c>
      <c r="H342" s="341" t="s">
        <v>733</v>
      </c>
      <c r="I342" s="336" t="str">
        <f t="shared" si="22"/>
        <v>Pesado de Passageiros M3: III : Gasóleo : E6</v>
      </c>
      <c r="J342" s="125">
        <v>53</v>
      </c>
      <c r="K342" s="125">
        <v>2022</v>
      </c>
      <c r="L342" s="85">
        <v>61384.38</v>
      </c>
      <c r="M342" s="85" t="s">
        <v>630</v>
      </c>
      <c r="N342" s="128">
        <v>244318</v>
      </c>
      <c r="O342" s="128">
        <f t="shared" si="23"/>
        <v>12948854</v>
      </c>
      <c r="P342" s="125" t="s">
        <v>977</v>
      </c>
      <c r="Q342" s="85" t="s">
        <v>47</v>
      </c>
      <c r="R342" s="220" t="s">
        <v>1888</v>
      </c>
      <c r="S342" s="220" t="s">
        <v>1861</v>
      </c>
      <c r="T342" s="85" t="s">
        <v>1491</v>
      </c>
      <c r="U342" t="s">
        <v>1972</v>
      </c>
      <c r="V342" t="s">
        <v>2832</v>
      </c>
    </row>
    <row r="343" spans="1:22" ht="15.75" thickBot="1" x14ac:dyDescent="0.3">
      <c r="A343" s="82" t="s">
        <v>3507</v>
      </c>
      <c r="B343" s="82" t="str">
        <f t="shared" si="20"/>
        <v>Barraqueiro Transportes, S.A.</v>
      </c>
      <c r="C343" s="82" t="str">
        <f t="shared" si="21"/>
        <v>Estremadura</v>
      </c>
      <c r="D343" s="83" t="s">
        <v>629</v>
      </c>
      <c r="E343" s="91" t="s">
        <v>1853</v>
      </c>
      <c r="F343" s="124" t="s">
        <v>620</v>
      </c>
      <c r="G343" s="333">
        <v>2017</v>
      </c>
      <c r="H343" s="341" t="s">
        <v>733</v>
      </c>
      <c r="I343" s="336" t="str">
        <f t="shared" si="22"/>
        <v>Pesado de Passageiros M3: III : Gasóleo : E6</v>
      </c>
      <c r="J343" s="125">
        <v>53</v>
      </c>
      <c r="K343" s="125">
        <v>2022</v>
      </c>
      <c r="L343" s="85">
        <v>67336.189999999988</v>
      </c>
      <c r="M343" s="85" t="s">
        <v>630</v>
      </c>
      <c r="N343" s="128">
        <v>289003</v>
      </c>
      <c r="O343" s="128">
        <f t="shared" si="23"/>
        <v>15317159</v>
      </c>
      <c r="P343" s="125" t="s">
        <v>978</v>
      </c>
      <c r="Q343" s="85" t="s">
        <v>47</v>
      </c>
      <c r="R343" s="220" t="s">
        <v>1888</v>
      </c>
      <c r="S343" s="220" t="s">
        <v>1861</v>
      </c>
      <c r="T343" s="85" t="s">
        <v>1491</v>
      </c>
      <c r="U343" t="s">
        <v>1972</v>
      </c>
      <c r="V343" t="s">
        <v>2832</v>
      </c>
    </row>
    <row r="344" spans="1:22" ht="15.75" thickBot="1" x14ac:dyDescent="0.3">
      <c r="A344" s="82" t="s">
        <v>3507</v>
      </c>
      <c r="B344" s="82" t="str">
        <f t="shared" si="20"/>
        <v>Barraqueiro Transportes, S.A.</v>
      </c>
      <c r="C344" s="82" t="str">
        <f t="shared" si="21"/>
        <v>Estremadura</v>
      </c>
      <c r="D344" s="83" t="s">
        <v>629</v>
      </c>
      <c r="E344" s="91" t="s">
        <v>1853</v>
      </c>
      <c r="F344" s="124" t="s">
        <v>620</v>
      </c>
      <c r="G344" s="333">
        <v>2017</v>
      </c>
      <c r="H344" s="341" t="s">
        <v>733</v>
      </c>
      <c r="I344" s="336" t="str">
        <f t="shared" si="22"/>
        <v>Pesado de Passageiros M3: III : Gasóleo : E6</v>
      </c>
      <c r="J344" s="125">
        <v>53</v>
      </c>
      <c r="K344" s="125">
        <v>2022</v>
      </c>
      <c r="L344" s="85">
        <v>66525.02</v>
      </c>
      <c r="M344" s="85" t="s">
        <v>630</v>
      </c>
      <c r="N344" s="128">
        <v>283440</v>
      </c>
      <c r="O344" s="128">
        <f t="shared" si="23"/>
        <v>15022320</v>
      </c>
      <c r="P344" s="125" t="s">
        <v>979</v>
      </c>
      <c r="Q344" s="85" t="s">
        <v>47</v>
      </c>
      <c r="R344" s="220" t="s">
        <v>1888</v>
      </c>
      <c r="S344" s="220" t="s">
        <v>1861</v>
      </c>
      <c r="T344" s="85" t="s">
        <v>1491</v>
      </c>
      <c r="U344" t="s">
        <v>1972</v>
      </c>
      <c r="V344" t="s">
        <v>2832</v>
      </c>
    </row>
    <row r="345" spans="1:22" ht="15.75" thickBot="1" x14ac:dyDescent="0.3">
      <c r="A345" s="82" t="s">
        <v>3507</v>
      </c>
      <c r="B345" s="82" t="str">
        <f t="shared" si="20"/>
        <v>Barraqueiro Transportes, S.A.</v>
      </c>
      <c r="C345" s="82" t="str">
        <f t="shared" si="21"/>
        <v>Estremadura</v>
      </c>
      <c r="D345" s="83" t="s">
        <v>629</v>
      </c>
      <c r="E345" s="91" t="s">
        <v>1853</v>
      </c>
      <c r="F345" s="124" t="s">
        <v>620</v>
      </c>
      <c r="G345" s="333">
        <v>2018</v>
      </c>
      <c r="H345" s="341" t="s">
        <v>733</v>
      </c>
      <c r="I345" s="336" t="str">
        <f t="shared" si="22"/>
        <v>Pesado de Passageiros M3: III : Gasóleo : E6</v>
      </c>
      <c r="J345" s="125">
        <v>53</v>
      </c>
      <c r="K345" s="125">
        <v>2022</v>
      </c>
      <c r="L345" s="85">
        <v>66300.69</v>
      </c>
      <c r="M345" s="85" t="s">
        <v>630</v>
      </c>
      <c r="N345" s="128">
        <v>283859</v>
      </c>
      <c r="O345" s="128">
        <f t="shared" si="23"/>
        <v>15044527</v>
      </c>
      <c r="P345" s="125" t="s">
        <v>980</v>
      </c>
      <c r="Q345" s="85" t="s">
        <v>47</v>
      </c>
      <c r="R345" s="220" t="s">
        <v>1888</v>
      </c>
      <c r="S345" s="220" t="s">
        <v>1861</v>
      </c>
      <c r="T345" s="85" t="s">
        <v>1491</v>
      </c>
      <c r="U345" t="s">
        <v>1972</v>
      </c>
      <c r="V345" t="s">
        <v>2832</v>
      </c>
    </row>
    <row r="346" spans="1:22" ht="15.75" thickBot="1" x14ac:dyDescent="0.3">
      <c r="A346" s="82" t="s">
        <v>3507</v>
      </c>
      <c r="B346" s="82" t="str">
        <f t="shared" si="20"/>
        <v>Barraqueiro Transportes, S.A.</v>
      </c>
      <c r="C346" s="82" t="str">
        <f t="shared" si="21"/>
        <v>Estremadura</v>
      </c>
      <c r="D346" s="83" t="s">
        <v>629</v>
      </c>
      <c r="E346" s="91" t="s">
        <v>1853</v>
      </c>
      <c r="F346" s="124" t="s">
        <v>620</v>
      </c>
      <c r="G346" s="333">
        <v>2018</v>
      </c>
      <c r="H346" s="341" t="s">
        <v>733</v>
      </c>
      <c r="I346" s="336" t="str">
        <f t="shared" si="22"/>
        <v>Pesado de Passageiros M3: III : Gasóleo : E6</v>
      </c>
      <c r="J346" s="125">
        <v>53</v>
      </c>
      <c r="K346" s="125">
        <v>2022</v>
      </c>
      <c r="L346" s="85">
        <v>71297.759999999995</v>
      </c>
      <c r="M346" s="85" t="s">
        <v>630</v>
      </c>
      <c r="N346" s="128">
        <v>285753</v>
      </c>
      <c r="O346" s="128">
        <f t="shared" si="23"/>
        <v>15144909</v>
      </c>
      <c r="P346" s="125" t="s">
        <v>981</v>
      </c>
      <c r="Q346" s="85" t="s">
        <v>47</v>
      </c>
      <c r="R346" s="220" t="s">
        <v>1888</v>
      </c>
      <c r="S346" s="220" t="s">
        <v>1861</v>
      </c>
      <c r="T346" s="85" t="s">
        <v>1491</v>
      </c>
      <c r="U346" t="s">
        <v>1972</v>
      </c>
      <c r="V346" t="s">
        <v>2832</v>
      </c>
    </row>
    <row r="347" spans="1:22" ht="15.75" thickBot="1" x14ac:dyDescent="0.3">
      <c r="A347" s="82" t="s">
        <v>3507</v>
      </c>
      <c r="B347" s="82" t="str">
        <f t="shared" si="20"/>
        <v>Barraqueiro Transportes, S.A.</v>
      </c>
      <c r="C347" s="82" t="str">
        <f t="shared" si="21"/>
        <v>Estremadura</v>
      </c>
      <c r="D347" s="83" t="s">
        <v>629</v>
      </c>
      <c r="E347" s="91" t="s">
        <v>1853</v>
      </c>
      <c r="F347" s="124" t="s">
        <v>620</v>
      </c>
      <c r="G347" s="333">
        <v>2018</v>
      </c>
      <c r="H347" s="341" t="s">
        <v>733</v>
      </c>
      <c r="I347" s="336" t="str">
        <f t="shared" si="22"/>
        <v>Pesado de Passageiros M3: III : Gasóleo : E6</v>
      </c>
      <c r="J347" s="125">
        <v>53</v>
      </c>
      <c r="K347" s="125">
        <v>2022</v>
      </c>
      <c r="L347" s="85">
        <v>61019.81</v>
      </c>
      <c r="M347" s="85" t="s">
        <v>630</v>
      </c>
      <c r="N347" s="128">
        <v>249349</v>
      </c>
      <c r="O347" s="128">
        <f t="shared" si="23"/>
        <v>13215497</v>
      </c>
      <c r="P347" s="125" t="s">
        <v>982</v>
      </c>
      <c r="Q347" s="85" t="s">
        <v>47</v>
      </c>
      <c r="R347" s="220" t="s">
        <v>1888</v>
      </c>
      <c r="S347" s="220" t="s">
        <v>1861</v>
      </c>
      <c r="T347" s="85" t="s">
        <v>1491</v>
      </c>
      <c r="U347" t="s">
        <v>1972</v>
      </c>
      <c r="V347" t="s">
        <v>2832</v>
      </c>
    </row>
    <row r="348" spans="1:22" ht="15.75" thickBot="1" x14ac:dyDescent="0.3">
      <c r="A348" s="82" t="s">
        <v>3507</v>
      </c>
      <c r="B348" s="82" t="str">
        <f t="shared" si="20"/>
        <v>Barraqueiro Transportes, S.A.</v>
      </c>
      <c r="C348" s="82" t="str">
        <f t="shared" si="21"/>
        <v>Estremadura</v>
      </c>
      <c r="D348" s="83" t="s">
        <v>629</v>
      </c>
      <c r="E348" s="91" t="s">
        <v>1853</v>
      </c>
      <c r="F348" s="124" t="s">
        <v>620</v>
      </c>
      <c r="G348" s="333">
        <v>2018</v>
      </c>
      <c r="H348" s="341" t="s">
        <v>733</v>
      </c>
      <c r="I348" s="336" t="str">
        <f t="shared" si="22"/>
        <v>Pesado de Passageiros M3: III : Gasóleo : E6</v>
      </c>
      <c r="J348" s="125">
        <v>53</v>
      </c>
      <c r="K348" s="125">
        <v>2022</v>
      </c>
      <c r="L348" s="85">
        <v>1051.43</v>
      </c>
      <c r="M348" s="85" t="s">
        <v>630</v>
      </c>
      <c r="N348" s="128">
        <v>4487</v>
      </c>
      <c r="O348" s="128">
        <f t="shared" si="23"/>
        <v>237811</v>
      </c>
      <c r="P348" s="125" t="s">
        <v>983</v>
      </c>
      <c r="Q348" s="85" t="s">
        <v>47</v>
      </c>
      <c r="R348" s="220" t="s">
        <v>1888</v>
      </c>
      <c r="S348" s="220" t="s">
        <v>1861</v>
      </c>
      <c r="T348" s="85" t="s">
        <v>1491</v>
      </c>
      <c r="U348" t="s">
        <v>1972</v>
      </c>
      <c r="V348" t="s">
        <v>2832</v>
      </c>
    </row>
    <row r="349" spans="1:22" ht="15.75" thickBot="1" x14ac:dyDescent="0.3">
      <c r="A349" s="82" t="s">
        <v>3507</v>
      </c>
      <c r="B349" s="82" t="str">
        <f t="shared" si="20"/>
        <v>Barraqueiro Transportes, S.A.</v>
      </c>
      <c r="C349" s="82" t="str">
        <f t="shared" si="21"/>
        <v>Estremadura</v>
      </c>
      <c r="D349" s="83" t="s">
        <v>629</v>
      </c>
      <c r="E349" s="91" t="s">
        <v>1853</v>
      </c>
      <c r="F349" s="124" t="s">
        <v>620</v>
      </c>
      <c r="G349" s="333">
        <v>2018</v>
      </c>
      <c r="H349" s="341" t="s">
        <v>733</v>
      </c>
      <c r="I349" s="336" t="str">
        <f t="shared" si="22"/>
        <v>Pesado de Passageiros M3: III : Gasóleo : E6</v>
      </c>
      <c r="J349" s="125">
        <v>53</v>
      </c>
      <c r="K349" s="125">
        <v>2022</v>
      </c>
      <c r="L349" s="85">
        <v>2170.09</v>
      </c>
      <c r="M349" s="85" t="s">
        <v>630</v>
      </c>
      <c r="N349" s="128">
        <v>9016</v>
      </c>
      <c r="O349" s="128">
        <f t="shared" si="23"/>
        <v>477848</v>
      </c>
      <c r="P349" s="125" t="s">
        <v>984</v>
      </c>
      <c r="Q349" s="85" t="s">
        <v>47</v>
      </c>
      <c r="R349" s="220" t="s">
        <v>1888</v>
      </c>
      <c r="S349" s="220" t="s">
        <v>1861</v>
      </c>
      <c r="T349" s="85" t="s">
        <v>1491</v>
      </c>
      <c r="U349" t="s">
        <v>1972</v>
      </c>
      <c r="V349" t="s">
        <v>2832</v>
      </c>
    </row>
    <row r="350" spans="1:22" ht="15.75" thickBot="1" x14ac:dyDescent="0.3">
      <c r="A350" s="82" t="s">
        <v>3507</v>
      </c>
      <c r="B350" s="82" t="str">
        <f t="shared" si="20"/>
        <v>Barraqueiro Transportes, S.A.</v>
      </c>
      <c r="C350" s="82" t="str">
        <f t="shared" si="21"/>
        <v>Estremadura</v>
      </c>
      <c r="D350" s="83" t="s">
        <v>629</v>
      </c>
      <c r="E350" s="91" t="s">
        <v>1853</v>
      </c>
      <c r="F350" s="124" t="s">
        <v>620</v>
      </c>
      <c r="G350" s="333">
        <v>2019</v>
      </c>
      <c r="H350" s="341" t="s">
        <v>733</v>
      </c>
      <c r="I350" s="336" t="str">
        <f t="shared" si="22"/>
        <v>Pesado de Passageiros M3: III : Gasóleo : E6</v>
      </c>
      <c r="J350" s="125">
        <v>53</v>
      </c>
      <c r="K350" s="125">
        <v>2022</v>
      </c>
      <c r="L350" s="85">
        <v>651.51</v>
      </c>
      <c r="M350" s="85" t="s">
        <v>630</v>
      </c>
      <c r="N350" s="128">
        <v>2769</v>
      </c>
      <c r="O350" s="128">
        <f t="shared" si="23"/>
        <v>146757</v>
      </c>
      <c r="P350" s="125" t="s">
        <v>985</v>
      </c>
      <c r="Q350" s="85" t="s">
        <v>47</v>
      </c>
      <c r="R350" s="220" t="s">
        <v>1888</v>
      </c>
      <c r="S350" s="220" t="s">
        <v>1861</v>
      </c>
      <c r="T350" s="85" t="s">
        <v>1491</v>
      </c>
      <c r="U350" t="s">
        <v>1972</v>
      </c>
      <c r="V350" t="s">
        <v>2832</v>
      </c>
    </row>
    <row r="351" spans="1:22" ht="15.75" thickBot="1" x14ac:dyDescent="0.3">
      <c r="A351" s="82" t="s">
        <v>3507</v>
      </c>
      <c r="B351" s="82" t="str">
        <f t="shared" si="20"/>
        <v>Barraqueiro Transportes, S.A.</v>
      </c>
      <c r="C351" s="82" t="str">
        <f t="shared" si="21"/>
        <v>Estremadura</v>
      </c>
      <c r="D351" s="83" t="s">
        <v>629</v>
      </c>
      <c r="E351" s="91" t="s">
        <v>1853</v>
      </c>
      <c r="F351" s="124" t="s">
        <v>620</v>
      </c>
      <c r="G351" s="333">
        <v>2019</v>
      </c>
      <c r="H351" s="341" t="s">
        <v>733</v>
      </c>
      <c r="I351" s="336" t="str">
        <f t="shared" si="22"/>
        <v>Pesado de Passageiros M3: III : Gasóleo : E6</v>
      </c>
      <c r="J351" s="125">
        <v>53</v>
      </c>
      <c r="K351" s="125">
        <v>2022</v>
      </c>
      <c r="L351" s="85">
        <v>973.94</v>
      </c>
      <c r="M351" s="85" t="s">
        <v>630</v>
      </c>
      <c r="N351" s="128">
        <v>3882</v>
      </c>
      <c r="O351" s="128">
        <f t="shared" si="23"/>
        <v>205746</v>
      </c>
      <c r="P351" s="125" t="s">
        <v>986</v>
      </c>
      <c r="Q351" s="85" t="s">
        <v>47</v>
      </c>
      <c r="R351" s="220" t="s">
        <v>1888</v>
      </c>
      <c r="S351" s="220" t="s">
        <v>1861</v>
      </c>
      <c r="T351" s="85" t="s">
        <v>1491</v>
      </c>
      <c r="U351" t="s">
        <v>1972</v>
      </c>
      <c r="V351" t="s">
        <v>2832</v>
      </c>
    </row>
    <row r="352" spans="1:22" ht="15.75" thickBot="1" x14ac:dyDescent="0.3">
      <c r="A352" s="82" t="s">
        <v>3507</v>
      </c>
      <c r="B352" s="82" t="str">
        <f t="shared" si="20"/>
        <v>Barraqueiro Transportes, S.A.</v>
      </c>
      <c r="C352" s="82" t="str">
        <f t="shared" si="21"/>
        <v>Estremadura</v>
      </c>
      <c r="D352" s="83" t="s">
        <v>629</v>
      </c>
      <c r="E352" s="91" t="s">
        <v>1853</v>
      </c>
      <c r="F352" s="124" t="s">
        <v>620</v>
      </c>
      <c r="G352" s="333">
        <v>2019</v>
      </c>
      <c r="H352" s="341" t="s">
        <v>733</v>
      </c>
      <c r="I352" s="336" t="str">
        <f t="shared" si="22"/>
        <v>Pesado de Passageiros M3: III : Gasóleo : E6</v>
      </c>
      <c r="J352" s="125">
        <v>53</v>
      </c>
      <c r="K352" s="125">
        <v>2022</v>
      </c>
      <c r="L352" s="85">
        <v>1500.87</v>
      </c>
      <c r="M352" s="85" t="s">
        <v>630</v>
      </c>
      <c r="N352" s="128">
        <v>6827</v>
      </c>
      <c r="O352" s="128">
        <f t="shared" si="23"/>
        <v>361831</v>
      </c>
      <c r="P352" s="125" t="s">
        <v>987</v>
      </c>
      <c r="Q352" s="85" t="s">
        <v>47</v>
      </c>
      <c r="R352" s="220" t="s">
        <v>1888</v>
      </c>
      <c r="S352" s="220" t="s">
        <v>1861</v>
      </c>
      <c r="T352" s="85" t="s">
        <v>1491</v>
      </c>
      <c r="U352" t="s">
        <v>1972</v>
      </c>
      <c r="V352" t="s">
        <v>2832</v>
      </c>
    </row>
    <row r="353" spans="1:22" ht="15.75" thickBot="1" x14ac:dyDescent="0.3">
      <c r="A353" s="82" t="s">
        <v>3507</v>
      </c>
      <c r="B353" s="82" t="str">
        <f t="shared" si="20"/>
        <v>Barraqueiro Transportes, S.A.</v>
      </c>
      <c r="C353" s="82" t="str">
        <f t="shared" si="21"/>
        <v>Estremadura</v>
      </c>
      <c r="D353" s="83" t="s">
        <v>629</v>
      </c>
      <c r="E353" s="91" t="s">
        <v>1853</v>
      </c>
      <c r="F353" s="124" t="s">
        <v>620</v>
      </c>
      <c r="G353" s="333">
        <v>2019</v>
      </c>
      <c r="H353" s="341" t="s">
        <v>733</v>
      </c>
      <c r="I353" s="336" t="str">
        <f t="shared" si="22"/>
        <v>Pesado de Passageiros M3: III : Gasóleo : E6</v>
      </c>
      <c r="J353" s="125">
        <v>53</v>
      </c>
      <c r="K353" s="125">
        <v>2022</v>
      </c>
      <c r="L353" s="85">
        <v>1065.32</v>
      </c>
      <c r="M353" s="85" t="s">
        <v>630</v>
      </c>
      <c r="N353" s="128">
        <v>4475</v>
      </c>
      <c r="O353" s="128">
        <f t="shared" si="23"/>
        <v>237175</v>
      </c>
      <c r="P353" s="125" t="s">
        <v>988</v>
      </c>
      <c r="Q353" s="85" t="s">
        <v>47</v>
      </c>
      <c r="R353" s="220" t="s">
        <v>1888</v>
      </c>
      <c r="S353" s="220" t="s">
        <v>1861</v>
      </c>
      <c r="T353" s="85" t="s">
        <v>1491</v>
      </c>
      <c r="U353" t="s">
        <v>1972</v>
      </c>
      <c r="V353" t="s">
        <v>2832</v>
      </c>
    </row>
    <row r="354" spans="1:22" ht="15.75" thickBot="1" x14ac:dyDescent="0.3">
      <c r="A354" s="82" t="s">
        <v>3507</v>
      </c>
      <c r="B354" s="82" t="str">
        <f t="shared" si="20"/>
        <v>Barraqueiro Transportes, S.A.</v>
      </c>
      <c r="C354" s="82" t="str">
        <f t="shared" si="21"/>
        <v>Estremadura</v>
      </c>
      <c r="D354" s="83" t="s">
        <v>629</v>
      </c>
      <c r="E354" s="91" t="s">
        <v>1853</v>
      </c>
      <c r="F354" s="124" t="s">
        <v>620</v>
      </c>
      <c r="G354" s="333">
        <v>2019</v>
      </c>
      <c r="H354" s="341" t="s">
        <v>733</v>
      </c>
      <c r="I354" s="336" t="str">
        <f t="shared" si="22"/>
        <v>Pesado de Passageiros M3: III : Gasóleo : E6</v>
      </c>
      <c r="J354" s="125">
        <v>53</v>
      </c>
      <c r="K354" s="125">
        <v>2022</v>
      </c>
      <c r="L354" s="85">
        <v>1763.31</v>
      </c>
      <c r="M354" s="85" t="s">
        <v>630</v>
      </c>
      <c r="N354" s="128">
        <v>7238</v>
      </c>
      <c r="O354" s="128">
        <f t="shared" si="23"/>
        <v>383614</v>
      </c>
      <c r="P354" s="125" t="s">
        <v>989</v>
      </c>
      <c r="Q354" s="85" t="s">
        <v>47</v>
      </c>
      <c r="R354" s="220" t="s">
        <v>1888</v>
      </c>
      <c r="S354" s="220" t="s">
        <v>1861</v>
      </c>
      <c r="T354" s="85" t="s">
        <v>1491</v>
      </c>
      <c r="U354" t="s">
        <v>1972</v>
      </c>
      <c r="V354" t="s">
        <v>2832</v>
      </c>
    </row>
    <row r="355" spans="1:22" ht="15.75" thickBot="1" x14ac:dyDescent="0.3">
      <c r="A355" s="82" t="s">
        <v>3508</v>
      </c>
      <c r="B355" s="82" t="str">
        <f t="shared" si="20"/>
        <v>Barraqueiro Transportes, S.A.</v>
      </c>
      <c r="C355" s="82" t="str">
        <f t="shared" si="21"/>
        <v>Frota Azul</v>
      </c>
      <c r="D355" s="83" t="s">
        <v>629</v>
      </c>
      <c r="E355" s="91" t="s">
        <v>1853</v>
      </c>
      <c r="F355" s="124" t="s">
        <v>620</v>
      </c>
      <c r="G355" s="333">
        <v>2015</v>
      </c>
      <c r="H355" s="341" t="s">
        <v>733</v>
      </c>
      <c r="I355" s="336" t="str">
        <f t="shared" si="22"/>
        <v>Pesado de Passageiros M3: III : Gasóleo : E6</v>
      </c>
      <c r="J355" s="125">
        <v>19</v>
      </c>
      <c r="K355" s="125">
        <v>2022</v>
      </c>
      <c r="L355" s="85">
        <v>4139.5500000000011</v>
      </c>
      <c r="M355" s="85" t="s">
        <v>630</v>
      </c>
      <c r="N355" s="128">
        <v>25658</v>
      </c>
      <c r="O355" s="128">
        <f t="shared" si="23"/>
        <v>487502</v>
      </c>
      <c r="P355" s="125" t="s">
        <v>990</v>
      </c>
      <c r="Q355" s="85" t="s">
        <v>47</v>
      </c>
      <c r="R355" s="220" t="s">
        <v>1888</v>
      </c>
      <c r="S355" s="220" t="s">
        <v>1861</v>
      </c>
      <c r="T355" s="85" t="s">
        <v>1491</v>
      </c>
      <c r="U355" t="s">
        <v>1972</v>
      </c>
      <c r="V355" t="s">
        <v>2832</v>
      </c>
    </row>
    <row r="356" spans="1:22" ht="15.75" thickBot="1" x14ac:dyDescent="0.3">
      <c r="A356" s="82" t="s">
        <v>3508</v>
      </c>
      <c r="B356" s="82" t="str">
        <f t="shared" si="20"/>
        <v>Barraqueiro Transportes, S.A.</v>
      </c>
      <c r="C356" s="82" t="str">
        <f t="shared" si="21"/>
        <v>Frota Azul</v>
      </c>
      <c r="D356" s="83" t="s">
        <v>629</v>
      </c>
      <c r="E356" s="91" t="s">
        <v>1853</v>
      </c>
      <c r="F356" s="124" t="s">
        <v>620</v>
      </c>
      <c r="G356" s="333">
        <v>2015</v>
      </c>
      <c r="H356" s="341" t="s">
        <v>733</v>
      </c>
      <c r="I356" s="336" t="str">
        <f t="shared" si="22"/>
        <v>Pesado de Passageiros M3: III : Gasóleo : E6</v>
      </c>
      <c r="J356" s="125">
        <v>16</v>
      </c>
      <c r="K356" s="125">
        <v>2022</v>
      </c>
      <c r="L356" s="85">
        <v>544.30999999999995</v>
      </c>
      <c r="M356" s="85" t="s">
        <v>630</v>
      </c>
      <c r="N356" s="128">
        <v>3858</v>
      </c>
      <c r="O356" s="128">
        <f t="shared" si="23"/>
        <v>61728</v>
      </c>
      <c r="P356" s="125" t="s">
        <v>991</v>
      </c>
      <c r="Q356" s="85" t="s">
        <v>47</v>
      </c>
      <c r="R356" s="220" t="s">
        <v>1888</v>
      </c>
      <c r="S356" s="220" t="s">
        <v>1861</v>
      </c>
      <c r="T356" s="85" t="s">
        <v>1491</v>
      </c>
      <c r="U356" t="s">
        <v>1972</v>
      </c>
      <c r="V356" t="s">
        <v>2832</v>
      </c>
    </row>
    <row r="357" spans="1:22" ht="15.75" thickBot="1" x14ac:dyDescent="0.3">
      <c r="A357" s="82" t="s">
        <v>3508</v>
      </c>
      <c r="B357" s="82" t="str">
        <f t="shared" si="20"/>
        <v>Barraqueiro Transportes, S.A.</v>
      </c>
      <c r="C357" s="82" t="str">
        <f t="shared" si="21"/>
        <v>Frota Azul</v>
      </c>
      <c r="D357" s="83" t="s">
        <v>629</v>
      </c>
      <c r="E357" s="91" t="s">
        <v>1853</v>
      </c>
      <c r="F357" s="124" t="s">
        <v>620</v>
      </c>
      <c r="G357" s="333">
        <v>2015</v>
      </c>
      <c r="H357" s="341" t="s">
        <v>733</v>
      </c>
      <c r="I357" s="336" t="str">
        <f t="shared" si="22"/>
        <v>Pesado de Passageiros M3: III : Gasóleo : E6</v>
      </c>
      <c r="J357" s="125">
        <v>16</v>
      </c>
      <c r="K357" s="125">
        <v>2022</v>
      </c>
      <c r="L357" s="85">
        <v>752.56999999999994</v>
      </c>
      <c r="M357" s="85" t="s">
        <v>630</v>
      </c>
      <c r="N357" s="128">
        <v>5667</v>
      </c>
      <c r="O357" s="128">
        <f t="shared" si="23"/>
        <v>90672</v>
      </c>
      <c r="P357" s="125" t="s">
        <v>992</v>
      </c>
      <c r="Q357" s="85" t="s">
        <v>47</v>
      </c>
      <c r="R357" s="220" t="s">
        <v>1888</v>
      </c>
      <c r="S357" s="220" t="s">
        <v>1861</v>
      </c>
      <c r="T357" s="85" t="s">
        <v>1491</v>
      </c>
      <c r="U357" t="s">
        <v>1972</v>
      </c>
      <c r="V357" t="s">
        <v>2832</v>
      </c>
    </row>
    <row r="358" spans="1:22" ht="15.75" thickBot="1" x14ac:dyDescent="0.3">
      <c r="A358" s="82" t="s">
        <v>3508</v>
      </c>
      <c r="B358" s="82" t="str">
        <f t="shared" si="20"/>
        <v>Barraqueiro Transportes, S.A.</v>
      </c>
      <c r="C358" s="82" t="str">
        <f t="shared" si="21"/>
        <v>Frota Azul</v>
      </c>
      <c r="D358" s="83" t="s">
        <v>629</v>
      </c>
      <c r="E358" s="91" t="s">
        <v>1853</v>
      </c>
      <c r="F358" s="124" t="s">
        <v>620</v>
      </c>
      <c r="G358" s="333">
        <v>2016</v>
      </c>
      <c r="H358" s="341" t="s">
        <v>733</v>
      </c>
      <c r="I358" s="336" t="str">
        <f t="shared" si="22"/>
        <v>Pesado de Passageiros M3: III : Gasóleo : E6</v>
      </c>
      <c r="J358" s="125">
        <v>19</v>
      </c>
      <c r="K358" s="125">
        <v>2022</v>
      </c>
      <c r="L358" s="85">
        <v>979.27</v>
      </c>
      <c r="M358" s="85" t="s">
        <v>630</v>
      </c>
      <c r="N358" s="128">
        <v>5802</v>
      </c>
      <c r="O358" s="128">
        <f t="shared" si="23"/>
        <v>110238</v>
      </c>
      <c r="P358" s="125" t="s">
        <v>993</v>
      </c>
      <c r="Q358" s="85" t="s">
        <v>47</v>
      </c>
      <c r="R358" s="220" t="s">
        <v>1888</v>
      </c>
      <c r="S358" s="220" t="s">
        <v>1861</v>
      </c>
      <c r="T358" s="85" t="s">
        <v>1491</v>
      </c>
      <c r="U358" t="s">
        <v>1972</v>
      </c>
      <c r="V358" t="s">
        <v>2832</v>
      </c>
    </row>
    <row r="359" spans="1:22" ht="15.75" thickBot="1" x14ac:dyDescent="0.3">
      <c r="A359" s="82" t="s">
        <v>3508</v>
      </c>
      <c r="B359" s="82" t="str">
        <f t="shared" si="20"/>
        <v>Barraqueiro Transportes, S.A.</v>
      </c>
      <c r="C359" s="82" t="str">
        <f t="shared" si="21"/>
        <v>Frota Azul</v>
      </c>
      <c r="D359" s="83" t="s">
        <v>629</v>
      </c>
      <c r="E359" s="91" t="s">
        <v>1853</v>
      </c>
      <c r="F359" s="124" t="s">
        <v>620</v>
      </c>
      <c r="G359" s="333">
        <v>2017</v>
      </c>
      <c r="H359" s="341" t="s">
        <v>733</v>
      </c>
      <c r="I359" s="336" t="str">
        <f t="shared" si="22"/>
        <v>Pesado de Passageiros M3: III : Gasóleo : E6</v>
      </c>
      <c r="J359" s="125">
        <v>19</v>
      </c>
      <c r="K359" s="125">
        <v>2022</v>
      </c>
      <c r="L359" s="85">
        <v>4376.3900000000003</v>
      </c>
      <c r="M359" s="85" t="s">
        <v>630</v>
      </c>
      <c r="N359" s="128">
        <v>28795</v>
      </c>
      <c r="O359" s="128">
        <f t="shared" si="23"/>
        <v>547105</v>
      </c>
      <c r="P359" s="125" t="s">
        <v>994</v>
      </c>
      <c r="Q359" s="85" t="s">
        <v>47</v>
      </c>
      <c r="R359" s="220" t="s">
        <v>1888</v>
      </c>
      <c r="S359" s="220" t="s">
        <v>1861</v>
      </c>
      <c r="T359" s="85" t="s">
        <v>1491</v>
      </c>
      <c r="U359" t="s">
        <v>1972</v>
      </c>
      <c r="V359" t="s">
        <v>2832</v>
      </c>
    </row>
    <row r="360" spans="1:22" ht="15.75" thickBot="1" x14ac:dyDescent="0.3">
      <c r="A360" s="82" t="s">
        <v>3508</v>
      </c>
      <c r="B360" s="82" t="str">
        <f t="shared" si="20"/>
        <v>Barraqueiro Transportes, S.A.</v>
      </c>
      <c r="C360" s="82" t="str">
        <f t="shared" si="21"/>
        <v>Frota Azul</v>
      </c>
      <c r="D360" s="83" t="s">
        <v>629</v>
      </c>
      <c r="E360" s="91" t="s">
        <v>1853</v>
      </c>
      <c r="F360" s="124" t="s">
        <v>620</v>
      </c>
      <c r="G360" s="333">
        <v>2019</v>
      </c>
      <c r="H360" s="341" t="s">
        <v>733</v>
      </c>
      <c r="I360" s="336" t="str">
        <f t="shared" si="22"/>
        <v>Pesado de Passageiros M3: III : Gasóleo : E6</v>
      </c>
      <c r="J360" s="125">
        <v>39</v>
      </c>
      <c r="K360" s="125">
        <v>2022</v>
      </c>
      <c r="L360" s="85">
        <v>7226.95</v>
      </c>
      <c r="M360" s="85" t="s">
        <v>630</v>
      </c>
      <c r="N360" s="128">
        <v>25225</v>
      </c>
      <c r="O360" s="128">
        <f t="shared" si="23"/>
        <v>983775</v>
      </c>
      <c r="P360" s="125" t="s">
        <v>995</v>
      </c>
      <c r="Q360" s="85" t="s">
        <v>47</v>
      </c>
      <c r="R360" s="220" t="s">
        <v>1888</v>
      </c>
      <c r="S360" s="220" t="s">
        <v>1861</v>
      </c>
      <c r="T360" s="85" t="s">
        <v>1491</v>
      </c>
      <c r="U360" t="s">
        <v>1972</v>
      </c>
      <c r="V360" t="s">
        <v>2832</v>
      </c>
    </row>
    <row r="361" spans="1:22" ht="15.75" thickBot="1" x14ac:dyDescent="0.3">
      <c r="A361" s="82" t="s">
        <v>3508</v>
      </c>
      <c r="B361" s="82" t="str">
        <f t="shared" si="20"/>
        <v>Barraqueiro Transportes, S.A.</v>
      </c>
      <c r="C361" s="82" t="str">
        <f t="shared" si="21"/>
        <v>Frota Azul</v>
      </c>
      <c r="D361" s="83" t="s">
        <v>629</v>
      </c>
      <c r="E361" s="91" t="s">
        <v>1853</v>
      </c>
      <c r="F361" s="124" t="s">
        <v>620</v>
      </c>
      <c r="G361" s="333">
        <v>2019</v>
      </c>
      <c r="H361" s="341" t="s">
        <v>733</v>
      </c>
      <c r="I361" s="336" t="str">
        <f t="shared" si="22"/>
        <v>Pesado de Passageiros M3: III : Gasóleo : E6</v>
      </c>
      <c r="J361" s="125">
        <v>39</v>
      </c>
      <c r="K361" s="125">
        <v>2022</v>
      </c>
      <c r="L361" s="85">
        <v>7658.3600000000006</v>
      </c>
      <c r="M361" s="85" t="s">
        <v>630</v>
      </c>
      <c r="N361" s="128">
        <v>26936</v>
      </c>
      <c r="O361" s="128">
        <f t="shared" si="23"/>
        <v>1050504</v>
      </c>
      <c r="P361" s="125" t="s">
        <v>996</v>
      </c>
      <c r="Q361" s="85" t="s">
        <v>47</v>
      </c>
      <c r="R361" s="220" t="s">
        <v>1888</v>
      </c>
      <c r="S361" s="220" t="s">
        <v>1861</v>
      </c>
      <c r="T361" s="85" t="s">
        <v>1491</v>
      </c>
      <c r="U361" t="s">
        <v>1972</v>
      </c>
      <c r="V361" t="s">
        <v>2832</v>
      </c>
    </row>
    <row r="362" spans="1:22" ht="15.75" thickBot="1" x14ac:dyDescent="0.3">
      <c r="A362" s="82" t="s">
        <v>3508</v>
      </c>
      <c r="B362" s="82" t="str">
        <f t="shared" si="20"/>
        <v>Barraqueiro Transportes, S.A.</v>
      </c>
      <c r="C362" s="82" t="str">
        <f t="shared" si="21"/>
        <v>Frota Azul</v>
      </c>
      <c r="D362" s="83" t="s">
        <v>629</v>
      </c>
      <c r="E362" s="91" t="s">
        <v>1853</v>
      </c>
      <c r="F362" s="124" t="s">
        <v>620</v>
      </c>
      <c r="G362" s="333">
        <v>2019</v>
      </c>
      <c r="H362" s="341" t="s">
        <v>733</v>
      </c>
      <c r="I362" s="336" t="str">
        <f t="shared" si="22"/>
        <v>Pesado de Passageiros M3: III : Gasóleo : E6</v>
      </c>
      <c r="J362" s="125">
        <v>39</v>
      </c>
      <c r="K362" s="125">
        <v>2022</v>
      </c>
      <c r="L362" s="85">
        <v>8309.58</v>
      </c>
      <c r="M362" s="85" t="s">
        <v>630</v>
      </c>
      <c r="N362" s="128">
        <v>29782</v>
      </c>
      <c r="O362" s="128">
        <f t="shared" si="23"/>
        <v>1161498</v>
      </c>
      <c r="P362" s="125" t="s">
        <v>997</v>
      </c>
      <c r="Q362" s="85" t="s">
        <v>47</v>
      </c>
      <c r="R362" s="220" t="s">
        <v>1888</v>
      </c>
      <c r="S362" s="220" t="s">
        <v>1861</v>
      </c>
      <c r="T362" s="85" t="s">
        <v>1491</v>
      </c>
      <c r="U362" t="s">
        <v>1972</v>
      </c>
      <c r="V362" t="s">
        <v>2832</v>
      </c>
    </row>
    <row r="363" spans="1:22" ht="15.75" thickBot="1" x14ac:dyDescent="0.3">
      <c r="A363" s="82" t="s">
        <v>3508</v>
      </c>
      <c r="B363" s="82" t="str">
        <f t="shared" si="20"/>
        <v>Barraqueiro Transportes, S.A.</v>
      </c>
      <c r="C363" s="82" t="str">
        <f t="shared" si="21"/>
        <v>Frota Azul</v>
      </c>
      <c r="D363" s="83" t="s">
        <v>629</v>
      </c>
      <c r="E363" s="91" t="s">
        <v>1853</v>
      </c>
      <c r="F363" s="124" t="s">
        <v>620</v>
      </c>
      <c r="G363" s="333">
        <v>2011</v>
      </c>
      <c r="H363" s="341" t="s">
        <v>734</v>
      </c>
      <c r="I363" s="336" t="str">
        <f t="shared" si="22"/>
        <v>Pesado de Passageiros M3: III : Gasóleo : E5</v>
      </c>
      <c r="J363" s="125">
        <v>34</v>
      </c>
      <c r="K363" s="125">
        <v>2022</v>
      </c>
      <c r="L363" s="85">
        <v>246.87</v>
      </c>
      <c r="M363" s="85" t="s">
        <v>630</v>
      </c>
      <c r="N363" s="128">
        <v>726</v>
      </c>
      <c r="O363" s="128">
        <f t="shared" si="23"/>
        <v>24684</v>
      </c>
      <c r="P363" s="125" t="s">
        <v>998</v>
      </c>
      <c r="Q363" s="85" t="s">
        <v>47</v>
      </c>
      <c r="R363" s="220" t="s">
        <v>1888</v>
      </c>
      <c r="S363" s="220" t="s">
        <v>1861</v>
      </c>
      <c r="T363" s="85" t="s">
        <v>1491</v>
      </c>
      <c r="U363" t="s">
        <v>1972</v>
      </c>
      <c r="V363" t="s">
        <v>2832</v>
      </c>
    </row>
    <row r="364" spans="1:22" ht="15.75" thickBot="1" x14ac:dyDescent="0.3">
      <c r="A364" s="82" t="s">
        <v>3508</v>
      </c>
      <c r="B364" s="82" t="str">
        <f t="shared" si="20"/>
        <v>Barraqueiro Transportes, S.A.</v>
      </c>
      <c r="C364" s="82" t="str">
        <f t="shared" si="21"/>
        <v>Frota Azul</v>
      </c>
      <c r="D364" s="83" t="s">
        <v>629</v>
      </c>
      <c r="E364" s="91" t="s">
        <v>1853</v>
      </c>
      <c r="F364" s="124" t="s">
        <v>620</v>
      </c>
      <c r="G364" s="333">
        <v>2012</v>
      </c>
      <c r="H364" s="341" t="s">
        <v>734</v>
      </c>
      <c r="I364" s="336" t="str">
        <f t="shared" si="22"/>
        <v>Pesado de Passageiros M3: III : Gasóleo : E5</v>
      </c>
      <c r="J364" s="125">
        <v>34</v>
      </c>
      <c r="K364" s="125">
        <v>2022</v>
      </c>
      <c r="L364" s="85">
        <v>7925.7699999999995</v>
      </c>
      <c r="M364" s="85" t="s">
        <v>630</v>
      </c>
      <c r="N364" s="128">
        <v>25047</v>
      </c>
      <c r="O364" s="128">
        <f t="shared" si="23"/>
        <v>851598</v>
      </c>
      <c r="P364" s="125" t="s">
        <v>999</v>
      </c>
      <c r="Q364" s="85" t="s">
        <v>47</v>
      </c>
      <c r="R364" s="220" t="s">
        <v>1888</v>
      </c>
      <c r="S364" s="220" t="s">
        <v>1861</v>
      </c>
      <c r="T364" s="85" t="s">
        <v>1491</v>
      </c>
      <c r="U364" t="s">
        <v>1972</v>
      </c>
      <c r="V364" t="s">
        <v>2832</v>
      </c>
    </row>
    <row r="365" spans="1:22" ht="15.75" thickBot="1" x14ac:dyDescent="0.3">
      <c r="A365" s="82" t="s">
        <v>3508</v>
      </c>
      <c r="B365" s="82" t="str">
        <f t="shared" si="20"/>
        <v>Barraqueiro Transportes, S.A.</v>
      </c>
      <c r="C365" s="82" t="str">
        <f t="shared" si="21"/>
        <v>Frota Azul</v>
      </c>
      <c r="D365" s="83" t="s">
        <v>629</v>
      </c>
      <c r="E365" s="91" t="s">
        <v>1853</v>
      </c>
      <c r="F365" s="124" t="s">
        <v>620</v>
      </c>
      <c r="G365" s="333">
        <v>2016</v>
      </c>
      <c r="H365" s="341" t="s">
        <v>733</v>
      </c>
      <c r="I365" s="336" t="str">
        <f t="shared" si="22"/>
        <v>Pesado de Passageiros M3: III : Gasóleo : E6</v>
      </c>
      <c r="J365" s="125">
        <v>53</v>
      </c>
      <c r="K365" s="125">
        <v>2022</v>
      </c>
      <c r="L365" s="85">
        <v>7178.1799999999994</v>
      </c>
      <c r="M365" s="85" t="s">
        <v>630</v>
      </c>
      <c r="N365" s="128">
        <v>26925</v>
      </c>
      <c r="O365" s="128">
        <f t="shared" si="23"/>
        <v>1427025</v>
      </c>
      <c r="P365" s="125" t="s">
        <v>1000</v>
      </c>
      <c r="Q365" s="85" t="s">
        <v>47</v>
      </c>
      <c r="R365" s="220" t="s">
        <v>1888</v>
      </c>
      <c r="S365" s="220" t="s">
        <v>1861</v>
      </c>
      <c r="T365" s="85" t="s">
        <v>1491</v>
      </c>
      <c r="U365" t="s">
        <v>1972</v>
      </c>
      <c r="V365" t="s">
        <v>2832</v>
      </c>
    </row>
    <row r="366" spans="1:22" ht="15.75" thickBot="1" x14ac:dyDescent="0.3">
      <c r="A366" s="82" t="s">
        <v>3508</v>
      </c>
      <c r="B366" s="82" t="str">
        <f t="shared" si="20"/>
        <v>Barraqueiro Transportes, S.A.</v>
      </c>
      <c r="C366" s="82" t="str">
        <f t="shared" si="21"/>
        <v>Frota Azul</v>
      </c>
      <c r="D366" s="83" t="s">
        <v>629</v>
      </c>
      <c r="E366" s="91" t="s">
        <v>1853</v>
      </c>
      <c r="F366" s="124" t="s">
        <v>620</v>
      </c>
      <c r="G366" s="333">
        <v>2016</v>
      </c>
      <c r="H366" s="341" t="s">
        <v>733</v>
      </c>
      <c r="I366" s="336" t="str">
        <f t="shared" si="22"/>
        <v>Pesado de Passageiros M3: III : Gasóleo : E6</v>
      </c>
      <c r="J366" s="125">
        <v>59</v>
      </c>
      <c r="K366" s="125">
        <v>2022</v>
      </c>
      <c r="L366" s="85">
        <v>18486.580000000002</v>
      </c>
      <c r="M366" s="85" t="s">
        <v>630</v>
      </c>
      <c r="N366" s="128">
        <v>63081</v>
      </c>
      <c r="O366" s="128">
        <f t="shared" si="23"/>
        <v>3721779</v>
      </c>
      <c r="P366" s="125" t="s">
        <v>1001</v>
      </c>
      <c r="Q366" s="85" t="s">
        <v>47</v>
      </c>
      <c r="R366" s="220" t="s">
        <v>1888</v>
      </c>
      <c r="S366" s="220" t="s">
        <v>1861</v>
      </c>
      <c r="T366" s="85" t="s">
        <v>1491</v>
      </c>
      <c r="U366" t="s">
        <v>1972</v>
      </c>
      <c r="V366" t="s">
        <v>2832</v>
      </c>
    </row>
    <row r="367" spans="1:22" ht="15.75" thickBot="1" x14ac:dyDescent="0.3">
      <c r="A367" s="82" t="s">
        <v>3508</v>
      </c>
      <c r="B367" s="82" t="str">
        <f t="shared" si="20"/>
        <v>Barraqueiro Transportes, S.A.</v>
      </c>
      <c r="C367" s="82" t="str">
        <f t="shared" si="21"/>
        <v>Frota Azul</v>
      </c>
      <c r="D367" s="83" t="s">
        <v>629</v>
      </c>
      <c r="E367" s="91" t="s">
        <v>1853</v>
      </c>
      <c r="F367" s="124" t="s">
        <v>620</v>
      </c>
      <c r="G367" s="333">
        <v>2016</v>
      </c>
      <c r="H367" s="341" t="s">
        <v>733</v>
      </c>
      <c r="I367" s="336" t="str">
        <f t="shared" si="22"/>
        <v>Pesado de Passageiros M3: III : Gasóleo : E6</v>
      </c>
      <c r="J367" s="125">
        <v>59</v>
      </c>
      <c r="K367" s="125">
        <v>2022</v>
      </c>
      <c r="L367" s="85">
        <v>10952.270000000002</v>
      </c>
      <c r="M367" s="85" t="s">
        <v>630</v>
      </c>
      <c r="N367" s="128">
        <v>34911</v>
      </c>
      <c r="O367" s="128">
        <f t="shared" si="23"/>
        <v>2059749</v>
      </c>
      <c r="P367" s="125" t="s">
        <v>1002</v>
      </c>
      <c r="Q367" s="85" t="s">
        <v>47</v>
      </c>
      <c r="R367" s="220" t="s">
        <v>1888</v>
      </c>
      <c r="S367" s="220" t="s">
        <v>1861</v>
      </c>
      <c r="T367" s="85" t="s">
        <v>1491</v>
      </c>
      <c r="U367" t="s">
        <v>1972</v>
      </c>
      <c r="V367" t="s">
        <v>2832</v>
      </c>
    </row>
    <row r="368" spans="1:22" ht="15.75" thickBot="1" x14ac:dyDescent="0.3">
      <c r="A368" s="82" t="s">
        <v>3508</v>
      </c>
      <c r="B368" s="82" t="str">
        <f t="shared" si="20"/>
        <v>Barraqueiro Transportes, S.A.</v>
      </c>
      <c r="C368" s="82" t="str">
        <f t="shared" si="21"/>
        <v>Frota Azul</v>
      </c>
      <c r="D368" s="83" t="s">
        <v>629</v>
      </c>
      <c r="E368" s="91" t="s">
        <v>1853</v>
      </c>
      <c r="F368" s="124" t="s">
        <v>620</v>
      </c>
      <c r="G368" s="333">
        <v>2016</v>
      </c>
      <c r="H368" s="341" t="s">
        <v>733</v>
      </c>
      <c r="I368" s="336" t="str">
        <f t="shared" si="22"/>
        <v>Pesado de Passageiros M3: III : Gasóleo : E6</v>
      </c>
      <c r="J368" s="125">
        <v>59</v>
      </c>
      <c r="K368" s="125">
        <v>2022</v>
      </c>
      <c r="L368" s="85">
        <v>10485.450000000001</v>
      </c>
      <c r="M368" s="85" t="s">
        <v>630</v>
      </c>
      <c r="N368" s="128">
        <v>32927</v>
      </c>
      <c r="O368" s="128">
        <f t="shared" si="23"/>
        <v>1942693</v>
      </c>
      <c r="P368" s="125" t="s">
        <v>1003</v>
      </c>
      <c r="Q368" s="85" t="s">
        <v>47</v>
      </c>
      <c r="R368" s="220" t="s">
        <v>1888</v>
      </c>
      <c r="S368" s="220" t="s">
        <v>1861</v>
      </c>
      <c r="T368" s="85" t="s">
        <v>1491</v>
      </c>
      <c r="U368" t="s">
        <v>1972</v>
      </c>
      <c r="V368" t="s">
        <v>2832</v>
      </c>
    </row>
    <row r="369" spans="1:22" ht="15.75" thickBot="1" x14ac:dyDescent="0.3">
      <c r="A369" s="82" t="s">
        <v>3508</v>
      </c>
      <c r="B369" s="82" t="str">
        <f t="shared" si="20"/>
        <v>Barraqueiro Transportes, S.A.</v>
      </c>
      <c r="C369" s="82" t="str">
        <f t="shared" si="21"/>
        <v>Frota Azul</v>
      </c>
      <c r="D369" s="83" t="s">
        <v>629</v>
      </c>
      <c r="E369" s="91" t="s">
        <v>1853</v>
      </c>
      <c r="F369" s="124" t="s">
        <v>620</v>
      </c>
      <c r="G369" s="333">
        <v>2016</v>
      </c>
      <c r="H369" s="341" t="s">
        <v>733</v>
      </c>
      <c r="I369" s="336" t="str">
        <f t="shared" si="22"/>
        <v>Pesado de Passageiros M3: III : Gasóleo : E6</v>
      </c>
      <c r="J369" s="125">
        <v>59</v>
      </c>
      <c r="K369" s="125">
        <v>2022</v>
      </c>
      <c r="L369" s="85">
        <v>15267.969999999998</v>
      </c>
      <c r="M369" s="85" t="s">
        <v>630</v>
      </c>
      <c r="N369" s="128">
        <v>49610</v>
      </c>
      <c r="O369" s="128">
        <f t="shared" si="23"/>
        <v>2926990</v>
      </c>
      <c r="P369" s="125" t="s">
        <v>1004</v>
      </c>
      <c r="Q369" s="85" t="s">
        <v>47</v>
      </c>
      <c r="R369" s="220" t="s">
        <v>1888</v>
      </c>
      <c r="S369" s="220" t="s">
        <v>1861</v>
      </c>
      <c r="T369" s="85" t="s">
        <v>1491</v>
      </c>
      <c r="U369" t="s">
        <v>1972</v>
      </c>
      <c r="V369" t="s">
        <v>2832</v>
      </c>
    </row>
    <row r="370" spans="1:22" ht="15.75" thickBot="1" x14ac:dyDescent="0.3">
      <c r="A370" s="82" t="s">
        <v>3508</v>
      </c>
      <c r="B370" s="82" t="str">
        <f t="shared" si="20"/>
        <v>Barraqueiro Transportes, S.A.</v>
      </c>
      <c r="C370" s="82" t="str">
        <f t="shared" si="21"/>
        <v>Frota Azul</v>
      </c>
      <c r="D370" s="83" t="s">
        <v>629</v>
      </c>
      <c r="E370" s="91" t="s">
        <v>1853</v>
      </c>
      <c r="F370" s="124" t="s">
        <v>620</v>
      </c>
      <c r="G370" s="333">
        <v>2016</v>
      </c>
      <c r="H370" s="341" t="s">
        <v>733</v>
      </c>
      <c r="I370" s="336" t="str">
        <f t="shared" si="22"/>
        <v>Pesado de Passageiros M3: III : Gasóleo : E6</v>
      </c>
      <c r="J370" s="125">
        <v>59</v>
      </c>
      <c r="K370" s="125">
        <v>2022</v>
      </c>
      <c r="L370" s="85">
        <v>11377.73</v>
      </c>
      <c r="M370" s="85" t="s">
        <v>630</v>
      </c>
      <c r="N370" s="128">
        <v>37013</v>
      </c>
      <c r="O370" s="128">
        <f t="shared" si="23"/>
        <v>2183767</v>
      </c>
      <c r="P370" s="125" t="s">
        <v>1005</v>
      </c>
      <c r="Q370" s="85" t="s">
        <v>47</v>
      </c>
      <c r="R370" s="220" t="s">
        <v>1888</v>
      </c>
      <c r="S370" s="220" t="s">
        <v>1861</v>
      </c>
      <c r="T370" s="85" t="s">
        <v>1491</v>
      </c>
      <c r="U370" t="s">
        <v>1972</v>
      </c>
      <c r="V370" t="s">
        <v>2832</v>
      </c>
    </row>
    <row r="371" spans="1:22" ht="15.75" thickBot="1" x14ac:dyDescent="0.3">
      <c r="A371" s="82" t="s">
        <v>3508</v>
      </c>
      <c r="B371" s="82" t="str">
        <f t="shared" si="20"/>
        <v>Barraqueiro Transportes, S.A.</v>
      </c>
      <c r="C371" s="82" t="str">
        <f t="shared" si="21"/>
        <v>Frota Azul</v>
      </c>
      <c r="D371" s="83" t="s">
        <v>629</v>
      </c>
      <c r="E371" s="91" t="s">
        <v>1853</v>
      </c>
      <c r="F371" s="124" t="s">
        <v>620</v>
      </c>
      <c r="G371" s="333">
        <v>2016</v>
      </c>
      <c r="H371" s="341" t="s">
        <v>733</v>
      </c>
      <c r="I371" s="336" t="str">
        <f t="shared" si="22"/>
        <v>Pesado de Passageiros M3: III : Gasóleo : E6</v>
      </c>
      <c r="J371" s="125">
        <v>59</v>
      </c>
      <c r="K371" s="125">
        <v>2022</v>
      </c>
      <c r="L371" s="85">
        <v>4297.21</v>
      </c>
      <c r="M371" s="85" t="s">
        <v>630</v>
      </c>
      <c r="N371" s="128">
        <v>13997</v>
      </c>
      <c r="O371" s="128">
        <f t="shared" si="23"/>
        <v>825823</v>
      </c>
      <c r="P371" s="125" t="s">
        <v>1006</v>
      </c>
      <c r="Q371" s="85" t="s">
        <v>47</v>
      </c>
      <c r="R371" s="220" t="s">
        <v>1888</v>
      </c>
      <c r="S371" s="220" t="s">
        <v>1861</v>
      </c>
      <c r="T371" s="85" t="s">
        <v>1491</v>
      </c>
      <c r="U371" t="s">
        <v>1972</v>
      </c>
      <c r="V371" t="s">
        <v>2832</v>
      </c>
    </row>
    <row r="372" spans="1:22" ht="15.75" thickBot="1" x14ac:dyDescent="0.3">
      <c r="A372" s="82" t="s">
        <v>3508</v>
      </c>
      <c r="B372" s="82" t="str">
        <f t="shared" si="20"/>
        <v>Barraqueiro Transportes, S.A.</v>
      </c>
      <c r="C372" s="82" t="str">
        <f t="shared" si="21"/>
        <v>Frota Azul</v>
      </c>
      <c r="D372" s="83" t="s">
        <v>629</v>
      </c>
      <c r="E372" s="91" t="s">
        <v>1853</v>
      </c>
      <c r="F372" s="124" t="s">
        <v>620</v>
      </c>
      <c r="G372" s="333">
        <v>2016</v>
      </c>
      <c r="H372" s="341" t="s">
        <v>733</v>
      </c>
      <c r="I372" s="336" t="str">
        <f t="shared" si="22"/>
        <v>Pesado de Passageiros M3: III : Gasóleo : E6</v>
      </c>
      <c r="J372" s="125">
        <v>59</v>
      </c>
      <c r="K372" s="125">
        <v>2022</v>
      </c>
      <c r="L372" s="85">
        <v>6263.82</v>
      </c>
      <c r="M372" s="85" t="s">
        <v>630</v>
      </c>
      <c r="N372" s="128">
        <v>21077</v>
      </c>
      <c r="O372" s="128">
        <f t="shared" si="23"/>
        <v>1243543</v>
      </c>
      <c r="P372" s="125" t="s">
        <v>1007</v>
      </c>
      <c r="Q372" s="85" t="s">
        <v>47</v>
      </c>
      <c r="R372" s="220" t="s">
        <v>1888</v>
      </c>
      <c r="S372" s="220" t="s">
        <v>1861</v>
      </c>
      <c r="T372" s="85" t="s">
        <v>1491</v>
      </c>
      <c r="U372" t="s">
        <v>1972</v>
      </c>
      <c r="V372" t="s">
        <v>2832</v>
      </c>
    </row>
    <row r="373" spans="1:22" ht="15.75" thickBot="1" x14ac:dyDescent="0.3">
      <c r="A373" s="82" t="s">
        <v>3508</v>
      </c>
      <c r="B373" s="82" t="str">
        <f t="shared" si="20"/>
        <v>Barraqueiro Transportes, S.A.</v>
      </c>
      <c r="C373" s="82" t="str">
        <f t="shared" si="21"/>
        <v>Frota Azul</v>
      </c>
      <c r="D373" s="83" t="s">
        <v>629</v>
      </c>
      <c r="E373" s="91" t="s">
        <v>1853</v>
      </c>
      <c r="F373" s="124" t="s">
        <v>620</v>
      </c>
      <c r="G373" s="333">
        <v>2016</v>
      </c>
      <c r="H373" s="341" t="s">
        <v>733</v>
      </c>
      <c r="I373" s="336" t="str">
        <f t="shared" si="22"/>
        <v>Pesado de Passageiros M3: III : Gasóleo : E6</v>
      </c>
      <c r="J373" s="125">
        <v>59</v>
      </c>
      <c r="K373" s="125">
        <v>2022</v>
      </c>
      <c r="L373" s="85">
        <v>3168.91</v>
      </c>
      <c r="M373" s="85" t="s">
        <v>630</v>
      </c>
      <c r="N373" s="128">
        <v>11035</v>
      </c>
      <c r="O373" s="128">
        <f t="shared" si="23"/>
        <v>651065</v>
      </c>
      <c r="P373" s="125" t="s">
        <v>1008</v>
      </c>
      <c r="Q373" s="85" t="s">
        <v>47</v>
      </c>
      <c r="R373" s="220" t="s">
        <v>1888</v>
      </c>
      <c r="S373" s="220" t="s">
        <v>1861</v>
      </c>
      <c r="T373" s="85" t="s">
        <v>1491</v>
      </c>
      <c r="U373" t="s">
        <v>1972</v>
      </c>
      <c r="V373" t="s">
        <v>2832</v>
      </c>
    </row>
    <row r="374" spans="1:22" ht="15.75" thickBot="1" x14ac:dyDescent="0.3">
      <c r="A374" s="82" t="s">
        <v>3508</v>
      </c>
      <c r="B374" s="82" t="str">
        <f t="shared" si="20"/>
        <v>Barraqueiro Transportes, S.A.</v>
      </c>
      <c r="C374" s="82" t="str">
        <f t="shared" si="21"/>
        <v>Frota Azul</v>
      </c>
      <c r="D374" s="83" t="s">
        <v>629</v>
      </c>
      <c r="E374" s="91" t="s">
        <v>1853</v>
      </c>
      <c r="F374" s="124" t="s">
        <v>620</v>
      </c>
      <c r="G374" s="333">
        <v>2016</v>
      </c>
      <c r="H374" s="341" t="s">
        <v>733</v>
      </c>
      <c r="I374" s="336" t="str">
        <f t="shared" si="22"/>
        <v>Pesado de Passageiros M3: III : Gasóleo : E6</v>
      </c>
      <c r="J374" s="125">
        <v>53</v>
      </c>
      <c r="K374" s="125">
        <v>2022</v>
      </c>
      <c r="L374" s="85">
        <v>6255.06</v>
      </c>
      <c r="M374" s="85" t="s">
        <v>630</v>
      </c>
      <c r="N374" s="128">
        <v>21385</v>
      </c>
      <c r="O374" s="128">
        <f t="shared" si="23"/>
        <v>1133405</v>
      </c>
      <c r="P374" s="125" t="s">
        <v>1009</v>
      </c>
      <c r="Q374" s="85" t="s">
        <v>47</v>
      </c>
      <c r="R374" s="220" t="s">
        <v>1888</v>
      </c>
      <c r="S374" s="220" t="s">
        <v>1861</v>
      </c>
      <c r="T374" s="85" t="s">
        <v>1491</v>
      </c>
      <c r="U374" t="s">
        <v>1972</v>
      </c>
      <c r="V374" t="s">
        <v>2832</v>
      </c>
    </row>
    <row r="375" spans="1:22" ht="15.75" thickBot="1" x14ac:dyDescent="0.3">
      <c r="A375" s="82" t="s">
        <v>3508</v>
      </c>
      <c r="B375" s="82" t="str">
        <f t="shared" si="20"/>
        <v>Barraqueiro Transportes, S.A.</v>
      </c>
      <c r="C375" s="82" t="str">
        <f t="shared" si="21"/>
        <v>Frota Azul</v>
      </c>
      <c r="D375" s="83" t="s">
        <v>629</v>
      </c>
      <c r="E375" s="91" t="s">
        <v>1853</v>
      </c>
      <c r="F375" s="124" t="s">
        <v>620</v>
      </c>
      <c r="G375" s="333">
        <v>2016</v>
      </c>
      <c r="H375" s="341" t="s">
        <v>733</v>
      </c>
      <c r="I375" s="336" t="str">
        <f t="shared" si="22"/>
        <v>Pesado de Passageiros M3: III : Gasóleo : E6</v>
      </c>
      <c r="J375" s="125">
        <v>53</v>
      </c>
      <c r="K375" s="125">
        <v>2022</v>
      </c>
      <c r="L375" s="85">
        <v>8209.42</v>
      </c>
      <c r="M375" s="85" t="s">
        <v>630</v>
      </c>
      <c r="N375" s="128">
        <v>29000</v>
      </c>
      <c r="O375" s="128">
        <f t="shared" si="23"/>
        <v>1537000</v>
      </c>
      <c r="P375" s="125" t="s">
        <v>1010</v>
      </c>
      <c r="Q375" s="85" t="s">
        <v>47</v>
      </c>
      <c r="R375" s="220" t="s">
        <v>1888</v>
      </c>
      <c r="S375" s="220" t="s">
        <v>1861</v>
      </c>
      <c r="T375" s="85" t="s">
        <v>1491</v>
      </c>
      <c r="U375" t="s">
        <v>1972</v>
      </c>
      <c r="V375" t="s">
        <v>2832</v>
      </c>
    </row>
    <row r="376" spans="1:22" ht="15.75" thickBot="1" x14ac:dyDescent="0.3">
      <c r="A376" s="82" t="s">
        <v>3508</v>
      </c>
      <c r="B376" s="82" t="str">
        <f t="shared" si="20"/>
        <v>Barraqueiro Transportes, S.A.</v>
      </c>
      <c r="C376" s="82" t="str">
        <f t="shared" si="21"/>
        <v>Frota Azul</v>
      </c>
      <c r="D376" s="83" t="s">
        <v>629</v>
      </c>
      <c r="E376" s="91" t="s">
        <v>1853</v>
      </c>
      <c r="F376" s="124" t="s">
        <v>620</v>
      </c>
      <c r="G376" s="333">
        <v>2016</v>
      </c>
      <c r="H376" s="341" t="s">
        <v>733</v>
      </c>
      <c r="I376" s="336" t="str">
        <f t="shared" si="22"/>
        <v>Pesado de Passageiros M3: III : Gasóleo : E6</v>
      </c>
      <c r="J376" s="125">
        <v>53</v>
      </c>
      <c r="K376" s="125">
        <v>2022</v>
      </c>
      <c r="L376" s="85">
        <v>272.05</v>
      </c>
      <c r="M376" s="85" t="s">
        <v>630</v>
      </c>
      <c r="N376" s="128">
        <v>824</v>
      </c>
      <c r="O376" s="128">
        <f t="shared" si="23"/>
        <v>43672</v>
      </c>
      <c r="P376" s="125" t="s">
        <v>1011</v>
      </c>
      <c r="Q376" s="85" t="s">
        <v>47</v>
      </c>
      <c r="R376" s="220" t="s">
        <v>1888</v>
      </c>
      <c r="S376" s="220" t="s">
        <v>1861</v>
      </c>
      <c r="T376" s="85" t="s">
        <v>1491</v>
      </c>
      <c r="U376" t="s">
        <v>1972</v>
      </c>
      <c r="V376" t="s">
        <v>2832</v>
      </c>
    </row>
    <row r="377" spans="1:22" ht="15.75" thickBot="1" x14ac:dyDescent="0.3">
      <c r="A377" s="82" t="s">
        <v>3508</v>
      </c>
      <c r="B377" s="82" t="str">
        <f t="shared" si="20"/>
        <v>Barraqueiro Transportes, S.A.</v>
      </c>
      <c r="C377" s="82" t="str">
        <f t="shared" si="21"/>
        <v>Frota Azul</v>
      </c>
      <c r="D377" s="83" t="s">
        <v>629</v>
      </c>
      <c r="E377" s="91" t="s">
        <v>1853</v>
      </c>
      <c r="F377" s="124" t="s">
        <v>620</v>
      </c>
      <c r="G377" s="333">
        <v>2016</v>
      </c>
      <c r="H377" s="341" t="s">
        <v>733</v>
      </c>
      <c r="I377" s="336" t="str">
        <f t="shared" si="22"/>
        <v>Pesado de Passageiros M3: III : Gasóleo : E6</v>
      </c>
      <c r="J377" s="125">
        <v>53</v>
      </c>
      <c r="K377" s="125">
        <v>2022</v>
      </c>
      <c r="L377" s="85">
        <v>313.42</v>
      </c>
      <c r="M377" s="85" t="s">
        <v>630</v>
      </c>
      <c r="N377" s="128">
        <v>1160</v>
      </c>
      <c r="O377" s="128">
        <f t="shared" si="23"/>
        <v>61480</v>
      </c>
      <c r="P377" s="125" t="s">
        <v>1012</v>
      </c>
      <c r="Q377" s="85" t="s">
        <v>47</v>
      </c>
      <c r="R377" s="220" t="s">
        <v>1888</v>
      </c>
      <c r="S377" s="220" t="s">
        <v>1861</v>
      </c>
      <c r="T377" s="85" t="s">
        <v>1491</v>
      </c>
      <c r="U377" t="s">
        <v>1972</v>
      </c>
      <c r="V377" t="s">
        <v>2832</v>
      </c>
    </row>
    <row r="378" spans="1:22" ht="15.75" thickBot="1" x14ac:dyDescent="0.3">
      <c r="A378" s="82" t="s">
        <v>3508</v>
      </c>
      <c r="B378" s="82" t="str">
        <f t="shared" si="20"/>
        <v>Barraqueiro Transportes, S.A.</v>
      </c>
      <c r="C378" s="82" t="str">
        <f t="shared" si="21"/>
        <v>Frota Azul</v>
      </c>
      <c r="D378" s="83" t="s">
        <v>629</v>
      </c>
      <c r="E378" s="91" t="s">
        <v>1853</v>
      </c>
      <c r="F378" s="124" t="s">
        <v>620</v>
      </c>
      <c r="G378" s="333">
        <v>2017</v>
      </c>
      <c r="H378" s="341" t="s">
        <v>733</v>
      </c>
      <c r="I378" s="336" t="str">
        <f t="shared" si="22"/>
        <v>Pesado de Passageiros M3: III : Gasóleo : E6</v>
      </c>
      <c r="J378" s="125">
        <v>53</v>
      </c>
      <c r="K378" s="125">
        <v>2022</v>
      </c>
      <c r="L378" s="85">
        <v>10716.420000000002</v>
      </c>
      <c r="M378" s="85" t="s">
        <v>630</v>
      </c>
      <c r="N378" s="128">
        <v>40535</v>
      </c>
      <c r="O378" s="128">
        <f t="shared" si="23"/>
        <v>2148355</v>
      </c>
      <c r="P378" s="125" t="s">
        <v>1013</v>
      </c>
      <c r="Q378" s="85" t="s">
        <v>47</v>
      </c>
      <c r="R378" s="220" t="s">
        <v>1888</v>
      </c>
      <c r="S378" s="220" t="s">
        <v>1861</v>
      </c>
      <c r="T378" s="85" t="s">
        <v>1491</v>
      </c>
      <c r="U378" t="s">
        <v>1972</v>
      </c>
      <c r="V378" t="s">
        <v>2832</v>
      </c>
    </row>
    <row r="379" spans="1:22" ht="15.75" thickBot="1" x14ac:dyDescent="0.3">
      <c r="A379" s="82" t="s">
        <v>3508</v>
      </c>
      <c r="B379" s="82" t="str">
        <f t="shared" si="20"/>
        <v>Barraqueiro Transportes, S.A.</v>
      </c>
      <c r="C379" s="82" t="str">
        <f t="shared" si="21"/>
        <v>Frota Azul</v>
      </c>
      <c r="D379" s="83" t="s">
        <v>629</v>
      </c>
      <c r="E379" s="91" t="s">
        <v>1853</v>
      </c>
      <c r="F379" s="124" t="s">
        <v>620</v>
      </c>
      <c r="G379" s="333">
        <v>2017</v>
      </c>
      <c r="H379" s="341" t="s">
        <v>733</v>
      </c>
      <c r="I379" s="336" t="str">
        <f t="shared" si="22"/>
        <v>Pesado de Passageiros M3: III : Gasóleo : E6</v>
      </c>
      <c r="J379" s="125">
        <v>53</v>
      </c>
      <c r="K379" s="125">
        <v>2022</v>
      </c>
      <c r="L379" s="85">
        <v>12318.090000000002</v>
      </c>
      <c r="M379" s="85" t="s">
        <v>630</v>
      </c>
      <c r="N379" s="128">
        <v>46429</v>
      </c>
      <c r="O379" s="128">
        <f t="shared" si="23"/>
        <v>2460737</v>
      </c>
      <c r="P379" s="125" t="s">
        <v>1014</v>
      </c>
      <c r="Q379" s="85" t="s">
        <v>47</v>
      </c>
      <c r="R379" s="220" t="s">
        <v>1888</v>
      </c>
      <c r="S379" s="220" t="s">
        <v>1861</v>
      </c>
      <c r="T379" s="85" t="s">
        <v>1491</v>
      </c>
      <c r="U379" t="s">
        <v>1972</v>
      </c>
      <c r="V379" t="s">
        <v>2832</v>
      </c>
    </row>
    <row r="380" spans="1:22" ht="15.75" thickBot="1" x14ac:dyDescent="0.3">
      <c r="A380" s="82" t="s">
        <v>3508</v>
      </c>
      <c r="B380" s="82" t="str">
        <f t="shared" si="20"/>
        <v>Barraqueiro Transportes, S.A.</v>
      </c>
      <c r="C380" s="82" t="str">
        <f t="shared" si="21"/>
        <v>Frota Azul</v>
      </c>
      <c r="D380" s="83" t="s">
        <v>629</v>
      </c>
      <c r="E380" s="91" t="s">
        <v>1853</v>
      </c>
      <c r="F380" s="124" t="s">
        <v>620</v>
      </c>
      <c r="G380" s="333">
        <v>2018</v>
      </c>
      <c r="H380" s="341" t="s">
        <v>733</v>
      </c>
      <c r="I380" s="336" t="str">
        <f t="shared" si="22"/>
        <v>Pesado de Passageiros M3: III : Gasóleo : E6</v>
      </c>
      <c r="J380" s="125">
        <v>53</v>
      </c>
      <c r="K380" s="125">
        <v>2022</v>
      </c>
      <c r="L380" s="85">
        <v>11878.399999999998</v>
      </c>
      <c r="M380" s="85" t="s">
        <v>630</v>
      </c>
      <c r="N380" s="128">
        <v>43470</v>
      </c>
      <c r="O380" s="128">
        <f t="shared" si="23"/>
        <v>2303910</v>
      </c>
      <c r="P380" s="125" t="s">
        <v>1015</v>
      </c>
      <c r="Q380" s="85" t="s">
        <v>47</v>
      </c>
      <c r="R380" s="220" t="s">
        <v>1888</v>
      </c>
      <c r="S380" s="220" t="s">
        <v>1861</v>
      </c>
      <c r="T380" s="85" t="s">
        <v>1491</v>
      </c>
      <c r="U380" t="s">
        <v>1972</v>
      </c>
      <c r="V380" t="s">
        <v>2832</v>
      </c>
    </row>
    <row r="381" spans="1:22" ht="15.75" thickBot="1" x14ac:dyDescent="0.3">
      <c r="A381" s="82" t="s">
        <v>3508</v>
      </c>
      <c r="B381" s="82" t="str">
        <f t="shared" si="20"/>
        <v>Barraqueiro Transportes, S.A.</v>
      </c>
      <c r="C381" s="82" t="str">
        <f t="shared" si="21"/>
        <v>Frota Azul</v>
      </c>
      <c r="D381" s="83" t="s">
        <v>629</v>
      </c>
      <c r="E381" s="91" t="s">
        <v>1853</v>
      </c>
      <c r="F381" s="124" t="s">
        <v>620</v>
      </c>
      <c r="G381" s="333">
        <v>2018</v>
      </c>
      <c r="H381" s="341" t="s">
        <v>733</v>
      </c>
      <c r="I381" s="336" t="str">
        <f t="shared" si="22"/>
        <v>Pesado de Passageiros M3: III : Gasóleo : E6</v>
      </c>
      <c r="J381" s="125">
        <v>53</v>
      </c>
      <c r="K381" s="125">
        <v>2022</v>
      </c>
      <c r="L381" s="85">
        <v>10631.9</v>
      </c>
      <c r="M381" s="85" t="s">
        <v>630</v>
      </c>
      <c r="N381" s="128">
        <v>39963</v>
      </c>
      <c r="O381" s="128">
        <f t="shared" si="23"/>
        <v>2118039</v>
      </c>
      <c r="P381" s="125" t="s">
        <v>1016</v>
      </c>
      <c r="Q381" s="85" t="s">
        <v>47</v>
      </c>
      <c r="R381" s="220" t="s">
        <v>1888</v>
      </c>
      <c r="S381" s="220" t="s">
        <v>1861</v>
      </c>
      <c r="T381" s="85" t="s">
        <v>1491</v>
      </c>
      <c r="U381" t="s">
        <v>1972</v>
      </c>
      <c r="V381" t="s">
        <v>2832</v>
      </c>
    </row>
    <row r="382" spans="1:22" ht="15.75" thickBot="1" x14ac:dyDescent="0.3">
      <c r="A382" s="82" t="s">
        <v>3508</v>
      </c>
      <c r="B382" s="82" t="str">
        <f t="shared" si="20"/>
        <v>Barraqueiro Transportes, S.A.</v>
      </c>
      <c r="C382" s="82" t="str">
        <f t="shared" si="21"/>
        <v>Frota Azul</v>
      </c>
      <c r="D382" s="83" t="s">
        <v>629</v>
      </c>
      <c r="E382" s="91" t="s">
        <v>1853</v>
      </c>
      <c r="F382" s="124" t="s">
        <v>620</v>
      </c>
      <c r="G382" s="333">
        <v>2018</v>
      </c>
      <c r="H382" s="341" t="s">
        <v>733</v>
      </c>
      <c r="I382" s="336" t="str">
        <f t="shared" si="22"/>
        <v>Pesado de Passageiros M3: III : Gasóleo : E6</v>
      </c>
      <c r="J382" s="125">
        <v>53</v>
      </c>
      <c r="K382" s="125">
        <v>2022</v>
      </c>
      <c r="L382" s="85">
        <v>11356.649999999998</v>
      </c>
      <c r="M382" s="85" t="s">
        <v>630</v>
      </c>
      <c r="N382" s="128">
        <v>41794</v>
      </c>
      <c r="O382" s="128">
        <f t="shared" si="23"/>
        <v>2215082</v>
      </c>
      <c r="P382" s="125" t="s">
        <v>1017</v>
      </c>
      <c r="Q382" s="85" t="s">
        <v>47</v>
      </c>
      <c r="R382" s="220" t="s">
        <v>1888</v>
      </c>
      <c r="S382" s="220" t="s">
        <v>1861</v>
      </c>
      <c r="T382" s="85" t="s">
        <v>1491</v>
      </c>
      <c r="U382" t="s">
        <v>1972</v>
      </c>
      <c r="V382" t="s">
        <v>2832</v>
      </c>
    </row>
    <row r="383" spans="1:22" ht="15.75" thickBot="1" x14ac:dyDescent="0.3">
      <c r="A383" s="82" t="s">
        <v>3508</v>
      </c>
      <c r="B383" s="82" t="str">
        <f t="shared" si="20"/>
        <v>Barraqueiro Transportes, S.A.</v>
      </c>
      <c r="C383" s="82" t="str">
        <f t="shared" si="21"/>
        <v>Frota Azul</v>
      </c>
      <c r="D383" s="83" t="s">
        <v>629</v>
      </c>
      <c r="E383" s="91" t="s">
        <v>1853</v>
      </c>
      <c r="F383" s="124" t="s">
        <v>620</v>
      </c>
      <c r="G383" s="333">
        <v>2018</v>
      </c>
      <c r="H383" s="341" t="s">
        <v>733</v>
      </c>
      <c r="I383" s="336" t="str">
        <f t="shared" si="22"/>
        <v>Pesado de Passageiros M3: III : Gasóleo : E6</v>
      </c>
      <c r="J383" s="125">
        <v>53</v>
      </c>
      <c r="K383" s="125">
        <v>2022</v>
      </c>
      <c r="L383" s="85">
        <v>14387.7</v>
      </c>
      <c r="M383" s="85" t="s">
        <v>630</v>
      </c>
      <c r="N383" s="128">
        <v>54390</v>
      </c>
      <c r="O383" s="128">
        <f t="shared" si="23"/>
        <v>2882670</v>
      </c>
      <c r="P383" s="125" t="s">
        <v>1018</v>
      </c>
      <c r="Q383" s="85" t="s">
        <v>47</v>
      </c>
      <c r="R383" s="220" t="s">
        <v>1888</v>
      </c>
      <c r="S383" s="220" t="s">
        <v>1861</v>
      </c>
      <c r="T383" s="85" t="s">
        <v>1491</v>
      </c>
      <c r="U383" t="s">
        <v>1972</v>
      </c>
      <c r="V383" t="s">
        <v>2832</v>
      </c>
    </row>
    <row r="384" spans="1:22" ht="15.75" thickBot="1" x14ac:dyDescent="0.3">
      <c r="A384" s="82" t="s">
        <v>3508</v>
      </c>
      <c r="B384" s="82" t="str">
        <f t="shared" si="20"/>
        <v>Barraqueiro Transportes, S.A.</v>
      </c>
      <c r="C384" s="82" t="str">
        <f t="shared" si="21"/>
        <v>Frota Azul</v>
      </c>
      <c r="D384" s="83" t="s">
        <v>629</v>
      </c>
      <c r="E384" s="91" t="s">
        <v>1853</v>
      </c>
      <c r="F384" s="124" t="s">
        <v>620</v>
      </c>
      <c r="G384" s="333">
        <v>2018</v>
      </c>
      <c r="H384" s="341" t="s">
        <v>733</v>
      </c>
      <c r="I384" s="336" t="str">
        <f t="shared" si="22"/>
        <v>Pesado de Passageiros M3: III : Gasóleo : E6</v>
      </c>
      <c r="J384" s="125">
        <v>35</v>
      </c>
      <c r="K384" s="125">
        <v>2022</v>
      </c>
      <c r="L384" s="85">
        <v>10044.860000000002</v>
      </c>
      <c r="M384" s="85" t="s">
        <v>630</v>
      </c>
      <c r="N384" s="128">
        <v>42344</v>
      </c>
      <c r="O384" s="128">
        <f t="shared" si="23"/>
        <v>1482040</v>
      </c>
      <c r="P384" s="125" t="s">
        <v>1019</v>
      </c>
      <c r="Q384" s="85" t="s">
        <v>47</v>
      </c>
      <c r="R384" s="220" t="s">
        <v>1888</v>
      </c>
      <c r="S384" s="220" t="s">
        <v>1861</v>
      </c>
      <c r="T384" s="85" t="s">
        <v>1491</v>
      </c>
      <c r="U384" t="s">
        <v>1972</v>
      </c>
      <c r="V384" t="s">
        <v>2832</v>
      </c>
    </row>
    <row r="385" spans="1:22" ht="15.75" thickBot="1" x14ac:dyDescent="0.3">
      <c r="A385" s="82" t="s">
        <v>3508</v>
      </c>
      <c r="B385" s="82" t="str">
        <f t="shared" si="20"/>
        <v>Barraqueiro Transportes, S.A.</v>
      </c>
      <c r="C385" s="82" t="str">
        <f t="shared" si="21"/>
        <v>Frota Azul</v>
      </c>
      <c r="D385" s="83" t="s">
        <v>629</v>
      </c>
      <c r="E385" s="91" t="s">
        <v>1853</v>
      </c>
      <c r="F385" s="124" t="s">
        <v>620</v>
      </c>
      <c r="G385" s="333">
        <v>2018</v>
      </c>
      <c r="H385" s="341" t="s">
        <v>733</v>
      </c>
      <c r="I385" s="336" t="str">
        <f t="shared" si="22"/>
        <v>Pesado de Passageiros M3: III : Gasóleo : E6</v>
      </c>
      <c r="J385" s="125">
        <v>53</v>
      </c>
      <c r="K385" s="125">
        <v>2022</v>
      </c>
      <c r="L385" s="85">
        <v>13849.27</v>
      </c>
      <c r="M385" s="85" t="s">
        <v>630</v>
      </c>
      <c r="N385" s="128">
        <v>57954</v>
      </c>
      <c r="O385" s="128">
        <f t="shared" si="23"/>
        <v>3071562</v>
      </c>
      <c r="P385" s="125" t="s">
        <v>1020</v>
      </c>
      <c r="Q385" s="85" t="s">
        <v>47</v>
      </c>
      <c r="R385" s="220" t="s">
        <v>1888</v>
      </c>
      <c r="S385" s="220" t="s">
        <v>1861</v>
      </c>
      <c r="T385" s="85" t="s">
        <v>1491</v>
      </c>
      <c r="U385" t="s">
        <v>1972</v>
      </c>
      <c r="V385" t="s">
        <v>2832</v>
      </c>
    </row>
    <row r="386" spans="1:22" ht="15.75" thickBot="1" x14ac:dyDescent="0.3">
      <c r="A386" s="82" t="s">
        <v>3508</v>
      </c>
      <c r="B386" s="82" t="str">
        <f t="shared" si="20"/>
        <v>Barraqueiro Transportes, S.A.</v>
      </c>
      <c r="C386" s="82" t="str">
        <f t="shared" si="21"/>
        <v>Frota Azul</v>
      </c>
      <c r="D386" s="83" t="s">
        <v>629</v>
      </c>
      <c r="E386" s="91" t="s">
        <v>1853</v>
      </c>
      <c r="F386" s="124" t="s">
        <v>620</v>
      </c>
      <c r="G386" s="333">
        <v>2018</v>
      </c>
      <c r="H386" s="341" t="s">
        <v>733</v>
      </c>
      <c r="I386" s="336" t="str">
        <f t="shared" si="22"/>
        <v>Pesado de Passageiros M3: III : Gasóleo : E6</v>
      </c>
      <c r="J386" s="125">
        <v>53</v>
      </c>
      <c r="K386" s="125">
        <v>2022</v>
      </c>
      <c r="L386" s="85">
        <v>14687.83</v>
      </c>
      <c r="M386" s="85" t="s">
        <v>630</v>
      </c>
      <c r="N386" s="128">
        <v>60301</v>
      </c>
      <c r="O386" s="128">
        <f t="shared" si="23"/>
        <v>3195953</v>
      </c>
      <c r="P386" s="125" t="s">
        <v>1021</v>
      </c>
      <c r="Q386" s="85" t="s">
        <v>47</v>
      </c>
      <c r="R386" s="220" t="s">
        <v>1888</v>
      </c>
      <c r="S386" s="220" t="s">
        <v>1861</v>
      </c>
      <c r="T386" s="85" t="s">
        <v>1491</v>
      </c>
      <c r="U386" t="s">
        <v>1972</v>
      </c>
      <c r="V386" t="s">
        <v>2832</v>
      </c>
    </row>
    <row r="387" spans="1:22" ht="15.75" thickBot="1" x14ac:dyDescent="0.3">
      <c r="A387" s="82" t="s">
        <v>3508</v>
      </c>
      <c r="B387" s="82" t="str">
        <f t="shared" ref="B387:B450" si="24">LEFT(A387,IFERROR(FIND(" - ",A387)-1,LEN(A387)))</f>
        <v>Barraqueiro Transportes, S.A.</v>
      </c>
      <c r="C387" s="82" t="str">
        <f t="shared" si="21"/>
        <v>Frota Azul</v>
      </c>
      <c r="D387" s="83" t="s">
        <v>629</v>
      </c>
      <c r="E387" s="91" t="s">
        <v>1853</v>
      </c>
      <c r="F387" s="124" t="s">
        <v>620</v>
      </c>
      <c r="G387" s="333">
        <v>2018</v>
      </c>
      <c r="H387" s="341" t="s">
        <v>733</v>
      </c>
      <c r="I387" s="336" t="str">
        <f t="shared" si="22"/>
        <v>Pesado de Passageiros M3: III : Gasóleo : E6</v>
      </c>
      <c r="J387" s="125">
        <v>53</v>
      </c>
      <c r="K387" s="125">
        <v>2022</v>
      </c>
      <c r="L387" s="85">
        <v>12601.2</v>
      </c>
      <c r="M387" s="85" t="s">
        <v>630</v>
      </c>
      <c r="N387" s="128">
        <v>49298</v>
      </c>
      <c r="O387" s="128">
        <f t="shared" si="23"/>
        <v>2612794</v>
      </c>
      <c r="P387" s="125" t="s">
        <v>1022</v>
      </c>
      <c r="Q387" s="85" t="s">
        <v>47</v>
      </c>
      <c r="R387" s="220" t="s">
        <v>1888</v>
      </c>
      <c r="S387" s="220" t="s">
        <v>1861</v>
      </c>
      <c r="T387" s="85" t="s">
        <v>1491</v>
      </c>
      <c r="U387" t="s">
        <v>1972</v>
      </c>
      <c r="V387" t="s">
        <v>2832</v>
      </c>
    </row>
    <row r="388" spans="1:22" ht="15.75" thickBot="1" x14ac:dyDescent="0.3">
      <c r="A388" s="82" t="s">
        <v>3508</v>
      </c>
      <c r="B388" s="82" t="str">
        <f t="shared" si="24"/>
        <v>Barraqueiro Transportes, S.A.</v>
      </c>
      <c r="C388" s="82" t="str">
        <f t="shared" ref="C388:C451" si="25">IF(A388=B388,B388,RIGHT(A388,LEN(A388)-LEN(B388)-3))</f>
        <v>Frota Azul</v>
      </c>
      <c r="D388" s="83" t="s">
        <v>629</v>
      </c>
      <c r="E388" s="91" t="s">
        <v>1853</v>
      </c>
      <c r="F388" s="124" t="s">
        <v>620</v>
      </c>
      <c r="G388" s="333">
        <v>2018</v>
      </c>
      <c r="H388" s="341" t="s">
        <v>733</v>
      </c>
      <c r="I388" s="336" t="str">
        <f t="shared" ref="I388:I451" si="26">D388&amp;": "&amp;E388&amp;" : "&amp;F388&amp;" : "&amp;H388</f>
        <v>Pesado de Passageiros M3: III : Gasóleo : E6</v>
      </c>
      <c r="J388" s="125">
        <v>53</v>
      </c>
      <c r="K388" s="125">
        <v>2022</v>
      </c>
      <c r="L388" s="85">
        <v>10844.6</v>
      </c>
      <c r="M388" s="85" t="s">
        <v>630</v>
      </c>
      <c r="N388" s="128">
        <v>43030</v>
      </c>
      <c r="O388" s="128">
        <f t="shared" ref="O388:O451" si="27">N388*J388</f>
        <v>2280590</v>
      </c>
      <c r="P388" s="125" t="s">
        <v>983</v>
      </c>
      <c r="Q388" s="85" t="s">
        <v>47</v>
      </c>
      <c r="R388" s="220" t="s">
        <v>1888</v>
      </c>
      <c r="S388" s="220" t="s">
        <v>1861</v>
      </c>
      <c r="T388" s="85" t="s">
        <v>1491</v>
      </c>
      <c r="U388" t="s">
        <v>1972</v>
      </c>
      <c r="V388" t="s">
        <v>2832</v>
      </c>
    </row>
    <row r="389" spans="1:22" ht="15.75" thickBot="1" x14ac:dyDescent="0.3">
      <c r="A389" s="82" t="s">
        <v>3508</v>
      </c>
      <c r="B389" s="82" t="str">
        <f t="shared" si="24"/>
        <v>Barraqueiro Transportes, S.A.</v>
      </c>
      <c r="C389" s="82" t="str">
        <f t="shared" si="25"/>
        <v>Frota Azul</v>
      </c>
      <c r="D389" s="83" t="s">
        <v>629</v>
      </c>
      <c r="E389" s="91" t="s">
        <v>1853</v>
      </c>
      <c r="F389" s="124" t="s">
        <v>620</v>
      </c>
      <c r="G389" s="333">
        <v>2018</v>
      </c>
      <c r="H389" s="341" t="s">
        <v>733</v>
      </c>
      <c r="I389" s="336" t="str">
        <f t="shared" si="26"/>
        <v>Pesado de Passageiros M3: III : Gasóleo : E6</v>
      </c>
      <c r="J389" s="125">
        <v>53</v>
      </c>
      <c r="K389" s="125">
        <v>2022</v>
      </c>
      <c r="L389" s="85">
        <v>11751.259999999998</v>
      </c>
      <c r="M389" s="85" t="s">
        <v>630</v>
      </c>
      <c r="N389" s="128">
        <v>47053</v>
      </c>
      <c r="O389" s="128">
        <f t="shared" si="27"/>
        <v>2493809</v>
      </c>
      <c r="P389" s="125" t="s">
        <v>984</v>
      </c>
      <c r="Q389" s="85" t="s">
        <v>47</v>
      </c>
      <c r="R389" s="220" t="s">
        <v>1888</v>
      </c>
      <c r="S389" s="220" t="s">
        <v>1861</v>
      </c>
      <c r="T389" s="85" t="s">
        <v>1491</v>
      </c>
      <c r="U389" t="s">
        <v>1972</v>
      </c>
      <c r="V389" t="s">
        <v>2832</v>
      </c>
    </row>
    <row r="390" spans="1:22" ht="15.75" thickBot="1" x14ac:dyDescent="0.3">
      <c r="A390" s="82" t="s">
        <v>3508</v>
      </c>
      <c r="B390" s="82" t="str">
        <f t="shared" si="24"/>
        <v>Barraqueiro Transportes, S.A.</v>
      </c>
      <c r="C390" s="82" t="str">
        <f t="shared" si="25"/>
        <v>Frota Azul</v>
      </c>
      <c r="D390" s="83" t="s">
        <v>629</v>
      </c>
      <c r="E390" s="91" t="s">
        <v>1853</v>
      </c>
      <c r="F390" s="124" t="s">
        <v>620</v>
      </c>
      <c r="G390" s="333">
        <v>2019</v>
      </c>
      <c r="H390" s="341" t="s">
        <v>733</v>
      </c>
      <c r="I390" s="336" t="str">
        <f t="shared" si="26"/>
        <v>Pesado de Passageiros M3: III : Gasóleo : E6</v>
      </c>
      <c r="J390" s="125">
        <v>53</v>
      </c>
      <c r="K390" s="125">
        <v>2022</v>
      </c>
      <c r="L390" s="85">
        <v>15283.91</v>
      </c>
      <c r="M390" s="85" t="s">
        <v>630</v>
      </c>
      <c r="N390" s="128">
        <v>59505</v>
      </c>
      <c r="O390" s="128">
        <f t="shared" si="27"/>
        <v>3153765</v>
      </c>
      <c r="P390" s="125" t="s">
        <v>1023</v>
      </c>
      <c r="Q390" s="85" t="s">
        <v>47</v>
      </c>
      <c r="R390" s="220" t="s">
        <v>1888</v>
      </c>
      <c r="S390" s="220" t="s">
        <v>1861</v>
      </c>
      <c r="T390" s="85" t="s">
        <v>1491</v>
      </c>
      <c r="U390" t="s">
        <v>1972</v>
      </c>
      <c r="V390" t="s">
        <v>2832</v>
      </c>
    </row>
    <row r="391" spans="1:22" ht="15.75" thickBot="1" x14ac:dyDescent="0.3">
      <c r="A391" s="82" t="s">
        <v>3508</v>
      </c>
      <c r="B391" s="82" t="str">
        <f t="shared" si="24"/>
        <v>Barraqueiro Transportes, S.A.</v>
      </c>
      <c r="C391" s="82" t="str">
        <f t="shared" si="25"/>
        <v>Frota Azul</v>
      </c>
      <c r="D391" s="83" t="s">
        <v>629</v>
      </c>
      <c r="E391" s="91" t="s">
        <v>1853</v>
      </c>
      <c r="F391" s="124" t="s">
        <v>620</v>
      </c>
      <c r="G391" s="333">
        <v>2019</v>
      </c>
      <c r="H391" s="341" t="s">
        <v>733</v>
      </c>
      <c r="I391" s="336" t="str">
        <f t="shared" si="26"/>
        <v>Pesado de Passageiros M3: III : Gasóleo : E6</v>
      </c>
      <c r="J391" s="125">
        <v>53</v>
      </c>
      <c r="K391" s="125">
        <v>2022</v>
      </c>
      <c r="L391" s="85">
        <v>13929.659999999998</v>
      </c>
      <c r="M391" s="85" t="s">
        <v>630</v>
      </c>
      <c r="N391" s="128">
        <v>55906</v>
      </c>
      <c r="O391" s="128">
        <f t="shared" si="27"/>
        <v>2963018</v>
      </c>
      <c r="P391" s="125" t="s">
        <v>1024</v>
      </c>
      <c r="Q391" s="85" t="s">
        <v>47</v>
      </c>
      <c r="R391" s="220" t="s">
        <v>1888</v>
      </c>
      <c r="S391" s="220" t="s">
        <v>1861</v>
      </c>
      <c r="T391" s="85" t="s">
        <v>1491</v>
      </c>
      <c r="U391" t="s">
        <v>1972</v>
      </c>
      <c r="V391" t="s">
        <v>2832</v>
      </c>
    </row>
    <row r="392" spans="1:22" ht="15.75" thickBot="1" x14ac:dyDescent="0.3">
      <c r="A392" s="82" t="s">
        <v>3508</v>
      </c>
      <c r="B392" s="82" t="str">
        <f t="shared" si="24"/>
        <v>Barraqueiro Transportes, S.A.</v>
      </c>
      <c r="C392" s="82" t="str">
        <f t="shared" si="25"/>
        <v>Frota Azul</v>
      </c>
      <c r="D392" s="83" t="s">
        <v>629</v>
      </c>
      <c r="E392" s="91" t="s">
        <v>1853</v>
      </c>
      <c r="F392" s="124" t="s">
        <v>620</v>
      </c>
      <c r="G392" s="333">
        <v>2019</v>
      </c>
      <c r="H392" s="341" t="s">
        <v>733</v>
      </c>
      <c r="I392" s="336" t="str">
        <f t="shared" si="26"/>
        <v>Pesado de Passageiros M3: III : Gasóleo : E6</v>
      </c>
      <c r="J392" s="125">
        <v>53</v>
      </c>
      <c r="K392" s="125">
        <v>2022</v>
      </c>
      <c r="L392" s="85">
        <v>11905.73</v>
      </c>
      <c r="M392" s="85" t="s">
        <v>630</v>
      </c>
      <c r="N392" s="128">
        <v>43750</v>
      </c>
      <c r="O392" s="128">
        <f t="shared" si="27"/>
        <v>2318750</v>
      </c>
      <c r="P392" s="125" t="s">
        <v>1025</v>
      </c>
      <c r="Q392" s="85" t="s">
        <v>47</v>
      </c>
      <c r="R392" s="220" t="s">
        <v>1888</v>
      </c>
      <c r="S392" s="220" t="s">
        <v>1861</v>
      </c>
      <c r="T392" s="85" t="s">
        <v>1491</v>
      </c>
      <c r="U392" t="s">
        <v>1972</v>
      </c>
      <c r="V392" t="s">
        <v>2832</v>
      </c>
    </row>
    <row r="393" spans="1:22" ht="15.75" thickBot="1" x14ac:dyDescent="0.3">
      <c r="A393" s="82" t="s">
        <v>3508</v>
      </c>
      <c r="B393" s="82" t="str">
        <f t="shared" si="24"/>
        <v>Barraqueiro Transportes, S.A.</v>
      </c>
      <c r="C393" s="82" t="str">
        <f t="shared" si="25"/>
        <v>Frota Azul</v>
      </c>
      <c r="D393" s="83" t="s">
        <v>629</v>
      </c>
      <c r="E393" s="91" t="s">
        <v>1853</v>
      </c>
      <c r="F393" s="124" t="s">
        <v>620</v>
      </c>
      <c r="G393" s="333">
        <v>2019</v>
      </c>
      <c r="H393" s="341" t="s">
        <v>733</v>
      </c>
      <c r="I393" s="336" t="str">
        <f t="shared" si="26"/>
        <v>Pesado de Passageiros M3: III : Gasóleo : E6</v>
      </c>
      <c r="J393" s="125">
        <v>53</v>
      </c>
      <c r="K393" s="125">
        <v>2022</v>
      </c>
      <c r="L393" s="85">
        <v>14767.039999999999</v>
      </c>
      <c r="M393" s="85" t="s">
        <v>630</v>
      </c>
      <c r="N393" s="128">
        <v>56164</v>
      </c>
      <c r="O393" s="128">
        <f t="shared" si="27"/>
        <v>2976692</v>
      </c>
      <c r="P393" s="125" t="s">
        <v>1026</v>
      </c>
      <c r="Q393" s="85" t="s">
        <v>47</v>
      </c>
      <c r="R393" s="220" t="s">
        <v>1888</v>
      </c>
      <c r="S393" s="220" t="s">
        <v>1861</v>
      </c>
      <c r="T393" s="85" t="s">
        <v>1491</v>
      </c>
      <c r="U393" t="s">
        <v>1972</v>
      </c>
      <c r="V393" t="s">
        <v>2832</v>
      </c>
    </row>
    <row r="394" spans="1:22" ht="15.75" thickBot="1" x14ac:dyDescent="0.3">
      <c r="A394" s="82" t="s">
        <v>3508</v>
      </c>
      <c r="B394" s="82" t="str">
        <f t="shared" si="24"/>
        <v>Barraqueiro Transportes, S.A.</v>
      </c>
      <c r="C394" s="82" t="str">
        <f t="shared" si="25"/>
        <v>Frota Azul</v>
      </c>
      <c r="D394" s="83" t="s">
        <v>629</v>
      </c>
      <c r="E394" s="91" t="s">
        <v>1853</v>
      </c>
      <c r="F394" s="124" t="s">
        <v>620</v>
      </c>
      <c r="G394" s="333">
        <v>2019</v>
      </c>
      <c r="H394" s="341" t="s">
        <v>733</v>
      </c>
      <c r="I394" s="336" t="str">
        <f t="shared" si="26"/>
        <v>Pesado de Passageiros M3: III : Gasóleo : E6</v>
      </c>
      <c r="J394" s="125">
        <v>53</v>
      </c>
      <c r="K394" s="125">
        <v>2022</v>
      </c>
      <c r="L394" s="85">
        <v>15187.18</v>
      </c>
      <c r="M394" s="85" t="s">
        <v>630</v>
      </c>
      <c r="N394" s="128">
        <v>58216</v>
      </c>
      <c r="O394" s="128">
        <f t="shared" si="27"/>
        <v>3085448</v>
      </c>
      <c r="P394" s="125" t="s">
        <v>1027</v>
      </c>
      <c r="Q394" s="85" t="s">
        <v>47</v>
      </c>
      <c r="R394" s="220" t="s">
        <v>1888</v>
      </c>
      <c r="S394" s="220" t="s">
        <v>1861</v>
      </c>
      <c r="T394" s="85" t="s">
        <v>1491</v>
      </c>
      <c r="U394" t="s">
        <v>1972</v>
      </c>
      <c r="V394" t="s">
        <v>2832</v>
      </c>
    </row>
    <row r="395" spans="1:22" ht="15.75" thickBot="1" x14ac:dyDescent="0.3">
      <c r="A395" s="82" t="s">
        <v>3508</v>
      </c>
      <c r="B395" s="82" t="str">
        <f t="shared" si="24"/>
        <v>Barraqueiro Transportes, S.A.</v>
      </c>
      <c r="C395" s="82" t="str">
        <f t="shared" si="25"/>
        <v>Frota Azul</v>
      </c>
      <c r="D395" s="83" t="s">
        <v>629</v>
      </c>
      <c r="E395" s="91" t="s">
        <v>1853</v>
      </c>
      <c r="F395" s="124" t="s">
        <v>620</v>
      </c>
      <c r="G395" s="333">
        <v>2019</v>
      </c>
      <c r="H395" s="341" t="s">
        <v>733</v>
      </c>
      <c r="I395" s="336" t="str">
        <f t="shared" si="26"/>
        <v>Pesado de Passageiros M3: III : Gasóleo : E6</v>
      </c>
      <c r="J395" s="125">
        <v>53</v>
      </c>
      <c r="K395" s="125">
        <v>2022</v>
      </c>
      <c r="L395" s="85">
        <v>15202.699999999999</v>
      </c>
      <c r="M395" s="85" t="s">
        <v>630</v>
      </c>
      <c r="N395" s="128">
        <v>60484</v>
      </c>
      <c r="O395" s="128">
        <f t="shared" si="27"/>
        <v>3205652</v>
      </c>
      <c r="P395" s="125" t="s">
        <v>1028</v>
      </c>
      <c r="Q395" s="85" t="s">
        <v>47</v>
      </c>
      <c r="R395" s="220" t="s">
        <v>1888</v>
      </c>
      <c r="S395" s="220" t="s">
        <v>1861</v>
      </c>
      <c r="T395" s="85" t="s">
        <v>1491</v>
      </c>
      <c r="U395" t="s">
        <v>1972</v>
      </c>
      <c r="V395" t="s">
        <v>2832</v>
      </c>
    </row>
    <row r="396" spans="1:22" ht="15.75" thickBot="1" x14ac:dyDescent="0.3">
      <c r="A396" s="82" t="s">
        <v>3508</v>
      </c>
      <c r="B396" s="82" t="str">
        <f t="shared" si="24"/>
        <v>Barraqueiro Transportes, S.A.</v>
      </c>
      <c r="C396" s="82" t="str">
        <f t="shared" si="25"/>
        <v>Frota Azul</v>
      </c>
      <c r="D396" s="83" t="s">
        <v>629</v>
      </c>
      <c r="E396" s="91" t="s">
        <v>1853</v>
      </c>
      <c r="F396" s="124" t="s">
        <v>620</v>
      </c>
      <c r="G396" s="333">
        <v>2019</v>
      </c>
      <c r="H396" s="341" t="s">
        <v>733</v>
      </c>
      <c r="I396" s="336" t="str">
        <f t="shared" si="26"/>
        <v>Pesado de Passageiros M3: III : Gasóleo : E6</v>
      </c>
      <c r="J396" s="125">
        <v>53</v>
      </c>
      <c r="K396" s="125">
        <v>2022</v>
      </c>
      <c r="L396" s="85">
        <v>15523.510000000002</v>
      </c>
      <c r="M396" s="85" t="s">
        <v>630</v>
      </c>
      <c r="N396" s="128">
        <v>59976</v>
      </c>
      <c r="O396" s="128">
        <f t="shared" si="27"/>
        <v>3178728</v>
      </c>
      <c r="P396" s="125" t="s">
        <v>1029</v>
      </c>
      <c r="Q396" s="85" t="s">
        <v>47</v>
      </c>
      <c r="R396" s="220" t="s">
        <v>1888</v>
      </c>
      <c r="S396" s="220" t="s">
        <v>1861</v>
      </c>
      <c r="T396" s="85" t="s">
        <v>1491</v>
      </c>
      <c r="U396" t="s">
        <v>1972</v>
      </c>
      <c r="V396" t="s">
        <v>2832</v>
      </c>
    </row>
    <row r="397" spans="1:22" ht="15.75" thickBot="1" x14ac:dyDescent="0.3">
      <c r="A397" s="82" t="s">
        <v>3508</v>
      </c>
      <c r="B397" s="82" t="str">
        <f t="shared" si="24"/>
        <v>Barraqueiro Transportes, S.A.</v>
      </c>
      <c r="C397" s="82" t="str">
        <f t="shared" si="25"/>
        <v>Frota Azul</v>
      </c>
      <c r="D397" s="83" t="s">
        <v>629</v>
      </c>
      <c r="E397" s="91" t="s">
        <v>1853</v>
      </c>
      <c r="F397" s="124" t="s">
        <v>620</v>
      </c>
      <c r="G397" s="333">
        <v>2019</v>
      </c>
      <c r="H397" s="341" t="s">
        <v>733</v>
      </c>
      <c r="I397" s="336" t="str">
        <f t="shared" si="26"/>
        <v>Pesado de Passageiros M3: III : Gasóleo : E6</v>
      </c>
      <c r="J397" s="125">
        <v>53</v>
      </c>
      <c r="K397" s="125">
        <v>2022</v>
      </c>
      <c r="L397" s="85">
        <v>19234.71</v>
      </c>
      <c r="M397" s="85" t="s">
        <v>630</v>
      </c>
      <c r="N397" s="128">
        <v>71789</v>
      </c>
      <c r="O397" s="128">
        <f t="shared" si="27"/>
        <v>3804817</v>
      </c>
      <c r="P397" s="125" t="s">
        <v>1030</v>
      </c>
      <c r="Q397" s="85" t="s">
        <v>47</v>
      </c>
      <c r="R397" s="220" t="s">
        <v>1888</v>
      </c>
      <c r="S397" s="220" t="s">
        <v>1861</v>
      </c>
      <c r="T397" s="85" t="s">
        <v>1491</v>
      </c>
      <c r="U397" t="s">
        <v>1972</v>
      </c>
      <c r="V397" t="s">
        <v>2832</v>
      </c>
    </row>
    <row r="398" spans="1:22" ht="15.75" thickBot="1" x14ac:dyDescent="0.3">
      <c r="A398" s="82" t="s">
        <v>3508</v>
      </c>
      <c r="B398" s="82" t="str">
        <f t="shared" si="24"/>
        <v>Barraqueiro Transportes, S.A.</v>
      </c>
      <c r="C398" s="82" t="str">
        <f t="shared" si="25"/>
        <v>Frota Azul</v>
      </c>
      <c r="D398" s="83" t="s">
        <v>629</v>
      </c>
      <c r="E398" s="91" t="s">
        <v>1853</v>
      </c>
      <c r="F398" s="124" t="s">
        <v>620</v>
      </c>
      <c r="G398" s="333">
        <v>2019</v>
      </c>
      <c r="H398" s="341" t="s">
        <v>733</v>
      </c>
      <c r="I398" s="336" t="str">
        <f t="shared" si="26"/>
        <v>Pesado de Passageiros M3: III : Gasóleo : E6</v>
      </c>
      <c r="J398" s="125">
        <v>53</v>
      </c>
      <c r="K398" s="125">
        <v>2022</v>
      </c>
      <c r="L398" s="85">
        <v>15929.42</v>
      </c>
      <c r="M398" s="85" t="s">
        <v>630</v>
      </c>
      <c r="N398" s="128">
        <v>62583</v>
      </c>
      <c r="O398" s="128">
        <f t="shared" si="27"/>
        <v>3316899</v>
      </c>
      <c r="P398" s="125" t="s">
        <v>1031</v>
      </c>
      <c r="Q398" s="85" t="s">
        <v>47</v>
      </c>
      <c r="R398" s="220" t="s">
        <v>1888</v>
      </c>
      <c r="S398" s="220" t="s">
        <v>1861</v>
      </c>
      <c r="T398" s="85" t="s">
        <v>1491</v>
      </c>
      <c r="U398" t="s">
        <v>1972</v>
      </c>
      <c r="V398" t="s">
        <v>2832</v>
      </c>
    </row>
    <row r="399" spans="1:22" ht="15.75" thickBot="1" x14ac:dyDescent="0.3">
      <c r="A399" s="82" t="s">
        <v>3508</v>
      </c>
      <c r="B399" s="82" t="str">
        <f t="shared" si="24"/>
        <v>Barraqueiro Transportes, S.A.</v>
      </c>
      <c r="C399" s="82" t="str">
        <f t="shared" si="25"/>
        <v>Frota Azul</v>
      </c>
      <c r="D399" s="83" t="s">
        <v>629</v>
      </c>
      <c r="E399" s="91" t="s">
        <v>1853</v>
      </c>
      <c r="F399" s="124" t="s">
        <v>620</v>
      </c>
      <c r="G399" s="333">
        <v>2019</v>
      </c>
      <c r="H399" s="341" t="s">
        <v>733</v>
      </c>
      <c r="I399" s="336" t="str">
        <f t="shared" si="26"/>
        <v>Pesado de Passageiros M3: III : Gasóleo : E6</v>
      </c>
      <c r="J399" s="125">
        <v>53</v>
      </c>
      <c r="K399" s="125">
        <v>2022</v>
      </c>
      <c r="L399" s="85">
        <v>16712.350000000002</v>
      </c>
      <c r="M399" s="85" t="s">
        <v>630</v>
      </c>
      <c r="N399" s="128">
        <v>66279</v>
      </c>
      <c r="O399" s="128">
        <f t="shared" si="27"/>
        <v>3512787</v>
      </c>
      <c r="P399" s="125" t="s">
        <v>1032</v>
      </c>
      <c r="Q399" s="85" t="s">
        <v>47</v>
      </c>
      <c r="R399" s="220" t="s">
        <v>1888</v>
      </c>
      <c r="S399" s="220" t="s">
        <v>1861</v>
      </c>
      <c r="T399" s="85" t="s">
        <v>1491</v>
      </c>
      <c r="U399" t="s">
        <v>1972</v>
      </c>
      <c r="V399" t="s">
        <v>2832</v>
      </c>
    </row>
    <row r="400" spans="1:22" ht="15.75" thickBot="1" x14ac:dyDescent="0.3">
      <c r="A400" s="82" t="s">
        <v>3508</v>
      </c>
      <c r="B400" s="82" t="str">
        <f t="shared" si="24"/>
        <v>Barraqueiro Transportes, S.A.</v>
      </c>
      <c r="C400" s="82" t="str">
        <f t="shared" si="25"/>
        <v>Frota Azul</v>
      </c>
      <c r="D400" s="83" t="s">
        <v>629</v>
      </c>
      <c r="E400" s="91" t="s">
        <v>1853</v>
      </c>
      <c r="F400" s="124" t="s">
        <v>620</v>
      </c>
      <c r="G400" s="333">
        <v>2019</v>
      </c>
      <c r="H400" s="341" t="s">
        <v>733</v>
      </c>
      <c r="I400" s="336" t="str">
        <f t="shared" si="26"/>
        <v>Pesado de Passageiros M3: III : Gasóleo : E6</v>
      </c>
      <c r="J400" s="125">
        <v>53</v>
      </c>
      <c r="K400" s="125">
        <v>2022</v>
      </c>
      <c r="L400" s="85">
        <v>16871.800000000003</v>
      </c>
      <c r="M400" s="85" t="s">
        <v>630</v>
      </c>
      <c r="N400" s="128">
        <v>65622</v>
      </c>
      <c r="O400" s="128">
        <f t="shared" si="27"/>
        <v>3477966</v>
      </c>
      <c r="P400" s="125" t="s">
        <v>1033</v>
      </c>
      <c r="Q400" s="85" t="s">
        <v>47</v>
      </c>
      <c r="R400" s="220" t="s">
        <v>1888</v>
      </c>
      <c r="S400" s="220" t="s">
        <v>1861</v>
      </c>
      <c r="T400" s="85" t="s">
        <v>1491</v>
      </c>
      <c r="U400" t="s">
        <v>1972</v>
      </c>
      <c r="V400" t="s">
        <v>2832</v>
      </c>
    </row>
    <row r="401" spans="1:22" ht="15.75" thickBot="1" x14ac:dyDescent="0.3">
      <c r="A401" s="82" t="s">
        <v>3508</v>
      </c>
      <c r="B401" s="82" t="str">
        <f t="shared" si="24"/>
        <v>Barraqueiro Transportes, S.A.</v>
      </c>
      <c r="C401" s="82" t="str">
        <f t="shared" si="25"/>
        <v>Frota Azul</v>
      </c>
      <c r="D401" s="83" t="s">
        <v>629</v>
      </c>
      <c r="E401" s="91" t="s">
        <v>1853</v>
      </c>
      <c r="F401" s="124" t="s">
        <v>620</v>
      </c>
      <c r="G401" s="333">
        <v>2019</v>
      </c>
      <c r="H401" s="341" t="s">
        <v>733</v>
      </c>
      <c r="I401" s="336" t="str">
        <f t="shared" si="26"/>
        <v>Pesado de Passageiros M3: III : Gasóleo : E6</v>
      </c>
      <c r="J401" s="125">
        <v>53</v>
      </c>
      <c r="K401" s="125">
        <v>2022</v>
      </c>
      <c r="L401" s="85">
        <v>15353.83</v>
      </c>
      <c r="M401" s="85" t="s">
        <v>630</v>
      </c>
      <c r="N401" s="128">
        <v>57874</v>
      </c>
      <c r="O401" s="128">
        <f t="shared" si="27"/>
        <v>3067322</v>
      </c>
      <c r="P401" s="125" t="s">
        <v>1034</v>
      </c>
      <c r="Q401" s="85" t="s">
        <v>47</v>
      </c>
      <c r="R401" s="220" t="s">
        <v>1888</v>
      </c>
      <c r="S401" s="220" t="s">
        <v>1861</v>
      </c>
      <c r="T401" s="85" t="s">
        <v>1491</v>
      </c>
      <c r="U401" t="s">
        <v>1972</v>
      </c>
      <c r="V401" t="s">
        <v>2832</v>
      </c>
    </row>
    <row r="402" spans="1:22" ht="15.75" thickBot="1" x14ac:dyDescent="0.3">
      <c r="A402" s="82" t="s">
        <v>3508</v>
      </c>
      <c r="B402" s="82" t="str">
        <f t="shared" si="24"/>
        <v>Barraqueiro Transportes, S.A.</v>
      </c>
      <c r="C402" s="82" t="str">
        <f t="shared" si="25"/>
        <v>Frota Azul</v>
      </c>
      <c r="D402" s="83" t="s">
        <v>629</v>
      </c>
      <c r="E402" s="91" t="s">
        <v>1853</v>
      </c>
      <c r="F402" s="124" t="s">
        <v>620</v>
      </c>
      <c r="G402" s="333">
        <v>2019</v>
      </c>
      <c r="H402" s="341" t="s">
        <v>733</v>
      </c>
      <c r="I402" s="336" t="str">
        <f t="shared" si="26"/>
        <v>Pesado de Passageiros M3: III : Gasóleo : E6</v>
      </c>
      <c r="J402" s="125">
        <v>53</v>
      </c>
      <c r="K402" s="125">
        <v>2022</v>
      </c>
      <c r="L402" s="85">
        <v>18094.776000000002</v>
      </c>
      <c r="M402" s="85" t="s">
        <v>630</v>
      </c>
      <c r="N402" s="128">
        <v>69945</v>
      </c>
      <c r="O402" s="128">
        <f t="shared" si="27"/>
        <v>3707085</v>
      </c>
      <c r="P402" s="125" t="s">
        <v>1035</v>
      </c>
      <c r="Q402" s="85" t="s">
        <v>47</v>
      </c>
      <c r="R402" s="220" t="s">
        <v>1888</v>
      </c>
      <c r="S402" s="220" t="s">
        <v>1861</v>
      </c>
      <c r="T402" s="85" t="s">
        <v>1491</v>
      </c>
      <c r="U402" t="s">
        <v>1972</v>
      </c>
      <c r="V402" t="s">
        <v>2832</v>
      </c>
    </row>
    <row r="403" spans="1:22" ht="15.75" thickBot="1" x14ac:dyDescent="0.3">
      <c r="A403" s="82" t="s">
        <v>3508</v>
      </c>
      <c r="B403" s="82" t="str">
        <f t="shared" si="24"/>
        <v>Barraqueiro Transportes, S.A.</v>
      </c>
      <c r="C403" s="82" t="str">
        <f t="shared" si="25"/>
        <v>Frota Azul</v>
      </c>
      <c r="D403" s="83" t="s">
        <v>629</v>
      </c>
      <c r="E403" s="91" t="s">
        <v>1853</v>
      </c>
      <c r="F403" s="124" t="s">
        <v>620</v>
      </c>
      <c r="G403" s="333">
        <v>2019</v>
      </c>
      <c r="H403" s="341" t="s">
        <v>733</v>
      </c>
      <c r="I403" s="336" t="str">
        <f t="shared" si="26"/>
        <v>Pesado de Passageiros M3: III : Gasóleo : E6</v>
      </c>
      <c r="J403" s="125">
        <v>53</v>
      </c>
      <c r="K403" s="125">
        <v>2022</v>
      </c>
      <c r="L403" s="85">
        <v>15780.01</v>
      </c>
      <c r="M403" s="85" t="s">
        <v>630</v>
      </c>
      <c r="N403" s="128">
        <v>61976</v>
      </c>
      <c r="O403" s="128">
        <f t="shared" si="27"/>
        <v>3284728</v>
      </c>
      <c r="P403" s="125" t="s">
        <v>1036</v>
      </c>
      <c r="Q403" s="85" t="s">
        <v>47</v>
      </c>
      <c r="R403" s="220" t="s">
        <v>1888</v>
      </c>
      <c r="S403" s="220" t="s">
        <v>1861</v>
      </c>
      <c r="T403" s="85" t="s">
        <v>1491</v>
      </c>
      <c r="U403" t="s">
        <v>1972</v>
      </c>
      <c r="V403" t="s">
        <v>2832</v>
      </c>
    </row>
    <row r="404" spans="1:22" ht="15.75" thickBot="1" x14ac:dyDescent="0.3">
      <c r="A404" s="82" t="s">
        <v>3508</v>
      </c>
      <c r="B404" s="82" t="str">
        <f t="shared" si="24"/>
        <v>Barraqueiro Transportes, S.A.</v>
      </c>
      <c r="C404" s="82" t="str">
        <f t="shared" si="25"/>
        <v>Frota Azul</v>
      </c>
      <c r="D404" s="83" t="s">
        <v>629</v>
      </c>
      <c r="E404" s="91" t="s">
        <v>1853</v>
      </c>
      <c r="F404" s="124" t="s">
        <v>620</v>
      </c>
      <c r="G404" s="333">
        <v>2019</v>
      </c>
      <c r="H404" s="341" t="s">
        <v>733</v>
      </c>
      <c r="I404" s="336" t="str">
        <f t="shared" si="26"/>
        <v>Pesado de Passageiros M3: III : Gasóleo : E6</v>
      </c>
      <c r="J404" s="125">
        <v>63</v>
      </c>
      <c r="K404" s="125">
        <v>2022</v>
      </c>
      <c r="L404" s="85">
        <v>3400.36</v>
      </c>
      <c r="M404" s="85" t="s">
        <v>630</v>
      </c>
      <c r="N404" s="128">
        <v>12294</v>
      </c>
      <c r="O404" s="128">
        <f t="shared" si="27"/>
        <v>774522</v>
      </c>
      <c r="P404" s="125" t="s">
        <v>1037</v>
      </c>
      <c r="Q404" s="85" t="s">
        <v>47</v>
      </c>
      <c r="R404" s="220" t="s">
        <v>1888</v>
      </c>
      <c r="S404" s="220" t="s">
        <v>1861</v>
      </c>
      <c r="T404" s="85" t="s">
        <v>1491</v>
      </c>
      <c r="U404" t="s">
        <v>1972</v>
      </c>
      <c r="V404" t="s">
        <v>2832</v>
      </c>
    </row>
    <row r="405" spans="1:22" ht="15.75" thickBot="1" x14ac:dyDescent="0.3">
      <c r="A405" s="82" t="s">
        <v>3508</v>
      </c>
      <c r="B405" s="82" t="str">
        <f t="shared" si="24"/>
        <v>Barraqueiro Transportes, S.A.</v>
      </c>
      <c r="C405" s="82" t="str">
        <f t="shared" si="25"/>
        <v>Frota Azul</v>
      </c>
      <c r="D405" s="83" t="s">
        <v>629</v>
      </c>
      <c r="E405" s="91" t="s">
        <v>1853</v>
      </c>
      <c r="F405" s="124" t="s">
        <v>620</v>
      </c>
      <c r="G405" s="333">
        <v>2019</v>
      </c>
      <c r="H405" s="341" t="s">
        <v>733</v>
      </c>
      <c r="I405" s="336" t="str">
        <f t="shared" si="26"/>
        <v>Pesado de Passageiros M3: III : Gasóleo : E6</v>
      </c>
      <c r="J405" s="125">
        <v>63</v>
      </c>
      <c r="K405" s="125">
        <v>2022</v>
      </c>
      <c r="L405" s="85">
        <v>33946.44</v>
      </c>
      <c r="M405" s="85" t="s">
        <v>630</v>
      </c>
      <c r="N405" s="128">
        <v>116354</v>
      </c>
      <c r="O405" s="128">
        <f t="shared" si="27"/>
        <v>7330302</v>
      </c>
      <c r="P405" s="125" t="s">
        <v>1038</v>
      </c>
      <c r="Q405" s="85" t="s">
        <v>47</v>
      </c>
      <c r="R405" s="220" t="s">
        <v>1888</v>
      </c>
      <c r="S405" s="220" t="s">
        <v>1861</v>
      </c>
      <c r="T405" s="85" t="s">
        <v>1491</v>
      </c>
      <c r="U405" t="s">
        <v>1972</v>
      </c>
      <c r="V405" t="s">
        <v>2832</v>
      </c>
    </row>
    <row r="406" spans="1:22" ht="15.75" thickBot="1" x14ac:dyDescent="0.3">
      <c r="A406" s="82" t="s">
        <v>3508</v>
      </c>
      <c r="B406" s="82" t="str">
        <f t="shared" si="24"/>
        <v>Barraqueiro Transportes, S.A.</v>
      </c>
      <c r="C406" s="82" t="str">
        <f t="shared" si="25"/>
        <v>Frota Azul</v>
      </c>
      <c r="D406" s="83" t="s">
        <v>629</v>
      </c>
      <c r="E406" s="91" t="s">
        <v>1853</v>
      </c>
      <c r="F406" s="124" t="s">
        <v>620</v>
      </c>
      <c r="G406" s="333">
        <v>2019</v>
      </c>
      <c r="H406" s="341" t="s">
        <v>733</v>
      </c>
      <c r="I406" s="336" t="str">
        <f t="shared" si="26"/>
        <v>Pesado de Passageiros M3: III : Gasóleo : E6</v>
      </c>
      <c r="J406" s="125">
        <v>53</v>
      </c>
      <c r="K406" s="125">
        <v>2022</v>
      </c>
      <c r="L406" s="85">
        <v>10457.48</v>
      </c>
      <c r="M406" s="85" t="s">
        <v>630</v>
      </c>
      <c r="N406" s="128">
        <v>41163</v>
      </c>
      <c r="O406" s="128">
        <f t="shared" si="27"/>
        <v>2181639</v>
      </c>
      <c r="P406" s="125" t="s">
        <v>985</v>
      </c>
      <c r="Q406" s="85" t="s">
        <v>47</v>
      </c>
      <c r="R406" s="220" t="s">
        <v>1888</v>
      </c>
      <c r="S406" s="220" t="s">
        <v>1861</v>
      </c>
      <c r="T406" s="85" t="s">
        <v>1491</v>
      </c>
      <c r="U406" t="s">
        <v>1972</v>
      </c>
      <c r="V406" t="s">
        <v>2832</v>
      </c>
    </row>
    <row r="407" spans="1:22" ht="15.75" thickBot="1" x14ac:dyDescent="0.3">
      <c r="A407" s="82" t="s">
        <v>3508</v>
      </c>
      <c r="B407" s="82" t="str">
        <f t="shared" si="24"/>
        <v>Barraqueiro Transportes, S.A.</v>
      </c>
      <c r="C407" s="82" t="str">
        <f t="shared" si="25"/>
        <v>Frota Azul</v>
      </c>
      <c r="D407" s="83" t="s">
        <v>629</v>
      </c>
      <c r="E407" s="91" t="s">
        <v>1853</v>
      </c>
      <c r="F407" s="124" t="s">
        <v>620</v>
      </c>
      <c r="G407" s="333">
        <v>2019</v>
      </c>
      <c r="H407" s="341" t="s">
        <v>733</v>
      </c>
      <c r="I407" s="336" t="str">
        <f t="shared" si="26"/>
        <v>Pesado de Passageiros M3: III : Gasóleo : E6</v>
      </c>
      <c r="J407" s="125">
        <v>53</v>
      </c>
      <c r="K407" s="125">
        <v>2022</v>
      </c>
      <c r="L407" s="85">
        <v>10440.58</v>
      </c>
      <c r="M407" s="85" t="s">
        <v>630</v>
      </c>
      <c r="N407" s="128">
        <v>42154</v>
      </c>
      <c r="O407" s="128">
        <f t="shared" si="27"/>
        <v>2234162</v>
      </c>
      <c r="P407" s="125" t="s">
        <v>986</v>
      </c>
      <c r="Q407" s="85" t="s">
        <v>47</v>
      </c>
      <c r="R407" s="220" t="s">
        <v>1888</v>
      </c>
      <c r="S407" s="220" t="s">
        <v>1861</v>
      </c>
      <c r="T407" s="85" t="s">
        <v>1491</v>
      </c>
      <c r="U407" t="s">
        <v>1972</v>
      </c>
      <c r="V407" t="s">
        <v>2832</v>
      </c>
    </row>
    <row r="408" spans="1:22" ht="15.75" thickBot="1" x14ac:dyDescent="0.3">
      <c r="A408" s="82" t="s">
        <v>3508</v>
      </c>
      <c r="B408" s="82" t="str">
        <f t="shared" si="24"/>
        <v>Barraqueiro Transportes, S.A.</v>
      </c>
      <c r="C408" s="82" t="str">
        <f t="shared" si="25"/>
        <v>Frota Azul</v>
      </c>
      <c r="D408" s="83" t="s">
        <v>629</v>
      </c>
      <c r="E408" s="91" t="s">
        <v>1853</v>
      </c>
      <c r="F408" s="124" t="s">
        <v>620</v>
      </c>
      <c r="G408" s="333">
        <v>2019</v>
      </c>
      <c r="H408" s="341" t="s">
        <v>733</v>
      </c>
      <c r="I408" s="336" t="str">
        <f t="shared" si="26"/>
        <v>Pesado de Passageiros M3: III : Gasóleo : E6</v>
      </c>
      <c r="J408" s="125">
        <v>53</v>
      </c>
      <c r="K408" s="125">
        <v>2022</v>
      </c>
      <c r="L408" s="85">
        <v>14231.21</v>
      </c>
      <c r="M408" s="85" t="s">
        <v>630</v>
      </c>
      <c r="N408" s="128">
        <v>57497</v>
      </c>
      <c r="O408" s="128">
        <f t="shared" si="27"/>
        <v>3047341</v>
      </c>
      <c r="P408" s="125" t="s">
        <v>987</v>
      </c>
      <c r="Q408" s="85" t="s">
        <v>47</v>
      </c>
      <c r="R408" s="220" t="s">
        <v>1888</v>
      </c>
      <c r="S408" s="220" t="s">
        <v>1861</v>
      </c>
      <c r="T408" s="85" t="s">
        <v>1491</v>
      </c>
      <c r="U408" t="s">
        <v>1972</v>
      </c>
      <c r="V408" t="s">
        <v>2832</v>
      </c>
    </row>
    <row r="409" spans="1:22" ht="15.75" thickBot="1" x14ac:dyDescent="0.3">
      <c r="A409" s="82" t="s">
        <v>3508</v>
      </c>
      <c r="B409" s="82" t="str">
        <f t="shared" si="24"/>
        <v>Barraqueiro Transportes, S.A.</v>
      </c>
      <c r="C409" s="82" t="str">
        <f t="shared" si="25"/>
        <v>Frota Azul</v>
      </c>
      <c r="D409" s="83" t="s">
        <v>629</v>
      </c>
      <c r="E409" s="91" t="s">
        <v>1853</v>
      </c>
      <c r="F409" s="124" t="s">
        <v>620</v>
      </c>
      <c r="G409" s="333">
        <v>2019</v>
      </c>
      <c r="H409" s="341" t="s">
        <v>733</v>
      </c>
      <c r="I409" s="336" t="str">
        <f t="shared" si="26"/>
        <v>Pesado de Passageiros M3: III : Gasóleo : E6</v>
      </c>
      <c r="J409" s="125">
        <v>53</v>
      </c>
      <c r="K409" s="125">
        <v>2022</v>
      </c>
      <c r="L409" s="85">
        <v>13581.148999999999</v>
      </c>
      <c r="M409" s="85" t="s">
        <v>630</v>
      </c>
      <c r="N409" s="128">
        <v>53865</v>
      </c>
      <c r="O409" s="128">
        <f t="shared" si="27"/>
        <v>2854845</v>
      </c>
      <c r="P409" s="125" t="s">
        <v>988</v>
      </c>
      <c r="Q409" s="85" t="s">
        <v>47</v>
      </c>
      <c r="R409" s="220" t="s">
        <v>1888</v>
      </c>
      <c r="S409" s="220" t="s">
        <v>1861</v>
      </c>
      <c r="T409" s="85" t="s">
        <v>1491</v>
      </c>
      <c r="U409" t="s">
        <v>1972</v>
      </c>
      <c r="V409" t="s">
        <v>2832</v>
      </c>
    </row>
    <row r="410" spans="1:22" ht="15.75" thickBot="1" x14ac:dyDescent="0.3">
      <c r="A410" s="82" t="s">
        <v>3508</v>
      </c>
      <c r="B410" s="82" t="str">
        <f t="shared" si="24"/>
        <v>Barraqueiro Transportes, S.A.</v>
      </c>
      <c r="C410" s="82" t="str">
        <f t="shared" si="25"/>
        <v>Frota Azul</v>
      </c>
      <c r="D410" s="83" t="s">
        <v>629</v>
      </c>
      <c r="E410" s="91" t="s">
        <v>1853</v>
      </c>
      <c r="F410" s="124" t="s">
        <v>620</v>
      </c>
      <c r="G410" s="333">
        <v>2019</v>
      </c>
      <c r="H410" s="341" t="s">
        <v>733</v>
      </c>
      <c r="I410" s="336" t="str">
        <f t="shared" si="26"/>
        <v>Pesado de Passageiros M3: III : Gasóleo : E6</v>
      </c>
      <c r="J410" s="125">
        <v>53</v>
      </c>
      <c r="K410" s="125">
        <v>2022</v>
      </c>
      <c r="L410" s="85">
        <v>14819.33</v>
      </c>
      <c r="M410" s="85" t="s">
        <v>630</v>
      </c>
      <c r="N410" s="128">
        <v>58413</v>
      </c>
      <c r="O410" s="128">
        <f t="shared" si="27"/>
        <v>3095889</v>
      </c>
      <c r="P410" s="125" t="s">
        <v>989</v>
      </c>
      <c r="Q410" s="85" t="s">
        <v>47</v>
      </c>
      <c r="R410" s="220" t="s">
        <v>1888</v>
      </c>
      <c r="S410" s="220" t="s">
        <v>1861</v>
      </c>
      <c r="T410" s="85" t="s">
        <v>1491</v>
      </c>
      <c r="U410" t="s">
        <v>1972</v>
      </c>
      <c r="V410" t="s">
        <v>2832</v>
      </c>
    </row>
    <row r="411" spans="1:22" ht="15.75" thickBot="1" x14ac:dyDescent="0.3">
      <c r="A411" s="82" t="s">
        <v>3508</v>
      </c>
      <c r="B411" s="82" t="str">
        <f t="shared" si="24"/>
        <v>Barraqueiro Transportes, S.A.</v>
      </c>
      <c r="C411" s="82" t="str">
        <f t="shared" si="25"/>
        <v>Frota Azul</v>
      </c>
      <c r="D411" s="83" t="s">
        <v>629</v>
      </c>
      <c r="E411" s="91" t="s">
        <v>1853</v>
      </c>
      <c r="F411" s="124" t="s">
        <v>620</v>
      </c>
      <c r="G411" s="333">
        <v>2020</v>
      </c>
      <c r="H411" s="341" t="s">
        <v>733</v>
      </c>
      <c r="I411" s="336" t="str">
        <f t="shared" si="26"/>
        <v>Pesado de Passageiros M3: III : Gasóleo : E6</v>
      </c>
      <c r="J411" s="125">
        <v>53</v>
      </c>
      <c r="K411" s="125">
        <v>2022</v>
      </c>
      <c r="L411" s="85">
        <v>14247.31</v>
      </c>
      <c r="M411" s="85" t="s">
        <v>630</v>
      </c>
      <c r="N411" s="128">
        <v>59709</v>
      </c>
      <c r="O411" s="128">
        <f t="shared" si="27"/>
        <v>3164577</v>
      </c>
      <c r="P411" s="125" t="s">
        <v>1039</v>
      </c>
      <c r="Q411" s="85" t="s">
        <v>47</v>
      </c>
      <c r="R411" s="220" t="s">
        <v>1888</v>
      </c>
      <c r="S411" s="220" t="s">
        <v>1861</v>
      </c>
      <c r="T411" s="85" t="s">
        <v>1491</v>
      </c>
      <c r="U411" t="s">
        <v>1972</v>
      </c>
      <c r="V411" t="s">
        <v>2832</v>
      </c>
    </row>
    <row r="412" spans="1:22" ht="15.75" thickBot="1" x14ac:dyDescent="0.3">
      <c r="A412" s="82" t="s">
        <v>3508</v>
      </c>
      <c r="B412" s="82" t="str">
        <f t="shared" si="24"/>
        <v>Barraqueiro Transportes, S.A.</v>
      </c>
      <c r="C412" s="82" t="str">
        <f t="shared" si="25"/>
        <v>Frota Azul</v>
      </c>
      <c r="D412" s="83" t="s">
        <v>629</v>
      </c>
      <c r="E412" s="91" t="s">
        <v>1853</v>
      </c>
      <c r="F412" s="124" t="s">
        <v>620</v>
      </c>
      <c r="G412" s="333">
        <v>2020</v>
      </c>
      <c r="H412" s="341" t="s">
        <v>733</v>
      </c>
      <c r="I412" s="336" t="str">
        <f t="shared" si="26"/>
        <v>Pesado de Passageiros M3: III : Gasóleo : E6</v>
      </c>
      <c r="J412" s="125">
        <v>53</v>
      </c>
      <c r="K412" s="125">
        <v>2022</v>
      </c>
      <c r="L412" s="85">
        <v>17400.64</v>
      </c>
      <c r="M412" s="85" t="s">
        <v>630</v>
      </c>
      <c r="N412" s="128">
        <v>68498</v>
      </c>
      <c r="O412" s="128">
        <f t="shared" si="27"/>
        <v>3630394</v>
      </c>
      <c r="P412" s="125" t="s">
        <v>1040</v>
      </c>
      <c r="Q412" s="85" t="s">
        <v>47</v>
      </c>
      <c r="R412" s="220" t="s">
        <v>1888</v>
      </c>
      <c r="S412" s="220" t="s">
        <v>1861</v>
      </c>
      <c r="T412" s="85" t="s">
        <v>1491</v>
      </c>
      <c r="U412" t="s">
        <v>1972</v>
      </c>
      <c r="V412" t="s">
        <v>2832</v>
      </c>
    </row>
    <row r="413" spans="1:22" ht="15.75" thickBot="1" x14ac:dyDescent="0.3">
      <c r="A413" s="82" t="s">
        <v>3508</v>
      </c>
      <c r="B413" s="82" t="str">
        <f t="shared" si="24"/>
        <v>Barraqueiro Transportes, S.A.</v>
      </c>
      <c r="C413" s="82" t="str">
        <f t="shared" si="25"/>
        <v>Frota Azul</v>
      </c>
      <c r="D413" s="83" t="s">
        <v>629</v>
      </c>
      <c r="E413" s="91" t="s">
        <v>1853</v>
      </c>
      <c r="F413" s="124" t="s">
        <v>620</v>
      </c>
      <c r="G413" s="333">
        <v>2020</v>
      </c>
      <c r="H413" s="341" t="s">
        <v>733</v>
      </c>
      <c r="I413" s="336" t="str">
        <f t="shared" si="26"/>
        <v>Pesado de Passageiros M3: III : Gasóleo : E6</v>
      </c>
      <c r="J413" s="125">
        <v>53</v>
      </c>
      <c r="K413" s="125">
        <v>2022</v>
      </c>
      <c r="L413" s="85">
        <v>17871.560000000001</v>
      </c>
      <c r="M413" s="85" t="s">
        <v>630</v>
      </c>
      <c r="N413" s="128">
        <v>74179</v>
      </c>
      <c r="O413" s="128">
        <f t="shared" si="27"/>
        <v>3931487</v>
      </c>
      <c r="P413" s="125" t="s">
        <v>1041</v>
      </c>
      <c r="Q413" s="85" t="s">
        <v>47</v>
      </c>
      <c r="R413" s="220" t="s">
        <v>1888</v>
      </c>
      <c r="S413" s="220" t="s">
        <v>1861</v>
      </c>
      <c r="T413" s="85" t="s">
        <v>1491</v>
      </c>
      <c r="U413" t="s">
        <v>1972</v>
      </c>
      <c r="V413" t="s">
        <v>2832</v>
      </c>
    </row>
    <row r="414" spans="1:22" ht="15.75" thickBot="1" x14ac:dyDescent="0.3">
      <c r="A414" s="82" t="s">
        <v>3508</v>
      </c>
      <c r="B414" s="82" t="str">
        <f t="shared" si="24"/>
        <v>Barraqueiro Transportes, S.A.</v>
      </c>
      <c r="C414" s="82" t="str">
        <f t="shared" si="25"/>
        <v>Frota Azul</v>
      </c>
      <c r="D414" s="83" t="s">
        <v>629</v>
      </c>
      <c r="E414" s="91" t="s">
        <v>1853</v>
      </c>
      <c r="F414" s="124" t="s">
        <v>620</v>
      </c>
      <c r="G414" s="333">
        <v>2020</v>
      </c>
      <c r="H414" s="341" t="s">
        <v>733</v>
      </c>
      <c r="I414" s="336" t="str">
        <f t="shared" si="26"/>
        <v>Pesado de Passageiros M3: III : Gasóleo : E6</v>
      </c>
      <c r="J414" s="125">
        <v>53</v>
      </c>
      <c r="K414" s="125">
        <v>2022</v>
      </c>
      <c r="L414" s="85">
        <v>16188.31</v>
      </c>
      <c r="M414" s="85" t="s">
        <v>630</v>
      </c>
      <c r="N414" s="128">
        <v>61880</v>
      </c>
      <c r="O414" s="128">
        <f t="shared" si="27"/>
        <v>3279640</v>
      </c>
      <c r="P414" s="125" t="s">
        <v>1042</v>
      </c>
      <c r="Q414" s="85" t="s">
        <v>47</v>
      </c>
      <c r="R414" s="220" t="s">
        <v>1888</v>
      </c>
      <c r="S414" s="220" t="s">
        <v>1861</v>
      </c>
      <c r="T414" s="85" t="s">
        <v>1491</v>
      </c>
      <c r="U414" t="s">
        <v>1972</v>
      </c>
      <c r="V414" t="s">
        <v>2832</v>
      </c>
    </row>
    <row r="415" spans="1:22" ht="15.75" thickBot="1" x14ac:dyDescent="0.3">
      <c r="A415" s="82" t="s">
        <v>3508</v>
      </c>
      <c r="B415" s="82" t="str">
        <f t="shared" si="24"/>
        <v>Barraqueiro Transportes, S.A.</v>
      </c>
      <c r="C415" s="82" t="str">
        <f t="shared" si="25"/>
        <v>Frota Azul</v>
      </c>
      <c r="D415" s="83" t="s">
        <v>629</v>
      </c>
      <c r="E415" s="91" t="s">
        <v>1853</v>
      </c>
      <c r="F415" s="124" t="s">
        <v>620</v>
      </c>
      <c r="G415" s="333">
        <v>2020</v>
      </c>
      <c r="H415" s="341" t="s">
        <v>733</v>
      </c>
      <c r="I415" s="336" t="str">
        <f t="shared" si="26"/>
        <v>Pesado de Passageiros M3: III : Gasóleo : E6</v>
      </c>
      <c r="J415" s="125">
        <v>53</v>
      </c>
      <c r="K415" s="125">
        <v>2022</v>
      </c>
      <c r="L415" s="85">
        <v>15087.91</v>
      </c>
      <c r="M415" s="85" t="s">
        <v>630</v>
      </c>
      <c r="N415" s="128">
        <v>59690</v>
      </c>
      <c r="O415" s="128">
        <f t="shared" si="27"/>
        <v>3163570</v>
      </c>
      <c r="P415" s="125" t="s">
        <v>1043</v>
      </c>
      <c r="Q415" s="85" t="s">
        <v>47</v>
      </c>
      <c r="R415" s="220" t="s">
        <v>1888</v>
      </c>
      <c r="S415" s="220" t="s">
        <v>1861</v>
      </c>
      <c r="T415" s="85" t="s">
        <v>1491</v>
      </c>
      <c r="U415" t="s">
        <v>1972</v>
      </c>
      <c r="V415" t="s">
        <v>2832</v>
      </c>
    </row>
    <row r="416" spans="1:22" ht="15.75" thickBot="1" x14ac:dyDescent="0.3">
      <c r="A416" s="82" t="s">
        <v>3508</v>
      </c>
      <c r="B416" s="82" t="str">
        <f t="shared" si="24"/>
        <v>Barraqueiro Transportes, S.A.</v>
      </c>
      <c r="C416" s="82" t="str">
        <f t="shared" si="25"/>
        <v>Frota Azul</v>
      </c>
      <c r="D416" s="83" t="s">
        <v>629</v>
      </c>
      <c r="E416" s="91" t="s">
        <v>1853</v>
      </c>
      <c r="F416" s="124" t="s">
        <v>620</v>
      </c>
      <c r="G416" s="333">
        <v>2020</v>
      </c>
      <c r="H416" s="341" t="s">
        <v>733</v>
      </c>
      <c r="I416" s="336" t="str">
        <f t="shared" si="26"/>
        <v>Pesado de Passageiros M3: III : Gasóleo : E6</v>
      </c>
      <c r="J416" s="125">
        <v>53</v>
      </c>
      <c r="K416" s="125">
        <v>2022</v>
      </c>
      <c r="L416" s="85">
        <v>16682.13</v>
      </c>
      <c r="M416" s="85" t="s">
        <v>630</v>
      </c>
      <c r="N416" s="128">
        <v>62517</v>
      </c>
      <c r="O416" s="128">
        <f t="shared" si="27"/>
        <v>3313401</v>
      </c>
      <c r="P416" s="125" t="s">
        <v>1044</v>
      </c>
      <c r="Q416" s="85" t="s">
        <v>47</v>
      </c>
      <c r="R416" s="220" t="s">
        <v>1888</v>
      </c>
      <c r="S416" s="220" t="s">
        <v>1861</v>
      </c>
      <c r="T416" s="85" t="s">
        <v>1491</v>
      </c>
      <c r="U416" t="s">
        <v>1972</v>
      </c>
      <c r="V416" t="s">
        <v>2832</v>
      </c>
    </row>
    <row r="417" spans="1:22" ht="15.75" thickBot="1" x14ac:dyDescent="0.3">
      <c r="A417" s="82" t="s">
        <v>3508</v>
      </c>
      <c r="B417" s="82" t="str">
        <f t="shared" si="24"/>
        <v>Barraqueiro Transportes, S.A.</v>
      </c>
      <c r="C417" s="82" t="str">
        <f t="shared" si="25"/>
        <v>Frota Azul</v>
      </c>
      <c r="D417" s="83" t="s">
        <v>629</v>
      </c>
      <c r="E417" s="91" t="s">
        <v>1853</v>
      </c>
      <c r="F417" s="124" t="s">
        <v>620</v>
      </c>
      <c r="G417" s="333">
        <v>2020</v>
      </c>
      <c r="H417" s="341" t="s">
        <v>733</v>
      </c>
      <c r="I417" s="336" t="str">
        <f t="shared" si="26"/>
        <v>Pesado de Passageiros M3: III : Gasóleo : E6</v>
      </c>
      <c r="J417" s="125">
        <v>53</v>
      </c>
      <c r="K417" s="125">
        <v>2022</v>
      </c>
      <c r="L417" s="85">
        <v>16403.079999999998</v>
      </c>
      <c r="M417" s="85" t="s">
        <v>630</v>
      </c>
      <c r="N417" s="128">
        <v>64038</v>
      </c>
      <c r="O417" s="128">
        <f t="shared" si="27"/>
        <v>3394014</v>
      </c>
      <c r="P417" s="125" t="s">
        <v>1045</v>
      </c>
      <c r="Q417" s="85" t="s">
        <v>47</v>
      </c>
      <c r="R417" s="220" t="s">
        <v>1888</v>
      </c>
      <c r="S417" s="220" t="s">
        <v>1861</v>
      </c>
      <c r="T417" s="85" t="s">
        <v>1491</v>
      </c>
      <c r="U417" t="s">
        <v>1972</v>
      </c>
      <c r="V417" t="s">
        <v>2832</v>
      </c>
    </row>
    <row r="418" spans="1:22" ht="15.75" thickBot="1" x14ac:dyDescent="0.3">
      <c r="A418" s="82" t="s">
        <v>3508</v>
      </c>
      <c r="B418" s="82" t="str">
        <f t="shared" si="24"/>
        <v>Barraqueiro Transportes, S.A.</v>
      </c>
      <c r="C418" s="82" t="str">
        <f t="shared" si="25"/>
        <v>Frota Azul</v>
      </c>
      <c r="D418" s="83" t="s">
        <v>629</v>
      </c>
      <c r="E418" s="91" t="s">
        <v>1853</v>
      </c>
      <c r="F418" s="124" t="s">
        <v>620</v>
      </c>
      <c r="G418" s="333">
        <v>2020</v>
      </c>
      <c r="H418" s="341" t="s">
        <v>733</v>
      </c>
      <c r="I418" s="336" t="str">
        <f t="shared" si="26"/>
        <v>Pesado de Passageiros M3: III : Gasóleo : E6</v>
      </c>
      <c r="J418" s="125">
        <v>53</v>
      </c>
      <c r="K418" s="125">
        <v>2022</v>
      </c>
      <c r="L418" s="85">
        <v>18758.18</v>
      </c>
      <c r="M418" s="85" t="s">
        <v>630</v>
      </c>
      <c r="N418" s="128">
        <v>75698</v>
      </c>
      <c r="O418" s="128">
        <f t="shared" si="27"/>
        <v>4011994</v>
      </c>
      <c r="P418" s="125" t="s">
        <v>1046</v>
      </c>
      <c r="Q418" s="85" t="s">
        <v>47</v>
      </c>
      <c r="R418" s="220" t="s">
        <v>1888</v>
      </c>
      <c r="S418" s="220" t="s">
        <v>1861</v>
      </c>
      <c r="T418" s="85" t="s">
        <v>1491</v>
      </c>
      <c r="U418" t="s">
        <v>1972</v>
      </c>
      <c r="V418" t="s">
        <v>2832</v>
      </c>
    </row>
    <row r="419" spans="1:22" ht="15.75" thickBot="1" x14ac:dyDescent="0.3">
      <c r="A419" s="82" t="s">
        <v>3508</v>
      </c>
      <c r="B419" s="82" t="str">
        <f t="shared" si="24"/>
        <v>Barraqueiro Transportes, S.A.</v>
      </c>
      <c r="C419" s="82" t="str">
        <f t="shared" si="25"/>
        <v>Frota Azul</v>
      </c>
      <c r="D419" s="83" t="s">
        <v>629</v>
      </c>
      <c r="E419" s="91" t="s">
        <v>1853</v>
      </c>
      <c r="F419" s="124" t="s">
        <v>620</v>
      </c>
      <c r="G419" s="333">
        <v>2020</v>
      </c>
      <c r="H419" s="341" t="s">
        <v>733</v>
      </c>
      <c r="I419" s="336" t="str">
        <f t="shared" si="26"/>
        <v>Pesado de Passageiros M3: III : Gasóleo : E6</v>
      </c>
      <c r="J419" s="125">
        <v>53</v>
      </c>
      <c r="K419" s="125">
        <v>2022</v>
      </c>
      <c r="L419" s="85">
        <v>15282.57</v>
      </c>
      <c r="M419" s="85" t="s">
        <v>630</v>
      </c>
      <c r="N419" s="128">
        <v>58816</v>
      </c>
      <c r="O419" s="128">
        <f t="shared" si="27"/>
        <v>3117248</v>
      </c>
      <c r="P419" s="125" t="s">
        <v>1047</v>
      </c>
      <c r="Q419" s="85" t="s">
        <v>47</v>
      </c>
      <c r="R419" s="220" t="s">
        <v>1888</v>
      </c>
      <c r="S419" s="220" t="s">
        <v>1861</v>
      </c>
      <c r="T419" s="85" t="s">
        <v>1491</v>
      </c>
      <c r="U419" t="s">
        <v>1972</v>
      </c>
      <c r="V419" t="s">
        <v>2832</v>
      </c>
    </row>
    <row r="420" spans="1:22" ht="15.75" thickBot="1" x14ac:dyDescent="0.3">
      <c r="A420" s="82" t="s">
        <v>3508</v>
      </c>
      <c r="B420" s="82" t="str">
        <f t="shared" si="24"/>
        <v>Barraqueiro Transportes, S.A.</v>
      </c>
      <c r="C420" s="82" t="str">
        <f t="shared" si="25"/>
        <v>Frota Azul</v>
      </c>
      <c r="D420" s="83" t="s">
        <v>629</v>
      </c>
      <c r="E420" s="91" t="s">
        <v>1853</v>
      </c>
      <c r="F420" s="124" t="s">
        <v>620</v>
      </c>
      <c r="G420" s="333">
        <v>2020</v>
      </c>
      <c r="H420" s="341" t="s">
        <v>733</v>
      </c>
      <c r="I420" s="336" t="str">
        <f t="shared" si="26"/>
        <v>Pesado de Passageiros M3: III : Gasóleo : E6</v>
      </c>
      <c r="J420" s="125">
        <v>53</v>
      </c>
      <c r="K420" s="125">
        <v>2022</v>
      </c>
      <c r="L420" s="85">
        <v>14809.520000000002</v>
      </c>
      <c r="M420" s="85" t="s">
        <v>630</v>
      </c>
      <c r="N420" s="128">
        <v>60824</v>
      </c>
      <c r="O420" s="128">
        <f t="shared" si="27"/>
        <v>3223672</v>
      </c>
      <c r="P420" s="125" t="s">
        <v>1048</v>
      </c>
      <c r="Q420" s="85" t="s">
        <v>47</v>
      </c>
      <c r="R420" s="220" t="s">
        <v>1888</v>
      </c>
      <c r="S420" s="220" t="s">
        <v>1861</v>
      </c>
      <c r="T420" s="85" t="s">
        <v>1491</v>
      </c>
      <c r="U420" t="s">
        <v>1972</v>
      </c>
      <c r="V420" t="s">
        <v>2832</v>
      </c>
    </row>
    <row r="421" spans="1:22" ht="15.75" thickBot="1" x14ac:dyDescent="0.3">
      <c r="A421" s="82" t="s">
        <v>3508</v>
      </c>
      <c r="B421" s="82" t="str">
        <f t="shared" si="24"/>
        <v>Barraqueiro Transportes, S.A.</v>
      </c>
      <c r="C421" s="82" t="str">
        <f t="shared" si="25"/>
        <v>Frota Azul</v>
      </c>
      <c r="D421" s="83" t="s">
        <v>629</v>
      </c>
      <c r="E421" s="91" t="s">
        <v>1853</v>
      </c>
      <c r="F421" s="124" t="s">
        <v>620</v>
      </c>
      <c r="G421" s="333">
        <v>2020</v>
      </c>
      <c r="H421" s="341" t="s">
        <v>733</v>
      </c>
      <c r="I421" s="336" t="str">
        <f t="shared" si="26"/>
        <v>Pesado de Passageiros M3: III : Gasóleo : E6</v>
      </c>
      <c r="J421" s="125">
        <v>53</v>
      </c>
      <c r="K421" s="125">
        <v>2022</v>
      </c>
      <c r="L421" s="85">
        <v>20664.990000000005</v>
      </c>
      <c r="M421" s="85" t="s">
        <v>630</v>
      </c>
      <c r="N421" s="128">
        <v>84613</v>
      </c>
      <c r="O421" s="128">
        <f t="shared" si="27"/>
        <v>4484489</v>
      </c>
      <c r="P421" s="125" t="s">
        <v>1049</v>
      </c>
      <c r="Q421" s="85" t="s">
        <v>47</v>
      </c>
      <c r="R421" s="220" t="s">
        <v>1888</v>
      </c>
      <c r="S421" s="220" t="s">
        <v>1861</v>
      </c>
      <c r="T421" s="85" t="s">
        <v>1491</v>
      </c>
      <c r="U421" t="s">
        <v>1972</v>
      </c>
      <c r="V421" t="s">
        <v>2832</v>
      </c>
    </row>
    <row r="422" spans="1:22" ht="15.75" thickBot="1" x14ac:dyDescent="0.3">
      <c r="A422" s="82" t="s">
        <v>3508</v>
      </c>
      <c r="B422" s="82" t="str">
        <f t="shared" si="24"/>
        <v>Barraqueiro Transportes, S.A.</v>
      </c>
      <c r="C422" s="82" t="str">
        <f t="shared" si="25"/>
        <v>Frota Azul</v>
      </c>
      <c r="D422" s="83" t="s">
        <v>629</v>
      </c>
      <c r="E422" s="91" t="s">
        <v>1853</v>
      </c>
      <c r="F422" s="124" t="s">
        <v>620</v>
      </c>
      <c r="G422" s="333">
        <v>2020</v>
      </c>
      <c r="H422" s="341" t="s">
        <v>733</v>
      </c>
      <c r="I422" s="336" t="str">
        <f t="shared" si="26"/>
        <v>Pesado de Passageiros M3: III : Gasóleo : E6</v>
      </c>
      <c r="J422" s="125">
        <v>53</v>
      </c>
      <c r="K422" s="125">
        <v>2022</v>
      </c>
      <c r="L422" s="85">
        <v>15335.05</v>
      </c>
      <c r="M422" s="85" t="s">
        <v>630</v>
      </c>
      <c r="N422" s="128">
        <v>61843</v>
      </c>
      <c r="O422" s="128">
        <f t="shared" si="27"/>
        <v>3277679</v>
      </c>
      <c r="P422" s="125" t="s">
        <v>1050</v>
      </c>
      <c r="Q422" s="85" t="s">
        <v>47</v>
      </c>
      <c r="R422" s="220" t="s">
        <v>1888</v>
      </c>
      <c r="S422" s="220" t="s">
        <v>1861</v>
      </c>
      <c r="T422" s="85" t="s">
        <v>1491</v>
      </c>
      <c r="U422" t="s">
        <v>1972</v>
      </c>
      <c r="V422" t="s">
        <v>2832</v>
      </c>
    </row>
    <row r="423" spans="1:22" ht="15.75" thickBot="1" x14ac:dyDescent="0.3">
      <c r="A423" s="82" t="s">
        <v>3508</v>
      </c>
      <c r="B423" s="82" t="str">
        <f t="shared" si="24"/>
        <v>Barraqueiro Transportes, S.A.</v>
      </c>
      <c r="C423" s="82" t="str">
        <f t="shared" si="25"/>
        <v>Frota Azul</v>
      </c>
      <c r="D423" s="83" t="s">
        <v>629</v>
      </c>
      <c r="E423" s="91" t="s">
        <v>1853</v>
      </c>
      <c r="F423" s="124" t="s">
        <v>620</v>
      </c>
      <c r="G423" s="333">
        <v>2020</v>
      </c>
      <c r="H423" s="341" t="s">
        <v>733</v>
      </c>
      <c r="I423" s="336" t="str">
        <f t="shared" si="26"/>
        <v>Pesado de Passageiros M3: III : Gasóleo : E6</v>
      </c>
      <c r="J423" s="125">
        <v>53</v>
      </c>
      <c r="K423" s="125">
        <v>2022</v>
      </c>
      <c r="L423" s="85">
        <v>12270.2</v>
      </c>
      <c r="M423" s="85" t="s">
        <v>630</v>
      </c>
      <c r="N423" s="128">
        <v>47127</v>
      </c>
      <c r="O423" s="128">
        <f t="shared" si="27"/>
        <v>2497731</v>
      </c>
      <c r="P423" s="125" t="s">
        <v>1051</v>
      </c>
      <c r="Q423" s="85" t="s">
        <v>47</v>
      </c>
      <c r="R423" s="220" t="s">
        <v>1888</v>
      </c>
      <c r="S423" s="220" t="s">
        <v>1861</v>
      </c>
      <c r="T423" s="85" t="s">
        <v>1491</v>
      </c>
      <c r="U423" t="s">
        <v>1972</v>
      </c>
      <c r="V423" t="s">
        <v>2832</v>
      </c>
    </row>
    <row r="424" spans="1:22" ht="15.75" thickBot="1" x14ac:dyDescent="0.3">
      <c r="A424" s="82" t="s">
        <v>3508</v>
      </c>
      <c r="B424" s="82" t="str">
        <f t="shared" si="24"/>
        <v>Barraqueiro Transportes, S.A.</v>
      </c>
      <c r="C424" s="82" t="str">
        <f t="shared" si="25"/>
        <v>Frota Azul</v>
      </c>
      <c r="D424" s="83" t="s">
        <v>629</v>
      </c>
      <c r="E424" s="91" t="s">
        <v>1853</v>
      </c>
      <c r="F424" s="124" t="s">
        <v>620</v>
      </c>
      <c r="G424" s="333">
        <v>2020</v>
      </c>
      <c r="H424" s="341" t="s">
        <v>733</v>
      </c>
      <c r="I424" s="336" t="str">
        <f t="shared" si="26"/>
        <v>Pesado de Passageiros M3: III : Gasóleo : E6</v>
      </c>
      <c r="J424" s="125">
        <v>53</v>
      </c>
      <c r="K424" s="125">
        <v>2022</v>
      </c>
      <c r="L424" s="85">
        <v>13970.84</v>
      </c>
      <c r="M424" s="85" t="s">
        <v>630</v>
      </c>
      <c r="N424" s="128">
        <v>56358</v>
      </c>
      <c r="O424" s="128">
        <f t="shared" si="27"/>
        <v>2986974</v>
      </c>
      <c r="P424" s="125" t="s">
        <v>1052</v>
      </c>
      <c r="Q424" s="85" t="s">
        <v>47</v>
      </c>
      <c r="R424" s="220" t="s">
        <v>1888</v>
      </c>
      <c r="S424" s="220" t="s">
        <v>1861</v>
      </c>
      <c r="T424" s="85" t="s">
        <v>1491</v>
      </c>
      <c r="U424" t="s">
        <v>1972</v>
      </c>
      <c r="V424" t="s">
        <v>2832</v>
      </c>
    </row>
    <row r="425" spans="1:22" ht="15.75" thickBot="1" x14ac:dyDescent="0.3">
      <c r="A425" s="82" t="s">
        <v>3508</v>
      </c>
      <c r="B425" s="82" t="str">
        <f t="shared" si="24"/>
        <v>Barraqueiro Transportes, S.A.</v>
      </c>
      <c r="C425" s="82" t="str">
        <f t="shared" si="25"/>
        <v>Frota Azul</v>
      </c>
      <c r="D425" s="83" t="s">
        <v>629</v>
      </c>
      <c r="E425" s="91" t="s">
        <v>1853</v>
      </c>
      <c r="F425" s="124" t="s">
        <v>620</v>
      </c>
      <c r="G425" s="333">
        <v>2020</v>
      </c>
      <c r="H425" s="341" t="s">
        <v>733</v>
      </c>
      <c r="I425" s="336" t="str">
        <f t="shared" si="26"/>
        <v>Pesado de Passageiros M3: III : Gasóleo : E6</v>
      </c>
      <c r="J425" s="125">
        <v>53</v>
      </c>
      <c r="K425" s="125">
        <v>2022</v>
      </c>
      <c r="L425" s="85">
        <v>17513.62</v>
      </c>
      <c r="M425" s="85" t="s">
        <v>630</v>
      </c>
      <c r="N425" s="128">
        <v>64313</v>
      </c>
      <c r="O425" s="128">
        <f t="shared" si="27"/>
        <v>3408589</v>
      </c>
      <c r="P425" s="125" t="s">
        <v>1053</v>
      </c>
      <c r="Q425" s="85" t="s">
        <v>47</v>
      </c>
      <c r="R425" s="220" t="s">
        <v>1888</v>
      </c>
      <c r="S425" s="220" t="s">
        <v>1861</v>
      </c>
      <c r="T425" s="85" t="s">
        <v>1491</v>
      </c>
      <c r="U425" t="s">
        <v>1972</v>
      </c>
      <c r="V425" t="s">
        <v>2832</v>
      </c>
    </row>
    <row r="426" spans="1:22" ht="15.75" thickBot="1" x14ac:dyDescent="0.3">
      <c r="A426" s="82" t="s">
        <v>3508</v>
      </c>
      <c r="B426" s="82" t="str">
        <f t="shared" si="24"/>
        <v>Barraqueiro Transportes, S.A.</v>
      </c>
      <c r="C426" s="82" t="str">
        <f t="shared" si="25"/>
        <v>Frota Azul</v>
      </c>
      <c r="D426" s="83" t="s">
        <v>629</v>
      </c>
      <c r="E426" s="91" t="s">
        <v>1853</v>
      </c>
      <c r="F426" s="124" t="s">
        <v>620</v>
      </c>
      <c r="G426" s="333">
        <v>2020</v>
      </c>
      <c r="H426" s="341" t="s">
        <v>733</v>
      </c>
      <c r="I426" s="336" t="str">
        <f t="shared" si="26"/>
        <v>Pesado de Passageiros M3: III : Gasóleo : E6</v>
      </c>
      <c r="J426" s="125">
        <v>53</v>
      </c>
      <c r="K426" s="125">
        <v>2022</v>
      </c>
      <c r="L426" s="85">
        <v>18603.95</v>
      </c>
      <c r="M426" s="85" t="s">
        <v>630</v>
      </c>
      <c r="N426" s="128">
        <v>75469</v>
      </c>
      <c r="O426" s="128">
        <f t="shared" si="27"/>
        <v>3999857</v>
      </c>
      <c r="P426" s="125" t="s">
        <v>1054</v>
      </c>
      <c r="Q426" s="85" t="s">
        <v>47</v>
      </c>
      <c r="R426" s="220" t="s">
        <v>1888</v>
      </c>
      <c r="S426" s="220" t="s">
        <v>1861</v>
      </c>
      <c r="T426" s="85" t="s">
        <v>1491</v>
      </c>
      <c r="U426" t="s">
        <v>1972</v>
      </c>
      <c r="V426" t="s">
        <v>2832</v>
      </c>
    </row>
    <row r="427" spans="1:22" ht="15.75" thickBot="1" x14ac:dyDescent="0.3">
      <c r="A427" s="82" t="s">
        <v>3508</v>
      </c>
      <c r="B427" s="82" t="str">
        <f t="shared" si="24"/>
        <v>Barraqueiro Transportes, S.A.</v>
      </c>
      <c r="C427" s="82" t="str">
        <f t="shared" si="25"/>
        <v>Frota Azul</v>
      </c>
      <c r="D427" s="83" t="s">
        <v>629</v>
      </c>
      <c r="E427" s="91" t="s">
        <v>1853</v>
      </c>
      <c r="F427" s="124" t="s">
        <v>620</v>
      </c>
      <c r="G427" s="333">
        <v>2020</v>
      </c>
      <c r="H427" s="341" t="s">
        <v>733</v>
      </c>
      <c r="I427" s="336" t="str">
        <f t="shared" si="26"/>
        <v>Pesado de Passageiros M3: III : Gasóleo : E6</v>
      </c>
      <c r="J427" s="125">
        <v>53</v>
      </c>
      <c r="K427" s="125">
        <v>2022</v>
      </c>
      <c r="L427" s="85">
        <v>18041.84</v>
      </c>
      <c r="M427" s="85" t="s">
        <v>630</v>
      </c>
      <c r="N427" s="128">
        <v>79380</v>
      </c>
      <c r="O427" s="128">
        <f t="shared" si="27"/>
        <v>4207140</v>
      </c>
      <c r="P427" s="125" t="s">
        <v>1055</v>
      </c>
      <c r="Q427" s="85" t="s">
        <v>47</v>
      </c>
      <c r="R427" s="220" t="s">
        <v>1888</v>
      </c>
      <c r="S427" s="220" t="s">
        <v>1861</v>
      </c>
      <c r="T427" s="85" t="s">
        <v>1491</v>
      </c>
      <c r="U427" t="s">
        <v>1972</v>
      </c>
      <c r="V427" t="s">
        <v>2832</v>
      </c>
    </row>
    <row r="428" spans="1:22" ht="15.75" thickBot="1" x14ac:dyDescent="0.3">
      <c r="A428" s="82" t="s">
        <v>3508</v>
      </c>
      <c r="B428" s="82" t="str">
        <f t="shared" si="24"/>
        <v>Barraqueiro Transportes, S.A.</v>
      </c>
      <c r="C428" s="82" t="str">
        <f t="shared" si="25"/>
        <v>Frota Azul</v>
      </c>
      <c r="D428" s="83" t="s">
        <v>629</v>
      </c>
      <c r="E428" s="91" t="s">
        <v>1853</v>
      </c>
      <c r="F428" s="124" t="s">
        <v>620</v>
      </c>
      <c r="G428" s="333">
        <v>2020</v>
      </c>
      <c r="H428" s="341" t="s">
        <v>733</v>
      </c>
      <c r="I428" s="336" t="str">
        <f t="shared" si="26"/>
        <v>Pesado de Passageiros M3: III : Gasóleo : E6</v>
      </c>
      <c r="J428" s="125">
        <v>53</v>
      </c>
      <c r="K428" s="125">
        <v>2022</v>
      </c>
      <c r="L428" s="85">
        <v>17436.509999999998</v>
      </c>
      <c r="M428" s="85" t="s">
        <v>630</v>
      </c>
      <c r="N428" s="128">
        <v>67745</v>
      </c>
      <c r="O428" s="128">
        <f t="shared" si="27"/>
        <v>3590485</v>
      </c>
      <c r="P428" s="125" t="s">
        <v>1056</v>
      </c>
      <c r="Q428" s="85" t="s">
        <v>47</v>
      </c>
      <c r="R428" s="220" t="s">
        <v>1888</v>
      </c>
      <c r="S428" s="220" t="s">
        <v>1861</v>
      </c>
      <c r="T428" s="85" t="s">
        <v>1491</v>
      </c>
      <c r="U428" t="s">
        <v>1972</v>
      </c>
      <c r="V428" t="s">
        <v>2832</v>
      </c>
    </row>
    <row r="429" spans="1:22" ht="15.75" thickBot="1" x14ac:dyDescent="0.3">
      <c r="A429" s="82" t="s">
        <v>3508</v>
      </c>
      <c r="B429" s="82" t="str">
        <f t="shared" si="24"/>
        <v>Barraqueiro Transportes, S.A.</v>
      </c>
      <c r="C429" s="82" t="str">
        <f t="shared" si="25"/>
        <v>Frota Azul</v>
      </c>
      <c r="D429" s="83" t="s">
        <v>629</v>
      </c>
      <c r="E429" s="91" t="s">
        <v>1853</v>
      </c>
      <c r="F429" s="124" t="s">
        <v>620</v>
      </c>
      <c r="G429" s="333">
        <v>2020</v>
      </c>
      <c r="H429" s="341" t="s">
        <v>733</v>
      </c>
      <c r="I429" s="336" t="str">
        <f t="shared" si="26"/>
        <v>Pesado de Passageiros M3: III : Gasóleo : E6</v>
      </c>
      <c r="J429" s="125">
        <v>53</v>
      </c>
      <c r="K429" s="125">
        <v>2022</v>
      </c>
      <c r="L429" s="85">
        <v>15889.82</v>
      </c>
      <c r="M429" s="85" t="s">
        <v>630</v>
      </c>
      <c r="N429" s="128">
        <v>61845</v>
      </c>
      <c r="O429" s="128">
        <f t="shared" si="27"/>
        <v>3277785</v>
      </c>
      <c r="P429" s="125" t="s">
        <v>1057</v>
      </c>
      <c r="Q429" s="85" t="s">
        <v>47</v>
      </c>
      <c r="R429" s="220" t="s">
        <v>1888</v>
      </c>
      <c r="S429" s="220" t="s">
        <v>1861</v>
      </c>
      <c r="T429" s="85" t="s">
        <v>1491</v>
      </c>
      <c r="U429" t="s">
        <v>1972</v>
      </c>
      <c r="V429" t="s">
        <v>2832</v>
      </c>
    </row>
    <row r="430" spans="1:22" ht="15.75" thickBot="1" x14ac:dyDescent="0.3">
      <c r="A430" s="82" t="s">
        <v>3508</v>
      </c>
      <c r="B430" s="82" t="str">
        <f t="shared" si="24"/>
        <v>Barraqueiro Transportes, S.A.</v>
      </c>
      <c r="C430" s="82" t="str">
        <f t="shared" si="25"/>
        <v>Frota Azul</v>
      </c>
      <c r="D430" s="83" t="s">
        <v>629</v>
      </c>
      <c r="E430" s="91" t="s">
        <v>1853</v>
      </c>
      <c r="F430" s="124" t="s">
        <v>620</v>
      </c>
      <c r="G430" s="333">
        <v>2020</v>
      </c>
      <c r="H430" s="341" t="s">
        <v>733</v>
      </c>
      <c r="I430" s="336" t="str">
        <f t="shared" si="26"/>
        <v>Pesado de Passageiros M3: III : Gasóleo : E6</v>
      </c>
      <c r="J430" s="125">
        <v>53</v>
      </c>
      <c r="K430" s="125">
        <v>2022</v>
      </c>
      <c r="L430" s="85">
        <v>15146.12</v>
      </c>
      <c r="M430" s="85" t="s">
        <v>630</v>
      </c>
      <c r="N430" s="128">
        <v>55668</v>
      </c>
      <c r="O430" s="128">
        <f t="shared" si="27"/>
        <v>2950404</v>
      </c>
      <c r="P430" s="125" t="s">
        <v>1058</v>
      </c>
      <c r="Q430" s="85" t="s">
        <v>47</v>
      </c>
      <c r="R430" s="220" t="s">
        <v>1888</v>
      </c>
      <c r="S430" s="220" t="s">
        <v>1861</v>
      </c>
      <c r="T430" s="85" t="s">
        <v>1491</v>
      </c>
      <c r="U430" t="s">
        <v>1972</v>
      </c>
      <c r="V430" t="s">
        <v>2832</v>
      </c>
    </row>
    <row r="431" spans="1:22" ht="15.75" thickBot="1" x14ac:dyDescent="0.3">
      <c r="A431" s="82" t="s">
        <v>3508</v>
      </c>
      <c r="B431" s="82" t="str">
        <f t="shared" si="24"/>
        <v>Barraqueiro Transportes, S.A.</v>
      </c>
      <c r="C431" s="82" t="str">
        <f t="shared" si="25"/>
        <v>Frota Azul</v>
      </c>
      <c r="D431" s="83" t="s">
        <v>629</v>
      </c>
      <c r="E431" s="91" t="s">
        <v>1853</v>
      </c>
      <c r="F431" s="124" t="s">
        <v>620</v>
      </c>
      <c r="G431" s="333">
        <v>2020</v>
      </c>
      <c r="H431" s="341" t="s">
        <v>733</v>
      </c>
      <c r="I431" s="336" t="str">
        <f t="shared" si="26"/>
        <v>Pesado de Passageiros M3: III : Gasóleo : E6</v>
      </c>
      <c r="J431" s="125">
        <v>53</v>
      </c>
      <c r="K431" s="125">
        <v>2022</v>
      </c>
      <c r="L431" s="85">
        <v>13429.23</v>
      </c>
      <c r="M431" s="85" t="s">
        <v>630</v>
      </c>
      <c r="N431" s="128">
        <v>54206</v>
      </c>
      <c r="O431" s="128">
        <f t="shared" si="27"/>
        <v>2872918</v>
      </c>
      <c r="P431" s="125" t="s">
        <v>1059</v>
      </c>
      <c r="Q431" s="85" t="s">
        <v>47</v>
      </c>
      <c r="R431" s="220" t="s">
        <v>1888</v>
      </c>
      <c r="S431" s="220" t="s">
        <v>1861</v>
      </c>
      <c r="T431" s="85" t="s">
        <v>1491</v>
      </c>
      <c r="U431" t="s">
        <v>1972</v>
      </c>
      <c r="V431" t="s">
        <v>2832</v>
      </c>
    </row>
    <row r="432" spans="1:22" ht="15.75" thickBot="1" x14ac:dyDescent="0.3">
      <c r="A432" s="82" t="s">
        <v>3508</v>
      </c>
      <c r="B432" s="82" t="str">
        <f t="shared" si="24"/>
        <v>Barraqueiro Transportes, S.A.</v>
      </c>
      <c r="C432" s="82" t="str">
        <f t="shared" si="25"/>
        <v>Frota Azul</v>
      </c>
      <c r="D432" s="83" t="s">
        <v>629</v>
      </c>
      <c r="E432" s="91" t="s">
        <v>1853</v>
      </c>
      <c r="F432" s="124" t="s">
        <v>620</v>
      </c>
      <c r="G432" s="333">
        <v>2020</v>
      </c>
      <c r="H432" s="341" t="s">
        <v>733</v>
      </c>
      <c r="I432" s="336" t="str">
        <f t="shared" si="26"/>
        <v>Pesado de Passageiros M3: III : Gasóleo : E6</v>
      </c>
      <c r="J432" s="125">
        <v>53</v>
      </c>
      <c r="K432" s="125">
        <v>2022</v>
      </c>
      <c r="L432" s="85">
        <v>17761.75</v>
      </c>
      <c r="M432" s="85" t="s">
        <v>630</v>
      </c>
      <c r="N432" s="128">
        <v>78733</v>
      </c>
      <c r="O432" s="128">
        <f t="shared" si="27"/>
        <v>4172849</v>
      </c>
      <c r="P432" s="125" t="s">
        <v>1060</v>
      </c>
      <c r="Q432" s="85" t="s">
        <v>47</v>
      </c>
      <c r="R432" s="220" t="s">
        <v>1888</v>
      </c>
      <c r="S432" s="220" t="s">
        <v>1861</v>
      </c>
      <c r="T432" s="85" t="s">
        <v>1491</v>
      </c>
      <c r="U432" t="s">
        <v>1972</v>
      </c>
      <c r="V432" t="s">
        <v>2832</v>
      </c>
    </row>
    <row r="433" spans="1:22" ht="15.75" thickBot="1" x14ac:dyDescent="0.3">
      <c r="A433" s="82" t="s">
        <v>3508</v>
      </c>
      <c r="B433" s="82" t="str">
        <f t="shared" si="24"/>
        <v>Barraqueiro Transportes, S.A.</v>
      </c>
      <c r="C433" s="82" t="str">
        <f t="shared" si="25"/>
        <v>Frota Azul</v>
      </c>
      <c r="D433" s="83" t="s">
        <v>629</v>
      </c>
      <c r="E433" s="91" t="s">
        <v>1853</v>
      </c>
      <c r="F433" s="124" t="s">
        <v>620</v>
      </c>
      <c r="G433" s="333">
        <v>2020</v>
      </c>
      <c r="H433" s="341" t="s">
        <v>733</v>
      </c>
      <c r="I433" s="336" t="str">
        <f t="shared" si="26"/>
        <v>Pesado de Passageiros M3: III : Gasóleo : E6</v>
      </c>
      <c r="J433" s="125">
        <v>53</v>
      </c>
      <c r="K433" s="125">
        <v>2022</v>
      </c>
      <c r="L433" s="85">
        <v>17230.18</v>
      </c>
      <c r="M433" s="85" t="s">
        <v>630</v>
      </c>
      <c r="N433" s="128">
        <v>69600</v>
      </c>
      <c r="O433" s="128">
        <f t="shared" si="27"/>
        <v>3688800</v>
      </c>
      <c r="P433" s="125" t="s">
        <v>1061</v>
      </c>
      <c r="Q433" s="85" t="s">
        <v>47</v>
      </c>
      <c r="R433" s="220" t="s">
        <v>1888</v>
      </c>
      <c r="S433" s="220" t="s">
        <v>1861</v>
      </c>
      <c r="T433" s="85" t="s">
        <v>1491</v>
      </c>
      <c r="U433" t="s">
        <v>1972</v>
      </c>
      <c r="V433" t="s">
        <v>2832</v>
      </c>
    </row>
    <row r="434" spans="1:22" ht="15.75" thickBot="1" x14ac:dyDescent="0.3">
      <c r="A434" s="82" t="s">
        <v>3508</v>
      </c>
      <c r="B434" s="82" t="str">
        <f t="shared" si="24"/>
        <v>Barraqueiro Transportes, S.A.</v>
      </c>
      <c r="C434" s="82" t="str">
        <f t="shared" si="25"/>
        <v>Frota Azul</v>
      </c>
      <c r="D434" s="83" t="s">
        <v>629</v>
      </c>
      <c r="E434" s="91" t="s">
        <v>1853</v>
      </c>
      <c r="F434" s="124" t="s">
        <v>620</v>
      </c>
      <c r="G434" s="333">
        <v>2020</v>
      </c>
      <c r="H434" s="341" t="s">
        <v>733</v>
      </c>
      <c r="I434" s="336" t="str">
        <f t="shared" si="26"/>
        <v>Pesado de Passageiros M3: III : Gasóleo : E6</v>
      </c>
      <c r="J434" s="125">
        <v>53</v>
      </c>
      <c r="K434" s="125">
        <v>2022</v>
      </c>
      <c r="L434" s="85">
        <v>17960.440000000002</v>
      </c>
      <c r="M434" s="85" t="s">
        <v>630</v>
      </c>
      <c r="N434" s="128">
        <v>68784</v>
      </c>
      <c r="O434" s="128">
        <f t="shared" si="27"/>
        <v>3645552</v>
      </c>
      <c r="P434" s="125" t="s">
        <v>1062</v>
      </c>
      <c r="Q434" s="85" t="s">
        <v>47</v>
      </c>
      <c r="R434" s="220" t="s">
        <v>1888</v>
      </c>
      <c r="S434" s="220" t="s">
        <v>1861</v>
      </c>
      <c r="T434" s="85" t="s">
        <v>1491</v>
      </c>
      <c r="U434" t="s">
        <v>1972</v>
      </c>
      <c r="V434" t="s">
        <v>2832</v>
      </c>
    </row>
    <row r="435" spans="1:22" ht="15.75" thickBot="1" x14ac:dyDescent="0.3">
      <c r="A435" s="82" t="s">
        <v>3508</v>
      </c>
      <c r="B435" s="82" t="str">
        <f t="shared" si="24"/>
        <v>Barraqueiro Transportes, S.A.</v>
      </c>
      <c r="C435" s="82" t="str">
        <f t="shared" si="25"/>
        <v>Frota Azul</v>
      </c>
      <c r="D435" s="83" t="s">
        <v>629</v>
      </c>
      <c r="E435" s="91" t="s">
        <v>1853</v>
      </c>
      <c r="F435" s="124" t="s">
        <v>620</v>
      </c>
      <c r="G435" s="333">
        <v>2020</v>
      </c>
      <c r="H435" s="341" t="s">
        <v>733</v>
      </c>
      <c r="I435" s="336" t="str">
        <f t="shared" si="26"/>
        <v>Pesado de Passageiros M3: III : Gasóleo : E6</v>
      </c>
      <c r="J435" s="125">
        <v>53</v>
      </c>
      <c r="K435" s="125">
        <v>2022</v>
      </c>
      <c r="L435" s="85">
        <v>18347.638000000003</v>
      </c>
      <c r="M435" s="85" t="s">
        <v>630</v>
      </c>
      <c r="N435" s="128">
        <v>73065</v>
      </c>
      <c r="O435" s="128">
        <f t="shared" si="27"/>
        <v>3872445</v>
      </c>
      <c r="P435" s="125" t="s">
        <v>1063</v>
      </c>
      <c r="Q435" s="85" t="s">
        <v>47</v>
      </c>
      <c r="R435" s="220" t="s">
        <v>1888</v>
      </c>
      <c r="S435" s="220" t="s">
        <v>1861</v>
      </c>
      <c r="T435" s="85" t="s">
        <v>1491</v>
      </c>
      <c r="U435" t="s">
        <v>1972</v>
      </c>
      <c r="V435" t="s">
        <v>2832</v>
      </c>
    </row>
    <row r="436" spans="1:22" ht="15.75" thickBot="1" x14ac:dyDescent="0.3">
      <c r="A436" s="82" t="s">
        <v>3508</v>
      </c>
      <c r="B436" s="82" t="str">
        <f t="shared" si="24"/>
        <v>Barraqueiro Transportes, S.A.</v>
      </c>
      <c r="C436" s="82" t="str">
        <f t="shared" si="25"/>
        <v>Frota Azul</v>
      </c>
      <c r="D436" s="83" t="s">
        <v>629</v>
      </c>
      <c r="E436" s="91" t="s">
        <v>1853</v>
      </c>
      <c r="F436" s="124" t="s">
        <v>620</v>
      </c>
      <c r="G436" s="333">
        <v>2020</v>
      </c>
      <c r="H436" s="341" t="s">
        <v>733</v>
      </c>
      <c r="I436" s="336" t="str">
        <f t="shared" si="26"/>
        <v>Pesado de Passageiros M3: III : Gasóleo : E6</v>
      </c>
      <c r="J436" s="125">
        <v>53</v>
      </c>
      <c r="K436" s="125">
        <v>2022</v>
      </c>
      <c r="L436" s="85">
        <v>18665.34</v>
      </c>
      <c r="M436" s="85" t="s">
        <v>630</v>
      </c>
      <c r="N436" s="128">
        <v>74032</v>
      </c>
      <c r="O436" s="128">
        <f t="shared" si="27"/>
        <v>3923696</v>
      </c>
      <c r="P436" s="125" t="s">
        <v>1064</v>
      </c>
      <c r="Q436" s="85" t="s">
        <v>47</v>
      </c>
      <c r="R436" s="220" t="s">
        <v>1888</v>
      </c>
      <c r="S436" s="220" t="s">
        <v>1861</v>
      </c>
      <c r="T436" s="85" t="s">
        <v>1491</v>
      </c>
      <c r="U436" t="s">
        <v>1972</v>
      </c>
      <c r="V436" t="s">
        <v>2832</v>
      </c>
    </row>
    <row r="437" spans="1:22" ht="15.75" thickBot="1" x14ac:dyDescent="0.3">
      <c r="A437" s="82" t="s">
        <v>3508</v>
      </c>
      <c r="B437" s="82" t="str">
        <f t="shared" si="24"/>
        <v>Barraqueiro Transportes, S.A.</v>
      </c>
      <c r="C437" s="82" t="str">
        <f t="shared" si="25"/>
        <v>Frota Azul</v>
      </c>
      <c r="D437" s="83" t="s">
        <v>629</v>
      </c>
      <c r="E437" s="91" t="s">
        <v>1853</v>
      </c>
      <c r="F437" s="124" t="s">
        <v>620</v>
      </c>
      <c r="G437" s="333">
        <v>2020</v>
      </c>
      <c r="H437" s="341" t="s">
        <v>733</v>
      </c>
      <c r="I437" s="336" t="str">
        <f t="shared" si="26"/>
        <v>Pesado de Passageiros M3: III : Gasóleo : E6</v>
      </c>
      <c r="J437" s="125">
        <v>53</v>
      </c>
      <c r="K437" s="125">
        <v>2022</v>
      </c>
      <c r="L437" s="85">
        <v>19066.93</v>
      </c>
      <c r="M437" s="85" t="s">
        <v>630</v>
      </c>
      <c r="N437" s="128">
        <v>77521</v>
      </c>
      <c r="O437" s="128">
        <f t="shared" si="27"/>
        <v>4108613</v>
      </c>
      <c r="P437" s="125" t="s">
        <v>1065</v>
      </c>
      <c r="Q437" s="85" t="s">
        <v>47</v>
      </c>
      <c r="R437" s="220" t="s">
        <v>1888</v>
      </c>
      <c r="S437" s="220" t="s">
        <v>1861</v>
      </c>
      <c r="T437" s="85" t="s">
        <v>1491</v>
      </c>
      <c r="U437" t="s">
        <v>1972</v>
      </c>
      <c r="V437" t="s">
        <v>2832</v>
      </c>
    </row>
    <row r="438" spans="1:22" ht="15.75" thickBot="1" x14ac:dyDescent="0.3">
      <c r="A438" s="82" t="s">
        <v>3508</v>
      </c>
      <c r="B438" s="82" t="str">
        <f t="shared" si="24"/>
        <v>Barraqueiro Transportes, S.A.</v>
      </c>
      <c r="C438" s="82" t="str">
        <f t="shared" si="25"/>
        <v>Frota Azul</v>
      </c>
      <c r="D438" s="83" t="s">
        <v>629</v>
      </c>
      <c r="E438" s="91" t="s">
        <v>1853</v>
      </c>
      <c r="F438" s="124" t="s">
        <v>620</v>
      </c>
      <c r="G438" s="333">
        <v>2020</v>
      </c>
      <c r="H438" s="341" t="s">
        <v>733</v>
      </c>
      <c r="I438" s="336" t="str">
        <f t="shared" si="26"/>
        <v>Pesado de Passageiros M3: III : Gasóleo : E6</v>
      </c>
      <c r="J438" s="125">
        <v>53</v>
      </c>
      <c r="K438" s="125">
        <v>2022</v>
      </c>
      <c r="L438" s="85">
        <v>18015.920000000002</v>
      </c>
      <c r="M438" s="85" t="s">
        <v>630</v>
      </c>
      <c r="N438" s="128">
        <v>71564</v>
      </c>
      <c r="O438" s="128">
        <f t="shared" si="27"/>
        <v>3792892</v>
      </c>
      <c r="P438" s="125" t="s">
        <v>1066</v>
      </c>
      <c r="Q438" s="85" t="s">
        <v>47</v>
      </c>
      <c r="R438" s="220" t="s">
        <v>1888</v>
      </c>
      <c r="S438" s="220" t="s">
        <v>1861</v>
      </c>
      <c r="T438" s="85" t="s">
        <v>1491</v>
      </c>
      <c r="U438" t="s">
        <v>1972</v>
      </c>
      <c r="V438" t="s">
        <v>2832</v>
      </c>
    </row>
    <row r="439" spans="1:22" ht="15.75" thickBot="1" x14ac:dyDescent="0.3">
      <c r="A439" s="82" t="s">
        <v>3508</v>
      </c>
      <c r="B439" s="82" t="str">
        <f t="shared" si="24"/>
        <v>Barraqueiro Transportes, S.A.</v>
      </c>
      <c r="C439" s="82" t="str">
        <f t="shared" si="25"/>
        <v>Frota Azul</v>
      </c>
      <c r="D439" s="83" t="s">
        <v>629</v>
      </c>
      <c r="E439" s="91" t="s">
        <v>1853</v>
      </c>
      <c r="F439" s="124" t="s">
        <v>620</v>
      </c>
      <c r="G439" s="333">
        <v>2020</v>
      </c>
      <c r="H439" s="341" t="s">
        <v>733</v>
      </c>
      <c r="I439" s="336" t="str">
        <f t="shared" si="26"/>
        <v>Pesado de Passageiros M3: III : Gasóleo : E6</v>
      </c>
      <c r="J439" s="125">
        <v>53</v>
      </c>
      <c r="K439" s="125">
        <v>2022</v>
      </c>
      <c r="L439" s="85">
        <v>20321.989999999998</v>
      </c>
      <c r="M439" s="85" t="s">
        <v>630</v>
      </c>
      <c r="N439" s="128">
        <v>78685</v>
      </c>
      <c r="O439" s="128">
        <f t="shared" si="27"/>
        <v>4170305</v>
      </c>
      <c r="P439" s="125" t="s">
        <v>1067</v>
      </c>
      <c r="Q439" s="85" t="s">
        <v>47</v>
      </c>
      <c r="R439" s="220" t="s">
        <v>1888</v>
      </c>
      <c r="S439" s="220" t="s">
        <v>1861</v>
      </c>
      <c r="T439" s="85" t="s">
        <v>1491</v>
      </c>
      <c r="U439" t="s">
        <v>1972</v>
      </c>
      <c r="V439" t="s">
        <v>2832</v>
      </c>
    </row>
    <row r="440" spans="1:22" ht="15.75" thickBot="1" x14ac:dyDescent="0.3">
      <c r="A440" s="82" t="s">
        <v>3508</v>
      </c>
      <c r="B440" s="82" t="str">
        <f t="shared" si="24"/>
        <v>Barraqueiro Transportes, S.A.</v>
      </c>
      <c r="C440" s="82" t="str">
        <f t="shared" si="25"/>
        <v>Frota Azul</v>
      </c>
      <c r="D440" s="83" t="s">
        <v>629</v>
      </c>
      <c r="E440" s="91" t="s">
        <v>1853</v>
      </c>
      <c r="F440" s="124" t="s">
        <v>620</v>
      </c>
      <c r="G440" s="333">
        <v>2020</v>
      </c>
      <c r="H440" s="341" t="s">
        <v>733</v>
      </c>
      <c r="I440" s="336" t="str">
        <f t="shared" si="26"/>
        <v>Pesado de Passageiros M3: III : Gasóleo : E6</v>
      </c>
      <c r="J440" s="125">
        <v>53</v>
      </c>
      <c r="K440" s="125">
        <v>2022</v>
      </c>
      <c r="L440" s="85">
        <v>16479.09</v>
      </c>
      <c r="M440" s="85" t="s">
        <v>630</v>
      </c>
      <c r="N440" s="128">
        <v>63844</v>
      </c>
      <c r="O440" s="128">
        <f t="shared" si="27"/>
        <v>3383732</v>
      </c>
      <c r="P440" s="125" t="s">
        <v>1068</v>
      </c>
      <c r="Q440" s="85" t="s">
        <v>47</v>
      </c>
      <c r="R440" s="220" t="s">
        <v>1888</v>
      </c>
      <c r="S440" s="220" t="s">
        <v>1861</v>
      </c>
      <c r="T440" s="85" t="s">
        <v>1491</v>
      </c>
      <c r="U440" t="s">
        <v>1972</v>
      </c>
      <c r="V440" t="s">
        <v>2832</v>
      </c>
    </row>
    <row r="441" spans="1:22" ht="15.75" thickBot="1" x14ac:dyDescent="0.3">
      <c r="A441" s="82" t="s">
        <v>3508</v>
      </c>
      <c r="B441" s="82" t="str">
        <f t="shared" si="24"/>
        <v>Barraqueiro Transportes, S.A.</v>
      </c>
      <c r="C441" s="82" t="str">
        <f t="shared" si="25"/>
        <v>Frota Azul</v>
      </c>
      <c r="D441" s="83" t="s">
        <v>629</v>
      </c>
      <c r="E441" s="91" t="s">
        <v>1853</v>
      </c>
      <c r="F441" s="124" t="s">
        <v>620</v>
      </c>
      <c r="G441" s="333">
        <v>2020</v>
      </c>
      <c r="H441" s="341" t="s">
        <v>733</v>
      </c>
      <c r="I441" s="336" t="str">
        <f t="shared" si="26"/>
        <v>Pesado de Passageiros M3: III : Gasóleo : E6</v>
      </c>
      <c r="J441" s="125">
        <v>53</v>
      </c>
      <c r="K441" s="125">
        <v>2022</v>
      </c>
      <c r="L441" s="85">
        <v>13606.670000000002</v>
      </c>
      <c r="M441" s="85" t="s">
        <v>630</v>
      </c>
      <c r="N441" s="128">
        <v>55026</v>
      </c>
      <c r="O441" s="128">
        <f t="shared" si="27"/>
        <v>2916378</v>
      </c>
      <c r="P441" s="125" t="s">
        <v>1069</v>
      </c>
      <c r="Q441" s="85" t="s">
        <v>47</v>
      </c>
      <c r="R441" s="220" t="s">
        <v>1888</v>
      </c>
      <c r="S441" s="220" t="s">
        <v>1861</v>
      </c>
      <c r="T441" s="85" t="s">
        <v>1491</v>
      </c>
      <c r="U441" t="s">
        <v>1972</v>
      </c>
      <c r="V441" t="s">
        <v>2832</v>
      </c>
    </row>
    <row r="442" spans="1:22" ht="15.75" thickBot="1" x14ac:dyDescent="0.3">
      <c r="A442" s="82" t="s">
        <v>3508</v>
      </c>
      <c r="B442" s="82" t="str">
        <f t="shared" si="24"/>
        <v>Barraqueiro Transportes, S.A.</v>
      </c>
      <c r="C442" s="82" t="str">
        <f t="shared" si="25"/>
        <v>Frota Azul</v>
      </c>
      <c r="D442" s="83" t="s">
        <v>629</v>
      </c>
      <c r="E442" s="91" t="s">
        <v>1853</v>
      </c>
      <c r="F442" s="124" t="s">
        <v>620</v>
      </c>
      <c r="G442" s="333">
        <v>2020</v>
      </c>
      <c r="H442" s="341" t="s">
        <v>733</v>
      </c>
      <c r="I442" s="336" t="str">
        <f t="shared" si="26"/>
        <v>Pesado de Passageiros M3: III : Gasóleo : E6</v>
      </c>
      <c r="J442" s="125">
        <v>53</v>
      </c>
      <c r="K442" s="125">
        <v>2022</v>
      </c>
      <c r="L442" s="85">
        <v>16157.441999999999</v>
      </c>
      <c r="M442" s="85" t="s">
        <v>630</v>
      </c>
      <c r="N442" s="128">
        <v>61812</v>
      </c>
      <c r="O442" s="128">
        <f t="shared" si="27"/>
        <v>3276036</v>
      </c>
      <c r="P442" s="125" t="s">
        <v>1070</v>
      </c>
      <c r="Q442" s="85" t="s">
        <v>47</v>
      </c>
      <c r="R442" s="220" t="s">
        <v>1888</v>
      </c>
      <c r="S442" s="220" t="s">
        <v>1861</v>
      </c>
      <c r="T442" s="85" t="s">
        <v>1491</v>
      </c>
      <c r="U442" t="s">
        <v>1972</v>
      </c>
      <c r="V442" t="s">
        <v>2832</v>
      </c>
    </row>
    <row r="443" spans="1:22" ht="15.75" thickBot="1" x14ac:dyDescent="0.3">
      <c r="A443" s="82" t="s">
        <v>3508</v>
      </c>
      <c r="B443" s="82" t="str">
        <f t="shared" si="24"/>
        <v>Barraqueiro Transportes, S.A.</v>
      </c>
      <c r="C443" s="82" t="str">
        <f t="shared" si="25"/>
        <v>Frota Azul</v>
      </c>
      <c r="D443" s="83" t="s">
        <v>629</v>
      </c>
      <c r="E443" s="91" t="s">
        <v>1853</v>
      </c>
      <c r="F443" s="124" t="s">
        <v>620</v>
      </c>
      <c r="G443" s="333">
        <v>2020</v>
      </c>
      <c r="H443" s="341" t="s">
        <v>733</v>
      </c>
      <c r="I443" s="336" t="str">
        <f t="shared" si="26"/>
        <v>Pesado de Passageiros M3: III : Gasóleo : E6</v>
      </c>
      <c r="J443" s="125">
        <v>53</v>
      </c>
      <c r="K443" s="125">
        <v>2022</v>
      </c>
      <c r="L443" s="85">
        <v>16946.89</v>
      </c>
      <c r="M443" s="85" t="s">
        <v>630</v>
      </c>
      <c r="N443" s="128">
        <v>65733</v>
      </c>
      <c r="O443" s="128">
        <f t="shared" si="27"/>
        <v>3483849</v>
      </c>
      <c r="P443" s="125" t="s">
        <v>1071</v>
      </c>
      <c r="Q443" s="85" t="s">
        <v>47</v>
      </c>
      <c r="R443" s="220" t="s">
        <v>1888</v>
      </c>
      <c r="S443" s="220" t="s">
        <v>1861</v>
      </c>
      <c r="T443" s="85" t="s">
        <v>1491</v>
      </c>
      <c r="U443" t="s">
        <v>1972</v>
      </c>
      <c r="V443" t="s">
        <v>2832</v>
      </c>
    </row>
    <row r="444" spans="1:22" ht="15.75" thickBot="1" x14ac:dyDescent="0.3">
      <c r="A444" s="82" t="s">
        <v>3506</v>
      </c>
      <c r="B444" s="82" t="str">
        <f t="shared" si="24"/>
        <v>Barraqueiro Transportes, S.A.</v>
      </c>
      <c r="C444" s="82" t="str">
        <f t="shared" si="25"/>
        <v>Mafrense</v>
      </c>
      <c r="D444" s="83" t="s">
        <v>629</v>
      </c>
      <c r="E444" s="91" t="s">
        <v>1853</v>
      </c>
      <c r="F444" s="124" t="s">
        <v>620</v>
      </c>
      <c r="G444" s="333">
        <v>2008</v>
      </c>
      <c r="H444" s="341" t="s">
        <v>731</v>
      </c>
      <c r="I444" s="336" t="str">
        <f t="shared" si="26"/>
        <v>Pesado de Passageiros M3: III : Gasóleo : E4</v>
      </c>
      <c r="J444" s="125">
        <v>55</v>
      </c>
      <c r="K444" s="125">
        <v>2022</v>
      </c>
      <c r="L444" s="85">
        <v>7663.8710000000001</v>
      </c>
      <c r="M444" s="85" t="s">
        <v>630</v>
      </c>
      <c r="N444" s="128">
        <v>19308</v>
      </c>
      <c r="O444" s="128">
        <f t="shared" si="27"/>
        <v>1061940</v>
      </c>
      <c r="P444" s="125" t="s">
        <v>1073</v>
      </c>
      <c r="Q444" s="85" t="s">
        <v>47</v>
      </c>
      <c r="R444" s="220" t="s">
        <v>1888</v>
      </c>
      <c r="S444" s="220" t="s">
        <v>1861</v>
      </c>
      <c r="T444" s="85" t="s">
        <v>1491</v>
      </c>
      <c r="U444" t="s">
        <v>1972</v>
      </c>
      <c r="V444" t="s">
        <v>2832</v>
      </c>
    </row>
    <row r="445" spans="1:22" ht="15.75" thickBot="1" x14ac:dyDescent="0.3">
      <c r="A445" s="82" t="s">
        <v>3506</v>
      </c>
      <c r="B445" s="82" t="str">
        <f t="shared" si="24"/>
        <v>Barraqueiro Transportes, S.A.</v>
      </c>
      <c r="C445" s="82" t="str">
        <f t="shared" si="25"/>
        <v>Mafrense</v>
      </c>
      <c r="D445" s="83" t="s">
        <v>629</v>
      </c>
      <c r="E445" s="91" t="s">
        <v>1853</v>
      </c>
      <c r="F445" s="124" t="s">
        <v>620</v>
      </c>
      <c r="G445" s="333">
        <v>2008</v>
      </c>
      <c r="H445" s="341" t="s">
        <v>731</v>
      </c>
      <c r="I445" s="336" t="str">
        <f t="shared" si="26"/>
        <v>Pesado de Passageiros M3: III : Gasóleo : E4</v>
      </c>
      <c r="J445" s="125">
        <v>55</v>
      </c>
      <c r="K445" s="125">
        <v>2022</v>
      </c>
      <c r="L445" s="85">
        <v>11827.54</v>
      </c>
      <c r="M445" s="85" t="s">
        <v>630</v>
      </c>
      <c r="N445" s="128">
        <v>29645</v>
      </c>
      <c r="O445" s="128">
        <f t="shared" si="27"/>
        <v>1630475</v>
      </c>
      <c r="P445" s="125" t="s">
        <v>1074</v>
      </c>
      <c r="Q445" s="85" t="s">
        <v>47</v>
      </c>
      <c r="R445" s="220" t="s">
        <v>1888</v>
      </c>
      <c r="S445" s="220" t="s">
        <v>1861</v>
      </c>
      <c r="T445" s="85" t="s">
        <v>1491</v>
      </c>
      <c r="U445" t="s">
        <v>1972</v>
      </c>
      <c r="V445" t="s">
        <v>2832</v>
      </c>
    </row>
    <row r="446" spans="1:22" ht="15.75" thickBot="1" x14ac:dyDescent="0.3">
      <c r="A446" s="82" t="s">
        <v>3506</v>
      </c>
      <c r="B446" s="82" t="str">
        <f t="shared" si="24"/>
        <v>Barraqueiro Transportes, S.A.</v>
      </c>
      <c r="C446" s="82" t="str">
        <f t="shared" si="25"/>
        <v>Mafrense</v>
      </c>
      <c r="D446" s="83" t="s">
        <v>629</v>
      </c>
      <c r="E446" s="91" t="s">
        <v>1853</v>
      </c>
      <c r="F446" s="124" t="s">
        <v>620</v>
      </c>
      <c r="G446" s="333">
        <v>2008</v>
      </c>
      <c r="H446" s="341" t="s">
        <v>731</v>
      </c>
      <c r="I446" s="336" t="str">
        <f t="shared" si="26"/>
        <v>Pesado de Passageiros M3: III : Gasóleo : E4</v>
      </c>
      <c r="J446" s="125">
        <v>55</v>
      </c>
      <c r="K446" s="125">
        <v>2022</v>
      </c>
      <c r="L446" s="85">
        <v>9738.6369999999988</v>
      </c>
      <c r="M446" s="85" t="s">
        <v>630</v>
      </c>
      <c r="N446" s="128">
        <v>23679</v>
      </c>
      <c r="O446" s="128">
        <f t="shared" si="27"/>
        <v>1302345</v>
      </c>
      <c r="P446" s="125" t="s">
        <v>1075</v>
      </c>
      <c r="Q446" s="85" t="s">
        <v>47</v>
      </c>
      <c r="R446" s="220" t="s">
        <v>1888</v>
      </c>
      <c r="S446" s="220" t="s">
        <v>1861</v>
      </c>
      <c r="T446" s="85" t="s">
        <v>1491</v>
      </c>
      <c r="U446" t="s">
        <v>1972</v>
      </c>
      <c r="V446" t="s">
        <v>2832</v>
      </c>
    </row>
    <row r="447" spans="1:22" ht="15.75" thickBot="1" x14ac:dyDescent="0.3">
      <c r="A447" s="82" t="s">
        <v>3506</v>
      </c>
      <c r="B447" s="82" t="str">
        <f t="shared" si="24"/>
        <v>Barraqueiro Transportes, S.A.</v>
      </c>
      <c r="C447" s="82" t="str">
        <f t="shared" si="25"/>
        <v>Mafrense</v>
      </c>
      <c r="D447" s="83" t="s">
        <v>629</v>
      </c>
      <c r="E447" s="91" t="s">
        <v>1853</v>
      </c>
      <c r="F447" s="124" t="s">
        <v>620</v>
      </c>
      <c r="G447" s="333">
        <v>2008</v>
      </c>
      <c r="H447" s="341" t="s">
        <v>731</v>
      </c>
      <c r="I447" s="336" t="str">
        <f t="shared" si="26"/>
        <v>Pesado de Passageiros M3: III : Gasóleo : E4</v>
      </c>
      <c r="J447" s="125">
        <v>55</v>
      </c>
      <c r="K447" s="125">
        <v>2022</v>
      </c>
      <c r="L447" s="85">
        <v>9195.0460000000003</v>
      </c>
      <c r="M447" s="85" t="s">
        <v>630</v>
      </c>
      <c r="N447" s="128">
        <v>24790</v>
      </c>
      <c r="O447" s="128">
        <f t="shared" si="27"/>
        <v>1363450</v>
      </c>
      <c r="P447" s="125" t="s">
        <v>1076</v>
      </c>
      <c r="Q447" s="85" t="s">
        <v>47</v>
      </c>
      <c r="R447" s="220" t="s">
        <v>1888</v>
      </c>
      <c r="S447" s="220" t="s">
        <v>1861</v>
      </c>
      <c r="T447" s="85" t="s">
        <v>1491</v>
      </c>
      <c r="U447" t="s">
        <v>1972</v>
      </c>
      <c r="V447" t="s">
        <v>2832</v>
      </c>
    </row>
    <row r="448" spans="1:22" ht="15.75" thickBot="1" x14ac:dyDescent="0.3">
      <c r="A448" s="82" t="s">
        <v>3506</v>
      </c>
      <c r="B448" s="82" t="str">
        <f t="shared" si="24"/>
        <v>Barraqueiro Transportes, S.A.</v>
      </c>
      <c r="C448" s="82" t="str">
        <f t="shared" si="25"/>
        <v>Mafrense</v>
      </c>
      <c r="D448" s="83" t="s">
        <v>629</v>
      </c>
      <c r="E448" s="91" t="s">
        <v>1853</v>
      </c>
      <c r="F448" s="124" t="s">
        <v>620</v>
      </c>
      <c r="G448" s="333">
        <v>2006</v>
      </c>
      <c r="H448" s="341" t="s">
        <v>731</v>
      </c>
      <c r="I448" s="336" t="str">
        <f t="shared" si="26"/>
        <v>Pesado de Passageiros M3: III : Gasóleo : E4</v>
      </c>
      <c r="J448" s="125">
        <v>59</v>
      </c>
      <c r="K448" s="125">
        <v>2022</v>
      </c>
      <c r="L448" s="85">
        <v>18374.928999999996</v>
      </c>
      <c r="M448" s="85" t="s">
        <v>630</v>
      </c>
      <c r="N448" s="128">
        <v>43275</v>
      </c>
      <c r="O448" s="128">
        <f t="shared" si="27"/>
        <v>2553225</v>
      </c>
      <c r="P448" s="125" t="s">
        <v>1077</v>
      </c>
      <c r="Q448" s="85" t="s">
        <v>47</v>
      </c>
      <c r="R448" s="220" t="s">
        <v>1888</v>
      </c>
      <c r="S448" s="220" t="s">
        <v>1861</v>
      </c>
      <c r="T448" s="85" t="s">
        <v>1491</v>
      </c>
      <c r="U448" t="s">
        <v>1972</v>
      </c>
      <c r="V448" t="s">
        <v>2832</v>
      </c>
    </row>
    <row r="449" spans="1:22" ht="15.75" thickBot="1" x14ac:dyDescent="0.3">
      <c r="A449" s="82" t="s">
        <v>3506</v>
      </c>
      <c r="B449" s="82" t="str">
        <f t="shared" si="24"/>
        <v>Barraqueiro Transportes, S.A.</v>
      </c>
      <c r="C449" s="82" t="str">
        <f t="shared" si="25"/>
        <v>Mafrense</v>
      </c>
      <c r="D449" s="83" t="s">
        <v>629</v>
      </c>
      <c r="E449" s="91" t="s">
        <v>1853</v>
      </c>
      <c r="F449" s="124" t="s">
        <v>620</v>
      </c>
      <c r="G449" s="333">
        <v>2006</v>
      </c>
      <c r="H449" s="341" t="s">
        <v>731</v>
      </c>
      <c r="I449" s="336" t="str">
        <f t="shared" si="26"/>
        <v>Pesado de Passageiros M3: III : Gasóleo : E4</v>
      </c>
      <c r="J449" s="125">
        <v>59</v>
      </c>
      <c r="K449" s="125">
        <v>2022</v>
      </c>
      <c r="L449" s="85">
        <v>14303.306999999999</v>
      </c>
      <c r="M449" s="85" t="s">
        <v>630</v>
      </c>
      <c r="N449" s="128">
        <v>33191</v>
      </c>
      <c r="O449" s="128">
        <f t="shared" si="27"/>
        <v>1958269</v>
      </c>
      <c r="P449" s="125" t="s">
        <v>741</v>
      </c>
      <c r="Q449" s="85" t="s">
        <v>47</v>
      </c>
      <c r="R449" s="220" t="s">
        <v>1888</v>
      </c>
      <c r="S449" s="220" t="s">
        <v>1861</v>
      </c>
      <c r="T449" s="85" t="s">
        <v>1491</v>
      </c>
      <c r="U449" t="s">
        <v>1972</v>
      </c>
      <c r="V449" t="s">
        <v>2832</v>
      </c>
    </row>
    <row r="450" spans="1:22" ht="15.75" thickBot="1" x14ac:dyDescent="0.3">
      <c r="A450" s="82" t="s">
        <v>3506</v>
      </c>
      <c r="B450" s="82" t="str">
        <f t="shared" si="24"/>
        <v>Barraqueiro Transportes, S.A.</v>
      </c>
      <c r="C450" s="82" t="str">
        <f t="shared" si="25"/>
        <v>Mafrense</v>
      </c>
      <c r="D450" s="83" t="s">
        <v>629</v>
      </c>
      <c r="E450" s="91" t="s">
        <v>1853</v>
      </c>
      <c r="F450" s="124" t="s">
        <v>620</v>
      </c>
      <c r="G450" s="333">
        <v>2006</v>
      </c>
      <c r="H450" s="341" t="s">
        <v>731</v>
      </c>
      <c r="I450" s="336" t="str">
        <f t="shared" si="26"/>
        <v>Pesado de Passageiros M3: III : Gasóleo : E4</v>
      </c>
      <c r="J450" s="125">
        <v>15</v>
      </c>
      <c r="K450" s="125">
        <v>2022</v>
      </c>
      <c r="L450" s="85">
        <v>4312.7699999999995</v>
      </c>
      <c r="M450" s="85" t="s">
        <v>630</v>
      </c>
      <c r="N450" s="128">
        <v>33614</v>
      </c>
      <c r="O450" s="128">
        <f t="shared" si="27"/>
        <v>504210</v>
      </c>
      <c r="P450" s="125" t="s">
        <v>1078</v>
      </c>
      <c r="Q450" s="85" t="s">
        <v>47</v>
      </c>
      <c r="R450" s="220" t="s">
        <v>1888</v>
      </c>
      <c r="S450" s="220" t="s">
        <v>1861</v>
      </c>
      <c r="T450" s="85" t="s">
        <v>1491</v>
      </c>
      <c r="U450" t="s">
        <v>1972</v>
      </c>
      <c r="V450" t="s">
        <v>2832</v>
      </c>
    </row>
    <row r="451" spans="1:22" ht="15.75" thickBot="1" x14ac:dyDescent="0.3">
      <c r="A451" s="82" t="s">
        <v>3506</v>
      </c>
      <c r="B451" s="82" t="str">
        <f t="shared" ref="B451:B514" si="28">LEFT(A451,IFERROR(FIND(" - ",A451)-1,LEN(A451)))</f>
        <v>Barraqueiro Transportes, S.A.</v>
      </c>
      <c r="C451" s="82" t="str">
        <f t="shared" si="25"/>
        <v>Mafrense</v>
      </c>
      <c r="D451" s="83" t="s">
        <v>629</v>
      </c>
      <c r="E451" s="91" t="s">
        <v>1853</v>
      </c>
      <c r="F451" s="124" t="s">
        <v>620</v>
      </c>
      <c r="G451" s="333">
        <v>2006</v>
      </c>
      <c r="H451" s="341" t="s">
        <v>731</v>
      </c>
      <c r="I451" s="336" t="str">
        <f t="shared" si="26"/>
        <v>Pesado de Passageiros M3: III : Gasóleo : E4</v>
      </c>
      <c r="J451" s="125">
        <v>27</v>
      </c>
      <c r="K451" s="125">
        <v>2022</v>
      </c>
      <c r="L451" s="85">
        <v>4908.1000000000004</v>
      </c>
      <c r="M451" s="85" t="s">
        <v>630</v>
      </c>
      <c r="N451" s="128">
        <v>26776</v>
      </c>
      <c r="O451" s="128">
        <f t="shared" si="27"/>
        <v>722952</v>
      </c>
      <c r="P451" s="125" t="s">
        <v>1079</v>
      </c>
      <c r="Q451" s="85" t="s">
        <v>47</v>
      </c>
      <c r="R451" s="220" t="s">
        <v>1888</v>
      </c>
      <c r="S451" s="220" t="s">
        <v>1861</v>
      </c>
      <c r="T451" s="85" t="s">
        <v>1491</v>
      </c>
      <c r="U451" t="s">
        <v>1972</v>
      </c>
      <c r="V451" t="s">
        <v>2832</v>
      </c>
    </row>
    <row r="452" spans="1:22" ht="15.75" thickBot="1" x14ac:dyDescent="0.3">
      <c r="A452" s="82" t="s">
        <v>3506</v>
      </c>
      <c r="B452" s="82" t="str">
        <f t="shared" si="28"/>
        <v>Barraqueiro Transportes, S.A.</v>
      </c>
      <c r="C452" s="82" t="str">
        <f t="shared" ref="C452:C515" si="29">IF(A452=B452,B452,RIGHT(A452,LEN(A452)-LEN(B452)-3))</f>
        <v>Mafrense</v>
      </c>
      <c r="D452" s="83" t="s">
        <v>629</v>
      </c>
      <c r="E452" s="91" t="s">
        <v>1853</v>
      </c>
      <c r="F452" s="124" t="s">
        <v>620</v>
      </c>
      <c r="G452" s="333">
        <v>2007</v>
      </c>
      <c r="H452" s="341" t="s">
        <v>731</v>
      </c>
      <c r="I452" s="336" t="str">
        <f t="shared" ref="I452:I515" si="30">D452&amp;": "&amp;E452&amp;" : "&amp;F452&amp;" : "&amp;H452</f>
        <v>Pesado de Passageiros M3: III : Gasóleo : E4</v>
      </c>
      <c r="J452" s="125">
        <v>53</v>
      </c>
      <c r="K452" s="125">
        <v>2022</v>
      </c>
      <c r="L452" s="85">
        <v>15328.579999999998</v>
      </c>
      <c r="M452" s="85" t="s">
        <v>630</v>
      </c>
      <c r="N452" s="128">
        <v>38192</v>
      </c>
      <c r="O452" s="128">
        <f t="shared" ref="O452:O515" si="31">N452*J452</f>
        <v>2024176</v>
      </c>
      <c r="P452" s="125" t="s">
        <v>1080</v>
      </c>
      <c r="Q452" s="85" t="s">
        <v>47</v>
      </c>
      <c r="R452" s="220" t="s">
        <v>1888</v>
      </c>
      <c r="S452" s="220" t="s">
        <v>1861</v>
      </c>
      <c r="T452" s="85" t="s">
        <v>1491</v>
      </c>
      <c r="U452" t="s">
        <v>1972</v>
      </c>
      <c r="V452" t="s">
        <v>2832</v>
      </c>
    </row>
    <row r="453" spans="1:22" ht="15.75" thickBot="1" x14ac:dyDescent="0.3">
      <c r="A453" s="82" t="s">
        <v>3506</v>
      </c>
      <c r="B453" s="82" t="str">
        <f t="shared" si="28"/>
        <v>Barraqueiro Transportes, S.A.</v>
      </c>
      <c r="C453" s="82" t="str">
        <f t="shared" si="29"/>
        <v>Mafrense</v>
      </c>
      <c r="D453" s="83" t="s">
        <v>629</v>
      </c>
      <c r="E453" s="91" t="s">
        <v>1853</v>
      </c>
      <c r="F453" s="124" t="s">
        <v>620</v>
      </c>
      <c r="G453" s="333">
        <v>2007</v>
      </c>
      <c r="H453" s="341" t="s">
        <v>731</v>
      </c>
      <c r="I453" s="336" t="str">
        <f t="shared" si="30"/>
        <v>Pesado de Passageiros M3: III : Gasóleo : E4</v>
      </c>
      <c r="J453" s="125">
        <v>53</v>
      </c>
      <c r="K453" s="125">
        <v>2022</v>
      </c>
      <c r="L453" s="85">
        <v>12068.099999999999</v>
      </c>
      <c r="M453" s="85" t="s">
        <v>630</v>
      </c>
      <c r="N453" s="128">
        <v>31875</v>
      </c>
      <c r="O453" s="128">
        <f t="shared" si="31"/>
        <v>1689375</v>
      </c>
      <c r="P453" s="125" t="s">
        <v>1081</v>
      </c>
      <c r="Q453" s="85" t="s">
        <v>47</v>
      </c>
      <c r="R453" s="220" t="s">
        <v>1888</v>
      </c>
      <c r="S453" s="220" t="s">
        <v>1861</v>
      </c>
      <c r="T453" s="85" t="s">
        <v>1491</v>
      </c>
      <c r="U453" t="s">
        <v>1972</v>
      </c>
      <c r="V453" t="s">
        <v>2832</v>
      </c>
    </row>
    <row r="454" spans="1:22" ht="15.75" thickBot="1" x14ac:dyDescent="0.3">
      <c r="A454" s="82" t="s">
        <v>3506</v>
      </c>
      <c r="B454" s="82" t="str">
        <f t="shared" si="28"/>
        <v>Barraqueiro Transportes, S.A.</v>
      </c>
      <c r="C454" s="82" t="str">
        <f t="shared" si="29"/>
        <v>Mafrense</v>
      </c>
      <c r="D454" s="83" t="s">
        <v>629</v>
      </c>
      <c r="E454" s="91" t="s">
        <v>1853</v>
      </c>
      <c r="F454" s="124" t="s">
        <v>620</v>
      </c>
      <c r="G454" s="333">
        <v>2007</v>
      </c>
      <c r="H454" s="341" t="s">
        <v>731</v>
      </c>
      <c r="I454" s="336" t="str">
        <f t="shared" si="30"/>
        <v>Pesado de Passageiros M3: III : Gasóleo : E4</v>
      </c>
      <c r="J454" s="125">
        <v>55</v>
      </c>
      <c r="K454" s="125">
        <v>2022</v>
      </c>
      <c r="L454" s="85">
        <v>14938.543000000001</v>
      </c>
      <c r="M454" s="85" t="s">
        <v>630</v>
      </c>
      <c r="N454" s="128">
        <v>43346</v>
      </c>
      <c r="O454" s="128">
        <f t="shared" si="31"/>
        <v>2384030</v>
      </c>
      <c r="P454" s="125" t="s">
        <v>1082</v>
      </c>
      <c r="Q454" s="85" t="s">
        <v>47</v>
      </c>
      <c r="R454" s="220" t="s">
        <v>1888</v>
      </c>
      <c r="S454" s="220" t="s">
        <v>1861</v>
      </c>
      <c r="T454" s="85" t="s">
        <v>1491</v>
      </c>
      <c r="U454" t="s">
        <v>1972</v>
      </c>
      <c r="V454" t="s">
        <v>2832</v>
      </c>
    </row>
    <row r="455" spans="1:22" ht="15.75" thickBot="1" x14ac:dyDescent="0.3">
      <c r="A455" s="82" t="s">
        <v>3506</v>
      </c>
      <c r="B455" s="82" t="str">
        <f t="shared" si="28"/>
        <v>Barraqueiro Transportes, S.A.</v>
      </c>
      <c r="C455" s="82" t="str">
        <f t="shared" si="29"/>
        <v>Mafrense</v>
      </c>
      <c r="D455" s="83" t="s">
        <v>629</v>
      </c>
      <c r="E455" s="91" t="s">
        <v>1853</v>
      </c>
      <c r="F455" s="124" t="s">
        <v>620</v>
      </c>
      <c r="G455" s="333">
        <v>2008</v>
      </c>
      <c r="H455" s="341" t="s">
        <v>731</v>
      </c>
      <c r="I455" s="336" t="str">
        <f t="shared" si="30"/>
        <v>Pesado de Passageiros M3: III : Gasóleo : E4</v>
      </c>
      <c r="J455" s="125">
        <v>77</v>
      </c>
      <c r="K455" s="125">
        <v>2022</v>
      </c>
      <c r="L455" s="85">
        <v>13937.773999999999</v>
      </c>
      <c r="M455" s="85" t="s">
        <v>630</v>
      </c>
      <c r="N455" s="128">
        <v>35333</v>
      </c>
      <c r="O455" s="128">
        <f t="shared" si="31"/>
        <v>2720641</v>
      </c>
      <c r="P455" s="125" t="s">
        <v>1083</v>
      </c>
      <c r="Q455" s="85" t="s">
        <v>47</v>
      </c>
      <c r="R455" s="220" t="s">
        <v>1888</v>
      </c>
      <c r="S455" s="220" t="s">
        <v>1861</v>
      </c>
      <c r="T455" s="85" t="s">
        <v>1491</v>
      </c>
      <c r="U455" t="s">
        <v>1972</v>
      </c>
      <c r="V455" t="s">
        <v>2832</v>
      </c>
    </row>
    <row r="456" spans="1:22" ht="15.75" thickBot="1" x14ac:dyDescent="0.3">
      <c r="A456" s="82" t="s">
        <v>3506</v>
      </c>
      <c r="B456" s="82" t="str">
        <f t="shared" si="28"/>
        <v>Barraqueiro Transportes, S.A.</v>
      </c>
      <c r="C456" s="82" t="str">
        <f t="shared" si="29"/>
        <v>Mafrense</v>
      </c>
      <c r="D456" s="83" t="s">
        <v>629</v>
      </c>
      <c r="E456" s="91" t="s">
        <v>1853</v>
      </c>
      <c r="F456" s="124" t="s">
        <v>620</v>
      </c>
      <c r="G456" s="333">
        <v>1997</v>
      </c>
      <c r="H456" s="341" t="s">
        <v>736</v>
      </c>
      <c r="I456" s="336" t="str">
        <f t="shared" si="30"/>
        <v>Pesado de Passageiros M3: III : Gasóleo : E1</v>
      </c>
      <c r="J456" s="125">
        <v>96</v>
      </c>
      <c r="K456" s="125">
        <v>2022</v>
      </c>
      <c r="L456" s="85">
        <v>10585.036999999998</v>
      </c>
      <c r="M456" s="85" t="s">
        <v>630</v>
      </c>
      <c r="N456" s="128">
        <v>23911</v>
      </c>
      <c r="O456" s="128">
        <f t="shared" si="31"/>
        <v>2295456</v>
      </c>
      <c r="P456" s="125" t="s">
        <v>1084</v>
      </c>
      <c r="Q456" s="85" t="s">
        <v>47</v>
      </c>
      <c r="R456" s="220" t="s">
        <v>1888</v>
      </c>
      <c r="S456" s="220" t="s">
        <v>1861</v>
      </c>
      <c r="T456" s="85" t="s">
        <v>1491</v>
      </c>
      <c r="U456" t="s">
        <v>1972</v>
      </c>
      <c r="V456" t="s">
        <v>2832</v>
      </c>
    </row>
    <row r="457" spans="1:22" ht="15.75" thickBot="1" x14ac:dyDescent="0.3">
      <c r="A457" s="82" t="s">
        <v>3506</v>
      </c>
      <c r="B457" s="82" t="str">
        <f t="shared" si="28"/>
        <v>Barraqueiro Transportes, S.A.</v>
      </c>
      <c r="C457" s="82" t="str">
        <f t="shared" si="29"/>
        <v>Mafrense</v>
      </c>
      <c r="D457" s="83" t="s">
        <v>629</v>
      </c>
      <c r="E457" s="91" t="s">
        <v>1853</v>
      </c>
      <c r="F457" s="124" t="s">
        <v>620</v>
      </c>
      <c r="G457" s="333">
        <v>2008</v>
      </c>
      <c r="H457" s="341" t="s">
        <v>731</v>
      </c>
      <c r="I457" s="336" t="str">
        <f t="shared" si="30"/>
        <v>Pesado de Passageiros M3: III : Gasóleo : E4</v>
      </c>
      <c r="J457" s="125">
        <v>53</v>
      </c>
      <c r="K457" s="125">
        <v>2022</v>
      </c>
      <c r="L457" s="85">
        <v>13098.329999999998</v>
      </c>
      <c r="M457" s="85" t="s">
        <v>630</v>
      </c>
      <c r="N457" s="128">
        <v>36781</v>
      </c>
      <c r="O457" s="128">
        <f t="shared" si="31"/>
        <v>1949393</v>
      </c>
      <c r="P457" s="125" t="s">
        <v>1085</v>
      </c>
      <c r="Q457" s="85" t="s">
        <v>47</v>
      </c>
      <c r="R457" s="220" t="s">
        <v>1888</v>
      </c>
      <c r="S457" s="220" t="s">
        <v>1861</v>
      </c>
      <c r="T457" s="85" t="s">
        <v>1491</v>
      </c>
      <c r="U457" t="s">
        <v>1972</v>
      </c>
      <c r="V457" t="s">
        <v>2832</v>
      </c>
    </row>
    <row r="458" spans="1:22" ht="15.75" thickBot="1" x14ac:dyDescent="0.3">
      <c r="A458" s="82" t="s">
        <v>3506</v>
      </c>
      <c r="B458" s="82" t="str">
        <f t="shared" si="28"/>
        <v>Barraqueiro Transportes, S.A.</v>
      </c>
      <c r="C458" s="82" t="str">
        <f t="shared" si="29"/>
        <v>Mafrense</v>
      </c>
      <c r="D458" s="83" t="s">
        <v>629</v>
      </c>
      <c r="E458" s="91" t="s">
        <v>1853</v>
      </c>
      <c r="F458" s="124" t="s">
        <v>620</v>
      </c>
      <c r="G458" s="333">
        <v>2008</v>
      </c>
      <c r="H458" s="341" t="s">
        <v>731</v>
      </c>
      <c r="I458" s="336" t="str">
        <f t="shared" si="30"/>
        <v>Pesado de Passageiros M3: III : Gasóleo : E4</v>
      </c>
      <c r="J458" s="125">
        <v>53</v>
      </c>
      <c r="K458" s="125">
        <v>2022</v>
      </c>
      <c r="L458" s="85">
        <v>18233.2</v>
      </c>
      <c r="M458" s="85" t="s">
        <v>630</v>
      </c>
      <c r="N458" s="128">
        <v>52364</v>
      </c>
      <c r="O458" s="128">
        <f t="shared" si="31"/>
        <v>2775292</v>
      </c>
      <c r="P458" s="125" t="s">
        <v>1086</v>
      </c>
      <c r="Q458" s="85" t="s">
        <v>47</v>
      </c>
      <c r="R458" s="220" t="s">
        <v>1888</v>
      </c>
      <c r="S458" s="220" t="s">
        <v>1861</v>
      </c>
      <c r="T458" s="85" t="s">
        <v>1491</v>
      </c>
      <c r="U458" t="s">
        <v>1972</v>
      </c>
      <c r="V458" t="s">
        <v>2832</v>
      </c>
    </row>
    <row r="459" spans="1:22" ht="15.75" thickBot="1" x14ac:dyDescent="0.3">
      <c r="A459" s="82" t="s">
        <v>3506</v>
      </c>
      <c r="B459" s="82" t="str">
        <f t="shared" si="28"/>
        <v>Barraqueiro Transportes, S.A.</v>
      </c>
      <c r="C459" s="82" t="str">
        <f t="shared" si="29"/>
        <v>Mafrense</v>
      </c>
      <c r="D459" s="83" t="s">
        <v>629</v>
      </c>
      <c r="E459" s="91" t="s">
        <v>1853</v>
      </c>
      <c r="F459" s="124" t="s">
        <v>620</v>
      </c>
      <c r="G459" s="333">
        <v>2008</v>
      </c>
      <c r="H459" s="341" t="s">
        <v>731</v>
      </c>
      <c r="I459" s="336" t="str">
        <f t="shared" si="30"/>
        <v>Pesado de Passageiros M3: III : Gasóleo : E4</v>
      </c>
      <c r="J459" s="125">
        <v>25</v>
      </c>
      <c r="K459" s="125">
        <v>2022</v>
      </c>
      <c r="L459" s="85">
        <v>5022.1499999999996</v>
      </c>
      <c r="M459" s="85" t="s">
        <v>630</v>
      </c>
      <c r="N459" s="128">
        <v>28936</v>
      </c>
      <c r="O459" s="128">
        <f t="shared" si="31"/>
        <v>723400</v>
      </c>
      <c r="P459" s="125" t="s">
        <v>1087</v>
      </c>
      <c r="Q459" s="85" t="s">
        <v>47</v>
      </c>
      <c r="R459" s="220" t="s">
        <v>1888</v>
      </c>
      <c r="S459" s="220" t="s">
        <v>1861</v>
      </c>
      <c r="T459" s="85" t="s">
        <v>1491</v>
      </c>
      <c r="U459" t="s">
        <v>1972</v>
      </c>
      <c r="V459" t="s">
        <v>2832</v>
      </c>
    </row>
    <row r="460" spans="1:22" ht="15.75" thickBot="1" x14ac:dyDescent="0.3">
      <c r="A460" s="82" t="s">
        <v>3506</v>
      </c>
      <c r="B460" s="82" t="str">
        <f t="shared" si="28"/>
        <v>Barraqueiro Transportes, S.A.</v>
      </c>
      <c r="C460" s="82" t="str">
        <f t="shared" si="29"/>
        <v>Mafrense</v>
      </c>
      <c r="D460" s="83" t="s">
        <v>629</v>
      </c>
      <c r="E460" s="91" t="s">
        <v>1853</v>
      </c>
      <c r="F460" s="124" t="s">
        <v>620</v>
      </c>
      <c r="G460" s="333">
        <v>2008</v>
      </c>
      <c r="H460" s="341" t="s">
        <v>731</v>
      </c>
      <c r="I460" s="336" t="str">
        <f t="shared" si="30"/>
        <v>Pesado de Passageiros M3: III : Gasóleo : E4</v>
      </c>
      <c r="J460" s="125">
        <v>20</v>
      </c>
      <c r="K460" s="125">
        <v>2022</v>
      </c>
      <c r="L460" s="85">
        <v>4144.66</v>
      </c>
      <c r="M460" s="85" t="s">
        <v>630</v>
      </c>
      <c r="N460" s="128">
        <v>21137</v>
      </c>
      <c r="O460" s="128">
        <f t="shared" si="31"/>
        <v>422740</v>
      </c>
      <c r="P460" s="125" t="s">
        <v>1088</v>
      </c>
      <c r="Q460" s="85" t="s">
        <v>47</v>
      </c>
      <c r="R460" s="220" t="s">
        <v>1888</v>
      </c>
      <c r="S460" s="220" t="s">
        <v>1861</v>
      </c>
      <c r="T460" s="85" t="s">
        <v>1491</v>
      </c>
      <c r="U460" t="s">
        <v>1972</v>
      </c>
      <c r="V460" t="s">
        <v>2832</v>
      </c>
    </row>
    <row r="461" spans="1:22" ht="15.75" thickBot="1" x14ac:dyDescent="0.3">
      <c r="A461" s="82" t="s">
        <v>3506</v>
      </c>
      <c r="B461" s="82" t="str">
        <f t="shared" si="28"/>
        <v>Barraqueiro Transportes, S.A.</v>
      </c>
      <c r="C461" s="82" t="str">
        <f t="shared" si="29"/>
        <v>Mafrense</v>
      </c>
      <c r="D461" s="83" t="s">
        <v>629</v>
      </c>
      <c r="E461" s="91" t="s">
        <v>1853</v>
      </c>
      <c r="F461" s="124" t="s">
        <v>620</v>
      </c>
      <c r="G461" s="333">
        <v>2009</v>
      </c>
      <c r="H461" s="341" t="s">
        <v>734</v>
      </c>
      <c r="I461" s="336" t="str">
        <f t="shared" si="30"/>
        <v>Pesado de Passageiros M3: III : Gasóleo : E5</v>
      </c>
      <c r="J461" s="125">
        <v>66</v>
      </c>
      <c r="K461" s="125">
        <v>2022</v>
      </c>
      <c r="L461" s="85">
        <v>11625.89</v>
      </c>
      <c r="M461" s="85" t="s">
        <v>630</v>
      </c>
      <c r="N461" s="128">
        <v>29641</v>
      </c>
      <c r="O461" s="128">
        <f t="shared" si="31"/>
        <v>1956306</v>
      </c>
      <c r="P461" s="125" t="s">
        <v>1089</v>
      </c>
      <c r="Q461" s="85" t="s">
        <v>47</v>
      </c>
      <c r="R461" s="220" t="s">
        <v>1888</v>
      </c>
      <c r="S461" s="220" t="s">
        <v>1861</v>
      </c>
      <c r="T461" s="85" t="s">
        <v>1491</v>
      </c>
      <c r="U461" t="s">
        <v>1972</v>
      </c>
      <c r="V461" t="s">
        <v>2832</v>
      </c>
    </row>
    <row r="462" spans="1:22" ht="15.75" thickBot="1" x14ac:dyDescent="0.3">
      <c r="A462" s="82" t="s">
        <v>3506</v>
      </c>
      <c r="B462" s="82" t="str">
        <f t="shared" si="28"/>
        <v>Barraqueiro Transportes, S.A.</v>
      </c>
      <c r="C462" s="82" t="str">
        <f t="shared" si="29"/>
        <v>Mafrense</v>
      </c>
      <c r="D462" s="83" t="s">
        <v>629</v>
      </c>
      <c r="E462" s="91" t="s">
        <v>1853</v>
      </c>
      <c r="F462" s="124" t="s">
        <v>620</v>
      </c>
      <c r="G462" s="333">
        <v>2009</v>
      </c>
      <c r="H462" s="341" t="s">
        <v>734</v>
      </c>
      <c r="I462" s="336" t="str">
        <f t="shared" si="30"/>
        <v>Pesado de Passageiros M3: III : Gasóleo : E5</v>
      </c>
      <c r="J462" s="125">
        <v>83</v>
      </c>
      <c r="K462" s="125">
        <v>2022</v>
      </c>
      <c r="L462" s="85">
        <v>28833.219000000005</v>
      </c>
      <c r="M462" s="85" t="s">
        <v>630</v>
      </c>
      <c r="N462" s="128">
        <v>70873</v>
      </c>
      <c r="O462" s="128">
        <f t="shared" si="31"/>
        <v>5882459</v>
      </c>
      <c r="P462" s="125" t="s">
        <v>1090</v>
      </c>
      <c r="Q462" s="85" t="s">
        <v>47</v>
      </c>
      <c r="R462" s="220" t="s">
        <v>1888</v>
      </c>
      <c r="S462" s="220" t="s">
        <v>1861</v>
      </c>
      <c r="T462" s="85" t="s">
        <v>1491</v>
      </c>
      <c r="U462" t="s">
        <v>1972</v>
      </c>
      <c r="V462" t="s">
        <v>2832</v>
      </c>
    </row>
    <row r="463" spans="1:22" ht="15.75" thickBot="1" x14ac:dyDescent="0.3">
      <c r="A463" s="82" t="s">
        <v>3506</v>
      </c>
      <c r="B463" s="82" t="str">
        <f t="shared" si="28"/>
        <v>Barraqueiro Transportes, S.A.</v>
      </c>
      <c r="C463" s="82" t="str">
        <f t="shared" si="29"/>
        <v>Mafrense</v>
      </c>
      <c r="D463" s="83" t="s">
        <v>629</v>
      </c>
      <c r="E463" s="91" t="s">
        <v>1853</v>
      </c>
      <c r="F463" s="124" t="s">
        <v>620</v>
      </c>
      <c r="G463" s="333">
        <v>2009</v>
      </c>
      <c r="H463" s="341" t="s">
        <v>734</v>
      </c>
      <c r="I463" s="336" t="str">
        <f t="shared" si="30"/>
        <v>Pesado de Passageiros M3: III : Gasóleo : E5</v>
      </c>
      <c r="J463" s="125">
        <v>83</v>
      </c>
      <c r="K463" s="125">
        <v>2022</v>
      </c>
      <c r="L463" s="85">
        <v>23512.665000000005</v>
      </c>
      <c r="M463" s="85" t="s">
        <v>630</v>
      </c>
      <c r="N463" s="128">
        <v>54794</v>
      </c>
      <c r="O463" s="128">
        <f t="shared" si="31"/>
        <v>4547902</v>
      </c>
      <c r="P463" s="125" t="s">
        <v>1091</v>
      </c>
      <c r="Q463" s="85" t="s">
        <v>47</v>
      </c>
      <c r="R463" s="220" t="s">
        <v>1888</v>
      </c>
      <c r="S463" s="220" t="s">
        <v>1861</v>
      </c>
      <c r="T463" s="85" t="s">
        <v>1491</v>
      </c>
      <c r="U463" t="s">
        <v>1972</v>
      </c>
      <c r="V463" t="s">
        <v>2832</v>
      </c>
    </row>
    <row r="464" spans="1:22" ht="15.75" thickBot="1" x14ac:dyDescent="0.3">
      <c r="A464" s="82" t="s">
        <v>3506</v>
      </c>
      <c r="B464" s="82" t="str">
        <f t="shared" si="28"/>
        <v>Barraqueiro Transportes, S.A.</v>
      </c>
      <c r="C464" s="82" t="str">
        <f t="shared" si="29"/>
        <v>Mafrense</v>
      </c>
      <c r="D464" s="83" t="s">
        <v>629</v>
      </c>
      <c r="E464" s="91" t="s">
        <v>1853</v>
      </c>
      <c r="F464" s="124" t="s">
        <v>620</v>
      </c>
      <c r="G464" s="333">
        <v>2009</v>
      </c>
      <c r="H464" s="341" t="s">
        <v>734</v>
      </c>
      <c r="I464" s="336" t="str">
        <f t="shared" si="30"/>
        <v>Pesado de Passageiros M3: III : Gasóleo : E5</v>
      </c>
      <c r="J464" s="125">
        <v>53</v>
      </c>
      <c r="K464" s="125">
        <v>2022</v>
      </c>
      <c r="L464" s="85">
        <v>20903.398000000001</v>
      </c>
      <c r="M464" s="85" t="s">
        <v>630</v>
      </c>
      <c r="N464" s="128">
        <v>53384</v>
      </c>
      <c r="O464" s="128">
        <f t="shared" si="31"/>
        <v>2829352</v>
      </c>
      <c r="P464" s="125" t="s">
        <v>1092</v>
      </c>
      <c r="Q464" s="85" t="s">
        <v>47</v>
      </c>
      <c r="R464" s="220" t="s">
        <v>1888</v>
      </c>
      <c r="S464" s="220" t="s">
        <v>1861</v>
      </c>
      <c r="T464" s="85" t="s">
        <v>1491</v>
      </c>
      <c r="U464" t="s">
        <v>1972</v>
      </c>
      <c r="V464" t="s">
        <v>2832</v>
      </c>
    </row>
    <row r="465" spans="1:22" ht="15.75" thickBot="1" x14ac:dyDescent="0.3">
      <c r="A465" s="82" t="s">
        <v>3506</v>
      </c>
      <c r="B465" s="82" t="str">
        <f t="shared" si="28"/>
        <v>Barraqueiro Transportes, S.A.</v>
      </c>
      <c r="C465" s="82" t="str">
        <f t="shared" si="29"/>
        <v>Mafrense</v>
      </c>
      <c r="D465" s="83" t="s">
        <v>629</v>
      </c>
      <c r="E465" s="91" t="s">
        <v>1853</v>
      </c>
      <c r="F465" s="124" t="s">
        <v>620</v>
      </c>
      <c r="G465" s="333">
        <v>2009</v>
      </c>
      <c r="H465" s="341" t="s">
        <v>734</v>
      </c>
      <c r="I465" s="336" t="str">
        <f t="shared" si="30"/>
        <v>Pesado de Passageiros M3: III : Gasóleo : E5</v>
      </c>
      <c r="J465" s="125">
        <v>60</v>
      </c>
      <c r="K465" s="125">
        <v>2022</v>
      </c>
      <c r="L465" s="85">
        <v>3128.5899999999997</v>
      </c>
      <c r="M465" s="85" t="s">
        <v>630</v>
      </c>
      <c r="N465" s="128">
        <v>8559</v>
      </c>
      <c r="O465" s="128">
        <f t="shared" si="31"/>
        <v>513540</v>
      </c>
      <c r="P465" s="125" t="s">
        <v>1093</v>
      </c>
      <c r="Q465" s="85" t="s">
        <v>47</v>
      </c>
      <c r="R465" s="220" t="s">
        <v>1888</v>
      </c>
      <c r="S465" s="220" t="s">
        <v>1861</v>
      </c>
      <c r="T465" s="85" t="s">
        <v>1491</v>
      </c>
      <c r="U465" t="s">
        <v>1972</v>
      </c>
      <c r="V465" t="s">
        <v>2832</v>
      </c>
    </row>
    <row r="466" spans="1:22" ht="15.75" thickBot="1" x14ac:dyDescent="0.3">
      <c r="A466" s="82" t="s">
        <v>3506</v>
      </c>
      <c r="B466" s="82" t="str">
        <f t="shared" si="28"/>
        <v>Barraqueiro Transportes, S.A.</v>
      </c>
      <c r="C466" s="82" t="str">
        <f t="shared" si="29"/>
        <v>Mafrense</v>
      </c>
      <c r="D466" s="83" t="s">
        <v>629</v>
      </c>
      <c r="E466" s="91" t="s">
        <v>1853</v>
      </c>
      <c r="F466" s="124" t="s">
        <v>620</v>
      </c>
      <c r="G466" s="333">
        <v>2008</v>
      </c>
      <c r="H466" s="341" t="s">
        <v>731</v>
      </c>
      <c r="I466" s="336" t="str">
        <f t="shared" si="30"/>
        <v>Pesado de Passageiros M3: III : Gasóleo : E4</v>
      </c>
      <c r="J466" s="125">
        <v>95</v>
      </c>
      <c r="K466" s="125">
        <v>2022</v>
      </c>
      <c r="L466" s="85">
        <v>33190.101000000002</v>
      </c>
      <c r="M466" s="85" t="s">
        <v>630</v>
      </c>
      <c r="N466" s="128">
        <v>75551</v>
      </c>
      <c r="O466" s="128">
        <f t="shared" si="31"/>
        <v>7177345</v>
      </c>
      <c r="P466" s="125" t="s">
        <v>1094</v>
      </c>
      <c r="Q466" s="85" t="s">
        <v>47</v>
      </c>
      <c r="R466" s="220" t="s">
        <v>1888</v>
      </c>
      <c r="S466" s="220" t="s">
        <v>1861</v>
      </c>
      <c r="T466" s="85" t="s">
        <v>1491</v>
      </c>
      <c r="U466" t="s">
        <v>1972</v>
      </c>
      <c r="V466" t="s">
        <v>2832</v>
      </c>
    </row>
    <row r="467" spans="1:22" ht="15.75" thickBot="1" x14ac:dyDescent="0.3">
      <c r="A467" s="82" t="s">
        <v>3506</v>
      </c>
      <c r="B467" s="82" t="str">
        <f t="shared" si="28"/>
        <v>Barraqueiro Transportes, S.A.</v>
      </c>
      <c r="C467" s="82" t="str">
        <f t="shared" si="29"/>
        <v>Mafrense</v>
      </c>
      <c r="D467" s="83" t="s">
        <v>629</v>
      </c>
      <c r="E467" s="91" t="s">
        <v>1853</v>
      </c>
      <c r="F467" s="124" t="s">
        <v>620</v>
      </c>
      <c r="G467" s="333">
        <v>2010</v>
      </c>
      <c r="H467" s="341" t="s">
        <v>734</v>
      </c>
      <c r="I467" s="336" t="str">
        <f t="shared" si="30"/>
        <v>Pesado de Passageiros M3: III : Gasóleo : E5</v>
      </c>
      <c r="J467" s="125">
        <v>59</v>
      </c>
      <c r="K467" s="125">
        <v>2022</v>
      </c>
      <c r="L467" s="85">
        <v>10350.083999999999</v>
      </c>
      <c r="M467" s="85" t="s">
        <v>630</v>
      </c>
      <c r="N467" s="128">
        <v>23961</v>
      </c>
      <c r="O467" s="128">
        <f t="shared" si="31"/>
        <v>1413699</v>
      </c>
      <c r="P467" s="125" t="s">
        <v>1095</v>
      </c>
      <c r="Q467" s="85" t="s">
        <v>47</v>
      </c>
      <c r="R467" s="220" t="s">
        <v>1888</v>
      </c>
      <c r="S467" s="220" t="s">
        <v>1861</v>
      </c>
      <c r="T467" s="85" t="s">
        <v>1491</v>
      </c>
      <c r="U467" t="s">
        <v>1972</v>
      </c>
      <c r="V467" t="s">
        <v>2832</v>
      </c>
    </row>
    <row r="468" spans="1:22" ht="15.75" thickBot="1" x14ac:dyDescent="0.3">
      <c r="A468" s="82" t="s">
        <v>3506</v>
      </c>
      <c r="B468" s="82" t="str">
        <f t="shared" si="28"/>
        <v>Barraqueiro Transportes, S.A.</v>
      </c>
      <c r="C468" s="82" t="str">
        <f t="shared" si="29"/>
        <v>Mafrense</v>
      </c>
      <c r="D468" s="83" t="s">
        <v>629</v>
      </c>
      <c r="E468" s="91" t="s">
        <v>1853</v>
      </c>
      <c r="F468" s="124" t="s">
        <v>620</v>
      </c>
      <c r="G468" s="333">
        <v>2007</v>
      </c>
      <c r="H468" s="341" t="s">
        <v>731</v>
      </c>
      <c r="I468" s="336" t="str">
        <f t="shared" si="30"/>
        <v>Pesado de Passageiros M3: III : Gasóleo : E4</v>
      </c>
      <c r="J468" s="125">
        <v>57</v>
      </c>
      <c r="K468" s="125">
        <v>2022</v>
      </c>
      <c r="L468" s="85">
        <v>21755.670000000002</v>
      </c>
      <c r="M468" s="85" t="s">
        <v>630</v>
      </c>
      <c r="N468" s="128">
        <v>56393</v>
      </c>
      <c r="O468" s="128">
        <f t="shared" si="31"/>
        <v>3214401</v>
      </c>
      <c r="P468" s="125" t="s">
        <v>1096</v>
      </c>
      <c r="Q468" s="85" t="s">
        <v>47</v>
      </c>
      <c r="R468" s="220" t="s">
        <v>1888</v>
      </c>
      <c r="S468" s="220" t="s">
        <v>1861</v>
      </c>
      <c r="T468" s="85" t="s">
        <v>1491</v>
      </c>
      <c r="U468" t="s">
        <v>1972</v>
      </c>
      <c r="V468" t="s">
        <v>2832</v>
      </c>
    </row>
    <row r="469" spans="1:22" ht="15.75" thickBot="1" x14ac:dyDescent="0.3">
      <c r="A469" s="82" t="s">
        <v>3506</v>
      </c>
      <c r="B469" s="82" t="str">
        <f t="shared" si="28"/>
        <v>Barraqueiro Transportes, S.A.</v>
      </c>
      <c r="C469" s="82" t="str">
        <f t="shared" si="29"/>
        <v>Mafrense</v>
      </c>
      <c r="D469" s="83" t="s">
        <v>629</v>
      </c>
      <c r="E469" s="91" t="s">
        <v>1853</v>
      </c>
      <c r="F469" s="124" t="s">
        <v>620</v>
      </c>
      <c r="G469" s="333">
        <v>2009</v>
      </c>
      <c r="H469" s="341" t="s">
        <v>734</v>
      </c>
      <c r="I469" s="336" t="str">
        <f t="shared" si="30"/>
        <v>Pesado de Passageiros M3: III : Gasóleo : E5</v>
      </c>
      <c r="J469" s="125">
        <v>71</v>
      </c>
      <c r="K469" s="125">
        <v>2022</v>
      </c>
      <c r="L469" s="85">
        <v>17752.546000000002</v>
      </c>
      <c r="M469" s="85" t="s">
        <v>630</v>
      </c>
      <c r="N469" s="128">
        <v>39841</v>
      </c>
      <c r="O469" s="128">
        <f t="shared" si="31"/>
        <v>2828711</v>
      </c>
      <c r="P469" s="125" t="s">
        <v>1097</v>
      </c>
      <c r="Q469" s="85" t="s">
        <v>47</v>
      </c>
      <c r="R469" s="220" t="s">
        <v>1888</v>
      </c>
      <c r="S469" s="220" t="s">
        <v>1861</v>
      </c>
      <c r="T469" s="85" t="s">
        <v>1491</v>
      </c>
      <c r="U469" t="s">
        <v>1972</v>
      </c>
      <c r="V469" t="s">
        <v>2832</v>
      </c>
    </row>
    <row r="470" spans="1:22" ht="15.75" thickBot="1" x14ac:dyDescent="0.3">
      <c r="A470" s="82" t="s">
        <v>3506</v>
      </c>
      <c r="B470" s="82" t="str">
        <f t="shared" si="28"/>
        <v>Barraqueiro Transportes, S.A.</v>
      </c>
      <c r="C470" s="82" t="str">
        <f t="shared" si="29"/>
        <v>Mafrense</v>
      </c>
      <c r="D470" s="83" t="s">
        <v>629</v>
      </c>
      <c r="E470" s="91" t="s">
        <v>1853</v>
      </c>
      <c r="F470" s="124" t="s">
        <v>620</v>
      </c>
      <c r="G470" s="333">
        <v>2009</v>
      </c>
      <c r="H470" s="341" t="s">
        <v>734</v>
      </c>
      <c r="I470" s="336" t="str">
        <f t="shared" si="30"/>
        <v>Pesado de Passageiros M3: III : Gasóleo : E5</v>
      </c>
      <c r="J470" s="125">
        <v>71</v>
      </c>
      <c r="K470" s="125">
        <v>2022</v>
      </c>
      <c r="L470" s="85">
        <v>10776.28</v>
      </c>
      <c r="M470" s="85" t="s">
        <v>630</v>
      </c>
      <c r="N470" s="128">
        <v>24725</v>
      </c>
      <c r="O470" s="128">
        <f t="shared" si="31"/>
        <v>1755475</v>
      </c>
      <c r="P470" s="125" t="s">
        <v>1098</v>
      </c>
      <c r="Q470" s="85" t="s">
        <v>47</v>
      </c>
      <c r="R470" s="220" t="s">
        <v>1888</v>
      </c>
      <c r="S470" s="220" t="s">
        <v>1861</v>
      </c>
      <c r="T470" s="85" t="s">
        <v>1491</v>
      </c>
      <c r="U470" t="s">
        <v>1972</v>
      </c>
      <c r="V470" t="s">
        <v>2832</v>
      </c>
    </row>
    <row r="471" spans="1:22" ht="15.75" thickBot="1" x14ac:dyDescent="0.3">
      <c r="A471" s="82" t="s">
        <v>3506</v>
      </c>
      <c r="B471" s="82" t="str">
        <f t="shared" si="28"/>
        <v>Barraqueiro Transportes, S.A.</v>
      </c>
      <c r="C471" s="82" t="str">
        <f t="shared" si="29"/>
        <v>Mafrense</v>
      </c>
      <c r="D471" s="83" t="s">
        <v>629</v>
      </c>
      <c r="E471" s="91" t="s">
        <v>1853</v>
      </c>
      <c r="F471" s="124" t="s">
        <v>620</v>
      </c>
      <c r="G471" s="333">
        <v>2001</v>
      </c>
      <c r="H471" s="341" t="s">
        <v>732</v>
      </c>
      <c r="I471" s="336" t="str">
        <f t="shared" si="30"/>
        <v>Pesado de Passageiros M3: III : Gasóleo : E3</v>
      </c>
      <c r="J471" s="125">
        <v>55</v>
      </c>
      <c r="K471" s="125">
        <v>2022</v>
      </c>
      <c r="L471" s="85">
        <v>11819.01</v>
      </c>
      <c r="M471" s="85" t="s">
        <v>630</v>
      </c>
      <c r="N471" s="128">
        <v>31831</v>
      </c>
      <c r="O471" s="128">
        <f t="shared" si="31"/>
        <v>1750705</v>
      </c>
      <c r="P471" s="125" t="s">
        <v>1099</v>
      </c>
      <c r="Q471" s="85" t="s">
        <v>47</v>
      </c>
      <c r="R471" s="220" t="s">
        <v>1888</v>
      </c>
      <c r="S471" s="220" t="s">
        <v>1861</v>
      </c>
      <c r="T471" s="85" t="s">
        <v>1491</v>
      </c>
      <c r="U471" t="s">
        <v>1972</v>
      </c>
      <c r="V471" t="s">
        <v>2832</v>
      </c>
    </row>
    <row r="472" spans="1:22" ht="15.75" thickBot="1" x14ac:dyDescent="0.3">
      <c r="A472" s="82" t="s">
        <v>3506</v>
      </c>
      <c r="B472" s="82" t="str">
        <f t="shared" si="28"/>
        <v>Barraqueiro Transportes, S.A.</v>
      </c>
      <c r="C472" s="82" t="str">
        <f t="shared" si="29"/>
        <v>Mafrense</v>
      </c>
      <c r="D472" s="83" t="s">
        <v>629</v>
      </c>
      <c r="E472" s="91" t="s">
        <v>1853</v>
      </c>
      <c r="F472" s="124" t="s">
        <v>620</v>
      </c>
      <c r="G472" s="333">
        <v>2001</v>
      </c>
      <c r="H472" s="341" t="s">
        <v>732</v>
      </c>
      <c r="I472" s="336" t="str">
        <f t="shared" si="30"/>
        <v>Pesado de Passageiros M3: III : Gasóleo : E3</v>
      </c>
      <c r="J472" s="125">
        <v>55</v>
      </c>
      <c r="K472" s="125">
        <v>2022</v>
      </c>
      <c r="L472" s="85">
        <v>10915.310000000003</v>
      </c>
      <c r="M472" s="85" t="s">
        <v>630</v>
      </c>
      <c r="N472" s="128">
        <v>28022</v>
      </c>
      <c r="O472" s="128">
        <f t="shared" si="31"/>
        <v>1541210</v>
      </c>
      <c r="P472" s="125" t="s">
        <v>1100</v>
      </c>
      <c r="Q472" s="85" t="s">
        <v>47</v>
      </c>
      <c r="R472" s="220" t="s">
        <v>1888</v>
      </c>
      <c r="S472" s="220" t="s">
        <v>1861</v>
      </c>
      <c r="T472" s="85" t="s">
        <v>1491</v>
      </c>
      <c r="U472" t="s">
        <v>1972</v>
      </c>
      <c r="V472" t="s">
        <v>2832</v>
      </c>
    </row>
    <row r="473" spans="1:22" ht="15.75" thickBot="1" x14ac:dyDescent="0.3">
      <c r="A473" s="82" t="s">
        <v>3506</v>
      </c>
      <c r="B473" s="82" t="str">
        <f t="shared" si="28"/>
        <v>Barraqueiro Transportes, S.A.</v>
      </c>
      <c r="C473" s="82" t="str">
        <f t="shared" si="29"/>
        <v>Mafrense</v>
      </c>
      <c r="D473" s="83" t="s">
        <v>629</v>
      </c>
      <c r="E473" s="91" t="s">
        <v>1853</v>
      </c>
      <c r="F473" s="124" t="s">
        <v>620</v>
      </c>
      <c r="G473" s="333">
        <v>2001</v>
      </c>
      <c r="H473" s="341" t="s">
        <v>732</v>
      </c>
      <c r="I473" s="336" t="str">
        <f t="shared" si="30"/>
        <v>Pesado de Passageiros M3: III : Gasóleo : E3</v>
      </c>
      <c r="J473" s="125">
        <v>55</v>
      </c>
      <c r="K473" s="125">
        <v>2022</v>
      </c>
      <c r="L473" s="85">
        <v>10524.800000000001</v>
      </c>
      <c r="M473" s="85" t="s">
        <v>630</v>
      </c>
      <c r="N473" s="128">
        <v>27814</v>
      </c>
      <c r="O473" s="128">
        <f t="shared" si="31"/>
        <v>1529770</v>
      </c>
      <c r="P473" s="125" t="s">
        <v>1101</v>
      </c>
      <c r="Q473" s="85" t="s">
        <v>47</v>
      </c>
      <c r="R473" s="220" t="s">
        <v>1888</v>
      </c>
      <c r="S473" s="220" t="s">
        <v>1861</v>
      </c>
      <c r="T473" s="85" t="s">
        <v>1491</v>
      </c>
      <c r="U473" t="s">
        <v>1972</v>
      </c>
      <c r="V473" t="s">
        <v>2832</v>
      </c>
    </row>
    <row r="474" spans="1:22" ht="15.75" thickBot="1" x14ac:dyDescent="0.3">
      <c r="A474" s="82" t="s">
        <v>3506</v>
      </c>
      <c r="B474" s="82" t="str">
        <f t="shared" si="28"/>
        <v>Barraqueiro Transportes, S.A.</v>
      </c>
      <c r="C474" s="82" t="str">
        <f t="shared" si="29"/>
        <v>Mafrense</v>
      </c>
      <c r="D474" s="83" t="s">
        <v>629</v>
      </c>
      <c r="E474" s="91" t="s">
        <v>1853</v>
      </c>
      <c r="F474" s="124" t="s">
        <v>620</v>
      </c>
      <c r="G474" s="333">
        <v>2001</v>
      </c>
      <c r="H474" s="341" t="s">
        <v>732</v>
      </c>
      <c r="I474" s="336" t="str">
        <f t="shared" si="30"/>
        <v>Pesado de Passageiros M3: III : Gasóleo : E3</v>
      </c>
      <c r="J474" s="125">
        <v>55</v>
      </c>
      <c r="K474" s="125">
        <v>2022</v>
      </c>
      <c r="L474" s="85">
        <v>12080.310000000001</v>
      </c>
      <c r="M474" s="85" t="s">
        <v>630</v>
      </c>
      <c r="N474" s="128">
        <v>30827</v>
      </c>
      <c r="O474" s="128">
        <f t="shared" si="31"/>
        <v>1695485</v>
      </c>
      <c r="P474" s="125" t="s">
        <v>1102</v>
      </c>
      <c r="Q474" s="85" t="s">
        <v>47</v>
      </c>
      <c r="R474" s="220" t="s">
        <v>1888</v>
      </c>
      <c r="S474" s="220" t="s">
        <v>1861</v>
      </c>
      <c r="T474" s="85" t="s">
        <v>1491</v>
      </c>
      <c r="U474" t="s">
        <v>1972</v>
      </c>
      <c r="V474" t="s">
        <v>2832</v>
      </c>
    </row>
    <row r="475" spans="1:22" ht="15.75" thickBot="1" x14ac:dyDescent="0.3">
      <c r="A475" s="82" t="s">
        <v>3506</v>
      </c>
      <c r="B475" s="82" t="str">
        <f t="shared" si="28"/>
        <v>Barraqueiro Transportes, S.A.</v>
      </c>
      <c r="C475" s="82" t="str">
        <f t="shared" si="29"/>
        <v>Mafrense</v>
      </c>
      <c r="D475" s="83" t="s">
        <v>629</v>
      </c>
      <c r="E475" s="91" t="s">
        <v>1853</v>
      </c>
      <c r="F475" s="124" t="s">
        <v>620</v>
      </c>
      <c r="G475" s="333">
        <v>1996</v>
      </c>
      <c r="H475" s="341" t="s">
        <v>736</v>
      </c>
      <c r="I475" s="336" t="str">
        <f t="shared" si="30"/>
        <v>Pesado de Passageiros M3: III : Gasóleo : E1</v>
      </c>
      <c r="J475" s="125">
        <v>53</v>
      </c>
      <c r="K475" s="125">
        <v>2022</v>
      </c>
      <c r="L475" s="85">
        <v>8044.18</v>
      </c>
      <c r="M475" s="85" t="s">
        <v>630</v>
      </c>
      <c r="N475" s="128">
        <v>23421</v>
      </c>
      <c r="O475" s="128">
        <f t="shared" si="31"/>
        <v>1241313</v>
      </c>
      <c r="P475" s="125" t="s">
        <v>782</v>
      </c>
      <c r="Q475" s="85" t="s">
        <v>47</v>
      </c>
      <c r="R475" s="220" t="s">
        <v>1888</v>
      </c>
      <c r="S475" s="220" t="s">
        <v>1861</v>
      </c>
      <c r="T475" s="85" t="s">
        <v>1491</v>
      </c>
      <c r="U475" t="s">
        <v>1972</v>
      </c>
      <c r="V475" t="s">
        <v>2832</v>
      </c>
    </row>
    <row r="476" spans="1:22" ht="15.75" thickBot="1" x14ac:dyDescent="0.3">
      <c r="A476" s="82" t="s">
        <v>3506</v>
      </c>
      <c r="B476" s="82" t="str">
        <f t="shared" si="28"/>
        <v>Barraqueiro Transportes, S.A.</v>
      </c>
      <c r="C476" s="82" t="str">
        <f t="shared" si="29"/>
        <v>Mafrense</v>
      </c>
      <c r="D476" s="83" t="s">
        <v>629</v>
      </c>
      <c r="E476" s="91" t="s">
        <v>1853</v>
      </c>
      <c r="F476" s="124" t="s">
        <v>620</v>
      </c>
      <c r="G476" s="333">
        <v>1996</v>
      </c>
      <c r="H476" s="341" t="s">
        <v>736</v>
      </c>
      <c r="I476" s="336" t="str">
        <f t="shared" si="30"/>
        <v>Pesado de Passageiros M3: III : Gasóleo : E1</v>
      </c>
      <c r="J476" s="125">
        <v>53</v>
      </c>
      <c r="K476" s="125">
        <v>2022</v>
      </c>
      <c r="L476" s="85">
        <v>6795.07</v>
      </c>
      <c r="M476" s="85" t="s">
        <v>630</v>
      </c>
      <c r="N476" s="128">
        <v>19597</v>
      </c>
      <c r="O476" s="128">
        <f t="shared" si="31"/>
        <v>1038641</v>
      </c>
      <c r="P476" s="125" t="s">
        <v>1103</v>
      </c>
      <c r="Q476" s="85" t="s">
        <v>47</v>
      </c>
      <c r="R476" s="220" t="s">
        <v>1888</v>
      </c>
      <c r="S476" s="220" t="s">
        <v>1861</v>
      </c>
      <c r="T476" s="85" t="s">
        <v>1491</v>
      </c>
      <c r="U476" t="s">
        <v>1972</v>
      </c>
      <c r="V476" t="s">
        <v>2832</v>
      </c>
    </row>
    <row r="477" spans="1:22" ht="15.75" thickBot="1" x14ac:dyDescent="0.3">
      <c r="A477" s="82" t="s">
        <v>3506</v>
      </c>
      <c r="B477" s="82" t="str">
        <f t="shared" si="28"/>
        <v>Barraqueiro Transportes, S.A.</v>
      </c>
      <c r="C477" s="82" t="str">
        <f t="shared" si="29"/>
        <v>Mafrense</v>
      </c>
      <c r="D477" s="83" t="s">
        <v>629</v>
      </c>
      <c r="E477" s="91" t="s">
        <v>1853</v>
      </c>
      <c r="F477" s="124" t="s">
        <v>620</v>
      </c>
      <c r="G477" s="333">
        <v>1998</v>
      </c>
      <c r="H477" s="341" t="s">
        <v>736</v>
      </c>
      <c r="I477" s="336" t="str">
        <f t="shared" si="30"/>
        <v>Pesado de Passageiros M3: III : Gasóleo : E1</v>
      </c>
      <c r="J477" s="125">
        <v>98</v>
      </c>
      <c r="K477" s="125">
        <v>2022</v>
      </c>
      <c r="L477" s="85">
        <v>6549.9800000000005</v>
      </c>
      <c r="M477" s="85" t="s">
        <v>630</v>
      </c>
      <c r="N477" s="128">
        <v>11996</v>
      </c>
      <c r="O477" s="128">
        <f t="shared" si="31"/>
        <v>1175608</v>
      </c>
      <c r="P477" s="125" t="s">
        <v>1104</v>
      </c>
      <c r="Q477" s="85" t="s">
        <v>47</v>
      </c>
      <c r="R477" s="220" t="s">
        <v>1888</v>
      </c>
      <c r="S477" s="220" t="s">
        <v>1861</v>
      </c>
      <c r="T477" s="85" t="s">
        <v>1491</v>
      </c>
      <c r="U477" t="s">
        <v>1972</v>
      </c>
      <c r="V477" t="s">
        <v>2832</v>
      </c>
    </row>
    <row r="478" spans="1:22" ht="15.75" thickBot="1" x14ac:dyDescent="0.3">
      <c r="A478" s="82" t="s">
        <v>3506</v>
      </c>
      <c r="B478" s="82" t="str">
        <f t="shared" si="28"/>
        <v>Barraqueiro Transportes, S.A.</v>
      </c>
      <c r="C478" s="82" t="str">
        <f t="shared" si="29"/>
        <v>Mafrense</v>
      </c>
      <c r="D478" s="83" t="s">
        <v>629</v>
      </c>
      <c r="E478" s="91" t="s">
        <v>1853</v>
      </c>
      <c r="F478" s="124" t="s">
        <v>620</v>
      </c>
      <c r="G478" s="333">
        <v>1998</v>
      </c>
      <c r="H478" s="341" t="s">
        <v>736</v>
      </c>
      <c r="I478" s="336" t="str">
        <f t="shared" si="30"/>
        <v>Pesado de Passageiros M3: III : Gasóleo : E1</v>
      </c>
      <c r="J478" s="125">
        <v>98</v>
      </c>
      <c r="K478" s="125">
        <v>2022</v>
      </c>
      <c r="L478" s="85">
        <v>1362.46</v>
      </c>
      <c r="M478" s="85" t="s">
        <v>630</v>
      </c>
      <c r="N478" s="128">
        <v>2627</v>
      </c>
      <c r="O478" s="128">
        <f t="shared" si="31"/>
        <v>257446</v>
      </c>
      <c r="P478" s="125" t="s">
        <v>1105</v>
      </c>
      <c r="Q478" s="85" t="s">
        <v>47</v>
      </c>
      <c r="R478" s="220" t="s">
        <v>1888</v>
      </c>
      <c r="S478" s="220" t="s">
        <v>1861</v>
      </c>
      <c r="T478" s="85" t="s">
        <v>1491</v>
      </c>
      <c r="U478" t="s">
        <v>1972</v>
      </c>
      <c r="V478" t="s">
        <v>2832</v>
      </c>
    </row>
    <row r="479" spans="1:22" ht="15.75" thickBot="1" x14ac:dyDescent="0.3">
      <c r="A479" s="82" t="s">
        <v>3506</v>
      </c>
      <c r="B479" s="82" t="str">
        <f t="shared" si="28"/>
        <v>Barraqueiro Transportes, S.A.</v>
      </c>
      <c r="C479" s="82" t="str">
        <f t="shared" si="29"/>
        <v>Mafrense</v>
      </c>
      <c r="D479" s="83" t="s">
        <v>629</v>
      </c>
      <c r="E479" s="91" t="s">
        <v>1853</v>
      </c>
      <c r="F479" s="124" t="s">
        <v>620</v>
      </c>
      <c r="G479" s="333">
        <v>2000</v>
      </c>
      <c r="H479" s="341" t="s">
        <v>735</v>
      </c>
      <c r="I479" s="336" t="str">
        <f t="shared" si="30"/>
        <v>Pesado de Passageiros M3: III : Gasóleo : E2</v>
      </c>
      <c r="J479" s="125">
        <v>71</v>
      </c>
      <c r="K479" s="125">
        <v>2022</v>
      </c>
      <c r="L479" s="85">
        <v>16080.009999999998</v>
      </c>
      <c r="M479" s="85" t="s">
        <v>630</v>
      </c>
      <c r="N479" s="128">
        <v>48644</v>
      </c>
      <c r="O479" s="128">
        <f t="shared" si="31"/>
        <v>3453724</v>
      </c>
      <c r="P479" s="125" t="s">
        <v>1106</v>
      </c>
      <c r="Q479" s="85" t="s">
        <v>47</v>
      </c>
      <c r="R479" s="220" t="s">
        <v>1888</v>
      </c>
      <c r="S479" s="220" t="s">
        <v>1861</v>
      </c>
      <c r="T479" s="85" t="s">
        <v>1491</v>
      </c>
      <c r="U479" t="s">
        <v>1972</v>
      </c>
      <c r="V479" t="s">
        <v>2832</v>
      </c>
    </row>
    <row r="480" spans="1:22" ht="15.75" thickBot="1" x14ac:dyDescent="0.3">
      <c r="A480" s="82" t="s">
        <v>3506</v>
      </c>
      <c r="B480" s="82" t="str">
        <f t="shared" si="28"/>
        <v>Barraqueiro Transportes, S.A.</v>
      </c>
      <c r="C480" s="82" t="str">
        <f t="shared" si="29"/>
        <v>Mafrense</v>
      </c>
      <c r="D480" s="83" t="s">
        <v>629</v>
      </c>
      <c r="E480" s="91" t="s">
        <v>1853</v>
      </c>
      <c r="F480" s="124" t="s">
        <v>620</v>
      </c>
      <c r="G480" s="333">
        <v>2012</v>
      </c>
      <c r="H480" s="341" t="s">
        <v>734</v>
      </c>
      <c r="I480" s="336" t="str">
        <f t="shared" si="30"/>
        <v>Pesado de Passageiros M3: III : Gasóleo : E5</v>
      </c>
      <c r="J480" s="125">
        <v>53</v>
      </c>
      <c r="K480" s="125">
        <v>2022</v>
      </c>
      <c r="L480" s="85">
        <v>22902.079999999998</v>
      </c>
      <c r="M480" s="85" t="s">
        <v>630</v>
      </c>
      <c r="N480" s="128">
        <v>67058</v>
      </c>
      <c r="O480" s="128">
        <f t="shared" si="31"/>
        <v>3554074</v>
      </c>
      <c r="P480" s="125" t="s">
        <v>1107</v>
      </c>
      <c r="Q480" s="85" t="s">
        <v>47</v>
      </c>
      <c r="R480" s="220" t="s">
        <v>1888</v>
      </c>
      <c r="S480" s="220" t="s">
        <v>1861</v>
      </c>
      <c r="T480" s="85" t="s">
        <v>1491</v>
      </c>
      <c r="U480" t="s">
        <v>1972</v>
      </c>
      <c r="V480" t="s">
        <v>2832</v>
      </c>
    </row>
    <row r="481" spans="1:22" ht="15.75" thickBot="1" x14ac:dyDescent="0.3">
      <c r="A481" s="82" t="s">
        <v>3506</v>
      </c>
      <c r="B481" s="82" t="str">
        <f t="shared" si="28"/>
        <v>Barraqueiro Transportes, S.A.</v>
      </c>
      <c r="C481" s="82" t="str">
        <f t="shared" si="29"/>
        <v>Mafrense</v>
      </c>
      <c r="D481" s="83" t="s">
        <v>629</v>
      </c>
      <c r="E481" s="91" t="s">
        <v>1853</v>
      </c>
      <c r="F481" s="124" t="s">
        <v>620</v>
      </c>
      <c r="G481" s="333">
        <v>2004</v>
      </c>
      <c r="H481" s="341" t="s">
        <v>732</v>
      </c>
      <c r="I481" s="336" t="str">
        <f t="shared" si="30"/>
        <v>Pesado de Passageiros M3: III : Gasóleo : E3</v>
      </c>
      <c r="J481" s="125">
        <v>85</v>
      </c>
      <c r="K481" s="125">
        <v>2022</v>
      </c>
      <c r="L481" s="85">
        <v>11413.87</v>
      </c>
      <c r="M481" s="85" t="s">
        <v>630</v>
      </c>
      <c r="N481" s="128">
        <v>28996</v>
      </c>
      <c r="O481" s="128">
        <f t="shared" si="31"/>
        <v>2464660</v>
      </c>
      <c r="P481" s="125" t="s">
        <v>787</v>
      </c>
      <c r="Q481" s="85" t="s">
        <v>47</v>
      </c>
      <c r="R481" s="220" t="s">
        <v>1888</v>
      </c>
      <c r="S481" s="220" t="s">
        <v>1861</v>
      </c>
      <c r="T481" s="85" t="s">
        <v>1491</v>
      </c>
      <c r="U481" t="s">
        <v>1972</v>
      </c>
      <c r="V481" t="s">
        <v>2832</v>
      </c>
    </row>
    <row r="482" spans="1:22" ht="15.75" thickBot="1" x14ac:dyDescent="0.3">
      <c r="A482" s="82" t="s">
        <v>3506</v>
      </c>
      <c r="B482" s="82" t="str">
        <f t="shared" si="28"/>
        <v>Barraqueiro Transportes, S.A.</v>
      </c>
      <c r="C482" s="82" t="str">
        <f t="shared" si="29"/>
        <v>Mafrense</v>
      </c>
      <c r="D482" s="83" t="s">
        <v>629</v>
      </c>
      <c r="E482" s="91" t="s">
        <v>1853</v>
      </c>
      <c r="F482" s="124" t="s">
        <v>620</v>
      </c>
      <c r="G482" s="333">
        <v>1999</v>
      </c>
      <c r="H482" s="341" t="s">
        <v>736</v>
      </c>
      <c r="I482" s="336" t="str">
        <f t="shared" si="30"/>
        <v>Pesado de Passageiros M3: III : Gasóleo : E1</v>
      </c>
      <c r="J482" s="125">
        <v>76</v>
      </c>
      <c r="K482" s="125">
        <v>2022</v>
      </c>
      <c r="L482" s="85">
        <v>12473.980000000001</v>
      </c>
      <c r="M482" s="85" t="s">
        <v>630</v>
      </c>
      <c r="N482" s="128">
        <v>31972</v>
      </c>
      <c r="O482" s="128">
        <f t="shared" si="31"/>
        <v>2429872</v>
      </c>
      <c r="P482" s="125" t="s">
        <v>1108</v>
      </c>
      <c r="Q482" s="85" t="s">
        <v>47</v>
      </c>
      <c r="R482" s="220" t="s">
        <v>1888</v>
      </c>
      <c r="S482" s="220" t="s">
        <v>1861</v>
      </c>
      <c r="T482" s="85" t="s">
        <v>1491</v>
      </c>
      <c r="U482" t="s">
        <v>1972</v>
      </c>
      <c r="V482" t="s">
        <v>2832</v>
      </c>
    </row>
    <row r="483" spans="1:22" ht="15.75" thickBot="1" x14ac:dyDescent="0.3">
      <c r="A483" s="82" t="s">
        <v>3506</v>
      </c>
      <c r="B483" s="82" t="str">
        <f t="shared" si="28"/>
        <v>Barraqueiro Transportes, S.A.</v>
      </c>
      <c r="C483" s="82" t="str">
        <f t="shared" si="29"/>
        <v>Mafrense</v>
      </c>
      <c r="D483" s="83" t="s">
        <v>629</v>
      </c>
      <c r="E483" s="91" t="s">
        <v>1853</v>
      </c>
      <c r="F483" s="124" t="s">
        <v>620</v>
      </c>
      <c r="G483" s="333">
        <v>1999</v>
      </c>
      <c r="H483" s="341" t="s">
        <v>736</v>
      </c>
      <c r="I483" s="336" t="str">
        <f t="shared" si="30"/>
        <v>Pesado de Passageiros M3: III : Gasóleo : E1</v>
      </c>
      <c r="J483" s="125">
        <v>76</v>
      </c>
      <c r="K483" s="125">
        <v>2022</v>
      </c>
      <c r="L483" s="85">
        <v>3786.9400000000005</v>
      </c>
      <c r="M483" s="85" t="s">
        <v>630</v>
      </c>
      <c r="N483" s="128">
        <v>9821</v>
      </c>
      <c r="O483" s="128">
        <f t="shared" si="31"/>
        <v>746396</v>
      </c>
      <c r="P483" s="125" t="s">
        <v>1109</v>
      </c>
      <c r="Q483" s="85" t="s">
        <v>47</v>
      </c>
      <c r="R483" s="220" t="s">
        <v>1888</v>
      </c>
      <c r="S483" s="220" t="s">
        <v>1861</v>
      </c>
      <c r="T483" s="85" t="s">
        <v>1491</v>
      </c>
      <c r="U483" t="s">
        <v>1972</v>
      </c>
      <c r="V483" t="s">
        <v>2832</v>
      </c>
    </row>
    <row r="484" spans="1:22" ht="15.75" thickBot="1" x14ac:dyDescent="0.3">
      <c r="A484" s="82" t="s">
        <v>3506</v>
      </c>
      <c r="B484" s="82" t="str">
        <f t="shared" si="28"/>
        <v>Barraqueiro Transportes, S.A.</v>
      </c>
      <c r="C484" s="82" t="str">
        <f t="shared" si="29"/>
        <v>Mafrense</v>
      </c>
      <c r="D484" s="83" t="s">
        <v>629</v>
      </c>
      <c r="E484" s="91" t="s">
        <v>1853</v>
      </c>
      <c r="F484" s="124" t="s">
        <v>620</v>
      </c>
      <c r="G484" s="333">
        <v>1999</v>
      </c>
      <c r="H484" s="341" t="s">
        <v>736</v>
      </c>
      <c r="I484" s="336" t="str">
        <f t="shared" si="30"/>
        <v>Pesado de Passageiros M3: III : Gasóleo : E1</v>
      </c>
      <c r="J484" s="125">
        <v>76</v>
      </c>
      <c r="K484" s="125">
        <v>2022</v>
      </c>
      <c r="L484" s="85">
        <v>15933.84</v>
      </c>
      <c r="M484" s="85" t="s">
        <v>630</v>
      </c>
      <c r="N484" s="128">
        <v>42473</v>
      </c>
      <c r="O484" s="128">
        <f t="shared" si="31"/>
        <v>3227948</v>
      </c>
      <c r="P484" s="125" t="s">
        <v>1110</v>
      </c>
      <c r="Q484" s="85" t="s">
        <v>47</v>
      </c>
      <c r="R484" s="220" t="s">
        <v>1888</v>
      </c>
      <c r="S484" s="220" t="s">
        <v>1861</v>
      </c>
      <c r="T484" s="85" t="s">
        <v>1491</v>
      </c>
      <c r="U484" t="s">
        <v>1972</v>
      </c>
      <c r="V484" t="s">
        <v>2832</v>
      </c>
    </row>
    <row r="485" spans="1:22" ht="15.75" thickBot="1" x14ac:dyDescent="0.3">
      <c r="A485" s="82" t="s">
        <v>3506</v>
      </c>
      <c r="B485" s="82" t="str">
        <f t="shared" si="28"/>
        <v>Barraqueiro Transportes, S.A.</v>
      </c>
      <c r="C485" s="82" t="str">
        <f t="shared" si="29"/>
        <v>Mafrense</v>
      </c>
      <c r="D485" s="83" t="s">
        <v>629</v>
      </c>
      <c r="E485" s="91" t="s">
        <v>1853</v>
      </c>
      <c r="F485" s="124" t="s">
        <v>620</v>
      </c>
      <c r="G485" s="333">
        <v>1998</v>
      </c>
      <c r="H485" s="341" t="s">
        <v>736</v>
      </c>
      <c r="I485" s="336" t="str">
        <f t="shared" si="30"/>
        <v>Pesado de Passageiros M3: III : Gasóleo : E1</v>
      </c>
      <c r="J485" s="125">
        <v>66</v>
      </c>
      <c r="K485" s="125">
        <v>2022</v>
      </c>
      <c r="L485" s="85">
        <v>15794.55</v>
      </c>
      <c r="M485" s="85" t="s">
        <v>630</v>
      </c>
      <c r="N485" s="128">
        <v>39988</v>
      </c>
      <c r="O485" s="128">
        <f t="shared" si="31"/>
        <v>2639208</v>
      </c>
      <c r="P485" s="125" t="s">
        <v>1111</v>
      </c>
      <c r="Q485" s="85" t="s">
        <v>47</v>
      </c>
      <c r="R485" s="220" t="s">
        <v>1888</v>
      </c>
      <c r="S485" s="220" t="s">
        <v>1861</v>
      </c>
      <c r="T485" s="85" t="s">
        <v>1491</v>
      </c>
      <c r="U485" t="s">
        <v>1972</v>
      </c>
      <c r="V485" t="s">
        <v>2832</v>
      </c>
    </row>
    <row r="486" spans="1:22" ht="15.75" thickBot="1" x14ac:dyDescent="0.3">
      <c r="A486" s="82" t="s">
        <v>3506</v>
      </c>
      <c r="B486" s="82" t="str">
        <f t="shared" si="28"/>
        <v>Barraqueiro Transportes, S.A.</v>
      </c>
      <c r="C486" s="82" t="str">
        <f t="shared" si="29"/>
        <v>Mafrense</v>
      </c>
      <c r="D486" s="83" t="s">
        <v>629</v>
      </c>
      <c r="E486" s="91" t="s">
        <v>1853</v>
      </c>
      <c r="F486" s="124" t="s">
        <v>620</v>
      </c>
      <c r="G486" s="333">
        <v>1999</v>
      </c>
      <c r="H486" s="341" t="s">
        <v>736</v>
      </c>
      <c r="I486" s="336" t="str">
        <f t="shared" si="30"/>
        <v>Pesado de Passageiros M3: III : Gasóleo : E1</v>
      </c>
      <c r="J486" s="125">
        <v>76</v>
      </c>
      <c r="K486" s="125">
        <v>2022</v>
      </c>
      <c r="L486" s="85">
        <v>14924.28</v>
      </c>
      <c r="M486" s="85" t="s">
        <v>630</v>
      </c>
      <c r="N486" s="128">
        <v>41080</v>
      </c>
      <c r="O486" s="128">
        <f t="shared" si="31"/>
        <v>3122080</v>
      </c>
      <c r="P486" s="125" t="s">
        <v>1112</v>
      </c>
      <c r="Q486" s="85" t="s">
        <v>47</v>
      </c>
      <c r="R486" s="220" t="s">
        <v>1888</v>
      </c>
      <c r="S486" s="220" t="s">
        <v>1861</v>
      </c>
      <c r="T486" s="85" t="s">
        <v>1491</v>
      </c>
      <c r="U486" t="s">
        <v>1972</v>
      </c>
      <c r="V486" t="s">
        <v>2832</v>
      </c>
    </row>
    <row r="487" spans="1:22" ht="15.75" thickBot="1" x14ac:dyDescent="0.3">
      <c r="A487" s="82" t="s">
        <v>3506</v>
      </c>
      <c r="B487" s="82" t="str">
        <f t="shared" si="28"/>
        <v>Barraqueiro Transportes, S.A.</v>
      </c>
      <c r="C487" s="82" t="str">
        <f t="shared" si="29"/>
        <v>Mafrense</v>
      </c>
      <c r="D487" s="83" t="s">
        <v>629</v>
      </c>
      <c r="E487" s="91" t="s">
        <v>1853</v>
      </c>
      <c r="F487" s="124" t="s">
        <v>620</v>
      </c>
      <c r="G487" s="333">
        <v>2003</v>
      </c>
      <c r="H487" s="341" t="s">
        <v>732</v>
      </c>
      <c r="I487" s="336" t="str">
        <f t="shared" si="30"/>
        <v>Pesado de Passageiros M3: III : Gasóleo : E3</v>
      </c>
      <c r="J487" s="125">
        <v>61</v>
      </c>
      <c r="K487" s="125">
        <v>2022</v>
      </c>
      <c r="L487" s="85">
        <v>26690.162</v>
      </c>
      <c r="M487" s="85" t="s">
        <v>630</v>
      </c>
      <c r="N487" s="128">
        <v>61030</v>
      </c>
      <c r="O487" s="128">
        <f t="shared" si="31"/>
        <v>3722830</v>
      </c>
      <c r="P487" s="125" t="s">
        <v>1113</v>
      </c>
      <c r="Q487" s="85" t="s">
        <v>47</v>
      </c>
      <c r="R487" s="220" t="s">
        <v>1888</v>
      </c>
      <c r="S487" s="220" t="s">
        <v>1861</v>
      </c>
      <c r="T487" s="85" t="s">
        <v>1491</v>
      </c>
      <c r="U487" t="s">
        <v>1972</v>
      </c>
      <c r="V487" t="s">
        <v>2832</v>
      </c>
    </row>
    <row r="488" spans="1:22" ht="15.75" thickBot="1" x14ac:dyDescent="0.3">
      <c r="A488" s="82" t="s">
        <v>3506</v>
      </c>
      <c r="B488" s="82" t="str">
        <f t="shared" si="28"/>
        <v>Barraqueiro Transportes, S.A.</v>
      </c>
      <c r="C488" s="82" t="str">
        <f t="shared" si="29"/>
        <v>Mafrense</v>
      </c>
      <c r="D488" s="83" t="s">
        <v>629</v>
      </c>
      <c r="E488" s="91" t="s">
        <v>1853</v>
      </c>
      <c r="F488" s="124" t="s">
        <v>620</v>
      </c>
      <c r="G488" s="333">
        <v>2008</v>
      </c>
      <c r="H488" s="341" t="s">
        <v>731</v>
      </c>
      <c r="I488" s="336" t="str">
        <f t="shared" si="30"/>
        <v>Pesado de Passageiros M3: III : Gasóleo : E4</v>
      </c>
      <c r="J488" s="125">
        <v>59</v>
      </c>
      <c r="K488" s="125">
        <v>2022</v>
      </c>
      <c r="L488" s="85">
        <v>26158.875000000004</v>
      </c>
      <c r="M488" s="85" t="s">
        <v>630</v>
      </c>
      <c r="N488" s="128">
        <v>60230</v>
      </c>
      <c r="O488" s="128">
        <f t="shared" si="31"/>
        <v>3553570</v>
      </c>
      <c r="P488" s="125" t="s">
        <v>1114</v>
      </c>
      <c r="Q488" s="85" t="s">
        <v>47</v>
      </c>
      <c r="R488" s="220" t="s">
        <v>1888</v>
      </c>
      <c r="S488" s="220" t="s">
        <v>1861</v>
      </c>
      <c r="T488" s="85" t="s">
        <v>1491</v>
      </c>
      <c r="U488" t="s">
        <v>1972</v>
      </c>
      <c r="V488" t="s">
        <v>2832</v>
      </c>
    </row>
    <row r="489" spans="1:22" ht="15.75" thickBot="1" x14ac:dyDescent="0.3">
      <c r="A489" s="82" t="s">
        <v>3506</v>
      </c>
      <c r="B489" s="82" t="str">
        <f t="shared" si="28"/>
        <v>Barraqueiro Transportes, S.A.</v>
      </c>
      <c r="C489" s="82" t="str">
        <f t="shared" si="29"/>
        <v>Mafrense</v>
      </c>
      <c r="D489" s="83" t="s">
        <v>629</v>
      </c>
      <c r="E489" s="91" t="s">
        <v>1853</v>
      </c>
      <c r="F489" s="124" t="s">
        <v>620</v>
      </c>
      <c r="G489" s="333">
        <v>2004</v>
      </c>
      <c r="H489" s="341" t="s">
        <v>732</v>
      </c>
      <c r="I489" s="336" t="str">
        <f t="shared" si="30"/>
        <v>Pesado de Passageiros M3: III : Gasóleo : E3</v>
      </c>
      <c r="J489" s="125">
        <v>60</v>
      </c>
      <c r="K489" s="125">
        <v>2022</v>
      </c>
      <c r="L489" s="85">
        <v>3896.6</v>
      </c>
      <c r="M489" s="85" t="s">
        <v>630</v>
      </c>
      <c r="N489" s="128">
        <v>10443</v>
      </c>
      <c r="O489" s="128">
        <f t="shared" si="31"/>
        <v>626580</v>
      </c>
      <c r="P489" s="125" t="s">
        <v>1115</v>
      </c>
      <c r="Q489" s="85" t="s">
        <v>47</v>
      </c>
      <c r="R489" s="220" t="s">
        <v>1888</v>
      </c>
      <c r="S489" s="220" t="s">
        <v>1861</v>
      </c>
      <c r="T489" s="85" t="s">
        <v>1491</v>
      </c>
      <c r="U489" t="s">
        <v>1972</v>
      </c>
      <c r="V489" t="s">
        <v>2832</v>
      </c>
    </row>
    <row r="490" spans="1:22" ht="15.75" thickBot="1" x14ac:dyDescent="0.3">
      <c r="A490" s="82" t="s">
        <v>3506</v>
      </c>
      <c r="B490" s="82" t="str">
        <f t="shared" si="28"/>
        <v>Barraqueiro Transportes, S.A.</v>
      </c>
      <c r="C490" s="82" t="str">
        <f t="shared" si="29"/>
        <v>Mafrense</v>
      </c>
      <c r="D490" s="83" t="s">
        <v>629</v>
      </c>
      <c r="E490" s="91" t="s">
        <v>1853</v>
      </c>
      <c r="F490" s="124" t="s">
        <v>620</v>
      </c>
      <c r="G490" s="333">
        <v>2005</v>
      </c>
      <c r="H490" s="341" t="s">
        <v>732</v>
      </c>
      <c r="I490" s="336" t="str">
        <f t="shared" si="30"/>
        <v>Pesado de Passageiros M3: III : Gasóleo : E3</v>
      </c>
      <c r="J490" s="125">
        <v>69</v>
      </c>
      <c r="K490" s="125">
        <v>2022</v>
      </c>
      <c r="L490" s="85">
        <v>8141.9699999999993</v>
      </c>
      <c r="M490" s="85" t="s">
        <v>630</v>
      </c>
      <c r="N490" s="128">
        <v>17065</v>
      </c>
      <c r="O490" s="128">
        <f t="shared" si="31"/>
        <v>1177485</v>
      </c>
      <c r="P490" s="125" t="s">
        <v>1116</v>
      </c>
      <c r="Q490" s="85" t="s">
        <v>47</v>
      </c>
      <c r="R490" s="220" t="s">
        <v>1888</v>
      </c>
      <c r="S490" s="220" t="s">
        <v>1861</v>
      </c>
      <c r="T490" s="85" t="s">
        <v>1491</v>
      </c>
      <c r="U490" t="s">
        <v>1972</v>
      </c>
      <c r="V490" t="s">
        <v>2832</v>
      </c>
    </row>
    <row r="491" spans="1:22" ht="15.75" thickBot="1" x14ac:dyDescent="0.3">
      <c r="A491" s="82" t="s">
        <v>3506</v>
      </c>
      <c r="B491" s="82" t="str">
        <f t="shared" si="28"/>
        <v>Barraqueiro Transportes, S.A.</v>
      </c>
      <c r="C491" s="82" t="str">
        <f t="shared" si="29"/>
        <v>Mafrense</v>
      </c>
      <c r="D491" s="83" t="s">
        <v>629</v>
      </c>
      <c r="E491" s="91" t="s">
        <v>1853</v>
      </c>
      <c r="F491" s="124" t="s">
        <v>620</v>
      </c>
      <c r="G491" s="333">
        <v>2005</v>
      </c>
      <c r="H491" s="341" t="s">
        <v>732</v>
      </c>
      <c r="I491" s="336" t="str">
        <f t="shared" si="30"/>
        <v>Pesado de Passageiros M3: III : Gasóleo : E3</v>
      </c>
      <c r="J491" s="125">
        <v>69</v>
      </c>
      <c r="K491" s="125">
        <v>2022</v>
      </c>
      <c r="L491" s="85">
        <v>22616.781000000003</v>
      </c>
      <c r="M491" s="85" t="s">
        <v>630</v>
      </c>
      <c r="N491" s="128">
        <v>45220</v>
      </c>
      <c r="O491" s="128">
        <f t="shared" si="31"/>
        <v>3120180</v>
      </c>
      <c r="P491" s="125" t="s">
        <v>1117</v>
      </c>
      <c r="Q491" s="85" t="s">
        <v>47</v>
      </c>
      <c r="R491" s="220" t="s">
        <v>1888</v>
      </c>
      <c r="S491" s="220" t="s">
        <v>1861</v>
      </c>
      <c r="T491" s="85" t="s">
        <v>1491</v>
      </c>
      <c r="U491" t="s">
        <v>1972</v>
      </c>
      <c r="V491" t="s">
        <v>2832</v>
      </c>
    </row>
    <row r="492" spans="1:22" ht="15.75" thickBot="1" x14ac:dyDescent="0.3">
      <c r="A492" s="82" t="s">
        <v>3506</v>
      </c>
      <c r="B492" s="82" t="str">
        <f t="shared" si="28"/>
        <v>Barraqueiro Transportes, S.A.</v>
      </c>
      <c r="C492" s="82" t="str">
        <f t="shared" si="29"/>
        <v>Mafrense</v>
      </c>
      <c r="D492" s="83" t="s">
        <v>629</v>
      </c>
      <c r="E492" s="91" t="s">
        <v>1853</v>
      </c>
      <c r="F492" s="124" t="s">
        <v>620</v>
      </c>
      <c r="G492" s="333">
        <v>2005</v>
      </c>
      <c r="H492" s="341" t="s">
        <v>732</v>
      </c>
      <c r="I492" s="336" t="str">
        <f t="shared" si="30"/>
        <v>Pesado de Passageiros M3: III : Gasóleo : E3</v>
      </c>
      <c r="J492" s="125">
        <v>69</v>
      </c>
      <c r="K492" s="125">
        <v>2022</v>
      </c>
      <c r="L492" s="85">
        <v>19932.920000000002</v>
      </c>
      <c r="M492" s="85" t="s">
        <v>630</v>
      </c>
      <c r="N492" s="128">
        <v>39655</v>
      </c>
      <c r="O492" s="128">
        <f t="shared" si="31"/>
        <v>2736195</v>
      </c>
      <c r="P492" s="125" t="s">
        <v>1118</v>
      </c>
      <c r="Q492" s="85" t="s">
        <v>47</v>
      </c>
      <c r="R492" s="220" t="s">
        <v>1888</v>
      </c>
      <c r="S492" s="220" t="s">
        <v>1861</v>
      </c>
      <c r="T492" s="85" t="s">
        <v>1491</v>
      </c>
      <c r="U492" t="s">
        <v>1972</v>
      </c>
      <c r="V492" t="s">
        <v>2832</v>
      </c>
    </row>
    <row r="493" spans="1:22" ht="15.75" thickBot="1" x14ac:dyDescent="0.3">
      <c r="A493" s="82" t="s">
        <v>3506</v>
      </c>
      <c r="B493" s="82" t="str">
        <f t="shared" si="28"/>
        <v>Barraqueiro Transportes, S.A.</v>
      </c>
      <c r="C493" s="82" t="str">
        <f t="shared" si="29"/>
        <v>Mafrense</v>
      </c>
      <c r="D493" s="83" t="s">
        <v>629</v>
      </c>
      <c r="E493" s="91" t="s">
        <v>1853</v>
      </c>
      <c r="F493" s="124" t="s">
        <v>620</v>
      </c>
      <c r="G493" s="333">
        <v>2002</v>
      </c>
      <c r="H493" s="341" t="s">
        <v>732</v>
      </c>
      <c r="I493" s="336" t="str">
        <f t="shared" si="30"/>
        <v>Pesado de Passageiros M3: III : Gasóleo : E3</v>
      </c>
      <c r="J493" s="125">
        <v>69</v>
      </c>
      <c r="K493" s="125">
        <v>2022</v>
      </c>
      <c r="L493" s="85">
        <v>25661.140000000003</v>
      </c>
      <c r="M493" s="85" t="s">
        <v>630</v>
      </c>
      <c r="N493" s="128">
        <v>55336</v>
      </c>
      <c r="O493" s="128">
        <f t="shared" si="31"/>
        <v>3818184</v>
      </c>
      <c r="P493" s="125" t="s">
        <v>1119</v>
      </c>
      <c r="Q493" s="85" t="s">
        <v>47</v>
      </c>
      <c r="R493" s="220" t="s">
        <v>1888</v>
      </c>
      <c r="S493" s="220" t="s">
        <v>1861</v>
      </c>
      <c r="T493" s="85" t="s">
        <v>1491</v>
      </c>
      <c r="U493" t="s">
        <v>1972</v>
      </c>
      <c r="V493" t="s">
        <v>2832</v>
      </c>
    </row>
    <row r="494" spans="1:22" ht="15.75" thickBot="1" x14ac:dyDescent="0.3">
      <c r="A494" s="82" t="s">
        <v>3506</v>
      </c>
      <c r="B494" s="82" t="str">
        <f t="shared" si="28"/>
        <v>Barraqueiro Transportes, S.A.</v>
      </c>
      <c r="C494" s="82" t="str">
        <f t="shared" si="29"/>
        <v>Mafrense</v>
      </c>
      <c r="D494" s="83" t="s">
        <v>629</v>
      </c>
      <c r="E494" s="91" t="s">
        <v>1853</v>
      </c>
      <c r="F494" s="124" t="s">
        <v>620</v>
      </c>
      <c r="G494" s="333">
        <v>2003</v>
      </c>
      <c r="H494" s="341" t="s">
        <v>732</v>
      </c>
      <c r="I494" s="336" t="str">
        <f t="shared" si="30"/>
        <v>Pesado de Passageiros M3: III : Gasóleo : E3</v>
      </c>
      <c r="J494" s="125">
        <v>61</v>
      </c>
      <c r="K494" s="125">
        <v>2022</v>
      </c>
      <c r="L494" s="85">
        <v>28464.027000000002</v>
      </c>
      <c r="M494" s="85" t="s">
        <v>630</v>
      </c>
      <c r="N494" s="128">
        <v>66119</v>
      </c>
      <c r="O494" s="128">
        <f t="shared" si="31"/>
        <v>4033259</v>
      </c>
      <c r="P494" s="125" t="s">
        <v>1120</v>
      </c>
      <c r="Q494" s="85" t="s">
        <v>47</v>
      </c>
      <c r="R494" s="220" t="s">
        <v>1888</v>
      </c>
      <c r="S494" s="220" t="s">
        <v>1861</v>
      </c>
      <c r="T494" s="85" t="s">
        <v>1491</v>
      </c>
      <c r="U494" t="s">
        <v>1972</v>
      </c>
      <c r="V494" t="s">
        <v>2832</v>
      </c>
    </row>
    <row r="495" spans="1:22" ht="15.75" thickBot="1" x14ac:dyDescent="0.3">
      <c r="A495" s="82" t="s">
        <v>3506</v>
      </c>
      <c r="B495" s="82" t="str">
        <f t="shared" si="28"/>
        <v>Barraqueiro Transportes, S.A.</v>
      </c>
      <c r="C495" s="82" t="str">
        <f t="shared" si="29"/>
        <v>Mafrense</v>
      </c>
      <c r="D495" s="83" t="s">
        <v>629</v>
      </c>
      <c r="E495" s="91" t="s">
        <v>1853</v>
      </c>
      <c r="F495" s="124" t="s">
        <v>620</v>
      </c>
      <c r="G495" s="333">
        <v>2009</v>
      </c>
      <c r="H495" s="341" t="s">
        <v>734</v>
      </c>
      <c r="I495" s="336" t="str">
        <f t="shared" si="30"/>
        <v>Pesado de Passageiros M3: III : Gasóleo : E5</v>
      </c>
      <c r="J495" s="125">
        <v>84</v>
      </c>
      <c r="K495" s="125">
        <v>2022</v>
      </c>
      <c r="L495" s="85">
        <v>10715.5</v>
      </c>
      <c r="M495" s="85" t="s">
        <v>630</v>
      </c>
      <c r="N495" s="128">
        <v>25429</v>
      </c>
      <c r="O495" s="128">
        <f t="shared" si="31"/>
        <v>2136036</v>
      </c>
      <c r="P495" s="125" t="s">
        <v>1121</v>
      </c>
      <c r="Q495" s="85" t="s">
        <v>47</v>
      </c>
      <c r="R495" s="220" t="s">
        <v>1888</v>
      </c>
      <c r="S495" s="220" t="s">
        <v>1861</v>
      </c>
      <c r="T495" s="85" t="s">
        <v>1491</v>
      </c>
      <c r="U495" t="s">
        <v>1972</v>
      </c>
      <c r="V495" t="s">
        <v>2832</v>
      </c>
    </row>
    <row r="496" spans="1:22" ht="15.75" thickBot="1" x14ac:dyDescent="0.3">
      <c r="A496" s="82" t="s">
        <v>3506</v>
      </c>
      <c r="B496" s="82" t="str">
        <f t="shared" si="28"/>
        <v>Barraqueiro Transportes, S.A.</v>
      </c>
      <c r="C496" s="82" t="str">
        <f t="shared" si="29"/>
        <v>Mafrense</v>
      </c>
      <c r="D496" s="83" t="s">
        <v>629</v>
      </c>
      <c r="E496" s="91" t="s">
        <v>1853</v>
      </c>
      <c r="F496" s="124" t="s">
        <v>620</v>
      </c>
      <c r="G496" s="333">
        <v>2007</v>
      </c>
      <c r="H496" s="341" t="s">
        <v>731</v>
      </c>
      <c r="I496" s="336" t="str">
        <f t="shared" si="30"/>
        <v>Pesado de Passageiros M3: III : Gasóleo : E4</v>
      </c>
      <c r="J496" s="125">
        <v>89</v>
      </c>
      <c r="K496" s="125">
        <v>2022</v>
      </c>
      <c r="L496" s="85">
        <v>26153.42</v>
      </c>
      <c r="M496" s="85" t="s">
        <v>630</v>
      </c>
      <c r="N496" s="128">
        <v>64940</v>
      </c>
      <c r="O496" s="128">
        <f t="shared" si="31"/>
        <v>5779660</v>
      </c>
      <c r="P496" s="125" t="s">
        <v>1122</v>
      </c>
      <c r="Q496" s="85" t="s">
        <v>47</v>
      </c>
      <c r="R496" s="220" t="s">
        <v>1888</v>
      </c>
      <c r="S496" s="220" t="s">
        <v>1861</v>
      </c>
      <c r="T496" s="85" t="s">
        <v>1491</v>
      </c>
      <c r="U496" t="s">
        <v>1972</v>
      </c>
      <c r="V496" t="s">
        <v>2832</v>
      </c>
    </row>
    <row r="497" spans="1:22" ht="15.75" thickBot="1" x14ac:dyDescent="0.3">
      <c r="A497" s="82" t="s">
        <v>3506</v>
      </c>
      <c r="B497" s="82" t="str">
        <f t="shared" si="28"/>
        <v>Barraqueiro Transportes, S.A.</v>
      </c>
      <c r="C497" s="82" t="str">
        <f t="shared" si="29"/>
        <v>Mafrense</v>
      </c>
      <c r="D497" s="83" t="s">
        <v>629</v>
      </c>
      <c r="E497" s="91" t="s">
        <v>1853</v>
      </c>
      <c r="F497" s="124" t="s">
        <v>620</v>
      </c>
      <c r="G497" s="333">
        <v>2008</v>
      </c>
      <c r="H497" s="341" t="s">
        <v>731</v>
      </c>
      <c r="I497" s="336" t="str">
        <f t="shared" si="30"/>
        <v>Pesado de Passageiros M3: III : Gasóleo : E4</v>
      </c>
      <c r="J497" s="125">
        <v>82</v>
      </c>
      <c r="K497" s="125">
        <v>2022</v>
      </c>
      <c r="L497" s="85">
        <v>11918.106</v>
      </c>
      <c r="M497" s="85" t="s">
        <v>630</v>
      </c>
      <c r="N497" s="128">
        <v>27448</v>
      </c>
      <c r="O497" s="128">
        <f t="shared" si="31"/>
        <v>2250736</v>
      </c>
      <c r="P497" s="125" t="s">
        <v>805</v>
      </c>
      <c r="Q497" s="85" t="s">
        <v>47</v>
      </c>
      <c r="R497" s="220" t="s">
        <v>1888</v>
      </c>
      <c r="S497" s="220" t="s">
        <v>1861</v>
      </c>
      <c r="T497" s="85" t="s">
        <v>1491</v>
      </c>
      <c r="U497" t="s">
        <v>1972</v>
      </c>
      <c r="V497" t="s">
        <v>2832</v>
      </c>
    </row>
    <row r="498" spans="1:22" ht="15.75" thickBot="1" x14ac:dyDescent="0.3">
      <c r="A498" s="82" t="s">
        <v>3506</v>
      </c>
      <c r="B498" s="82" t="str">
        <f t="shared" si="28"/>
        <v>Barraqueiro Transportes, S.A.</v>
      </c>
      <c r="C498" s="82" t="str">
        <f t="shared" si="29"/>
        <v>Mafrense</v>
      </c>
      <c r="D498" s="83" t="s">
        <v>629</v>
      </c>
      <c r="E498" s="91" t="s">
        <v>1853</v>
      </c>
      <c r="F498" s="124" t="s">
        <v>620</v>
      </c>
      <c r="G498" s="333">
        <v>2008</v>
      </c>
      <c r="H498" s="341" t="s">
        <v>731</v>
      </c>
      <c r="I498" s="336" t="str">
        <f t="shared" si="30"/>
        <v>Pesado de Passageiros M3: III : Gasóleo : E4</v>
      </c>
      <c r="J498" s="125">
        <v>55</v>
      </c>
      <c r="K498" s="125">
        <v>2022</v>
      </c>
      <c r="L498" s="85">
        <v>11081.905000000001</v>
      </c>
      <c r="M498" s="85" t="s">
        <v>630</v>
      </c>
      <c r="N498" s="128">
        <v>26517</v>
      </c>
      <c r="O498" s="128">
        <f t="shared" si="31"/>
        <v>1458435</v>
      </c>
      <c r="P498" s="125" t="s">
        <v>1123</v>
      </c>
      <c r="Q498" s="85" t="s">
        <v>47</v>
      </c>
      <c r="R498" s="220" t="s">
        <v>1888</v>
      </c>
      <c r="S498" s="220" t="s">
        <v>1861</v>
      </c>
      <c r="T498" s="85" t="s">
        <v>1491</v>
      </c>
      <c r="U498" t="s">
        <v>1972</v>
      </c>
      <c r="V498" t="s">
        <v>2832</v>
      </c>
    </row>
    <row r="499" spans="1:22" ht="15.75" thickBot="1" x14ac:dyDescent="0.3">
      <c r="A499" s="82" t="s">
        <v>3506</v>
      </c>
      <c r="B499" s="82" t="str">
        <f t="shared" si="28"/>
        <v>Barraqueiro Transportes, S.A.</v>
      </c>
      <c r="C499" s="82" t="str">
        <f t="shared" si="29"/>
        <v>Mafrense</v>
      </c>
      <c r="D499" s="83" t="s">
        <v>629</v>
      </c>
      <c r="E499" s="91" t="s">
        <v>1853</v>
      </c>
      <c r="F499" s="124" t="s">
        <v>620</v>
      </c>
      <c r="G499" s="333">
        <v>2007</v>
      </c>
      <c r="H499" s="341" t="s">
        <v>731</v>
      </c>
      <c r="I499" s="336" t="str">
        <f t="shared" si="30"/>
        <v>Pesado de Passageiros M3: III : Gasóleo : E4</v>
      </c>
      <c r="J499" s="125">
        <v>74</v>
      </c>
      <c r="K499" s="125">
        <v>2022</v>
      </c>
      <c r="L499" s="85">
        <v>16116.549000000001</v>
      </c>
      <c r="M499" s="85" t="s">
        <v>630</v>
      </c>
      <c r="N499" s="128">
        <v>38508</v>
      </c>
      <c r="O499" s="128">
        <f t="shared" si="31"/>
        <v>2849592</v>
      </c>
      <c r="P499" s="125" t="s">
        <v>1124</v>
      </c>
      <c r="Q499" s="85" t="s">
        <v>47</v>
      </c>
      <c r="R499" s="220" t="s">
        <v>1888</v>
      </c>
      <c r="S499" s="220" t="s">
        <v>1861</v>
      </c>
      <c r="T499" s="85" t="s">
        <v>1491</v>
      </c>
      <c r="U499" t="s">
        <v>1972</v>
      </c>
      <c r="V499" t="s">
        <v>2832</v>
      </c>
    </row>
    <row r="500" spans="1:22" ht="15.75" thickBot="1" x14ac:dyDescent="0.3">
      <c r="A500" s="82" t="s">
        <v>3506</v>
      </c>
      <c r="B500" s="82" t="str">
        <f t="shared" si="28"/>
        <v>Barraqueiro Transportes, S.A.</v>
      </c>
      <c r="C500" s="82" t="str">
        <f t="shared" si="29"/>
        <v>Mafrense</v>
      </c>
      <c r="D500" s="83" t="s">
        <v>629</v>
      </c>
      <c r="E500" s="91" t="s">
        <v>1853</v>
      </c>
      <c r="F500" s="124" t="s">
        <v>620</v>
      </c>
      <c r="G500" s="333">
        <v>2008</v>
      </c>
      <c r="H500" s="341" t="s">
        <v>731</v>
      </c>
      <c r="I500" s="336" t="str">
        <f t="shared" si="30"/>
        <v>Pesado de Passageiros M3: III : Gasóleo : E4</v>
      </c>
      <c r="J500" s="125">
        <v>59</v>
      </c>
      <c r="K500" s="125">
        <v>2022</v>
      </c>
      <c r="L500" s="85">
        <v>25603.966</v>
      </c>
      <c r="M500" s="85" t="s">
        <v>630</v>
      </c>
      <c r="N500" s="128">
        <v>67073</v>
      </c>
      <c r="O500" s="128">
        <f t="shared" si="31"/>
        <v>3957307</v>
      </c>
      <c r="P500" s="125" t="s">
        <v>1125</v>
      </c>
      <c r="Q500" s="85" t="s">
        <v>47</v>
      </c>
      <c r="R500" s="220" t="s">
        <v>1888</v>
      </c>
      <c r="S500" s="220" t="s">
        <v>1861</v>
      </c>
      <c r="T500" s="85" t="s">
        <v>1491</v>
      </c>
      <c r="U500" t="s">
        <v>1972</v>
      </c>
      <c r="V500" t="s">
        <v>2832</v>
      </c>
    </row>
    <row r="501" spans="1:22" ht="15.75" thickBot="1" x14ac:dyDescent="0.3">
      <c r="A501" s="82" t="s">
        <v>3506</v>
      </c>
      <c r="B501" s="82" t="str">
        <f t="shared" si="28"/>
        <v>Barraqueiro Transportes, S.A.</v>
      </c>
      <c r="C501" s="82" t="str">
        <f t="shared" si="29"/>
        <v>Mafrense</v>
      </c>
      <c r="D501" s="83" t="s">
        <v>629</v>
      </c>
      <c r="E501" s="91" t="s">
        <v>1853</v>
      </c>
      <c r="F501" s="124" t="s">
        <v>620</v>
      </c>
      <c r="G501" s="333">
        <v>2000</v>
      </c>
      <c r="H501" s="341" t="s">
        <v>735</v>
      </c>
      <c r="I501" s="336" t="str">
        <f t="shared" si="30"/>
        <v>Pesado de Passageiros M3: III : Gasóleo : E2</v>
      </c>
      <c r="J501" s="125">
        <v>71</v>
      </c>
      <c r="K501" s="125">
        <v>2022</v>
      </c>
      <c r="L501" s="85">
        <v>5002.26</v>
      </c>
      <c r="M501" s="85" t="s">
        <v>630</v>
      </c>
      <c r="N501" s="128">
        <v>13458</v>
      </c>
      <c r="O501" s="128">
        <f t="shared" si="31"/>
        <v>955518</v>
      </c>
      <c r="P501" s="125" t="s">
        <v>1126</v>
      </c>
      <c r="Q501" s="85" t="s">
        <v>47</v>
      </c>
      <c r="R501" s="220" t="s">
        <v>1888</v>
      </c>
      <c r="S501" s="220" t="s">
        <v>1861</v>
      </c>
      <c r="T501" s="85" t="s">
        <v>1491</v>
      </c>
      <c r="U501" t="s">
        <v>1972</v>
      </c>
      <c r="V501" t="s">
        <v>2832</v>
      </c>
    </row>
    <row r="502" spans="1:22" ht="15.75" thickBot="1" x14ac:dyDescent="0.3">
      <c r="A502" s="82" t="s">
        <v>3506</v>
      </c>
      <c r="B502" s="82" t="str">
        <f t="shared" si="28"/>
        <v>Barraqueiro Transportes, S.A.</v>
      </c>
      <c r="C502" s="82" t="str">
        <f t="shared" si="29"/>
        <v>Mafrense</v>
      </c>
      <c r="D502" s="83" t="s">
        <v>629</v>
      </c>
      <c r="E502" s="91" t="s">
        <v>1853</v>
      </c>
      <c r="F502" s="124" t="s">
        <v>620</v>
      </c>
      <c r="G502" s="333">
        <v>2003</v>
      </c>
      <c r="H502" s="341" t="s">
        <v>732</v>
      </c>
      <c r="I502" s="336" t="str">
        <f t="shared" si="30"/>
        <v>Pesado de Passageiros M3: III : Gasóleo : E3</v>
      </c>
      <c r="J502" s="125">
        <v>63</v>
      </c>
      <c r="K502" s="125">
        <v>2022</v>
      </c>
      <c r="L502" s="85">
        <v>11774.140000000001</v>
      </c>
      <c r="M502" s="85" t="s">
        <v>630</v>
      </c>
      <c r="N502" s="128">
        <v>30296</v>
      </c>
      <c r="O502" s="128">
        <f t="shared" si="31"/>
        <v>1908648</v>
      </c>
      <c r="P502" s="125" t="s">
        <v>1127</v>
      </c>
      <c r="Q502" s="85" t="s">
        <v>47</v>
      </c>
      <c r="R502" s="220" t="s">
        <v>1888</v>
      </c>
      <c r="S502" s="220" t="s">
        <v>1861</v>
      </c>
      <c r="T502" s="85" t="s">
        <v>1491</v>
      </c>
      <c r="U502" t="s">
        <v>1972</v>
      </c>
      <c r="V502" t="s">
        <v>2832</v>
      </c>
    </row>
    <row r="503" spans="1:22" ht="15.75" thickBot="1" x14ac:dyDescent="0.3">
      <c r="A503" s="82" t="s">
        <v>3506</v>
      </c>
      <c r="B503" s="82" t="str">
        <f t="shared" si="28"/>
        <v>Barraqueiro Transportes, S.A.</v>
      </c>
      <c r="C503" s="82" t="str">
        <f t="shared" si="29"/>
        <v>Mafrense</v>
      </c>
      <c r="D503" s="83" t="s">
        <v>629</v>
      </c>
      <c r="E503" s="91" t="s">
        <v>1853</v>
      </c>
      <c r="F503" s="124" t="s">
        <v>620</v>
      </c>
      <c r="G503" s="333">
        <v>2003</v>
      </c>
      <c r="H503" s="341" t="s">
        <v>732</v>
      </c>
      <c r="I503" s="336" t="str">
        <f t="shared" si="30"/>
        <v>Pesado de Passageiros M3: III : Gasóleo : E3</v>
      </c>
      <c r="J503" s="125">
        <v>63</v>
      </c>
      <c r="K503" s="125">
        <v>2022</v>
      </c>
      <c r="L503" s="85">
        <v>11377.96</v>
      </c>
      <c r="M503" s="85" t="s">
        <v>630</v>
      </c>
      <c r="N503" s="128">
        <v>29646</v>
      </c>
      <c r="O503" s="128">
        <f t="shared" si="31"/>
        <v>1867698</v>
      </c>
      <c r="P503" s="125" t="s">
        <v>1128</v>
      </c>
      <c r="Q503" s="85" t="s">
        <v>47</v>
      </c>
      <c r="R503" s="220" t="s">
        <v>1888</v>
      </c>
      <c r="S503" s="220" t="s">
        <v>1861</v>
      </c>
      <c r="T503" s="85" t="s">
        <v>1491</v>
      </c>
      <c r="U503" t="s">
        <v>1972</v>
      </c>
      <c r="V503" t="s">
        <v>2832</v>
      </c>
    </row>
    <row r="504" spans="1:22" ht="15.75" thickBot="1" x14ac:dyDescent="0.3">
      <c r="A504" s="82" t="s">
        <v>3506</v>
      </c>
      <c r="B504" s="82" t="str">
        <f t="shared" si="28"/>
        <v>Barraqueiro Transportes, S.A.</v>
      </c>
      <c r="C504" s="82" t="str">
        <f t="shared" si="29"/>
        <v>Mafrense</v>
      </c>
      <c r="D504" s="83" t="s">
        <v>629</v>
      </c>
      <c r="E504" s="91" t="s">
        <v>1853</v>
      </c>
      <c r="F504" s="124" t="s">
        <v>620</v>
      </c>
      <c r="G504" s="333">
        <v>1998</v>
      </c>
      <c r="H504" s="341" t="s">
        <v>736</v>
      </c>
      <c r="I504" s="336" t="str">
        <f t="shared" si="30"/>
        <v>Pesado de Passageiros M3: III : Gasóleo : E1</v>
      </c>
      <c r="J504" s="125">
        <v>83</v>
      </c>
      <c r="K504" s="125">
        <v>2022</v>
      </c>
      <c r="L504" s="85">
        <v>15010.710000000001</v>
      </c>
      <c r="M504" s="85" t="s">
        <v>630</v>
      </c>
      <c r="N504" s="128">
        <v>42413</v>
      </c>
      <c r="O504" s="128">
        <f t="shared" si="31"/>
        <v>3520279</v>
      </c>
      <c r="P504" s="125" t="s">
        <v>1129</v>
      </c>
      <c r="Q504" s="85" t="s">
        <v>47</v>
      </c>
      <c r="R504" s="220" t="s">
        <v>1888</v>
      </c>
      <c r="S504" s="220" t="s">
        <v>1861</v>
      </c>
      <c r="T504" s="85" t="s">
        <v>1491</v>
      </c>
      <c r="U504" t="s">
        <v>1972</v>
      </c>
      <c r="V504" t="s">
        <v>2832</v>
      </c>
    </row>
    <row r="505" spans="1:22" ht="15.75" thickBot="1" x14ac:dyDescent="0.3">
      <c r="A505" s="82" t="s">
        <v>3506</v>
      </c>
      <c r="B505" s="82" t="str">
        <f t="shared" si="28"/>
        <v>Barraqueiro Transportes, S.A.</v>
      </c>
      <c r="C505" s="82" t="str">
        <f t="shared" si="29"/>
        <v>Mafrense</v>
      </c>
      <c r="D505" s="83" t="s">
        <v>629</v>
      </c>
      <c r="E505" s="91" t="s">
        <v>1853</v>
      </c>
      <c r="F505" s="124" t="s">
        <v>620</v>
      </c>
      <c r="G505" s="333">
        <v>1998</v>
      </c>
      <c r="H505" s="341" t="s">
        <v>736</v>
      </c>
      <c r="I505" s="336" t="str">
        <f t="shared" si="30"/>
        <v>Pesado de Passageiros M3: III : Gasóleo : E1</v>
      </c>
      <c r="J505" s="125">
        <v>83</v>
      </c>
      <c r="K505" s="125">
        <v>2022</v>
      </c>
      <c r="L505" s="85">
        <v>13083.739999999998</v>
      </c>
      <c r="M505" s="85" t="s">
        <v>630</v>
      </c>
      <c r="N505" s="128">
        <v>38851</v>
      </c>
      <c r="O505" s="128">
        <f t="shared" si="31"/>
        <v>3224633</v>
      </c>
      <c r="P505" s="125" t="s">
        <v>1130</v>
      </c>
      <c r="Q505" s="85" t="s">
        <v>47</v>
      </c>
      <c r="R505" s="220" t="s">
        <v>1888</v>
      </c>
      <c r="S505" s="220" t="s">
        <v>1861</v>
      </c>
      <c r="T505" s="85" t="s">
        <v>1491</v>
      </c>
      <c r="U505" t="s">
        <v>1972</v>
      </c>
      <c r="V505" t="s">
        <v>2832</v>
      </c>
    </row>
    <row r="506" spans="1:22" ht="15.75" thickBot="1" x14ac:dyDescent="0.3">
      <c r="A506" s="82" t="s">
        <v>3506</v>
      </c>
      <c r="B506" s="82" t="str">
        <f t="shared" si="28"/>
        <v>Barraqueiro Transportes, S.A.</v>
      </c>
      <c r="C506" s="82" t="str">
        <f t="shared" si="29"/>
        <v>Mafrense</v>
      </c>
      <c r="D506" s="83" t="s">
        <v>629</v>
      </c>
      <c r="E506" s="91" t="s">
        <v>1853</v>
      </c>
      <c r="F506" s="124" t="s">
        <v>620</v>
      </c>
      <c r="G506" s="333">
        <v>1997</v>
      </c>
      <c r="H506" s="341" t="s">
        <v>736</v>
      </c>
      <c r="I506" s="336" t="str">
        <f t="shared" si="30"/>
        <v>Pesado de Passageiros M3: III : Gasóleo : E1</v>
      </c>
      <c r="J506" s="125">
        <v>80</v>
      </c>
      <c r="K506" s="125">
        <v>2022</v>
      </c>
      <c r="L506" s="85">
        <v>6883.74</v>
      </c>
      <c r="M506" s="85" t="s">
        <v>630</v>
      </c>
      <c r="N506" s="128">
        <v>18496</v>
      </c>
      <c r="O506" s="128">
        <f t="shared" si="31"/>
        <v>1479680</v>
      </c>
      <c r="P506" s="125" t="s">
        <v>1131</v>
      </c>
      <c r="Q506" s="85" t="s">
        <v>47</v>
      </c>
      <c r="R506" s="220" t="s">
        <v>1888</v>
      </c>
      <c r="S506" s="220" t="s">
        <v>1861</v>
      </c>
      <c r="T506" s="85" t="s">
        <v>1491</v>
      </c>
      <c r="U506" t="s">
        <v>1972</v>
      </c>
      <c r="V506" t="s">
        <v>2832</v>
      </c>
    </row>
    <row r="507" spans="1:22" ht="15.75" thickBot="1" x14ac:dyDescent="0.3">
      <c r="A507" s="82" t="s">
        <v>3506</v>
      </c>
      <c r="B507" s="82" t="str">
        <f t="shared" si="28"/>
        <v>Barraqueiro Transportes, S.A.</v>
      </c>
      <c r="C507" s="82" t="str">
        <f t="shared" si="29"/>
        <v>Mafrense</v>
      </c>
      <c r="D507" s="83" t="s">
        <v>629</v>
      </c>
      <c r="E507" s="91" t="s">
        <v>1853</v>
      </c>
      <c r="F507" s="124" t="s">
        <v>620</v>
      </c>
      <c r="G507" s="333">
        <v>1997</v>
      </c>
      <c r="H507" s="341" t="s">
        <v>736</v>
      </c>
      <c r="I507" s="336" t="str">
        <f t="shared" si="30"/>
        <v>Pesado de Passageiros M3: III : Gasóleo : E1</v>
      </c>
      <c r="J507" s="125">
        <v>80</v>
      </c>
      <c r="K507" s="125">
        <v>2022</v>
      </c>
      <c r="L507" s="85">
        <v>5929.1500000000005</v>
      </c>
      <c r="M507" s="85" t="s">
        <v>630</v>
      </c>
      <c r="N507" s="128">
        <v>16766</v>
      </c>
      <c r="O507" s="128">
        <f t="shared" si="31"/>
        <v>1341280</v>
      </c>
      <c r="P507" s="125" t="s">
        <v>1132</v>
      </c>
      <c r="Q507" s="85" t="s">
        <v>47</v>
      </c>
      <c r="R507" s="220" t="s">
        <v>1888</v>
      </c>
      <c r="S507" s="220" t="s">
        <v>1861</v>
      </c>
      <c r="T507" s="85" t="s">
        <v>1491</v>
      </c>
      <c r="U507" t="s">
        <v>1972</v>
      </c>
      <c r="V507" t="s">
        <v>2832</v>
      </c>
    </row>
    <row r="508" spans="1:22" ht="15.75" thickBot="1" x14ac:dyDescent="0.3">
      <c r="A508" s="82" t="s">
        <v>3506</v>
      </c>
      <c r="B508" s="82" t="str">
        <f t="shared" si="28"/>
        <v>Barraqueiro Transportes, S.A.</v>
      </c>
      <c r="C508" s="82" t="str">
        <f t="shared" si="29"/>
        <v>Mafrense</v>
      </c>
      <c r="D508" s="83" t="s">
        <v>629</v>
      </c>
      <c r="E508" s="91" t="s">
        <v>1853</v>
      </c>
      <c r="F508" s="124" t="s">
        <v>620</v>
      </c>
      <c r="G508" s="333">
        <v>2007</v>
      </c>
      <c r="H508" s="341" t="s">
        <v>731</v>
      </c>
      <c r="I508" s="336" t="str">
        <f t="shared" si="30"/>
        <v>Pesado de Passageiros M3: III : Gasóleo : E4</v>
      </c>
      <c r="J508" s="125">
        <v>78</v>
      </c>
      <c r="K508" s="125">
        <v>2022</v>
      </c>
      <c r="L508" s="85">
        <v>14054.169999999998</v>
      </c>
      <c r="M508" s="85" t="s">
        <v>630</v>
      </c>
      <c r="N508" s="128">
        <v>30710</v>
      </c>
      <c r="O508" s="128">
        <f t="shared" si="31"/>
        <v>2395380</v>
      </c>
      <c r="P508" s="125" t="s">
        <v>1133</v>
      </c>
      <c r="Q508" s="85" t="s">
        <v>47</v>
      </c>
      <c r="R508" s="220" t="s">
        <v>1888</v>
      </c>
      <c r="S508" s="220" t="s">
        <v>1861</v>
      </c>
      <c r="T508" s="85" t="s">
        <v>1491</v>
      </c>
      <c r="U508" t="s">
        <v>1972</v>
      </c>
      <c r="V508" t="s">
        <v>2832</v>
      </c>
    </row>
    <row r="509" spans="1:22" ht="15.75" thickBot="1" x14ac:dyDescent="0.3">
      <c r="A509" s="82" t="s">
        <v>3506</v>
      </c>
      <c r="B509" s="82" t="str">
        <f t="shared" si="28"/>
        <v>Barraqueiro Transportes, S.A.</v>
      </c>
      <c r="C509" s="82" t="str">
        <f t="shared" si="29"/>
        <v>Mafrense</v>
      </c>
      <c r="D509" s="83" t="s">
        <v>629</v>
      </c>
      <c r="E509" s="91" t="s">
        <v>1853</v>
      </c>
      <c r="F509" s="124" t="s">
        <v>620</v>
      </c>
      <c r="G509" s="333">
        <v>2008</v>
      </c>
      <c r="H509" s="341" t="s">
        <v>731</v>
      </c>
      <c r="I509" s="336" t="str">
        <f t="shared" si="30"/>
        <v>Pesado de Passageiros M3: III : Gasóleo : E4</v>
      </c>
      <c r="J509" s="125">
        <v>95</v>
      </c>
      <c r="K509" s="125">
        <v>2022</v>
      </c>
      <c r="L509" s="85">
        <v>18160.309999999998</v>
      </c>
      <c r="M509" s="85" t="s">
        <v>630</v>
      </c>
      <c r="N509" s="128">
        <v>41503</v>
      </c>
      <c r="O509" s="128">
        <f t="shared" si="31"/>
        <v>3942785</v>
      </c>
      <c r="P509" s="125" t="s">
        <v>1134</v>
      </c>
      <c r="Q509" s="85" t="s">
        <v>47</v>
      </c>
      <c r="R509" s="220" t="s">
        <v>1888</v>
      </c>
      <c r="S509" s="220" t="s">
        <v>1861</v>
      </c>
      <c r="T509" s="85" t="s">
        <v>1491</v>
      </c>
      <c r="U509" t="s">
        <v>1972</v>
      </c>
      <c r="V509" t="s">
        <v>2832</v>
      </c>
    </row>
    <row r="510" spans="1:22" ht="15.75" thickBot="1" x14ac:dyDescent="0.3">
      <c r="A510" s="82" t="s">
        <v>3506</v>
      </c>
      <c r="B510" s="82" t="str">
        <f t="shared" si="28"/>
        <v>Barraqueiro Transportes, S.A.</v>
      </c>
      <c r="C510" s="82" t="str">
        <f t="shared" si="29"/>
        <v>Mafrense</v>
      </c>
      <c r="D510" s="83" t="s">
        <v>629</v>
      </c>
      <c r="E510" s="91" t="s">
        <v>1853</v>
      </c>
      <c r="F510" s="124" t="s">
        <v>620</v>
      </c>
      <c r="G510" s="333">
        <v>2009</v>
      </c>
      <c r="H510" s="341" t="s">
        <v>734</v>
      </c>
      <c r="I510" s="336" t="str">
        <f t="shared" si="30"/>
        <v>Pesado de Passageiros M3: III : Gasóleo : E5</v>
      </c>
      <c r="J510" s="125">
        <v>74</v>
      </c>
      <c r="K510" s="125">
        <v>2022</v>
      </c>
      <c r="L510" s="85">
        <v>21313.564999999999</v>
      </c>
      <c r="M510" s="85" t="s">
        <v>630</v>
      </c>
      <c r="N510" s="128">
        <v>56691</v>
      </c>
      <c r="O510" s="128">
        <f t="shared" si="31"/>
        <v>4195134</v>
      </c>
      <c r="P510" s="125" t="s">
        <v>1135</v>
      </c>
      <c r="Q510" s="85" t="s">
        <v>47</v>
      </c>
      <c r="R510" s="220" t="s">
        <v>1888</v>
      </c>
      <c r="S510" s="220" t="s">
        <v>1861</v>
      </c>
      <c r="T510" s="85" t="s">
        <v>1491</v>
      </c>
      <c r="U510" t="s">
        <v>1972</v>
      </c>
      <c r="V510" t="s">
        <v>2832</v>
      </c>
    </row>
    <row r="511" spans="1:22" ht="15.75" thickBot="1" x14ac:dyDescent="0.3">
      <c r="A511" s="82" t="s">
        <v>3506</v>
      </c>
      <c r="B511" s="82" t="str">
        <f t="shared" si="28"/>
        <v>Barraqueiro Transportes, S.A.</v>
      </c>
      <c r="C511" s="82" t="str">
        <f t="shared" si="29"/>
        <v>Mafrense</v>
      </c>
      <c r="D511" s="83" t="s">
        <v>629</v>
      </c>
      <c r="E511" s="91" t="s">
        <v>1853</v>
      </c>
      <c r="F511" s="124" t="s">
        <v>620</v>
      </c>
      <c r="G511" s="333">
        <v>1998</v>
      </c>
      <c r="H511" s="341" t="s">
        <v>736</v>
      </c>
      <c r="I511" s="336" t="str">
        <f t="shared" si="30"/>
        <v>Pesado de Passageiros M3: III : Gasóleo : E1</v>
      </c>
      <c r="J511" s="125">
        <v>98</v>
      </c>
      <c r="K511" s="125">
        <v>2022</v>
      </c>
      <c r="L511" s="85">
        <v>1166.52</v>
      </c>
      <c r="M511" s="85" t="s">
        <v>630</v>
      </c>
      <c r="N511" s="128">
        <v>2297</v>
      </c>
      <c r="O511" s="128">
        <f t="shared" si="31"/>
        <v>225106</v>
      </c>
      <c r="P511" s="125" t="s">
        <v>1136</v>
      </c>
      <c r="Q511" s="85" t="s">
        <v>47</v>
      </c>
      <c r="R511" s="220" t="s">
        <v>1888</v>
      </c>
      <c r="S511" s="220" t="s">
        <v>1861</v>
      </c>
      <c r="T511" s="85" t="s">
        <v>1491</v>
      </c>
      <c r="U511" t="s">
        <v>1972</v>
      </c>
      <c r="V511" t="s">
        <v>2832</v>
      </c>
    </row>
    <row r="512" spans="1:22" ht="15.75" thickBot="1" x14ac:dyDescent="0.3">
      <c r="A512" s="82" t="s">
        <v>3506</v>
      </c>
      <c r="B512" s="82" t="str">
        <f t="shared" si="28"/>
        <v>Barraqueiro Transportes, S.A.</v>
      </c>
      <c r="C512" s="82" t="str">
        <f t="shared" si="29"/>
        <v>Mafrense</v>
      </c>
      <c r="D512" s="83" t="s">
        <v>629</v>
      </c>
      <c r="E512" s="91" t="s">
        <v>1853</v>
      </c>
      <c r="F512" s="124" t="s">
        <v>620</v>
      </c>
      <c r="G512" s="333">
        <v>2003</v>
      </c>
      <c r="H512" s="341" t="s">
        <v>732</v>
      </c>
      <c r="I512" s="336" t="str">
        <f t="shared" si="30"/>
        <v>Pesado de Passageiros M3: III : Gasóleo : E3</v>
      </c>
      <c r="J512" s="125">
        <v>33</v>
      </c>
      <c r="K512" s="125">
        <v>2022</v>
      </c>
      <c r="L512" s="85">
        <v>150.18</v>
      </c>
      <c r="M512" s="85" t="s">
        <v>630</v>
      </c>
      <c r="N512" s="128">
        <v>750</v>
      </c>
      <c r="O512" s="128">
        <f t="shared" si="31"/>
        <v>24750</v>
      </c>
      <c r="P512" s="125" t="s">
        <v>1137</v>
      </c>
      <c r="Q512" s="85" t="s">
        <v>47</v>
      </c>
      <c r="R512" s="220" t="s">
        <v>1888</v>
      </c>
      <c r="S512" s="220" t="s">
        <v>1861</v>
      </c>
      <c r="T512" s="85" t="s">
        <v>1491</v>
      </c>
      <c r="U512" t="s">
        <v>1972</v>
      </c>
      <c r="V512" t="s">
        <v>2832</v>
      </c>
    </row>
    <row r="513" spans="1:22" ht="15.75" thickBot="1" x14ac:dyDescent="0.3">
      <c r="A513" s="82" t="s">
        <v>3506</v>
      </c>
      <c r="B513" s="82" t="str">
        <f t="shared" si="28"/>
        <v>Barraqueiro Transportes, S.A.</v>
      </c>
      <c r="C513" s="82" t="str">
        <f t="shared" si="29"/>
        <v>Mafrense</v>
      </c>
      <c r="D513" s="83" t="s">
        <v>629</v>
      </c>
      <c r="E513" s="91" t="s">
        <v>1853</v>
      </c>
      <c r="F513" s="124" t="s">
        <v>620</v>
      </c>
      <c r="G513" s="333">
        <v>2004</v>
      </c>
      <c r="H513" s="341" t="s">
        <v>732</v>
      </c>
      <c r="I513" s="336" t="str">
        <f t="shared" si="30"/>
        <v>Pesado de Passageiros M3: III : Gasóleo : E3</v>
      </c>
      <c r="J513" s="125">
        <v>55</v>
      </c>
      <c r="K513" s="125">
        <v>2022</v>
      </c>
      <c r="L513" s="85">
        <v>9059.0400000000009</v>
      </c>
      <c r="M513" s="85" t="s">
        <v>630</v>
      </c>
      <c r="N513" s="128">
        <v>21856</v>
      </c>
      <c r="O513" s="128">
        <f t="shared" si="31"/>
        <v>1202080</v>
      </c>
      <c r="P513" s="125" t="s">
        <v>1138</v>
      </c>
      <c r="Q513" s="85" t="s">
        <v>47</v>
      </c>
      <c r="R513" s="220" t="s">
        <v>1888</v>
      </c>
      <c r="S513" s="220" t="s">
        <v>1861</v>
      </c>
      <c r="T513" s="85" t="s">
        <v>1491</v>
      </c>
      <c r="U513" t="s">
        <v>1972</v>
      </c>
      <c r="V513" t="s">
        <v>2832</v>
      </c>
    </row>
    <row r="514" spans="1:22" ht="15.75" thickBot="1" x14ac:dyDescent="0.3">
      <c r="A514" s="82" t="s">
        <v>3506</v>
      </c>
      <c r="B514" s="82" t="str">
        <f t="shared" si="28"/>
        <v>Barraqueiro Transportes, S.A.</v>
      </c>
      <c r="C514" s="82" t="str">
        <f t="shared" si="29"/>
        <v>Mafrense</v>
      </c>
      <c r="D514" s="83" t="s">
        <v>629</v>
      </c>
      <c r="E514" s="91" t="s">
        <v>1853</v>
      </c>
      <c r="F514" s="124" t="s">
        <v>620</v>
      </c>
      <c r="G514" s="333">
        <v>2004</v>
      </c>
      <c r="H514" s="341" t="s">
        <v>732</v>
      </c>
      <c r="I514" s="336" t="str">
        <f t="shared" si="30"/>
        <v>Pesado de Passageiros M3: III : Gasóleo : E3</v>
      </c>
      <c r="J514" s="125">
        <v>76</v>
      </c>
      <c r="K514" s="125">
        <v>2022</v>
      </c>
      <c r="L514" s="85">
        <v>10399.16</v>
      </c>
      <c r="M514" s="85" t="s">
        <v>630</v>
      </c>
      <c r="N514" s="128">
        <v>25598</v>
      </c>
      <c r="O514" s="128">
        <f t="shared" si="31"/>
        <v>1945448</v>
      </c>
      <c r="P514" s="125" t="s">
        <v>829</v>
      </c>
      <c r="Q514" s="85" t="s">
        <v>47</v>
      </c>
      <c r="R514" s="220" t="s">
        <v>1888</v>
      </c>
      <c r="S514" s="220" t="s">
        <v>1861</v>
      </c>
      <c r="T514" s="85" t="s">
        <v>1491</v>
      </c>
      <c r="U514" t="s">
        <v>1972</v>
      </c>
      <c r="V514" t="s">
        <v>2832</v>
      </c>
    </row>
    <row r="515" spans="1:22" ht="15.75" thickBot="1" x14ac:dyDescent="0.3">
      <c r="A515" s="82" t="s">
        <v>3506</v>
      </c>
      <c r="B515" s="82" t="str">
        <f t="shared" ref="B515:B578" si="32">LEFT(A515,IFERROR(FIND(" - ",A515)-1,LEN(A515)))</f>
        <v>Barraqueiro Transportes, S.A.</v>
      </c>
      <c r="C515" s="82" t="str">
        <f t="shared" si="29"/>
        <v>Mafrense</v>
      </c>
      <c r="D515" s="83" t="s">
        <v>629</v>
      </c>
      <c r="E515" s="91" t="s">
        <v>1853</v>
      </c>
      <c r="F515" s="124" t="s">
        <v>620</v>
      </c>
      <c r="G515" s="333">
        <v>2004</v>
      </c>
      <c r="H515" s="341" t="s">
        <v>732</v>
      </c>
      <c r="I515" s="336" t="str">
        <f t="shared" si="30"/>
        <v>Pesado de Passageiros M3: III : Gasóleo : E3</v>
      </c>
      <c r="J515" s="125">
        <v>76</v>
      </c>
      <c r="K515" s="125">
        <v>2022</v>
      </c>
      <c r="L515" s="85">
        <v>11431.134</v>
      </c>
      <c r="M515" s="85" t="s">
        <v>630</v>
      </c>
      <c r="N515" s="128">
        <v>29024</v>
      </c>
      <c r="O515" s="128">
        <f t="shared" si="31"/>
        <v>2205824</v>
      </c>
      <c r="P515" s="125" t="s">
        <v>1139</v>
      </c>
      <c r="Q515" s="85" t="s">
        <v>47</v>
      </c>
      <c r="R515" s="220" t="s">
        <v>1888</v>
      </c>
      <c r="S515" s="220" t="s">
        <v>1861</v>
      </c>
      <c r="T515" s="85" t="s">
        <v>1491</v>
      </c>
      <c r="U515" t="s">
        <v>1972</v>
      </c>
      <c r="V515" t="s">
        <v>2832</v>
      </c>
    </row>
    <row r="516" spans="1:22" ht="15.75" thickBot="1" x14ac:dyDescent="0.3">
      <c r="A516" s="82" t="s">
        <v>3506</v>
      </c>
      <c r="B516" s="82" t="str">
        <f t="shared" si="32"/>
        <v>Barraqueiro Transportes, S.A.</v>
      </c>
      <c r="C516" s="82" t="str">
        <f t="shared" ref="C516:C579" si="33">IF(A516=B516,B516,RIGHT(A516,LEN(A516)-LEN(B516)-3))</f>
        <v>Mafrense</v>
      </c>
      <c r="D516" s="83" t="s">
        <v>629</v>
      </c>
      <c r="E516" s="91" t="s">
        <v>1853</v>
      </c>
      <c r="F516" s="124" t="s">
        <v>620</v>
      </c>
      <c r="G516" s="333">
        <v>2004</v>
      </c>
      <c r="H516" s="341" t="s">
        <v>732</v>
      </c>
      <c r="I516" s="336" t="str">
        <f t="shared" ref="I516:I579" si="34">D516&amp;": "&amp;E516&amp;" : "&amp;F516&amp;" : "&amp;H516</f>
        <v>Pesado de Passageiros M3: III : Gasóleo : E3</v>
      </c>
      <c r="J516" s="125">
        <v>76</v>
      </c>
      <c r="K516" s="125">
        <v>2022</v>
      </c>
      <c r="L516" s="85">
        <v>10479.68</v>
      </c>
      <c r="M516" s="85" t="s">
        <v>630</v>
      </c>
      <c r="N516" s="128">
        <v>26454</v>
      </c>
      <c r="O516" s="128">
        <f t="shared" ref="O516:O579" si="35">N516*J516</f>
        <v>2010504</v>
      </c>
      <c r="P516" s="125" t="s">
        <v>1140</v>
      </c>
      <c r="Q516" s="85" t="s">
        <v>47</v>
      </c>
      <c r="R516" s="220" t="s">
        <v>1888</v>
      </c>
      <c r="S516" s="220" t="s">
        <v>1861</v>
      </c>
      <c r="T516" s="85" t="s">
        <v>1491</v>
      </c>
      <c r="U516" t="s">
        <v>1972</v>
      </c>
      <c r="V516" t="s">
        <v>2832</v>
      </c>
    </row>
    <row r="517" spans="1:22" ht="15.75" thickBot="1" x14ac:dyDescent="0.3">
      <c r="A517" s="82" t="s">
        <v>3506</v>
      </c>
      <c r="B517" s="82" t="str">
        <f t="shared" si="32"/>
        <v>Barraqueiro Transportes, S.A.</v>
      </c>
      <c r="C517" s="82" t="str">
        <f t="shared" si="33"/>
        <v>Mafrense</v>
      </c>
      <c r="D517" s="83" t="s">
        <v>629</v>
      </c>
      <c r="E517" s="91" t="s">
        <v>1853</v>
      </c>
      <c r="F517" s="124" t="s">
        <v>620</v>
      </c>
      <c r="G517" s="333">
        <v>2005</v>
      </c>
      <c r="H517" s="341" t="s">
        <v>732</v>
      </c>
      <c r="I517" s="336" t="str">
        <f t="shared" si="34"/>
        <v>Pesado de Passageiros M3: III : Gasóleo : E3</v>
      </c>
      <c r="J517" s="125">
        <v>34</v>
      </c>
      <c r="K517" s="125">
        <v>2022</v>
      </c>
      <c r="L517" s="85">
        <v>2954.92</v>
      </c>
      <c r="M517" s="85" t="s">
        <v>630</v>
      </c>
      <c r="N517" s="128">
        <v>9192</v>
      </c>
      <c r="O517" s="128">
        <f t="shared" si="35"/>
        <v>312528</v>
      </c>
      <c r="P517" s="125" t="s">
        <v>1141</v>
      </c>
      <c r="Q517" s="85" t="s">
        <v>47</v>
      </c>
      <c r="R517" s="220" t="s">
        <v>1888</v>
      </c>
      <c r="S517" s="220" t="s">
        <v>1861</v>
      </c>
      <c r="T517" s="85" t="s">
        <v>1491</v>
      </c>
      <c r="U517" t="s">
        <v>1972</v>
      </c>
      <c r="V517" t="s">
        <v>2832</v>
      </c>
    </row>
    <row r="518" spans="1:22" ht="15.75" thickBot="1" x14ac:dyDescent="0.3">
      <c r="A518" s="82" t="s">
        <v>3506</v>
      </c>
      <c r="B518" s="82" t="str">
        <f t="shared" si="32"/>
        <v>Barraqueiro Transportes, S.A.</v>
      </c>
      <c r="C518" s="82" t="str">
        <f t="shared" si="33"/>
        <v>Mafrense</v>
      </c>
      <c r="D518" s="83" t="s">
        <v>629</v>
      </c>
      <c r="E518" s="91" t="s">
        <v>1853</v>
      </c>
      <c r="F518" s="124" t="s">
        <v>620</v>
      </c>
      <c r="G518" s="333">
        <v>2005</v>
      </c>
      <c r="H518" s="341" t="s">
        <v>732</v>
      </c>
      <c r="I518" s="336" t="str">
        <f t="shared" si="34"/>
        <v>Pesado de Passageiros M3: III : Gasóleo : E3</v>
      </c>
      <c r="J518" s="125">
        <v>36</v>
      </c>
      <c r="K518" s="125">
        <v>2022</v>
      </c>
      <c r="L518" s="85">
        <v>12029.44</v>
      </c>
      <c r="M518" s="85" t="s">
        <v>630</v>
      </c>
      <c r="N518" s="128">
        <v>36955</v>
      </c>
      <c r="O518" s="128">
        <f t="shared" si="35"/>
        <v>1330380</v>
      </c>
      <c r="P518" s="125" t="s">
        <v>1142</v>
      </c>
      <c r="Q518" s="85" t="s">
        <v>47</v>
      </c>
      <c r="R518" s="220" t="s">
        <v>1888</v>
      </c>
      <c r="S518" s="220" t="s">
        <v>1861</v>
      </c>
      <c r="T518" s="85" t="s">
        <v>1491</v>
      </c>
      <c r="U518" t="s">
        <v>1972</v>
      </c>
      <c r="V518" t="s">
        <v>2832</v>
      </c>
    </row>
    <row r="519" spans="1:22" ht="15.75" thickBot="1" x14ac:dyDescent="0.3">
      <c r="A519" s="82" t="s">
        <v>3506</v>
      </c>
      <c r="B519" s="82" t="str">
        <f t="shared" si="32"/>
        <v>Barraqueiro Transportes, S.A.</v>
      </c>
      <c r="C519" s="82" t="str">
        <f t="shared" si="33"/>
        <v>Mafrense</v>
      </c>
      <c r="D519" s="83" t="s">
        <v>629</v>
      </c>
      <c r="E519" s="91" t="s">
        <v>1853</v>
      </c>
      <c r="F519" s="124" t="s">
        <v>620</v>
      </c>
      <c r="G519" s="333">
        <v>2006</v>
      </c>
      <c r="H519" s="341" t="s">
        <v>731</v>
      </c>
      <c r="I519" s="336" t="str">
        <f t="shared" si="34"/>
        <v>Pesado de Passageiros M3: III : Gasóleo : E4</v>
      </c>
      <c r="J519" s="125">
        <v>55</v>
      </c>
      <c r="K519" s="125">
        <v>2022</v>
      </c>
      <c r="L519" s="85">
        <v>7235.7160000000013</v>
      </c>
      <c r="M519" s="85" t="s">
        <v>630</v>
      </c>
      <c r="N519" s="128">
        <v>18625</v>
      </c>
      <c r="O519" s="128">
        <f t="shared" si="35"/>
        <v>1024375</v>
      </c>
      <c r="P519" s="125" t="s">
        <v>833</v>
      </c>
      <c r="Q519" s="85" t="s">
        <v>47</v>
      </c>
      <c r="R519" s="220" t="s">
        <v>1888</v>
      </c>
      <c r="S519" s="220" t="s">
        <v>1861</v>
      </c>
      <c r="T519" s="85" t="s">
        <v>1491</v>
      </c>
      <c r="U519" t="s">
        <v>1972</v>
      </c>
      <c r="V519" t="s">
        <v>2832</v>
      </c>
    </row>
    <row r="520" spans="1:22" ht="15.75" thickBot="1" x14ac:dyDescent="0.3">
      <c r="A520" s="82" t="s">
        <v>3506</v>
      </c>
      <c r="B520" s="82" t="str">
        <f t="shared" si="32"/>
        <v>Barraqueiro Transportes, S.A.</v>
      </c>
      <c r="C520" s="82" t="str">
        <f t="shared" si="33"/>
        <v>Mafrense</v>
      </c>
      <c r="D520" s="83" t="s">
        <v>629</v>
      </c>
      <c r="E520" s="91" t="s">
        <v>1853</v>
      </c>
      <c r="F520" s="124" t="s">
        <v>620</v>
      </c>
      <c r="G520" s="333">
        <v>2021</v>
      </c>
      <c r="H520" s="341" t="s">
        <v>733</v>
      </c>
      <c r="I520" s="336" t="str">
        <f t="shared" si="34"/>
        <v>Pesado de Passageiros M3: III : Gasóleo : E6</v>
      </c>
      <c r="J520" s="125">
        <v>80</v>
      </c>
      <c r="K520" s="125">
        <v>2022</v>
      </c>
      <c r="L520" s="85">
        <v>12320.2</v>
      </c>
      <c r="M520" s="85" t="s">
        <v>630</v>
      </c>
      <c r="N520" s="128">
        <v>35467</v>
      </c>
      <c r="O520" s="128">
        <f t="shared" si="35"/>
        <v>2837360</v>
      </c>
      <c r="P520" s="125" t="s">
        <v>1143</v>
      </c>
      <c r="Q520" s="85" t="s">
        <v>47</v>
      </c>
      <c r="R520" s="220" t="s">
        <v>1888</v>
      </c>
      <c r="S520" s="220" t="s">
        <v>1861</v>
      </c>
      <c r="T520" s="85" t="s">
        <v>1491</v>
      </c>
      <c r="U520" t="s">
        <v>1972</v>
      </c>
      <c r="V520" t="s">
        <v>2832</v>
      </c>
    </row>
    <row r="521" spans="1:22" ht="15.75" thickBot="1" x14ac:dyDescent="0.3">
      <c r="A521" s="82" t="s">
        <v>3506</v>
      </c>
      <c r="B521" s="82" t="str">
        <f t="shared" si="32"/>
        <v>Barraqueiro Transportes, S.A.</v>
      </c>
      <c r="C521" s="82" t="str">
        <f t="shared" si="33"/>
        <v>Mafrense</v>
      </c>
      <c r="D521" s="83" t="s">
        <v>629</v>
      </c>
      <c r="E521" s="91" t="s">
        <v>1853</v>
      </c>
      <c r="F521" s="124" t="s">
        <v>620</v>
      </c>
      <c r="G521" s="333">
        <v>2021</v>
      </c>
      <c r="H521" s="341" t="s">
        <v>733</v>
      </c>
      <c r="I521" s="336" t="str">
        <f t="shared" si="34"/>
        <v>Pesado de Passageiros M3: III : Gasóleo : E6</v>
      </c>
      <c r="J521" s="125">
        <v>80</v>
      </c>
      <c r="K521" s="125">
        <v>2022</v>
      </c>
      <c r="L521" s="85">
        <v>9962.66</v>
      </c>
      <c r="M521" s="85" t="s">
        <v>630</v>
      </c>
      <c r="N521" s="128">
        <v>29941</v>
      </c>
      <c r="O521" s="128">
        <f t="shared" si="35"/>
        <v>2395280</v>
      </c>
      <c r="P521" s="125" t="s">
        <v>1144</v>
      </c>
      <c r="Q521" s="85" t="s">
        <v>47</v>
      </c>
      <c r="R521" s="220" t="s">
        <v>1888</v>
      </c>
      <c r="S521" s="220" t="s">
        <v>1861</v>
      </c>
      <c r="T521" s="85" t="s">
        <v>1491</v>
      </c>
      <c r="U521" t="s">
        <v>1972</v>
      </c>
      <c r="V521" t="s">
        <v>2832</v>
      </c>
    </row>
    <row r="522" spans="1:22" ht="15.75" thickBot="1" x14ac:dyDescent="0.3">
      <c r="A522" s="82" t="s">
        <v>3506</v>
      </c>
      <c r="B522" s="82" t="str">
        <f t="shared" si="32"/>
        <v>Barraqueiro Transportes, S.A.</v>
      </c>
      <c r="C522" s="82" t="str">
        <f t="shared" si="33"/>
        <v>Mafrense</v>
      </c>
      <c r="D522" s="83" t="s">
        <v>629</v>
      </c>
      <c r="E522" s="91" t="s">
        <v>1853</v>
      </c>
      <c r="F522" s="124" t="s">
        <v>620</v>
      </c>
      <c r="G522" s="333">
        <v>2021</v>
      </c>
      <c r="H522" s="341" t="s">
        <v>733</v>
      </c>
      <c r="I522" s="336" t="str">
        <f t="shared" si="34"/>
        <v>Pesado de Passageiros M3: III : Gasóleo : E6</v>
      </c>
      <c r="J522" s="125">
        <v>80</v>
      </c>
      <c r="K522" s="125">
        <v>2022</v>
      </c>
      <c r="L522" s="85">
        <v>11277.6</v>
      </c>
      <c r="M522" s="85" t="s">
        <v>630</v>
      </c>
      <c r="N522" s="128">
        <v>30512</v>
      </c>
      <c r="O522" s="128">
        <f t="shared" si="35"/>
        <v>2440960</v>
      </c>
      <c r="P522" s="125" t="s">
        <v>1145</v>
      </c>
      <c r="Q522" s="85" t="s">
        <v>47</v>
      </c>
      <c r="R522" s="220" t="s">
        <v>1888</v>
      </c>
      <c r="S522" s="220" t="s">
        <v>1861</v>
      </c>
      <c r="T522" s="85" t="s">
        <v>1491</v>
      </c>
      <c r="U522" t="s">
        <v>1972</v>
      </c>
      <c r="V522" t="s">
        <v>2832</v>
      </c>
    </row>
    <row r="523" spans="1:22" ht="15.75" thickBot="1" x14ac:dyDescent="0.3">
      <c r="A523" s="82" t="s">
        <v>3506</v>
      </c>
      <c r="B523" s="82" t="str">
        <f t="shared" si="32"/>
        <v>Barraqueiro Transportes, S.A.</v>
      </c>
      <c r="C523" s="82" t="str">
        <f t="shared" si="33"/>
        <v>Mafrense</v>
      </c>
      <c r="D523" s="83" t="s">
        <v>629</v>
      </c>
      <c r="E523" s="91" t="s">
        <v>1853</v>
      </c>
      <c r="F523" s="124" t="s">
        <v>620</v>
      </c>
      <c r="G523" s="333">
        <v>2021</v>
      </c>
      <c r="H523" s="341" t="s">
        <v>733</v>
      </c>
      <c r="I523" s="336" t="str">
        <f t="shared" si="34"/>
        <v>Pesado de Passageiros M3: III : Gasóleo : E6</v>
      </c>
      <c r="J523" s="125">
        <v>80</v>
      </c>
      <c r="K523" s="125">
        <v>2022</v>
      </c>
      <c r="L523" s="85">
        <v>16292.01</v>
      </c>
      <c r="M523" s="85" t="s">
        <v>630</v>
      </c>
      <c r="N523" s="128">
        <v>42814</v>
      </c>
      <c r="O523" s="128">
        <f t="shared" si="35"/>
        <v>3425120</v>
      </c>
      <c r="P523" s="125" t="s">
        <v>1146</v>
      </c>
      <c r="Q523" s="85" t="s">
        <v>47</v>
      </c>
      <c r="R523" s="220" t="s">
        <v>1888</v>
      </c>
      <c r="S523" s="220" t="s">
        <v>1861</v>
      </c>
      <c r="T523" s="85" t="s">
        <v>1491</v>
      </c>
      <c r="U523" t="s">
        <v>1972</v>
      </c>
      <c r="V523" t="s">
        <v>2832</v>
      </c>
    </row>
    <row r="524" spans="1:22" ht="15.75" thickBot="1" x14ac:dyDescent="0.3">
      <c r="A524" s="82" t="s">
        <v>3506</v>
      </c>
      <c r="B524" s="82" t="str">
        <f t="shared" si="32"/>
        <v>Barraqueiro Transportes, S.A.</v>
      </c>
      <c r="C524" s="82" t="str">
        <f t="shared" si="33"/>
        <v>Mafrense</v>
      </c>
      <c r="D524" s="83" t="s">
        <v>629</v>
      </c>
      <c r="E524" s="91" t="s">
        <v>1853</v>
      </c>
      <c r="F524" s="124" t="s">
        <v>620</v>
      </c>
      <c r="G524" s="333">
        <v>2021</v>
      </c>
      <c r="H524" s="341" t="s">
        <v>733</v>
      </c>
      <c r="I524" s="336" t="str">
        <f t="shared" si="34"/>
        <v>Pesado de Passageiros M3: III : Gasóleo : E6</v>
      </c>
      <c r="J524" s="125">
        <v>80</v>
      </c>
      <c r="K524" s="125">
        <v>2022</v>
      </c>
      <c r="L524" s="85">
        <v>9118.17</v>
      </c>
      <c r="M524" s="85" t="s">
        <v>630</v>
      </c>
      <c r="N524" s="128">
        <v>24957</v>
      </c>
      <c r="O524" s="128">
        <f t="shared" si="35"/>
        <v>1996560</v>
      </c>
      <c r="P524" s="125" t="s">
        <v>1147</v>
      </c>
      <c r="Q524" s="85" t="s">
        <v>47</v>
      </c>
      <c r="R524" s="220" t="s">
        <v>1888</v>
      </c>
      <c r="S524" s="220" t="s">
        <v>1861</v>
      </c>
      <c r="T524" s="85" t="s">
        <v>1491</v>
      </c>
      <c r="U524" t="s">
        <v>1972</v>
      </c>
      <c r="V524" t="s">
        <v>2832</v>
      </c>
    </row>
    <row r="525" spans="1:22" ht="15.75" thickBot="1" x14ac:dyDescent="0.3">
      <c r="A525" s="82" t="s">
        <v>3506</v>
      </c>
      <c r="B525" s="82" t="str">
        <f t="shared" si="32"/>
        <v>Barraqueiro Transportes, S.A.</v>
      </c>
      <c r="C525" s="82" t="str">
        <f t="shared" si="33"/>
        <v>Mafrense</v>
      </c>
      <c r="D525" s="83" t="s">
        <v>629</v>
      </c>
      <c r="E525" s="91" t="s">
        <v>1853</v>
      </c>
      <c r="F525" s="124" t="s">
        <v>620</v>
      </c>
      <c r="G525" s="333">
        <v>2021</v>
      </c>
      <c r="H525" s="341" t="s">
        <v>733</v>
      </c>
      <c r="I525" s="336" t="str">
        <f t="shared" si="34"/>
        <v>Pesado de Passageiros M3: III : Gasóleo : E6</v>
      </c>
      <c r="J525" s="125">
        <v>80</v>
      </c>
      <c r="K525" s="125">
        <v>2022</v>
      </c>
      <c r="L525" s="85">
        <v>9465.84</v>
      </c>
      <c r="M525" s="85" t="s">
        <v>630</v>
      </c>
      <c r="N525" s="128">
        <v>26194</v>
      </c>
      <c r="O525" s="128">
        <f t="shared" si="35"/>
        <v>2095520</v>
      </c>
      <c r="P525" s="125" t="s">
        <v>1148</v>
      </c>
      <c r="Q525" s="85" t="s">
        <v>47</v>
      </c>
      <c r="R525" s="220" t="s">
        <v>1888</v>
      </c>
      <c r="S525" s="220" t="s">
        <v>1861</v>
      </c>
      <c r="T525" s="85" t="s">
        <v>1491</v>
      </c>
      <c r="U525" t="s">
        <v>1972</v>
      </c>
      <c r="V525" t="s">
        <v>2832</v>
      </c>
    </row>
    <row r="526" spans="1:22" ht="15.75" thickBot="1" x14ac:dyDescent="0.3">
      <c r="A526" s="82" t="s">
        <v>3506</v>
      </c>
      <c r="B526" s="82" t="str">
        <f t="shared" si="32"/>
        <v>Barraqueiro Transportes, S.A.</v>
      </c>
      <c r="C526" s="82" t="str">
        <f t="shared" si="33"/>
        <v>Mafrense</v>
      </c>
      <c r="D526" s="83" t="s">
        <v>629</v>
      </c>
      <c r="E526" s="91" t="s">
        <v>1853</v>
      </c>
      <c r="F526" s="124" t="s">
        <v>620</v>
      </c>
      <c r="G526" s="333">
        <v>2021</v>
      </c>
      <c r="H526" s="341" t="s">
        <v>733</v>
      </c>
      <c r="I526" s="336" t="str">
        <f t="shared" si="34"/>
        <v>Pesado de Passageiros M3: III : Gasóleo : E6</v>
      </c>
      <c r="J526" s="125">
        <v>80</v>
      </c>
      <c r="K526" s="125">
        <v>2022</v>
      </c>
      <c r="L526" s="85">
        <v>6809.2000000000007</v>
      </c>
      <c r="M526" s="85" t="s">
        <v>630</v>
      </c>
      <c r="N526" s="128">
        <v>19305</v>
      </c>
      <c r="O526" s="128">
        <f t="shared" si="35"/>
        <v>1544400</v>
      </c>
      <c r="P526" s="125" t="s">
        <v>1149</v>
      </c>
      <c r="Q526" s="85" t="s">
        <v>47</v>
      </c>
      <c r="R526" s="220" t="s">
        <v>1888</v>
      </c>
      <c r="S526" s="220" t="s">
        <v>1861</v>
      </c>
      <c r="T526" s="85" t="s">
        <v>1491</v>
      </c>
      <c r="U526" t="s">
        <v>1972</v>
      </c>
      <c r="V526" t="s">
        <v>2832</v>
      </c>
    </row>
    <row r="527" spans="1:22" ht="15.75" thickBot="1" x14ac:dyDescent="0.3">
      <c r="A527" s="82" t="s">
        <v>3506</v>
      </c>
      <c r="B527" s="82" t="str">
        <f t="shared" si="32"/>
        <v>Barraqueiro Transportes, S.A.</v>
      </c>
      <c r="C527" s="82" t="str">
        <f t="shared" si="33"/>
        <v>Mafrense</v>
      </c>
      <c r="D527" s="83" t="s">
        <v>629</v>
      </c>
      <c r="E527" s="91" t="s">
        <v>1853</v>
      </c>
      <c r="F527" s="124" t="s">
        <v>620</v>
      </c>
      <c r="G527" s="333">
        <v>2021</v>
      </c>
      <c r="H527" s="341" t="s">
        <v>733</v>
      </c>
      <c r="I527" s="336" t="str">
        <f t="shared" si="34"/>
        <v>Pesado de Passageiros M3: III : Gasóleo : E6</v>
      </c>
      <c r="J527" s="125">
        <v>80</v>
      </c>
      <c r="K527" s="125">
        <v>2022</v>
      </c>
      <c r="L527" s="85">
        <v>5708.3899999999994</v>
      </c>
      <c r="M527" s="85" t="s">
        <v>630</v>
      </c>
      <c r="N527" s="128">
        <v>16590</v>
      </c>
      <c r="O527" s="128">
        <f t="shared" si="35"/>
        <v>1327200</v>
      </c>
      <c r="P527" s="125" t="s">
        <v>1150</v>
      </c>
      <c r="Q527" s="85" t="s">
        <v>47</v>
      </c>
      <c r="R527" s="220" t="s">
        <v>1888</v>
      </c>
      <c r="S527" s="220" t="s">
        <v>1861</v>
      </c>
      <c r="T527" s="85" t="s">
        <v>1491</v>
      </c>
      <c r="U527" t="s">
        <v>1972</v>
      </c>
      <c r="V527" t="s">
        <v>2832</v>
      </c>
    </row>
    <row r="528" spans="1:22" ht="15.75" thickBot="1" x14ac:dyDescent="0.3">
      <c r="A528" s="82" t="s">
        <v>3506</v>
      </c>
      <c r="B528" s="82" t="str">
        <f t="shared" si="32"/>
        <v>Barraqueiro Transportes, S.A.</v>
      </c>
      <c r="C528" s="82" t="str">
        <f t="shared" si="33"/>
        <v>Mafrense</v>
      </c>
      <c r="D528" s="83" t="s">
        <v>629</v>
      </c>
      <c r="E528" s="91" t="s">
        <v>1853</v>
      </c>
      <c r="F528" s="124" t="s">
        <v>620</v>
      </c>
      <c r="G528" s="333">
        <v>2021</v>
      </c>
      <c r="H528" s="341" t="s">
        <v>733</v>
      </c>
      <c r="I528" s="336" t="str">
        <f t="shared" si="34"/>
        <v>Pesado de Passageiros M3: III : Gasóleo : E6</v>
      </c>
      <c r="J528" s="125">
        <v>80</v>
      </c>
      <c r="K528" s="125">
        <v>2022</v>
      </c>
      <c r="L528" s="85">
        <v>6772.8099999999995</v>
      </c>
      <c r="M528" s="85" t="s">
        <v>630</v>
      </c>
      <c r="N528" s="128">
        <v>19272</v>
      </c>
      <c r="O528" s="128">
        <f t="shared" si="35"/>
        <v>1541760</v>
      </c>
      <c r="P528" s="125" t="s">
        <v>1151</v>
      </c>
      <c r="Q528" s="85" t="s">
        <v>47</v>
      </c>
      <c r="R528" s="220" t="s">
        <v>1888</v>
      </c>
      <c r="S528" s="220" t="s">
        <v>1861</v>
      </c>
      <c r="T528" s="85" t="s">
        <v>1491</v>
      </c>
      <c r="U528" t="s">
        <v>1972</v>
      </c>
      <c r="V528" t="s">
        <v>2832</v>
      </c>
    </row>
    <row r="529" spans="1:22" ht="15.75" thickBot="1" x14ac:dyDescent="0.3">
      <c r="A529" s="82" t="s">
        <v>3506</v>
      </c>
      <c r="B529" s="82" t="str">
        <f t="shared" si="32"/>
        <v>Barraqueiro Transportes, S.A.</v>
      </c>
      <c r="C529" s="82" t="str">
        <f t="shared" si="33"/>
        <v>Mafrense</v>
      </c>
      <c r="D529" s="83" t="s">
        <v>629</v>
      </c>
      <c r="E529" s="91" t="s">
        <v>1853</v>
      </c>
      <c r="F529" s="124" t="s">
        <v>620</v>
      </c>
      <c r="G529" s="333">
        <v>2021</v>
      </c>
      <c r="H529" s="341" t="s">
        <v>733</v>
      </c>
      <c r="I529" s="336" t="str">
        <f t="shared" si="34"/>
        <v>Pesado de Passageiros M3: III : Gasóleo : E6</v>
      </c>
      <c r="J529" s="125">
        <v>80</v>
      </c>
      <c r="K529" s="125">
        <v>2022</v>
      </c>
      <c r="L529" s="85">
        <v>7356.59</v>
      </c>
      <c r="M529" s="85" t="s">
        <v>630</v>
      </c>
      <c r="N529" s="128">
        <v>19948</v>
      </c>
      <c r="O529" s="128">
        <f t="shared" si="35"/>
        <v>1595840</v>
      </c>
      <c r="P529" s="125" t="s">
        <v>1152</v>
      </c>
      <c r="Q529" s="85" t="s">
        <v>47</v>
      </c>
      <c r="R529" s="220" t="s">
        <v>1888</v>
      </c>
      <c r="S529" s="220" t="s">
        <v>1861</v>
      </c>
      <c r="T529" s="85" t="s">
        <v>1491</v>
      </c>
      <c r="U529" t="s">
        <v>1972</v>
      </c>
      <c r="V529" t="s">
        <v>2832</v>
      </c>
    </row>
    <row r="530" spans="1:22" ht="15.75" thickBot="1" x14ac:dyDescent="0.3">
      <c r="A530" s="82" t="s">
        <v>3506</v>
      </c>
      <c r="B530" s="82" t="str">
        <f t="shared" si="32"/>
        <v>Barraqueiro Transportes, S.A.</v>
      </c>
      <c r="C530" s="82" t="str">
        <f t="shared" si="33"/>
        <v>Mafrense</v>
      </c>
      <c r="D530" s="83" t="s">
        <v>629</v>
      </c>
      <c r="E530" s="91" t="s">
        <v>1853</v>
      </c>
      <c r="F530" s="124" t="s">
        <v>620</v>
      </c>
      <c r="G530" s="333">
        <v>2021</v>
      </c>
      <c r="H530" s="341" t="s">
        <v>733</v>
      </c>
      <c r="I530" s="336" t="str">
        <f t="shared" si="34"/>
        <v>Pesado de Passageiros M3: III : Gasóleo : E6</v>
      </c>
      <c r="J530" s="125">
        <v>85</v>
      </c>
      <c r="K530" s="125">
        <v>2022</v>
      </c>
      <c r="L530" s="85">
        <v>12472.089999999998</v>
      </c>
      <c r="M530" s="85" t="s">
        <v>630</v>
      </c>
      <c r="N530" s="128">
        <v>36369</v>
      </c>
      <c r="O530" s="128">
        <f t="shared" si="35"/>
        <v>3091365</v>
      </c>
      <c r="P530" s="125" t="s">
        <v>1153</v>
      </c>
      <c r="Q530" s="85" t="s">
        <v>47</v>
      </c>
      <c r="R530" s="220" t="s">
        <v>1888</v>
      </c>
      <c r="S530" s="220" t="s">
        <v>1861</v>
      </c>
      <c r="T530" s="85" t="s">
        <v>1491</v>
      </c>
      <c r="U530" t="s">
        <v>1972</v>
      </c>
      <c r="V530" t="s">
        <v>2832</v>
      </c>
    </row>
    <row r="531" spans="1:22" ht="15.75" thickBot="1" x14ac:dyDescent="0.3">
      <c r="A531" s="82" t="s">
        <v>3506</v>
      </c>
      <c r="B531" s="82" t="str">
        <f t="shared" si="32"/>
        <v>Barraqueiro Transportes, S.A.</v>
      </c>
      <c r="C531" s="82" t="str">
        <f t="shared" si="33"/>
        <v>Mafrense</v>
      </c>
      <c r="D531" s="83" t="s">
        <v>629</v>
      </c>
      <c r="E531" s="91" t="s">
        <v>1853</v>
      </c>
      <c r="F531" s="124" t="s">
        <v>620</v>
      </c>
      <c r="G531" s="333">
        <v>2021</v>
      </c>
      <c r="H531" s="341" t="s">
        <v>733</v>
      </c>
      <c r="I531" s="336" t="str">
        <f t="shared" si="34"/>
        <v>Pesado de Passageiros M3: III : Gasóleo : E6</v>
      </c>
      <c r="J531" s="125">
        <v>85</v>
      </c>
      <c r="K531" s="125">
        <v>2022</v>
      </c>
      <c r="L531" s="85">
        <v>14114.98</v>
      </c>
      <c r="M531" s="85" t="s">
        <v>630</v>
      </c>
      <c r="N531" s="128">
        <v>40179</v>
      </c>
      <c r="O531" s="128">
        <f t="shared" si="35"/>
        <v>3415215</v>
      </c>
      <c r="P531" s="125" t="s">
        <v>1154</v>
      </c>
      <c r="Q531" s="85" t="s">
        <v>47</v>
      </c>
      <c r="R531" s="220" t="s">
        <v>1888</v>
      </c>
      <c r="S531" s="220" t="s">
        <v>1861</v>
      </c>
      <c r="T531" s="85" t="s">
        <v>1491</v>
      </c>
      <c r="U531" t="s">
        <v>1972</v>
      </c>
      <c r="V531" t="s">
        <v>2832</v>
      </c>
    </row>
    <row r="532" spans="1:22" ht="15.75" thickBot="1" x14ac:dyDescent="0.3">
      <c r="A532" s="82" t="s">
        <v>3506</v>
      </c>
      <c r="B532" s="82" t="str">
        <f t="shared" si="32"/>
        <v>Barraqueiro Transportes, S.A.</v>
      </c>
      <c r="C532" s="82" t="str">
        <f t="shared" si="33"/>
        <v>Mafrense</v>
      </c>
      <c r="D532" s="83" t="s">
        <v>629</v>
      </c>
      <c r="E532" s="91" t="s">
        <v>1853</v>
      </c>
      <c r="F532" s="124" t="s">
        <v>620</v>
      </c>
      <c r="G532" s="333">
        <v>2021</v>
      </c>
      <c r="H532" s="341" t="s">
        <v>733</v>
      </c>
      <c r="I532" s="336" t="str">
        <f t="shared" si="34"/>
        <v>Pesado de Passageiros M3: III : Gasóleo : E6</v>
      </c>
      <c r="J532" s="125">
        <v>85</v>
      </c>
      <c r="K532" s="125">
        <v>2022</v>
      </c>
      <c r="L532" s="85">
        <v>7022.05</v>
      </c>
      <c r="M532" s="85" t="s">
        <v>630</v>
      </c>
      <c r="N532" s="128">
        <v>19774</v>
      </c>
      <c r="O532" s="128">
        <f t="shared" si="35"/>
        <v>1680790</v>
      </c>
      <c r="P532" s="125" t="s">
        <v>1155</v>
      </c>
      <c r="Q532" s="85" t="s">
        <v>47</v>
      </c>
      <c r="R532" s="220" t="s">
        <v>1888</v>
      </c>
      <c r="S532" s="220" t="s">
        <v>1861</v>
      </c>
      <c r="T532" s="85" t="s">
        <v>1491</v>
      </c>
      <c r="U532" t="s">
        <v>1972</v>
      </c>
      <c r="V532" t="s">
        <v>2832</v>
      </c>
    </row>
    <row r="533" spans="1:22" ht="15.75" thickBot="1" x14ac:dyDescent="0.3">
      <c r="A533" s="82" t="s">
        <v>3506</v>
      </c>
      <c r="B533" s="82" t="str">
        <f t="shared" si="32"/>
        <v>Barraqueiro Transportes, S.A.</v>
      </c>
      <c r="C533" s="82" t="str">
        <f t="shared" si="33"/>
        <v>Mafrense</v>
      </c>
      <c r="D533" s="83" t="s">
        <v>629</v>
      </c>
      <c r="E533" s="91" t="s">
        <v>1853</v>
      </c>
      <c r="F533" s="124" t="s">
        <v>620</v>
      </c>
      <c r="G533" s="333">
        <v>2021</v>
      </c>
      <c r="H533" s="341" t="s">
        <v>733</v>
      </c>
      <c r="I533" s="336" t="str">
        <f t="shared" si="34"/>
        <v>Pesado de Passageiros M3: III : Gasóleo : E6</v>
      </c>
      <c r="J533" s="125">
        <v>85</v>
      </c>
      <c r="K533" s="125">
        <v>2022</v>
      </c>
      <c r="L533" s="85">
        <v>9226.15</v>
      </c>
      <c r="M533" s="85" t="s">
        <v>630</v>
      </c>
      <c r="N533" s="128">
        <v>24865</v>
      </c>
      <c r="O533" s="128">
        <f t="shared" si="35"/>
        <v>2113525</v>
      </c>
      <c r="P533" s="125" t="s">
        <v>1156</v>
      </c>
      <c r="Q533" s="85" t="s">
        <v>47</v>
      </c>
      <c r="R533" s="220" t="s">
        <v>1888</v>
      </c>
      <c r="S533" s="220" t="s">
        <v>1861</v>
      </c>
      <c r="T533" s="85" t="s">
        <v>1491</v>
      </c>
      <c r="U533" t="s">
        <v>1972</v>
      </c>
      <c r="V533" t="s">
        <v>2832</v>
      </c>
    </row>
    <row r="534" spans="1:22" ht="15.75" thickBot="1" x14ac:dyDescent="0.3">
      <c r="A534" s="82" t="s">
        <v>3506</v>
      </c>
      <c r="B534" s="82" t="str">
        <f t="shared" si="32"/>
        <v>Barraqueiro Transportes, S.A.</v>
      </c>
      <c r="C534" s="82" t="str">
        <f t="shared" si="33"/>
        <v>Mafrense</v>
      </c>
      <c r="D534" s="83" t="s">
        <v>629</v>
      </c>
      <c r="E534" s="91" t="s">
        <v>1853</v>
      </c>
      <c r="F534" s="124" t="s">
        <v>620</v>
      </c>
      <c r="G534" s="333">
        <v>2021</v>
      </c>
      <c r="H534" s="341" t="s">
        <v>733</v>
      </c>
      <c r="I534" s="336" t="str">
        <f t="shared" si="34"/>
        <v>Pesado de Passageiros M3: III : Gasóleo : E6</v>
      </c>
      <c r="J534" s="125">
        <v>85</v>
      </c>
      <c r="K534" s="125">
        <v>2022</v>
      </c>
      <c r="L534" s="85">
        <v>13301.090000000002</v>
      </c>
      <c r="M534" s="85" t="s">
        <v>630</v>
      </c>
      <c r="N534" s="128">
        <v>36931</v>
      </c>
      <c r="O534" s="128">
        <f t="shared" si="35"/>
        <v>3139135</v>
      </c>
      <c r="P534" s="125" t="s">
        <v>1157</v>
      </c>
      <c r="Q534" s="85" t="s">
        <v>47</v>
      </c>
      <c r="R534" s="220" t="s">
        <v>1888</v>
      </c>
      <c r="S534" s="220" t="s">
        <v>1861</v>
      </c>
      <c r="T534" s="85" t="s">
        <v>1491</v>
      </c>
      <c r="U534" t="s">
        <v>1972</v>
      </c>
      <c r="V534" t="s">
        <v>2832</v>
      </c>
    </row>
    <row r="535" spans="1:22" ht="15.75" thickBot="1" x14ac:dyDescent="0.3">
      <c r="A535" s="82" t="s">
        <v>3506</v>
      </c>
      <c r="B535" s="82" t="str">
        <f t="shared" si="32"/>
        <v>Barraqueiro Transportes, S.A.</v>
      </c>
      <c r="C535" s="82" t="str">
        <f t="shared" si="33"/>
        <v>Mafrense</v>
      </c>
      <c r="D535" s="83" t="s">
        <v>629</v>
      </c>
      <c r="E535" s="91" t="s">
        <v>1853</v>
      </c>
      <c r="F535" s="124" t="s">
        <v>620</v>
      </c>
      <c r="G535" s="333">
        <v>2021</v>
      </c>
      <c r="H535" s="341" t="s">
        <v>733</v>
      </c>
      <c r="I535" s="336" t="str">
        <f t="shared" si="34"/>
        <v>Pesado de Passageiros M3: III : Gasóleo : E6</v>
      </c>
      <c r="J535" s="125">
        <v>85</v>
      </c>
      <c r="K535" s="125">
        <v>2022</v>
      </c>
      <c r="L535" s="85">
        <v>12387.04</v>
      </c>
      <c r="M535" s="85" t="s">
        <v>630</v>
      </c>
      <c r="N535" s="128">
        <v>37442</v>
      </c>
      <c r="O535" s="128">
        <f t="shared" si="35"/>
        <v>3182570</v>
      </c>
      <c r="P535" s="125" t="s">
        <v>1158</v>
      </c>
      <c r="Q535" s="85" t="s">
        <v>47</v>
      </c>
      <c r="R535" s="220" t="s">
        <v>1888</v>
      </c>
      <c r="S535" s="220" t="s">
        <v>1861</v>
      </c>
      <c r="T535" s="85" t="s">
        <v>1491</v>
      </c>
      <c r="U535" t="s">
        <v>1972</v>
      </c>
      <c r="V535" t="s">
        <v>2832</v>
      </c>
    </row>
    <row r="536" spans="1:22" ht="15.75" thickBot="1" x14ac:dyDescent="0.3">
      <c r="A536" s="82" t="s">
        <v>3506</v>
      </c>
      <c r="B536" s="82" t="str">
        <f t="shared" si="32"/>
        <v>Barraqueiro Transportes, S.A.</v>
      </c>
      <c r="C536" s="82" t="str">
        <f t="shared" si="33"/>
        <v>Mafrense</v>
      </c>
      <c r="D536" s="83" t="s">
        <v>629</v>
      </c>
      <c r="E536" s="91" t="s">
        <v>1853</v>
      </c>
      <c r="F536" s="124" t="s">
        <v>620</v>
      </c>
      <c r="G536" s="333">
        <v>2021</v>
      </c>
      <c r="H536" s="341" t="s">
        <v>733</v>
      </c>
      <c r="I536" s="336" t="str">
        <f t="shared" si="34"/>
        <v>Pesado de Passageiros M3: III : Gasóleo : E6</v>
      </c>
      <c r="J536" s="125">
        <v>85</v>
      </c>
      <c r="K536" s="125">
        <v>2022</v>
      </c>
      <c r="L536" s="85">
        <v>17421.61</v>
      </c>
      <c r="M536" s="85" t="s">
        <v>630</v>
      </c>
      <c r="N536" s="128">
        <v>48863</v>
      </c>
      <c r="O536" s="128">
        <f t="shared" si="35"/>
        <v>4153355</v>
      </c>
      <c r="P536" s="125" t="s">
        <v>1159</v>
      </c>
      <c r="Q536" s="85" t="s">
        <v>47</v>
      </c>
      <c r="R536" s="220" t="s">
        <v>1888</v>
      </c>
      <c r="S536" s="220" t="s">
        <v>1861</v>
      </c>
      <c r="T536" s="85" t="s">
        <v>1491</v>
      </c>
      <c r="U536" t="s">
        <v>1972</v>
      </c>
      <c r="V536" t="s">
        <v>2832</v>
      </c>
    </row>
    <row r="537" spans="1:22" ht="15.75" thickBot="1" x14ac:dyDescent="0.3">
      <c r="A537" s="82" t="s">
        <v>3506</v>
      </c>
      <c r="B537" s="82" t="str">
        <f t="shared" si="32"/>
        <v>Barraqueiro Transportes, S.A.</v>
      </c>
      <c r="C537" s="82" t="str">
        <f t="shared" si="33"/>
        <v>Mafrense</v>
      </c>
      <c r="D537" s="83" t="s">
        <v>629</v>
      </c>
      <c r="E537" s="91" t="s">
        <v>1853</v>
      </c>
      <c r="F537" s="124" t="s">
        <v>620</v>
      </c>
      <c r="G537" s="333">
        <v>2021</v>
      </c>
      <c r="H537" s="341" t="s">
        <v>733</v>
      </c>
      <c r="I537" s="336" t="str">
        <f t="shared" si="34"/>
        <v>Pesado de Passageiros M3: III : Gasóleo : E6</v>
      </c>
      <c r="J537" s="125">
        <v>85</v>
      </c>
      <c r="K537" s="125">
        <v>2022</v>
      </c>
      <c r="L537" s="85">
        <v>11131.779999999999</v>
      </c>
      <c r="M537" s="85" t="s">
        <v>630</v>
      </c>
      <c r="N537" s="128">
        <v>31187</v>
      </c>
      <c r="O537" s="128">
        <f t="shared" si="35"/>
        <v>2650895</v>
      </c>
      <c r="P537" s="125" t="s">
        <v>1160</v>
      </c>
      <c r="Q537" s="85" t="s">
        <v>47</v>
      </c>
      <c r="R537" s="220" t="s">
        <v>1888</v>
      </c>
      <c r="S537" s="220" t="s">
        <v>1861</v>
      </c>
      <c r="T537" s="85" t="s">
        <v>1491</v>
      </c>
      <c r="U537" t="s">
        <v>1972</v>
      </c>
      <c r="V537" t="s">
        <v>2832</v>
      </c>
    </row>
    <row r="538" spans="1:22" ht="15.75" thickBot="1" x14ac:dyDescent="0.3">
      <c r="A538" s="82" t="s">
        <v>3506</v>
      </c>
      <c r="B538" s="82" t="str">
        <f t="shared" si="32"/>
        <v>Barraqueiro Transportes, S.A.</v>
      </c>
      <c r="C538" s="82" t="str">
        <f t="shared" si="33"/>
        <v>Mafrense</v>
      </c>
      <c r="D538" s="83" t="s">
        <v>629</v>
      </c>
      <c r="E538" s="91" t="s">
        <v>1853</v>
      </c>
      <c r="F538" s="124" t="s">
        <v>620</v>
      </c>
      <c r="G538" s="333">
        <v>2021</v>
      </c>
      <c r="H538" s="341" t="s">
        <v>733</v>
      </c>
      <c r="I538" s="336" t="str">
        <f t="shared" si="34"/>
        <v>Pesado de Passageiros M3: III : Gasóleo : E6</v>
      </c>
      <c r="J538" s="125">
        <v>85</v>
      </c>
      <c r="K538" s="125">
        <v>2022</v>
      </c>
      <c r="L538" s="85">
        <v>8075.99</v>
      </c>
      <c r="M538" s="85" t="s">
        <v>630</v>
      </c>
      <c r="N538" s="128">
        <v>24603</v>
      </c>
      <c r="O538" s="128">
        <f t="shared" si="35"/>
        <v>2091255</v>
      </c>
      <c r="P538" s="125" t="s">
        <v>1161</v>
      </c>
      <c r="Q538" s="85" t="s">
        <v>47</v>
      </c>
      <c r="R538" s="220" t="s">
        <v>1888</v>
      </c>
      <c r="S538" s="220" t="s">
        <v>1861</v>
      </c>
      <c r="T538" s="85" t="s">
        <v>1491</v>
      </c>
      <c r="U538" t="s">
        <v>1972</v>
      </c>
      <c r="V538" t="s">
        <v>2832</v>
      </c>
    </row>
    <row r="539" spans="1:22" ht="15.75" thickBot="1" x14ac:dyDescent="0.3">
      <c r="A539" s="82" t="s">
        <v>3506</v>
      </c>
      <c r="B539" s="82" t="str">
        <f t="shared" si="32"/>
        <v>Barraqueiro Transportes, S.A.</v>
      </c>
      <c r="C539" s="82" t="str">
        <f t="shared" si="33"/>
        <v>Mafrense</v>
      </c>
      <c r="D539" s="83" t="s">
        <v>629</v>
      </c>
      <c r="E539" s="91" t="s">
        <v>1853</v>
      </c>
      <c r="F539" s="124" t="s">
        <v>620</v>
      </c>
      <c r="G539" s="333">
        <v>2021</v>
      </c>
      <c r="H539" s="341" t="s">
        <v>733</v>
      </c>
      <c r="I539" s="336" t="str">
        <f t="shared" si="34"/>
        <v>Pesado de Passageiros M3: III : Gasóleo : E6</v>
      </c>
      <c r="J539" s="125">
        <v>85</v>
      </c>
      <c r="K539" s="125">
        <v>2022</v>
      </c>
      <c r="L539" s="85">
        <v>10642.93</v>
      </c>
      <c r="M539" s="85" t="s">
        <v>630</v>
      </c>
      <c r="N539" s="128">
        <v>30507</v>
      </c>
      <c r="O539" s="128">
        <f t="shared" si="35"/>
        <v>2593095</v>
      </c>
      <c r="P539" s="125" t="s">
        <v>1162</v>
      </c>
      <c r="Q539" s="85" t="s">
        <v>47</v>
      </c>
      <c r="R539" s="220" t="s">
        <v>1888</v>
      </c>
      <c r="S539" s="220" t="s">
        <v>1861</v>
      </c>
      <c r="T539" s="85" t="s">
        <v>1491</v>
      </c>
      <c r="U539" t="s">
        <v>1972</v>
      </c>
      <c r="V539" t="s">
        <v>2832</v>
      </c>
    </row>
    <row r="540" spans="1:22" ht="15.75" thickBot="1" x14ac:dyDescent="0.3">
      <c r="A540" s="82" t="s">
        <v>3506</v>
      </c>
      <c r="B540" s="82" t="str">
        <f t="shared" si="32"/>
        <v>Barraqueiro Transportes, S.A.</v>
      </c>
      <c r="C540" s="82" t="str">
        <f t="shared" si="33"/>
        <v>Mafrense</v>
      </c>
      <c r="D540" s="83" t="s">
        <v>629</v>
      </c>
      <c r="E540" s="91" t="s">
        <v>1853</v>
      </c>
      <c r="F540" s="124" t="s">
        <v>620</v>
      </c>
      <c r="G540" s="333">
        <v>2021</v>
      </c>
      <c r="H540" s="341" t="s">
        <v>733</v>
      </c>
      <c r="I540" s="336" t="str">
        <f t="shared" si="34"/>
        <v>Pesado de Passageiros M3: III : Gasóleo : E6</v>
      </c>
      <c r="J540" s="125">
        <v>85</v>
      </c>
      <c r="K540" s="125">
        <v>2022</v>
      </c>
      <c r="L540" s="85">
        <v>10622.78</v>
      </c>
      <c r="M540" s="85" t="s">
        <v>630</v>
      </c>
      <c r="N540" s="128">
        <v>30150</v>
      </c>
      <c r="O540" s="128">
        <f t="shared" si="35"/>
        <v>2562750</v>
      </c>
      <c r="P540" s="125" t="s">
        <v>1163</v>
      </c>
      <c r="Q540" s="85" t="s">
        <v>47</v>
      </c>
      <c r="R540" s="220" t="s">
        <v>1888</v>
      </c>
      <c r="S540" s="220" t="s">
        <v>1861</v>
      </c>
      <c r="T540" s="85" t="s">
        <v>1491</v>
      </c>
      <c r="U540" t="s">
        <v>1972</v>
      </c>
      <c r="V540" t="s">
        <v>2832</v>
      </c>
    </row>
    <row r="541" spans="1:22" ht="15.75" thickBot="1" x14ac:dyDescent="0.3">
      <c r="A541" s="82" t="s">
        <v>3506</v>
      </c>
      <c r="B541" s="82" t="str">
        <f t="shared" si="32"/>
        <v>Barraqueiro Transportes, S.A.</v>
      </c>
      <c r="C541" s="82" t="str">
        <f t="shared" si="33"/>
        <v>Mafrense</v>
      </c>
      <c r="D541" s="83" t="s">
        <v>629</v>
      </c>
      <c r="E541" s="91" t="s">
        <v>1853</v>
      </c>
      <c r="F541" s="124" t="s">
        <v>620</v>
      </c>
      <c r="G541" s="333">
        <v>2021</v>
      </c>
      <c r="H541" s="341" t="s">
        <v>733</v>
      </c>
      <c r="I541" s="336" t="str">
        <f t="shared" si="34"/>
        <v>Pesado de Passageiros M3: III : Gasóleo : E6</v>
      </c>
      <c r="J541" s="125">
        <v>85</v>
      </c>
      <c r="K541" s="125">
        <v>2022</v>
      </c>
      <c r="L541" s="85">
        <v>8533.26</v>
      </c>
      <c r="M541" s="85" t="s">
        <v>630</v>
      </c>
      <c r="N541" s="128">
        <v>24121</v>
      </c>
      <c r="O541" s="128">
        <f t="shared" si="35"/>
        <v>2050285</v>
      </c>
      <c r="P541" s="125" t="s">
        <v>1164</v>
      </c>
      <c r="Q541" s="85" t="s">
        <v>47</v>
      </c>
      <c r="R541" s="220" t="s">
        <v>1888</v>
      </c>
      <c r="S541" s="220" t="s">
        <v>1861</v>
      </c>
      <c r="T541" s="85" t="s">
        <v>1491</v>
      </c>
      <c r="U541" t="s">
        <v>1972</v>
      </c>
      <c r="V541" t="s">
        <v>2832</v>
      </c>
    </row>
    <row r="542" spans="1:22" ht="15.75" thickBot="1" x14ac:dyDescent="0.3">
      <c r="A542" s="82" t="s">
        <v>3506</v>
      </c>
      <c r="B542" s="82" t="str">
        <f t="shared" si="32"/>
        <v>Barraqueiro Transportes, S.A.</v>
      </c>
      <c r="C542" s="82" t="str">
        <f t="shared" si="33"/>
        <v>Mafrense</v>
      </c>
      <c r="D542" s="83" t="s">
        <v>629</v>
      </c>
      <c r="E542" s="91" t="s">
        <v>1853</v>
      </c>
      <c r="F542" s="124" t="s">
        <v>620</v>
      </c>
      <c r="G542" s="333">
        <v>2021</v>
      </c>
      <c r="H542" s="341" t="s">
        <v>733</v>
      </c>
      <c r="I542" s="336" t="str">
        <f t="shared" si="34"/>
        <v>Pesado de Passageiros M3: III : Gasóleo : E6</v>
      </c>
      <c r="J542" s="125">
        <v>85</v>
      </c>
      <c r="K542" s="125">
        <v>2022</v>
      </c>
      <c r="L542" s="85">
        <v>9661.8299999999981</v>
      </c>
      <c r="M542" s="85" t="s">
        <v>630</v>
      </c>
      <c r="N542" s="128">
        <v>27722</v>
      </c>
      <c r="O542" s="128">
        <f t="shared" si="35"/>
        <v>2356370</v>
      </c>
      <c r="P542" s="125" t="s">
        <v>1165</v>
      </c>
      <c r="Q542" s="85" t="s">
        <v>47</v>
      </c>
      <c r="R542" s="220" t="s">
        <v>1888</v>
      </c>
      <c r="S542" s="220" t="s">
        <v>1861</v>
      </c>
      <c r="T542" s="85" t="s">
        <v>1491</v>
      </c>
      <c r="U542" t="s">
        <v>1972</v>
      </c>
      <c r="V542" t="s">
        <v>2832</v>
      </c>
    </row>
    <row r="543" spans="1:22" ht="15.75" thickBot="1" x14ac:dyDescent="0.3">
      <c r="A543" s="82" t="s">
        <v>3506</v>
      </c>
      <c r="B543" s="82" t="str">
        <f t="shared" si="32"/>
        <v>Barraqueiro Transportes, S.A.</v>
      </c>
      <c r="C543" s="82" t="str">
        <f t="shared" si="33"/>
        <v>Mafrense</v>
      </c>
      <c r="D543" s="83" t="s">
        <v>629</v>
      </c>
      <c r="E543" s="91" t="s">
        <v>1853</v>
      </c>
      <c r="F543" s="124" t="s">
        <v>620</v>
      </c>
      <c r="G543" s="333">
        <v>2021</v>
      </c>
      <c r="H543" s="341" t="s">
        <v>733</v>
      </c>
      <c r="I543" s="336" t="str">
        <f t="shared" si="34"/>
        <v>Pesado de Passageiros M3: III : Gasóleo : E6</v>
      </c>
      <c r="J543" s="125">
        <v>85</v>
      </c>
      <c r="K543" s="125">
        <v>2022</v>
      </c>
      <c r="L543" s="85">
        <v>9484.0399999999991</v>
      </c>
      <c r="M543" s="85" t="s">
        <v>630</v>
      </c>
      <c r="N543" s="128">
        <v>26101</v>
      </c>
      <c r="O543" s="128">
        <f t="shared" si="35"/>
        <v>2218585</v>
      </c>
      <c r="P543" s="125" t="s">
        <v>1166</v>
      </c>
      <c r="Q543" s="85" t="s">
        <v>47</v>
      </c>
      <c r="R543" s="220" t="s">
        <v>1888</v>
      </c>
      <c r="S543" s="220" t="s">
        <v>1861</v>
      </c>
      <c r="T543" s="85" t="s">
        <v>1491</v>
      </c>
      <c r="U543" t="s">
        <v>1972</v>
      </c>
      <c r="V543" t="s">
        <v>2832</v>
      </c>
    </row>
    <row r="544" spans="1:22" ht="15.75" thickBot="1" x14ac:dyDescent="0.3">
      <c r="A544" s="82" t="s">
        <v>3506</v>
      </c>
      <c r="B544" s="82" t="str">
        <f t="shared" si="32"/>
        <v>Barraqueiro Transportes, S.A.</v>
      </c>
      <c r="C544" s="82" t="str">
        <f t="shared" si="33"/>
        <v>Mafrense</v>
      </c>
      <c r="D544" s="83" t="s">
        <v>629</v>
      </c>
      <c r="E544" s="91" t="s">
        <v>1853</v>
      </c>
      <c r="F544" s="124" t="s">
        <v>620</v>
      </c>
      <c r="G544" s="333">
        <v>2021</v>
      </c>
      <c r="H544" s="341" t="s">
        <v>733</v>
      </c>
      <c r="I544" s="336" t="str">
        <f t="shared" si="34"/>
        <v>Pesado de Passageiros M3: III : Gasóleo : E6</v>
      </c>
      <c r="J544" s="125">
        <v>85</v>
      </c>
      <c r="K544" s="125">
        <v>2022</v>
      </c>
      <c r="L544" s="85">
        <v>7059.22</v>
      </c>
      <c r="M544" s="85" t="s">
        <v>630</v>
      </c>
      <c r="N544" s="128">
        <v>19616</v>
      </c>
      <c r="O544" s="128">
        <f t="shared" si="35"/>
        <v>1667360</v>
      </c>
      <c r="P544" s="125" t="s">
        <v>1167</v>
      </c>
      <c r="Q544" s="85" t="s">
        <v>47</v>
      </c>
      <c r="R544" s="220" t="s">
        <v>1888</v>
      </c>
      <c r="S544" s="220" t="s">
        <v>1861</v>
      </c>
      <c r="T544" s="85" t="s">
        <v>1491</v>
      </c>
      <c r="U544" t="s">
        <v>1972</v>
      </c>
      <c r="V544" t="s">
        <v>2832</v>
      </c>
    </row>
    <row r="545" spans="1:22" ht="15.75" thickBot="1" x14ac:dyDescent="0.3">
      <c r="A545" s="82" t="s">
        <v>3506</v>
      </c>
      <c r="B545" s="82" t="str">
        <f t="shared" si="32"/>
        <v>Barraqueiro Transportes, S.A.</v>
      </c>
      <c r="C545" s="82" t="str">
        <f t="shared" si="33"/>
        <v>Mafrense</v>
      </c>
      <c r="D545" s="83" t="s">
        <v>629</v>
      </c>
      <c r="E545" s="91" t="s">
        <v>1853</v>
      </c>
      <c r="F545" s="124" t="s">
        <v>620</v>
      </c>
      <c r="G545" s="333">
        <v>2021</v>
      </c>
      <c r="H545" s="341" t="s">
        <v>733</v>
      </c>
      <c r="I545" s="336" t="str">
        <f t="shared" si="34"/>
        <v>Pesado de Passageiros M3: III : Gasóleo : E6</v>
      </c>
      <c r="J545" s="125">
        <v>85</v>
      </c>
      <c r="K545" s="125">
        <v>2022</v>
      </c>
      <c r="L545" s="85">
        <v>7974.3899999999994</v>
      </c>
      <c r="M545" s="85" t="s">
        <v>630</v>
      </c>
      <c r="N545" s="128">
        <v>23091</v>
      </c>
      <c r="O545" s="128">
        <f t="shared" si="35"/>
        <v>1962735</v>
      </c>
      <c r="P545" s="125" t="s">
        <v>1168</v>
      </c>
      <c r="Q545" s="85" t="s">
        <v>47</v>
      </c>
      <c r="R545" s="220" t="s">
        <v>1888</v>
      </c>
      <c r="S545" s="220" t="s">
        <v>1861</v>
      </c>
      <c r="T545" s="85" t="s">
        <v>1491</v>
      </c>
      <c r="U545" t="s">
        <v>1972</v>
      </c>
      <c r="V545" t="s">
        <v>2832</v>
      </c>
    </row>
    <row r="546" spans="1:22" ht="15.75" thickBot="1" x14ac:dyDescent="0.3">
      <c r="A546" s="82" t="s">
        <v>3506</v>
      </c>
      <c r="B546" s="82" t="str">
        <f t="shared" si="32"/>
        <v>Barraqueiro Transportes, S.A.</v>
      </c>
      <c r="C546" s="82" t="str">
        <f t="shared" si="33"/>
        <v>Mafrense</v>
      </c>
      <c r="D546" s="83" t="s">
        <v>629</v>
      </c>
      <c r="E546" s="91" t="s">
        <v>1853</v>
      </c>
      <c r="F546" s="124" t="s">
        <v>620</v>
      </c>
      <c r="G546" s="333">
        <v>2021</v>
      </c>
      <c r="H546" s="341" t="s">
        <v>733</v>
      </c>
      <c r="I546" s="336" t="str">
        <f t="shared" si="34"/>
        <v>Pesado de Passageiros M3: III : Gasóleo : E6</v>
      </c>
      <c r="J546" s="125">
        <v>85</v>
      </c>
      <c r="K546" s="125">
        <v>2022</v>
      </c>
      <c r="L546" s="85">
        <v>12584.779999999999</v>
      </c>
      <c r="M546" s="85" t="s">
        <v>630</v>
      </c>
      <c r="N546" s="128">
        <v>34426</v>
      </c>
      <c r="O546" s="128">
        <f t="shared" si="35"/>
        <v>2926210</v>
      </c>
      <c r="P546" s="125" t="s">
        <v>1169</v>
      </c>
      <c r="Q546" s="85" t="s">
        <v>47</v>
      </c>
      <c r="R546" s="220" t="s">
        <v>1888</v>
      </c>
      <c r="S546" s="220" t="s">
        <v>1861</v>
      </c>
      <c r="T546" s="85" t="s">
        <v>1491</v>
      </c>
      <c r="U546" t="s">
        <v>1972</v>
      </c>
      <c r="V546" t="s">
        <v>2832</v>
      </c>
    </row>
    <row r="547" spans="1:22" ht="15.75" thickBot="1" x14ac:dyDescent="0.3">
      <c r="A547" s="82" t="s">
        <v>3506</v>
      </c>
      <c r="B547" s="82" t="str">
        <f t="shared" si="32"/>
        <v>Barraqueiro Transportes, S.A.</v>
      </c>
      <c r="C547" s="82" t="str">
        <f t="shared" si="33"/>
        <v>Mafrense</v>
      </c>
      <c r="D547" s="83" t="s">
        <v>629</v>
      </c>
      <c r="E547" s="91" t="s">
        <v>1853</v>
      </c>
      <c r="F547" s="124" t="s">
        <v>620</v>
      </c>
      <c r="G547" s="333">
        <v>2021</v>
      </c>
      <c r="H547" s="341" t="s">
        <v>733</v>
      </c>
      <c r="I547" s="336" t="str">
        <f t="shared" si="34"/>
        <v>Pesado de Passageiros M3: III : Gasóleo : E6</v>
      </c>
      <c r="J547" s="125">
        <v>85</v>
      </c>
      <c r="K547" s="125">
        <v>2022</v>
      </c>
      <c r="L547" s="85">
        <v>7620.85</v>
      </c>
      <c r="M547" s="85" t="s">
        <v>630</v>
      </c>
      <c r="N547" s="128">
        <v>21548</v>
      </c>
      <c r="O547" s="128">
        <f t="shared" si="35"/>
        <v>1831580</v>
      </c>
      <c r="P547" s="125" t="s">
        <v>1170</v>
      </c>
      <c r="Q547" s="85" t="s">
        <v>47</v>
      </c>
      <c r="R547" s="220" t="s">
        <v>1888</v>
      </c>
      <c r="S547" s="220" t="s">
        <v>1861</v>
      </c>
      <c r="T547" s="85" t="s">
        <v>1491</v>
      </c>
      <c r="U547" t="s">
        <v>1972</v>
      </c>
      <c r="V547" t="s">
        <v>2832</v>
      </c>
    </row>
    <row r="548" spans="1:22" ht="15.75" thickBot="1" x14ac:dyDescent="0.3">
      <c r="A548" s="82" t="s">
        <v>3506</v>
      </c>
      <c r="B548" s="82" t="str">
        <f t="shared" si="32"/>
        <v>Barraqueiro Transportes, S.A.</v>
      </c>
      <c r="C548" s="82" t="str">
        <f t="shared" si="33"/>
        <v>Mafrense</v>
      </c>
      <c r="D548" s="83" t="s">
        <v>629</v>
      </c>
      <c r="E548" s="91" t="s">
        <v>1853</v>
      </c>
      <c r="F548" s="124" t="s">
        <v>620</v>
      </c>
      <c r="G548" s="333">
        <v>2021</v>
      </c>
      <c r="H548" s="341" t="s">
        <v>733</v>
      </c>
      <c r="I548" s="336" t="str">
        <f t="shared" si="34"/>
        <v>Pesado de Passageiros M3: III : Gasóleo : E6</v>
      </c>
      <c r="J548" s="125">
        <v>85</v>
      </c>
      <c r="K548" s="125">
        <v>2022</v>
      </c>
      <c r="L548" s="85">
        <v>10720.279999999999</v>
      </c>
      <c r="M548" s="85" t="s">
        <v>630</v>
      </c>
      <c r="N548" s="128">
        <v>28765</v>
      </c>
      <c r="O548" s="128">
        <f t="shared" si="35"/>
        <v>2445025</v>
      </c>
      <c r="P548" s="125" t="s">
        <v>1171</v>
      </c>
      <c r="Q548" s="85" t="s">
        <v>47</v>
      </c>
      <c r="R548" s="220" t="s">
        <v>1888</v>
      </c>
      <c r="S548" s="220" t="s">
        <v>1861</v>
      </c>
      <c r="T548" s="85" t="s">
        <v>1491</v>
      </c>
      <c r="U548" t="s">
        <v>1972</v>
      </c>
      <c r="V548" t="s">
        <v>2832</v>
      </c>
    </row>
    <row r="549" spans="1:22" ht="15.75" thickBot="1" x14ac:dyDescent="0.3">
      <c r="A549" s="82" t="s">
        <v>3506</v>
      </c>
      <c r="B549" s="82" t="str">
        <f t="shared" si="32"/>
        <v>Barraqueiro Transportes, S.A.</v>
      </c>
      <c r="C549" s="82" t="str">
        <f t="shared" si="33"/>
        <v>Mafrense</v>
      </c>
      <c r="D549" s="83" t="s">
        <v>629</v>
      </c>
      <c r="E549" s="91" t="s">
        <v>1853</v>
      </c>
      <c r="F549" s="124" t="s">
        <v>620</v>
      </c>
      <c r="G549" s="333">
        <v>2021</v>
      </c>
      <c r="H549" s="341" t="s">
        <v>733</v>
      </c>
      <c r="I549" s="336" t="str">
        <f t="shared" si="34"/>
        <v>Pesado de Passageiros M3: III : Gasóleo : E6</v>
      </c>
      <c r="J549" s="125">
        <v>85</v>
      </c>
      <c r="K549" s="125">
        <v>2022</v>
      </c>
      <c r="L549" s="85">
        <v>14572.87</v>
      </c>
      <c r="M549" s="85" t="s">
        <v>630</v>
      </c>
      <c r="N549" s="128">
        <v>38935</v>
      </c>
      <c r="O549" s="128">
        <f t="shared" si="35"/>
        <v>3309475</v>
      </c>
      <c r="P549" s="125" t="s">
        <v>1172</v>
      </c>
      <c r="Q549" s="85" t="s">
        <v>47</v>
      </c>
      <c r="R549" s="220" t="s">
        <v>1888</v>
      </c>
      <c r="S549" s="220" t="s">
        <v>1861</v>
      </c>
      <c r="T549" s="85" t="s">
        <v>1491</v>
      </c>
      <c r="U549" t="s">
        <v>1972</v>
      </c>
      <c r="V549" t="s">
        <v>2832</v>
      </c>
    </row>
    <row r="550" spans="1:22" ht="15.75" thickBot="1" x14ac:dyDescent="0.3">
      <c r="A550" s="82" t="s">
        <v>3506</v>
      </c>
      <c r="B550" s="82" t="str">
        <f t="shared" si="32"/>
        <v>Barraqueiro Transportes, S.A.</v>
      </c>
      <c r="C550" s="82" t="str">
        <f t="shared" si="33"/>
        <v>Mafrense</v>
      </c>
      <c r="D550" s="83" t="s">
        <v>629</v>
      </c>
      <c r="E550" s="91" t="s">
        <v>1853</v>
      </c>
      <c r="F550" s="124" t="s">
        <v>620</v>
      </c>
      <c r="G550" s="333">
        <v>2021</v>
      </c>
      <c r="H550" s="341" t="s">
        <v>733</v>
      </c>
      <c r="I550" s="336" t="str">
        <f t="shared" si="34"/>
        <v>Pesado de Passageiros M3: III : Gasóleo : E6</v>
      </c>
      <c r="J550" s="125">
        <v>85</v>
      </c>
      <c r="K550" s="125">
        <v>2022</v>
      </c>
      <c r="L550" s="85">
        <v>9173.75</v>
      </c>
      <c r="M550" s="85" t="s">
        <v>630</v>
      </c>
      <c r="N550" s="128">
        <v>26532</v>
      </c>
      <c r="O550" s="128">
        <f t="shared" si="35"/>
        <v>2255220</v>
      </c>
      <c r="P550" s="125" t="s">
        <v>1173</v>
      </c>
      <c r="Q550" s="85" t="s">
        <v>47</v>
      </c>
      <c r="R550" s="220" t="s">
        <v>1888</v>
      </c>
      <c r="S550" s="220" t="s">
        <v>1861</v>
      </c>
      <c r="T550" s="85" t="s">
        <v>1491</v>
      </c>
      <c r="U550" t="s">
        <v>1972</v>
      </c>
      <c r="V550" t="s">
        <v>2832</v>
      </c>
    </row>
    <row r="551" spans="1:22" ht="15.75" thickBot="1" x14ac:dyDescent="0.3">
      <c r="A551" s="82" t="s">
        <v>3506</v>
      </c>
      <c r="B551" s="82" t="str">
        <f t="shared" si="32"/>
        <v>Barraqueiro Transportes, S.A.</v>
      </c>
      <c r="C551" s="82" t="str">
        <f t="shared" si="33"/>
        <v>Mafrense</v>
      </c>
      <c r="D551" s="83" t="s">
        <v>629</v>
      </c>
      <c r="E551" s="91" t="s">
        <v>1853</v>
      </c>
      <c r="F551" s="124" t="s">
        <v>620</v>
      </c>
      <c r="G551" s="333">
        <v>2021</v>
      </c>
      <c r="H551" s="341" t="s">
        <v>733</v>
      </c>
      <c r="I551" s="336" t="str">
        <f t="shared" si="34"/>
        <v>Pesado de Passageiros M3: III : Gasóleo : E6</v>
      </c>
      <c r="J551" s="125">
        <v>85</v>
      </c>
      <c r="K551" s="125">
        <v>2022</v>
      </c>
      <c r="L551" s="85">
        <v>11408.109999999999</v>
      </c>
      <c r="M551" s="85" t="s">
        <v>630</v>
      </c>
      <c r="N551" s="128">
        <v>32014</v>
      </c>
      <c r="O551" s="128">
        <f t="shared" si="35"/>
        <v>2721190</v>
      </c>
      <c r="P551" s="125" t="s">
        <v>1174</v>
      </c>
      <c r="Q551" s="85" t="s">
        <v>47</v>
      </c>
      <c r="R551" s="220" t="s">
        <v>1888</v>
      </c>
      <c r="S551" s="220" t="s">
        <v>1861</v>
      </c>
      <c r="T551" s="85" t="s">
        <v>1491</v>
      </c>
      <c r="U551" t="s">
        <v>1972</v>
      </c>
      <c r="V551" t="s">
        <v>2832</v>
      </c>
    </row>
    <row r="552" spans="1:22" ht="15.75" thickBot="1" x14ac:dyDescent="0.3">
      <c r="A552" s="82" t="s">
        <v>3506</v>
      </c>
      <c r="B552" s="82" t="str">
        <f t="shared" si="32"/>
        <v>Barraqueiro Transportes, S.A.</v>
      </c>
      <c r="C552" s="82" t="str">
        <f t="shared" si="33"/>
        <v>Mafrense</v>
      </c>
      <c r="D552" s="83" t="s">
        <v>629</v>
      </c>
      <c r="E552" s="91" t="s">
        <v>1853</v>
      </c>
      <c r="F552" s="124" t="s">
        <v>620</v>
      </c>
      <c r="G552" s="333">
        <v>2021</v>
      </c>
      <c r="H552" s="341" t="s">
        <v>733</v>
      </c>
      <c r="I552" s="336" t="str">
        <f t="shared" si="34"/>
        <v>Pesado de Passageiros M3: III : Gasóleo : E6</v>
      </c>
      <c r="J552" s="125">
        <v>85</v>
      </c>
      <c r="K552" s="125">
        <v>2022</v>
      </c>
      <c r="L552" s="85">
        <v>7831.4900000000007</v>
      </c>
      <c r="M552" s="85" t="s">
        <v>630</v>
      </c>
      <c r="N552" s="128">
        <v>24279</v>
      </c>
      <c r="O552" s="128">
        <f t="shared" si="35"/>
        <v>2063715</v>
      </c>
      <c r="P552" s="125" t="s">
        <v>1175</v>
      </c>
      <c r="Q552" s="85" t="s">
        <v>47</v>
      </c>
      <c r="R552" s="220" t="s">
        <v>1888</v>
      </c>
      <c r="S552" s="220" t="s">
        <v>1861</v>
      </c>
      <c r="T552" s="85" t="s">
        <v>1491</v>
      </c>
      <c r="U552" t="s">
        <v>1972</v>
      </c>
      <c r="V552" t="s">
        <v>2832</v>
      </c>
    </row>
    <row r="553" spans="1:22" ht="15.75" thickBot="1" x14ac:dyDescent="0.3">
      <c r="A553" s="82" t="s">
        <v>3506</v>
      </c>
      <c r="B553" s="82" t="str">
        <f t="shared" si="32"/>
        <v>Barraqueiro Transportes, S.A.</v>
      </c>
      <c r="C553" s="82" t="str">
        <f t="shared" si="33"/>
        <v>Mafrense</v>
      </c>
      <c r="D553" s="83" t="s">
        <v>629</v>
      </c>
      <c r="E553" s="91" t="s">
        <v>1853</v>
      </c>
      <c r="F553" s="124" t="s">
        <v>620</v>
      </c>
      <c r="G553" s="333">
        <v>2021</v>
      </c>
      <c r="H553" s="341" t="s">
        <v>733</v>
      </c>
      <c r="I553" s="336" t="str">
        <f t="shared" si="34"/>
        <v>Pesado de Passageiros M3: III : Gasóleo : E6</v>
      </c>
      <c r="J553" s="125">
        <v>85</v>
      </c>
      <c r="K553" s="125">
        <v>2022</v>
      </c>
      <c r="L553" s="85">
        <v>8675.02</v>
      </c>
      <c r="M553" s="85" t="s">
        <v>630</v>
      </c>
      <c r="N553" s="128">
        <v>24459</v>
      </c>
      <c r="O553" s="128">
        <f t="shared" si="35"/>
        <v>2079015</v>
      </c>
      <c r="P553" s="125" t="s">
        <v>1176</v>
      </c>
      <c r="Q553" s="85" t="s">
        <v>47</v>
      </c>
      <c r="R553" s="220" t="s">
        <v>1888</v>
      </c>
      <c r="S553" s="220" t="s">
        <v>1861</v>
      </c>
      <c r="T553" s="85" t="s">
        <v>1491</v>
      </c>
      <c r="U553" t="s">
        <v>1972</v>
      </c>
      <c r="V553" t="s">
        <v>2832</v>
      </c>
    </row>
    <row r="554" spans="1:22" ht="15.75" thickBot="1" x14ac:dyDescent="0.3">
      <c r="A554" s="82" t="s">
        <v>3506</v>
      </c>
      <c r="B554" s="82" t="str">
        <f t="shared" si="32"/>
        <v>Barraqueiro Transportes, S.A.</v>
      </c>
      <c r="C554" s="82" t="str">
        <f t="shared" si="33"/>
        <v>Mafrense</v>
      </c>
      <c r="D554" s="83" t="s">
        <v>629</v>
      </c>
      <c r="E554" s="91" t="s">
        <v>1853</v>
      </c>
      <c r="F554" s="124" t="s">
        <v>620</v>
      </c>
      <c r="G554" s="333">
        <v>2021</v>
      </c>
      <c r="H554" s="341" t="s">
        <v>733</v>
      </c>
      <c r="I554" s="336" t="str">
        <f t="shared" si="34"/>
        <v>Pesado de Passageiros M3: III : Gasóleo : E6</v>
      </c>
      <c r="J554" s="125">
        <v>85</v>
      </c>
      <c r="K554" s="125">
        <v>2022</v>
      </c>
      <c r="L554" s="85">
        <v>7056.05</v>
      </c>
      <c r="M554" s="85" t="s">
        <v>630</v>
      </c>
      <c r="N554" s="128">
        <v>21050</v>
      </c>
      <c r="O554" s="128">
        <f t="shared" si="35"/>
        <v>1789250</v>
      </c>
      <c r="P554" s="125" t="s">
        <v>1177</v>
      </c>
      <c r="Q554" s="85" t="s">
        <v>47</v>
      </c>
      <c r="R554" s="220" t="s">
        <v>1888</v>
      </c>
      <c r="S554" s="220" t="s">
        <v>1861</v>
      </c>
      <c r="T554" s="85" t="s">
        <v>1491</v>
      </c>
      <c r="U554" t="s">
        <v>1972</v>
      </c>
      <c r="V554" t="s">
        <v>2832</v>
      </c>
    </row>
    <row r="555" spans="1:22" ht="15.75" thickBot="1" x14ac:dyDescent="0.3">
      <c r="A555" s="82" t="s">
        <v>3506</v>
      </c>
      <c r="B555" s="82" t="str">
        <f t="shared" si="32"/>
        <v>Barraqueiro Transportes, S.A.</v>
      </c>
      <c r="C555" s="82" t="str">
        <f t="shared" si="33"/>
        <v>Mafrense</v>
      </c>
      <c r="D555" s="83" t="s">
        <v>629</v>
      </c>
      <c r="E555" s="91" t="s">
        <v>1853</v>
      </c>
      <c r="F555" s="124" t="s">
        <v>620</v>
      </c>
      <c r="G555" s="333">
        <v>2021</v>
      </c>
      <c r="H555" s="341" t="s">
        <v>733</v>
      </c>
      <c r="I555" s="336" t="str">
        <f t="shared" si="34"/>
        <v>Pesado de Passageiros M3: III : Gasóleo : E6</v>
      </c>
      <c r="J555" s="125">
        <v>85</v>
      </c>
      <c r="K555" s="125">
        <v>2022</v>
      </c>
      <c r="L555" s="85">
        <v>7274.76</v>
      </c>
      <c r="M555" s="85" t="s">
        <v>630</v>
      </c>
      <c r="N555" s="128">
        <v>22545</v>
      </c>
      <c r="O555" s="128">
        <f t="shared" si="35"/>
        <v>1916325</v>
      </c>
      <c r="P555" s="125" t="s">
        <v>1178</v>
      </c>
      <c r="Q555" s="85" t="s">
        <v>47</v>
      </c>
      <c r="R555" s="220" t="s">
        <v>1888</v>
      </c>
      <c r="S555" s="220" t="s">
        <v>1861</v>
      </c>
      <c r="T555" s="85" t="s">
        <v>1491</v>
      </c>
      <c r="U555" t="s">
        <v>1972</v>
      </c>
      <c r="V555" t="s">
        <v>2832</v>
      </c>
    </row>
    <row r="556" spans="1:22" ht="15.75" thickBot="1" x14ac:dyDescent="0.3">
      <c r="A556" s="82" t="s">
        <v>3506</v>
      </c>
      <c r="B556" s="82" t="str">
        <f t="shared" si="32"/>
        <v>Barraqueiro Transportes, S.A.</v>
      </c>
      <c r="C556" s="82" t="str">
        <f t="shared" si="33"/>
        <v>Mafrense</v>
      </c>
      <c r="D556" s="83" t="s">
        <v>629</v>
      </c>
      <c r="E556" s="91" t="s">
        <v>1853</v>
      </c>
      <c r="F556" s="124" t="s">
        <v>620</v>
      </c>
      <c r="G556" s="333">
        <v>2021</v>
      </c>
      <c r="H556" s="341" t="s">
        <v>733</v>
      </c>
      <c r="I556" s="336" t="str">
        <f t="shared" si="34"/>
        <v>Pesado de Passageiros M3: III : Gasóleo : E6</v>
      </c>
      <c r="J556" s="125">
        <v>85</v>
      </c>
      <c r="K556" s="125">
        <v>2022</v>
      </c>
      <c r="L556" s="85">
        <v>6361.1</v>
      </c>
      <c r="M556" s="85" t="s">
        <v>630</v>
      </c>
      <c r="N556" s="128">
        <v>18383</v>
      </c>
      <c r="O556" s="128">
        <f t="shared" si="35"/>
        <v>1562555</v>
      </c>
      <c r="P556" s="125" t="s">
        <v>1179</v>
      </c>
      <c r="Q556" s="85" t="s">
        <v>47</v>
      </c>
      <c r="R556" s="220" t="s">
        <v>1888</v>
      </c>
      <c r="S556" s="220" t="s">
        <v>1861</v>
      </c>
      <c r="T556" s="85" t="s">
        <v>1491</v>
      </c>
      <c r="U556" t="s">
        <v>1972</v>
      </c>
      <c r="V556" t="s">
        <v>2832</v>
      </c>
    </row>
    <row r="557" spans="1:22" ht="15.75" thickBot="1" x14ac:dyDescent="0.3">
      <c r="A557" s="82" t="s">
        <v>3506</v>
      </c>
      <c r="B557" s="82" t="str">
        <f t="shared" si="32"/>
        <v>Barraqueiro Transportes, S.A.</v>
      </c>
      <c r="C557" s="82" t="str">
        <f t="shared" si="33"/>
        <v>Mafrense</v>
      </c>
      <c r="D557" s="83" t="s">
        <v>629</v>
      </c>
      <c r="E557" s="91" t="s">
        <v>1853</v>
      </c>
      <c r="F557" s="124" t="s">
        <v>620</v>
      </c>
      <c r="G557" s="333">
        <v>2021</v>
      </c>
      <c r="H557" s="341" t="s">
        <v>733</v>
      </c>
      <c r="I557" s="336" t="str">
        <f t="shared" si="34"/>
        <v>Pesado de Passageiros M3: III : Gasóleo : E6</v>
      </c>
      <c r="J557" s="125">
        <v>85</v>
      </c>
      <c r="K557" s="125">
        <v>2022</v>
      </c>
      <c r="L557" s="85">
        <v>7589.14</v>
      </c>
      <c r="M557" s="85" t="s">
        <v>630</v>
      </c>
      <c r="N557" s="128">
        <v>22124</v>
      </c>
      <c r="O557" s="128">
        <f t="shared" si="35"/>
        <v>1880540</v>
      </c>
      <c r="P557" s="125" t="s">
        <v>1180</v>
      </c>
      <c r="Q557" s="85" t="s">
        <v>47</v>
      </c>
      <c r="R557" s="220" t="s">
        <v>1888</v>
      </c>
      <c r="S557" s="220" t="s">
        <v>1861</v>
      </c>
      <c r="T557" s="85" t="s">
        <v>1491</v>
      </c>
      <c r="U557" t="s">
        <v>1972</v>
      </c>
      <c r="V557" t="s">
        <v>2832</v>
      </c>
    </row>
    <row r="558" spans="1:22" ht="15.75" thickBot="1" x14ac:dyDescent="0.3">
      <c r="A558" s="82" t="s">
        <v>3506</v>
      </c>
      <c r="B558" s="82" t="str">
        <f t="shared" si="32"/>
        <v>Barraqueiro Transportes, S.A.</v>
      </c>
      <c r="C558" s="82" t="str">
        <f t="shared" si="33"/>
        <v>Mafrense</v>
      </c>
      <c r="D558" s="83" t="s">
        <v>629</v>
      </c>
      <c r="E558" s="91" t="s">
        <v>1853</v>
      </c>
      <c r="F558" s="124" t="s">
        <v>620</v>
      </c>
      <c r="G558" s="333">
        <v>2021</v>
      </c>
      <c r="H558" s="341" t="s">
        <v>733</v>
      </c>
      <c r="I558" s="336" t="str">
        <f t="shared" si="34"/>
        <v>Pesado de Passageiros M3: III : Gasóleo : E6</v>
      </c>
      <c r="J558" s="125">
        <v>85</v>
      </c>
      <c r="K558" s="125">
        <v>2022</v>
      </c>
      <c r="L558" s="85">
        <v>10213.23</v>
      </c>
      <c r="M558" s="85" t="s">
        <v>630</v>
      </c>
      <c r="N558" s="128">
        <v>29396</v>
      </c>
      <c r="O558" s="128">
        <f t="shared" si="35"/>
        <v>2498660</v>
      </c>
      <c r="P558" s="125" t="s">
        <v>1181</v>
      </c>
      <c r="Q558" s="85" t="s">
        <v>47</v>
      </c>
      <c r="R558" s="220" t="s">
        <v>1888</v>
      </c>
      <c r="S558" s="220" t="s">
        <v>1861</v>
      </c>
      <c r="T558" s="85" t="s">
        <v>1491</v>
      </c>
      <c r="U558" t="s">
        <v>1972</v>
      </c>
      <c r="V558" t="s">
        <v>2832</v>
      </c>
    </row>
    <row r="559" spans="1:22" ht="15.75" thickBot="1" x14ac:dyDescent="0.3">
      <c r="A559" s="82" t="s">
        <v>3506</v>
      </c>
      <c r="B559" s="82" t="str">
        <f t="shared" si="32"/>
        <v>Barraqueiro Transportes, S.A.</v>
      </c>
      <c r="C559" s="82" t="str">
        <f t="shared" si="33"/>
        <v>Mafrense</v>
      </c>
      <c r="D559" s="83" t="s">
        <v>629</v>
      </c>
      <c r="E559" s="91" t="s">
        <v>1853</v>
      </c>
      <c r="F559" s="124" t="s">
        <v>620</v>
      </c>
      <c r="G559" s="333">
        <v>2021</v>
      </c>
      <c r="H559" s="341" t="s">
        <v>733</v>
      </c>
      <c r="I559" s="336" t="str">
        <f t="shared" si="34"/>
        <v>Pesado de Passageiros M3: III : Gasóleo : E6</v>
      </c>
      <c r="J559" s="125">
        <v>85</v>
      </c>
      <c r="K559" s="125">
        <v>2022</v>
      </c>
      <c r="L559" s="85">
        <v>11983.33</v>
      </c>
      <c r="M559" s="85" t="s">
        <v>630</v>
      </c>
      <c r="N559" s="128">
        <v>33444</v>
      </c>
      <c r="O559" s="128">
        <f t="shared" si="35"/>
        <v>2842740</v>
      </c>
      <c r="P559" s="125" t="s">
        <v>1182</v>
      </c>
      <c r="Q559" s="85" t="s">
        <v>47</v>
      </c>
      <c r="R559" s="220" t="s">
        <v>1888</v>
      </c>
      <c r="S559" s="220" t="s">
        <v>1861</v>
      </c>
      <c r="T559" s="85" t="s">
        <v>1491</v>
      </c>
      <c r="U559" t="s">
        <v>1972</v>
      </c>
      <c r="V559" t="s">
        <v>2832</v>
      </c>
    </row>
    <row r="560" spans="1:22" ht="15.75" thickBot="1" x14ac:dyDescent="0.3">
      <c r="A560" s="82" t="s">
        <v>3506</v>
      </c>
      <c r="B560" s="82" t="str">
        <f t="shared" si="32"/>
        <v>Barraqueiro Transportes, S.A.</v>
      </c>
      <c r="C560" s="82" t="str">
        <f t="shared" si="33"/>
        <v>Mafrense</v>
      </c>
      <c r="D560" s="83" t="s">
        <v>629</v>
      </c>
      <c r="E560" s="91" t="s">
        <v>1853</v>
      </c>
      <c r="F560" s="124" t="s">
        <v>620</v>
      </c>
      <c r="G560" s="333">
        <v>2022</v>
      </c>
      <c r="H560" s="341" t="s">
        <v>733</v>
      </c>
      <c r="I560" s="336" t="str">
        <f t="shared" si="34"/>
        <v>Pesado de Passageiros M3: III : Gasóleo : E6</v>
      </c>
      <c r="J560" s="125">
        <v>83</v>
      </c>
      <c r="K560" s="125">
        <v>2022</v>
      </c>
      <c r="L560" s="85">
        <v>4631.28</v>
      </c>
      <c r="M560" s="85" t="s">
        <v>630</v>
      </c>
      <c r="N560" s="128">
        <v>14319</v>
      </c>
      <c r="O560" s="128">
        <f t="shared" si="35"/>
        <v>1188477</v>
      </c>
      <c r="P560" s="125" t="s">
        <v>1183</v>
      </c>
      <c r="Q560" s="85" t="s">
        <v>47</v>
      </c>
      <c r="R560" s="220" t="s">
        <v>1888</v>
      </c>
      <c r="S560" s="220" t="s">
        <v>1861</v>
      </c>
      <c r="T560" s="85" t="s">
        <v>1491</v>
      </c>
      <c r="U560" t="s">
        <v>1972</v>
      </c>
      <c r="V560" t="s">
        <v>2832</v>
      </c>
    </row>
    <row r="561" spans="1:22" ht="15.75" thickBot="1" x14ac:dyDescent="0.3">
      <c r="A561" s="82" t="s">
        <v>3506</v>
      </c>
      <c r="B561" s="82" t="str">
        <f t="shared" si="32"/>
        <v>Barraqueiro Transportes, S.A.</v>
      </c>
      <c r="C561" s="82" t="str">
        <f t="shared" si="33"/>
        <v>Mafrense</v>
      </c>
      <c r="D561" s="83" t="s">
        <v>629</v>
      </c>
      <c r="E561" s="91" t="s">
        <v>1853</v>
      </c>
      <c r="F561" s="124" t="s">
        <v>620</v>
      </c>
      <c r="G561" s="333">
        <v>2022</v>
      </c>
      <c r="H561" s="341" t="s">
        <v>733</v>
      </c>
      <c r="I561" s="336" t="str">
        <f t="shared" si="34"/>
        <v>Pesado de Passageiros M3: III : Gasóleo : E6</v>
      </c>
      <c r="J561" s="125">
        <v>83</v>
      </c>
      <c r="K561" s="125">
        <v>2022</v>
      </c>
      <c r="L561" s="85">
        <v>70</v>
      </c>
      <c r="M561" s="85" t="s">
        <v>630</v>
      </c>
      <c r="N561" s="128">
        <v>233</v>
      </c>
      <c r="O561" s="128">
        <f t="shared" si="35"/>
        <v>19339</v>
      </c>
      <c r="P561" s="125" t="s">
        <v>1184</v>
      </c>
      <c r="Q561" s="85" t="s">
        <v>47</v>
      </c>
      <c r="R561" s="220" t="s">
        <v>1888</v>
      </c>
      <c r="S561" s="220" t="s">
        <v>1861</v>
      </c>
      <c r="T561" s="85" t="s">
        <v>1491</v>
      </c>
      <c r="U561" t="s">
        <v>1972</v>
      </c>
      <c r="V561" t="s">
        <v>2832</v>
      </c>
    </row>
    <row r="562" spans="1:22" ht="15.75" thickBot="1" x14ac:dyDescent="0.3">
      <c r="A562" s="82" t="s">
        <v>3506</v>
      </c>
      <c r="B562" s="82" t="str">
        <f t="shared" si="32"/>
        <v>Barraqueiro Transportes, S.A.</v>
      </c>
      <c r="C562" s="82" t="str">
        <f t="shared" si="33"/>
        <v>Mafrense</v>
      </c>
      <c r="D562" s="83" t="s">
        <v>629</v>
      </c>
      <c r="E562" s="91" t="s">
        <v>1853</v>
      </c>
      <c r="F562" s="124" t="s">
        <v>620</v>
      </c>
      <c r="G562" s="333">
        <v>2022</v>
      </c>
      <c r="H562" s="341" t="s">
        <v>733</v>
      </c>
      <c r="I562" s="336" t="str">
        <f t="shared" si="34"/>
        <v>Pesado de Passageiros M3: III : Gasóleo : E6</v>
      </c>
      <c r="J562" s="125">
        <v>83</v>
      </c>
      <c r="K562" s="125">
        <v>2022</v>
      </c>
      <c r="L562" s="85">
        <v>50</v>
      </c>
      <c r="M562" s="85" t="s">
        <v>630</v>
      </c>
      <c r="N562" s="128">
        <v>166</v>
      </c>
      <c r="O562" s="128">
        <f t="shared" si="35"/>
        <v>13778</v>
      </c>
      <c r="P562" s="125" t="s">
        <v>1185</v>
      </c>
      <c r="Q562" s="85" t="s">
        <v>47</v>
      </c>
      <c r="R562" s="220" t="s">
        <v>1888</v>
      </c>
      <c r="S562" s="220" t="s">
        <v>1861</v>
      </c>
      <c r="T562" s="85" t="s">
        <v>1491</v>
      </c>
      <c r="U562" t="s">
        <v>1972</v>
      </c>
      <c r="V562" t="s">
        <v>2832</v>
      </c>
    </row>
    <row r="563" spans="1:22" ht="15.75" thickBot="1" x14ac:dyDescent="0.3">
      <c r="A563" s="82" t="s">
        <v>3506</v>
      </c>
      <c r="B563" s="82" t="str">
        <f t="shared" si="32"/>
        <v>Barraqueiro Transportes, S.A.</v>
      </c>
      <c r="C563" s="82" t="str">
        <f t="shared" si="33"/>
        <v>Mafrense</v>
      </c>
      <c r="D563" s="83" t="s">
        <v>629</v>
      </c>
      <c r="E563" s="91" t="s">
        <v>1853</v>
      </c>
      <c r="F563" s="124" t="s">
        <v>620</v>
      </c>
      <c r="G563" s="333">
        <v>2022</v>
      </c>
      <c r="H563" s="341" t="s">
        <v>733</v>
      </c>
      <c r="I563" s="336" t="str">
        <f t="shared" si="34"/>
        <v>Pesado de Passageiros M3: III : Gasóleo : E6</v>
      </c>
      <c r="J563" s="125">
        <v>83</v>
      </c>
      <c r="K563" s="125">
        <v>2022</v>
      </c>
      <c r="L563" s="85">
        <v>2064.62</v>
      </c>
      <c r="M563" s="85" t="s">
        <v>630</v>
      </c>
      <c r="N563" s="128">
        <v>5648</v>
      </c>
      <c r="O563" s="128">
        <f t="shared" si="35"/>
        <v>468784</v>
      </c>
      <c r="P563" s="125" t="s">
        <v>1186</v>
      </c>
      <c r="Q563" s="85" t="s">
        <v>47</v>
      </c>
      <c r="R563" s="220" t="s">
        <v>1888</v>
      </c>
      <c r="S563" s="220" t="s">
        <v>1861</v>
      </c>
      <c r="T563" s="85" t="s">
        <v>1491</v>
      </c>
      <c r="U563" t="s">
        <v>1972</v>
      </c>
      <c r="V563" t="s">
        <v>2832</v>
      </c>
    </row>
    <row r="564" spans="1:22" ht="15.75" thickBot="1" x14ac:dyDescent="0.3">
      <c r="A564" s="82" t="s">
        <v>3506</v>
      </c>
      <c r="B564" s="82" t="str">
        <f t="shared" si="32"/>
        <v>Barraqueiro Transportes, S.A.</v>
      </c>
      <c r="C564" s="82" t="str">
        <f t="shared" si="33"/>
        <v>Mafrense</v>
      </c>
      <c r="D564" s="83" t="s">
        <v>629</v>
      </c>
      <c r="E564" s="91" t="s">
        <v>1853</v>
      </c>
      <c r="F564" s="124" t="s">
        <v>620</v>
      </c>
      <c r="G564" s="333">
        <v>2022</v>
      </c>
      <c r="H564" s="341" t="s">
        <v>733</v>
      </c>
      <c r="I564" s="336" t="str">
        <f t="shared" si="34"/>
        <v>Pesado de Passageiros M3: III : Gasóleo : E6</v>
      </c>
      <c r="J564" s="125">
        <v>83</v>
      </c>
      <c r="K564" s="125">
        <v>2022</v>
      </c>
      <c r="L564" s="85">
        <v>3582.8500000000004</v>
      </c>
      <c r="M564" s="85" t="s">
        <v>630</v>
      </c>
      <c r="N564" s="128">
        <v>9450</v>
      </c>
      <c r="O564" s="128">
        <f t="shared" si="35"/>
        <v>784350</v>
      </c>
      <c r="P564" s="125" t="s">
        <v>1187</v>
      </c>
      <c r="Q564" s="85" t="s">
        <v>47</v>
      </c>
      <c r="R564" s="220" t="s">
        <v>1888</v>
      </c>
      <c r="S564" s="220" t="s">
        <v>1861</v>
      </c>
      <c r="T564" s="85" t="s">
        <v>1491</v>
      </c>
      <c r="U564" t="s">
        <v>1972</v>
      </c>
      <c r="V564" t="s">
        <v>2832</v>
      </c>
    </row>
    <row r="565" spans="1:22" ht="15.75" thickBot="1" x14ac:dyDescent="0.3">
      <c r="A565" s="82" t="s">
        <v>3506</v>
      </c>
      <c r="B565" s="82" t="str">
        <f t="shared" si="32"/>
        <v>Barraqueiro Transportes, S.A.</v>
      </c>
      <c r="C565" s="82" t="str">
        <f t="shared" si="33"/>
        <v>Mafrense</v>
      </c>
      <c r="D565" s="83" t="s">
        <v>629</v>
      </c>
      <c r="E565" s="91" t="s">
        <v>1853</v>
      </c>
      <c r="F565" s="124" t="s">
        <v>620</v>
      </c>
      <c r="G565" s="333">
        <v>2022</v>
      </c>
      <c r="H565" s="341" t="s">
        <v>733</v>
      </c>
      <c r="I565" s="336" t="str">
        <f t="shared" si="34"/>
        <v>Pesado de Passageiros M3: III : Gasóleo : E6</v>
      </c>
      <c r="J565" s="125">
        <v>83</v>
      </c>
      <c r="K565" s="125">
        <v>2022</v>
      </c>
      <c r="L565" s="85">
        <v>60</v>
      </c>
      <c r="M565" s="85" t="s">
        <v>630</v>
      </c>
      <c r="N565" s="128">
        <v>200</v>
      </c>
      <c r="O565" s="128">
        <f t="shared" si="35"/>
        <v>16600</v>
      </c>
      <c r="P565" s="125" t="s">
        <v>1188</v>
      </c>
      <c r="Q565" s="85" t="s">
        <v>47</v>
      </c>
      <c r="R565" s="220" t="s">
        <v>1888</v>
      </c>
      <c r="S565" s="220" t="s">
        <v>1861</v>
      </c>
      <c r="T565" s="85" t="s">
        <v>1491</v>
      </c>
      <c r="U565" t="s">
        <v>1972</v>
      </c>
      <c r="V565" t="s">
        <v>2832</v>
      </c>
    </row>
    <row r="566" spans="1:22" ht="15.75" thickBot="1" x14ac:dyDescent="0.3">
      <c r="A566" s="82" t="s">
        <v>3506</v>
      </c>
      <c r="B566" s="82" t="str">
        <f t="shared" si="32"/>
        <v>Barraqueiro Transportes, S.A.</v>
      </c>
      <c r="C566" s="82" t="str">
        <f t="shared" si="33"/>
        <v>Mafrense</v>
      </c>
      <c r="D566" s="83" t="s">
        <v>629</v>
      </c>
      <c r="E566" s="91" t="s">
        <v>1853</v>
      </c>
      <c r="F566" s="124" t="s">
        <v>620</v>
      </c>
      <c r="G566" s="333">
        <v>2022</v>
      </c>
      <c r="H566" s="341" t="s">
        <v>733</v>
      </c>
      <c r="I566" s="336" t="str">
        <f t="shared" si="34"/>
        <v>Pesado de Passageiros M3: III : Gasóleo : E6</v>
      </c>
      <c r="J566" s="125">
        <v>83</v>
      </c>
      <c r="K566" s="125">
        <v>2022</v>
      </c>
      <c r="L566" s="85">
        <v>60</v>
      </c>
      <c r="M566" s="85" t="s">
        <v>630</v>
      </c>
      <c r="N566" s="128">
        <v>200</v>
      </c>
      <c r="O566" s="128">
        <f t="shared" si="35"/>
        <v>16600</v>
      </c>
      <c r="P566" s="125" t="s">
        <v>1189</v>
      </c>
      <c r="Q566" s="85" t="s">
        <v>47</v>
      </c>
      <c r="R566" s="220" t="s">
        <v>1888</v>
      </c>
      <c r="S566" s="220" t="s">
        <v>1861</v>
      </c>
      <c r="T566" s="85" t="s">
        <v>1491</v>
      </c>
      <c r="U566" t="s">
        <v>1972</v>
      </c>
      <c r="V566" t="s">
        <v>2832</v>
      </c>
    </row>
    <row r="567" spans="1:22" ht="15.75" thickBot="1" x14ac:dyDescent="0.3">
      <c r="A567" s="82" t="s">
        <v>3506</v>
      </c>
      <c r="B567" s="82" t="str">
        <f t="shared" si="32"/>
        <v>Barraqueiro Transportes, S.A.</v>
      </c>
      <c r="C567" s="82" t="str">
        <f t="shared" si="33"/>
        <v>Mafrense</v>
      </c>
      <c r="D567" s="83" t="s">
        <v>629</v>
      </c>
      <c r="E567" s="91" t="s">
        <v>1853</v>
      </c>
      <c r="F567" s="124" t="s">
        <v>620</v>
      </c>
      <c r="G567" s="333">
        <v>2022</v>
      </c>
      <c r="H567" s="341" t="s">
        <v>733</v>
      </c>
      <c r="I567" s="336" t="str">
        <f t="shared" si="34"/>
        <v>Pesado de Passageiros M3: III : Gasóleo : E6</v>
      </c>
      <c r="J567" s="125">
        <v>83</v>
      </c>
      <c r="K567" s="125">
        <v>2022</v>
      </c>
      <c r="L567" s="85">
        <v>4620.53</v>
      </c>
      <c r="M567" s="85" t="s">
        <v>630</v>
      </c>
      <c r="N567" s="128">
        <v>13694</v>
      </c>
      <c r="O567" s="128">
        <f t="shared" si="35"/>
        <v>1136602</v>
      </c>
      <c r="P567" s="125" t="s">
        <v>1190</v>
      </c>
      <c r="Q567" s="85" t="s">
        <v>47</v>
      </c>
      <c r="R567" s="220" t="s">
        <v>1888</v>
      </c>
      <c r="S567" s="220" t="s">
        <v>1861</v>
      </c>
      <c r="T567" s="85" t="s">
        <v>1491</v>
      </c>
      <c r="U567" t="s">
        <v>1972</v>
      </c>
      <c r="V567" t="s">
        <v>2832</v>
      </c>
    </row>
    <row r="568" spans="1:22" ht="15.75" thickBot="1" x14ac:dyDescent="0.3">
      <c r="A568" s="82" t="s">
        <v>3506</v>
      </c>
      <c r="B568" s="82" t="str">
        <f t="shared" si="32"/>
        <v>Barraqueiro Transportes, S.A.</v>
      </c>
      <c r="C568" s="82" t="str">
        <f t="shared" si="33"/>
        <v>Mafrense</v>
      </c>
      <c r="D568" s="83" t="s">
        <v>629</v>
      </c>
      <c r="E568" s="91" t="s">
        <v>1853</v>
      </c>
      <c r="F568" s="124" t="s">
        <v>620</v>
      </c>
      <c r="G568" s="333">
        <v>2022</v>
      </c>
      <c r="H568" s="341" t="s">
        <v>733</v>
      </c>
      <c r="I568" s="336" t="str">
        <f t="shared" si="34"/>
        <v>Pesado de Passageiros M3: III : Gasóleo : E6</v>
      </c>
      <c r="J568" s="125">
        <v>83</v>
      </c>
      <c r="K568" s="125">
        <v>2022</v>
      </c>
      <c r="L568" s="85">
        <v>50</v>
      </c>
      <c r="M568" s="85" t="s">
        <v>630</v>
      </c>
      <c r="N568" s="128">
        <v>166</v>
      </c>
      <c r="O568" s="128">
        <f t="shared" si="35"/>
        <v>13778</v>
      </c>
      <c r="P568" s="125" t="s">
        <v>1191</v>
      </c>
      <c r="Q568" s="85" t="s">
        <v>47</v>
      </c>
      <c r="R568" s="220" t="s">
        <v>1888</v>
      </c>
      <c r="S568" s="220" t="s">
        <v>1861</v>
      </c>
      <c r="T568" s="85" t="s">
        <v>1491</v>
      </c>
      <c r="U568" t="s">
        <v>1972</v>
      </c>
      <c r="V568" t="s">
        <v>2832</v>
      </c>
    </row>
    <row r="569" spans="1:22" ht="15.75" thickBot="1" x14ac:dyDescent="0.3">
      <c r="A569" s="82" t="s">
        <v>3506</v>
      </c>
      <c r="B569" s="82" t="str">
        <f t="shared" si="32"/>
        <v>Barraqueiro Transportes, S.A.</v>
      </c>
      <c r="C569" s="82" t="str">
        <f t="shared" si="33"/>
        <v>Mafrense</v>
      </c>
      <c r="D569" s="83" t="s">
        <v>629</v>
      </c>
      <c r="E569" s="91" t="s">
        <v>1853</v>
      </c>
      <c r="F569" s="124" t="s">
        <v>620</v>
      </c>
      <c r="G569" s="333">
        <v>2022</v>
      </c>
      <c r="H569" s="341" t="s">
        <v>733</v>
      </c>
      <c r="I569" s="336" t="str">
        <f t="shared" si="34"/>
        <v>Pesado de Passageiros M3: III : Gasóleo : E6</v>
      </c>
      <c r="J569" s="125">
        <v>83</v>
      </c>
      <c r="K569" s="125">
        <v>2022</v>
      </c>
      <c r="L569" s="85">
        <v>2340.9700000000003</v>
      </c>
      <c r="M569" s="85" t="s">
        <v>630</v>
      </c>
      <c r="N569" s="128">
        <v>7081</v>
      </c>
      <c r="O569" s="128">
        <f t="shared" si="35"/>
        <v>587723</v>
      </c>
      <c r="P569" s="125" t="s">
        <v>1192</v>
      </c>
      <c r="Q569" s="85" t="s">
        <v>47</v>
      </c>
      <c r="R569" s="220" t="s">
        <v>1888</v>
      </c>
      <c r="S569" s="220" t="s">
        <v>1861</v>
      </c>
      <c r="T569" s="85" t="s">
        <v>1491</v>
      </c>
      <c r="U569" t="s">
        <v>1972</v>
      </c>
      <c r="V569" t="s">
        <v>2832</v>
      </c>
    </row>
    <row r="570" spans="1:22" ht="15.75" thickBot="1" x14ac:dyDescent="0.3">
      <c r="A570" s="82" t="s">
        <v>3506</v>
      </c>
      <c r="B570" s="82" t="str">
        <f t="shared" si="32"/>
        <v>Barraqueiro Transportes, S.A.</v>
      </c>
      <c r="C570" s="82" t="str">
        <f t="shared" si="33"/>
        <v>Mafrense</v>
      </c>
      <c r="D570" s="83" t="s">
        <v>629</v>
      </c>
      <c r="E570" s="91" t="s">
        <v>1853</v>
      </c>
      <c r="F570" s="124" t="s">
        <v>620</v>
      </c>
      <c r="G570" s="333">
        <v>2022</v>
      </c>
      <c r="H570" s="341" t="s">
        <v>733</v>
      </c>
      <c r="I570" s="336" t="str">
        <f t="shared" si="34"/>
        <v>Pesado de Passageiros M3: III : Gasóleo : E6</v>
      </c>
      <c r="J570" s="125">
        <v>83</v>
      </c>
      <c r="K570" s="125">
        <v>2022</v>
      </c>
      <c r="L570" s="85">
        <v>50</v>
      </c>
      <c r="M570" s="85" t="s">
        <v>630</v>
      </c>
      <c r="N570" s="128">
        <v>166</v>
      </c>
      <c r="O570" s="128">
        <f t="shared" si="35"/>
        <v>13778</v>
      </c>
      <c r="P570" s="125" t="s">
        <v>1193</v>
      </c>
      <c r="Q570" s="85" t="s">
        <v>47</v>
      </c>
      <c r="R570" s="220" t="s">
        <v>1888</v>
      </c>
      <c r="S570" s="220" t="s">
        <v>1861</v>
      </c>
      <c r="T570" s="85" t="s">
        <v>1491</v>
      </c>
      <c r="U570" t="s">
        <v>1972</v>
      </c>
      <c r="V570" t="s">
        <v>2832</v>
      </c>
    </row>
    <row r="571" spans="1:22" ht="15.75" thickBot="1" x14ac:dyDescent="0.3">
      <c r="A571" s="82" t="s">
        <v>3506</v>
      </c>
      <c r="B571" s="82" t="str">
        <f t="shared" si="32"/>
        <v>Barraqueiro Transportes, S.A.</v>
      </c>
      <c r="C571" s="82" t="str">
        <f t="shared" si="33"/>
        <v>Mafrense</v>
      </c>
      <c r="D571" s="83" t="s">
        <v>629</v>
      </c>
      <c r="E571" s="91" t="s">
        <v>1853</v>
      </c>
      <c r="F571" s="124" t="s">
        <v>620</v>
      </c>
      <c r="G571" s="333">
        <v>2022</v>
      </c>
      <c r="H571" s="341" t="s">
        <v>733</v>
      </c>
      <c r="I571" s="336" t="str">
        <f t="shared" si="34"/>
        <v>Pesado de Passageiros M3: III : Gasóleo : E6</v>
      </c>
      <c r="J571" s="125">
        <v>83</v>
      </c>
      <c r="K571" s="125">
        <v>2022</v>
      </c>
      <c r="L571" s="85">
        <v>4419.59</v>
      </c>
      <c r="M571" s="85" t="s">
        <v>630</v>
      </c>
      <c r="N571" s="128">
        <v>12826</v>
      </c>
      <c r="O571" s="128">
        <f t="shared" si="35"/>
        <v>1064558</v>
      </c>
      <c r="P571" s="125" t="s">
        <v>1194</v>
      </c>
      <c r="Q571" s="85" t="s">
        <v>47</v>
      </c>
      <c r="R571" s="220" t="s">
        <v>1888</v>
      </c>
      <c r="S571" s="220" t="s">
        <v>1861</v>
      </c>
      <c r="T571" s="85" t="s">
        <v>1491</v>
      </c>
      <c r="U571" t="s">
        <v>1972</v>
      </c>
      <c r="V571" t="s">
        <v>2832</v>
      </c>
    </row>
    <row r="572" spans="1:22" ht="15.75" thickBot="1" x14ac:dyDescent="0.3">
      <c r="A572" s="82" t="s">
        <v>3506</v>
      </c>
      <c r="B572" s="82" t="str">
        <f t="shared" si="32"/>
        <v>Barraqueiro Transportes, S.A.</v>
      </c>
      <c r="C572" s="82" t="str">
        <f t="shared" si="33"/>
        <v>Mafrense</v>
      </c>
      <c r="D572" s="83" t="s">
        <v>629</v>
      </c>
      <c r="E572" s="91" t="s">
        <v>1853</v>
      </c>
      <c r="F572" s="124" t="s">
        <v>620</v>
      </c>
      <c r="G572" s="333">
        <v>2022</v>
      </c>
      <c r="H572" s="341" t="s">
        <v>733</v>
      </c>
      <c r="I572" s="336" t="str">
        <f t="shared" si="34"/>
        <v>Pesado de Passageiros M3: III : Gasóleo : E6</v>
      </c>
      <c r="J572" s="125">
        <v>83</v>
      </c>
      <c r="K572" s="125">
        <v>2022</v>
      </c>
      <c r="L572" s="85">
        <v>2852.27</v>
      </c>
      <c r="M572" s="85" t="s">
        <v>630</v>
      </c>
      <c r="N572" s="128">
        <v>8342</v>
      </c>
      <c r="O572" s="128">
        <f t="shared" si="35"/>
        <v>692386</v>
      </c>
      <c r="P572" s="125" t="s">
        <v>1195</v>
      </c>
      <c r="Q572" s="85" t="s">
        <v>47</v>
      </c>
      <c r="R572" s="220" t="s">
        <v>1888</v>
      </c>
      <c r="S572" s="220" t="s">
        <v>1861</v>
      </c>
      <c r="T572" s="85" t="s">
        <v>1491</v>
      </c>
      <c r="U572" t="s">
        <v>1972</v>
      </c>
      <c r="V572" t="s">
        <v>2832</v>
      </c>
    </row>
    <row r="573" spans="1:22" ht="15.75" thickBot="1" x14ac:dyDescent="0.3">
      <c r="A573" s="82" t="s">
        <v>3506</v>
      </c>
      <c r="B573" s="82" t="str">
        <f t="shared" si="32"/>
        <v>Barraqueiro Transportes, S.A.</v>
      </c>
      <c r="C573" s="82" t="str">
        <f t="shared" si="33"/>
        <v>Mafrense</v>
      </c>
      <c r="D573" s="83" t="s">
        <v>629</v>
      </c>
      <c r="E573" s="91" t="s">
        <v>1853</v>
      </c>
      <c r="F573" s="124" t="s">
        <v>620</v>
      </c>
      <c r="G573" s="333">
        <v>2019</v>
      </c>
      <c r="H573" s="341" t="s">
        <v>733</v>
      </c>
      <c r="I573" s="336" t="str">
        <f t="shared" si="34"/>
        <v>Pesado de Passageiros M3: III : Gasóleo : E6</v>
      </c>
      <c r="J573" s="125">
        <v>29</v>
      </c>
      <c r="K573" s="125">
        <v>2022</v>
      </c>
      <c r="L573" s="85">
        <v>132.01</v>
      </c>
      <c r="M573" s="85" t="s">
        <v>630</v>
      </c>
      <c r="N573" s="128">
        <v>660</v>
      </c>
      <c r="O573" s="128">
        <f t="shared" si="35"/>
        <v>19140</v>
      </c>
      <c r="P573" s="125" t="s">
        <v>1196</v>
      </c>
      <c r="Q573" s="85" t="s">
        <v>47</v>
      </c>
      <c r="R573" s="220" t="s">
        <v>1888</v>
      </c>
      <c r="S573" s="220" t="s">
        <v>1861</v>
      </c>
      <c r="T573" s="85" t="s">
        <v>1491</v>
      </c>
      <c r="U573" t="s">
        <v>1972</v>
      </c>
      <c r="V573" t="s">
        <v>2832</v>
      </c>
    </row>
    <row r="574" spans="1:22" ht="15.75" thickBot="1" x14ac:dyDescent="0.3">
      <c r="A574" s="82" t="s">
        <v>3506</v>
      </c>
      <c r="B574" s="82" t="str">
        <f t="shared" si="32"/>
        <v>Barraqueiro Transportes, S.A.</v>
      </c>
      <c r="C574" s="82" t="str">
        <f t="shared" si="33"/>
        <v>Mafrense</v>
      </c>
      <c r="D574" s="83" t="s">
        <v>629</v>
      </c>
      <c r="E574" s="91" t="s">
        <v>1853</v>
      </c>
      <c r="F574" s="124" t="s">
        <v>620</v>
      </c>
      <c r="G574" s="333">
        <v>2019</v>
      </c>
      <c r="H574" s="341" t="s">
        <v>733</v>
      </c>
      <c r="I574" s="336" t="str">
        <f t="shared" si="34"/>
        <v>Pesado de Passageiros M3: III : Gasóleo : E6</v>
      </c>
      <c r="J574" s="125">
        <v>29</v>
      </c>
      <c r="K574" s="125">
        <v>2022</v>
      </c>
      <c r="L574" s="85">
        <v>108.05</v>
      </c>
      <c r="M574" s="85" t="s">
        <v>630</v>
      </c>
      <c r="N574" s="128">
        <v>491</v>
      </c>
      <c r="O574" s="128">
        <f t="shared" si="35"/>
        <v>14239</v>
      </c>
      <c r="P574" s="125" t="s">
        <v>1197</v>
      </c>
      <c r="Q574" s="85" t="s">
        <v>47</v>
      </c>
      <c r="R574" s="220" t="s">
        <v>1888</v>
      </c>
      <c r="S574" s="220" t="s">
        <v>1861</v>
      </c>
      <c r="T574" s="85" t="s">
        <v>1491</v>
      </c>
      <c r="U574" t="s">
        <v>1972</v>
      </c>
      <c r="V574" t="s">
        <v>2832</v>
      </c>
    </row>
    <row r="575" spans="1:22" ht="15.75" thickBot="1" x14ac:dyDescent="0.3">
      <c r="A575" s="82" t="s">
        <v>3506</v>
      </c>
      <c r="B575" s="82" t="str">
        <f t="shared" si="32"/>
        <v>Barraqueiro Transportes, S.A.</v>
      </c>
      <c r="C575" s="82" t="str">
        <f t="shared" si="33"/>
        <v>Mafrense</v>
      </c>
      <c r="D575" s="83" t="s">
        <v>629</v>
      </c>
      <c r="E575" s="91" t="s">
        <v>1853</v>
      </c>
      <c r="F575" s="124" t="s">
        <v>620</v>
      </c>
      <c r="G575" s="333">
        <v>2022</v>
      </c>
      <c r="H575" s="341" t="s">
        <v>733</v>
      </c>
      <c r="I575" s="336" t="str">
        <f t="shared" si="34"/>
        <v>Pesado de Passageiros M3: III : Gasóleo : E6</v>
      </c>
      <c r="J575" s="125">
        <v>83</v>
      </c>
      <c r="K575" s="125">
        <v>2022</v>
      </c>
      <c r="L575" s="85">
        <v>101.8</v>
      </c>
      <c r="M575" s="85" t="s">
        <v>630</v>
      </c>
      <c r="N575" s="128">
        <v>339</v>
      </c>
      <c r="O575" s="128">
        <f t="shared" si="35"/>
        <v>28137</v>
      </c>
      <c r="P575" s="125" t="s">
        <v>1198</v>
      </c>
      <c r="Q575" s="85" t="s">
        <v>47</v>
      </c>
      <c r="R575" s="220" t="s">
        <v>1888</v>
      </c>
      <c r="S575" s="220" t="s">
        <v>1861</v>
      </c>
      <c r="T575" s="85" t="s">
        <v>1491</v>
      </c>
      <c r="U575" t="s">
        <v>1972</v>
      </c>
      <c r="V575" t="s">
        <v>2832</v>
      </c>
    </row>
    <row r="576" spans="1:22" ht="15.75" thickBot="1" x14ac:dyDescent="0.3">
      <c r="A576" s="82" t="s">
        <v>3506</v>
      </c>
      <c r="B576" s="82" t="str">
        <f t="shared" si="32"/>
        <v>Barraqueiro Transportes, S.A.</v>
      </c>
      <c r="C576" s="82" t="str">
        <f t="shared" si="33"/>
        <v>Mafrense</v>
      </c>
      <c r="D576" s="83" t="s">
        <v>629</v>
      </c>
      <c r="E576" s="91" t="s">
        <v>1853</v>
      </c>
      <c r="F576" s="124" t="s">
        <v>620</v>
      </c>
      <c r="G576" s="333">
        <v>2022</v>
      </c>
      <c r="H576" s="341" t="s">
        <v>733</v>
      </c>
      <c r="I576" s="336" t="str">
        <f t="shared" si="34"/>
        <v>Pesado de Passageiros M3: III : Gasóleo : E6</v>
      </c>
      <c r="J576" s="125">
        <v>83</v>
      </c>
      <c r="K576" s="125">
        <v>2022</v>
      </c>
      <c r="L576" s="85">
        <v>50</v>
      </c>
      <c r="M576" s="85" t="s">
        <v>630</v>
      </c>
      <c r="N576" s="128">
        <v>166</v>
      </c>
      <c r="O576" s="128">
        <f t="shared" si="35"/>
        <v>13778</v>
      </c>
      <c r="P576" s="125" t="s">
        <v>1199</v>
      </c>
      <c r="Q576" s="85" t="s">
        <v>47</v>
      </c>
      <c r="R576" s="220" t="s">
        <v>1888</v>
      </c>
      <c r="S576" s="220" t="s">
        <v>1861</v>
      </c>
      <c r="T576" s="85" t="s">
        <v>1491</v>
      </c>
      <c r="U576" t="s">
        <v>1972</v>
      </c>
      <c r="V576" t="s">
        <v>2832</v>
      </c>
    </row>
    <row r="577" spans="1:22" ht="15.75" thickBot="1" x14ac:dyDescent="0.3">
      <c r="A577" s="82" t="s">
        <v>3506</v>
      </c>
      <c r="B577" s="82" t="str">
        <f t="shared" si="32"/>
        <v>Barraqueiro Transportes, S.A.</v>
      </c>
      <c r="C577" s="82" t="str">
        <f t="shared" si="33"/>
        <v>Mafrense</v>
      </c>
      <c r="D577" s="83" t="s">
        <v>629</v>
      </c>
      <c r="E577" s="91" t="s">
        <v>1853</v>
      </c>
      <c r="F577" s="124" t="s">
        <v>620</v>
      </c>
      <c r="G577" s="333">
        <v>2022</v>
      </c>
      <c r="H577" s="341" t="s">
        <v>733</v>
      </c>
      <c r="I577" s="336" t="str">
        <f t="shared" si="34"/>
        <v>Pesado de Passageiros M3: III : Gasóleo : E6</v>
      </c>
      <c r="J577" s="125">
        <v>83</v>
      </c>
      <c r="K577" s="125">
        <v>2022</v>
      </c>
      <c r="L577" s="85">
        <v>50</v>
      </c>
      <c r="M577" s="85" t="s">
        <v>630</v>
      </c>
      <c r="N577" s="128">
        <v>166</v>
      </c>
      <c r="O577" s="128">
        <f t="shared" si="35"/>
        <v>13778</v>
      </c>
      <c r="P577" s="125" t="s">
        <v>1200</v>
      </c>
      <c r="Q577" s="85" t="s">
        <v>47</v>
      </c>
      <c r="R577" s="220" t="s">
        <v>1888</v>
      </c>
      <c r="S577" s="220" t="s">
        <v>1861</v>
      </c>
      <c r="T577" s="85" t="s">
        <v>1491</v>
      </c>
      <c r="U577" t="s">
        <v>1972</v>
      </c>
      <c r="V577" t="s">
        <v>2832</v>
      </c>
    </row>
    <row r="578" spans="1:22" ht="15.75" thickBot="1" x14ac:dyDescent="0.3">
      <c r="A578" s="82" t="s">
        <v>3506</v>
      </c>
      <c r="B578" s="82" t="str">
        <f t="shared" si="32"/>
        <v>Barraqueiro Transportes, S.A.</v>
      </c>
      <c r="C578" s="82" t="str">
        <f t="shared" si="33"/>
        <v>Mafrense</v>
      </c>
      <c r="D578" s="83" t="s">
        <v>629</v>
      </c>
      <c r="E578" s="91" t="s">
        <v>1853</v>
      </c>
      <c r="F578" s="124" t="s">
        <v>620</v>
      </c>
      <c r="G578" s="333">
        <v>2022</v>
      </c>
      <c r="H578" s="341" t="s">
        <v>733</v>
      </c>
      <c r="I578" s="336" t="str">
        <f t="shared" si="34"/>
        <v>Pesado de Passageiros M3: III : Gasóleo : E6</v>
      </c>
      <c r="J578" s="125">
        <v>83</v>
      </c>
      <c r="K578" s="125">
        <v>2022</v>
      </c>
      <c r="L578" s="85">
        <v>100.04</v>
      </c>
      <c r="M578" s="85" t="s">
        <v>630</v>
      </c>
      <c r="N578" s="128">
        <v>333</v>
      </c>
      <c r="O578" s="128">
        <f t="shared" si="35"/>
        <v>27639</v>
      </c>
      <c r="P578" s="125" t="s">
        <v>1201</v>
      </c>
      <c r="Q578" s="85" t="s">
        <v>47</v>
      </c>
      <c r="R578" s="220" t="s">
        <v>1888</v>
      </c>
      <c r="S578" s="220" t="s">
        <v>1861</v>
      </c>
      <c r="T578" s="85" t="s">
        <v>1491</v>
      </c>
      <c r="U578" t="s">
        <v>1972</v>
      </c>
      <c r="V578" t="s">
        <v>2832</v>
      </c>
    </row>
    <row r="579" spans="1:22" ht="15.75" thickBot="1" x14ac:dyDescent="0.3">
      <c r="A579" s="82" t="s">
        <v>3506</v>
      </c>
      <c r="B579" s="82" t="str">
        <f t="shared" ref="B579:B642" si="36">LEFT(A579,IFERROR(FIND(" - ",A579)-1,LEN(A579)))</f>
        <v>Barraqueiro Transportes, S.A.</v>
      </c>
      <c r="C579" s="82" t="str">
        <f t="shared" si="33"/>
        <v>Mafrense</v>
      </c>
      <c r="D579" s="83" t="s">
        <v>629</v>
      </c>
      <c r="E579" s="91" t="s">
        <v>1853</v>
      </c>
      <c r="F579" s="124" t="s">
        <v>620</v>
      </c>
      <c r="G579" s="333">
        <v>2022</v>
      </c>
      <c r="H579" s="341" t="s">
        <v>733</v>
      </c>
      <c r="I579" s="336" t="str">
        <f t="shared" si="34"/>
        <v>Pesado de Passageiros M3: III : Gasóleo : E6</v>
      </c>
      <c r="J579" s="125">
        <v>83</v>
      </c>
      <c r="K579" s="125">
        <v>2022</v>
      </c>
      <c r="L579" s="85">
        <v>289.52999999999997</v>
      </c>
      <c r="M579" s="85" t="s">
        <v>630</v>
      </c>
      <c r="N579" s="128">
        <v>965</v>
      </c>
      <c r="O579" s="128">
        <f t="shared" si="35"/>
        <v>80095</v>
      </c>
      <c r="P579" s="125" t="s">
        <v>1202</v>
      </c>
      <c r="Q579" s="85" t="s">
        <v>47</v>
      </c>
      <c r="R579" s="220" t="s">
        <v>1888</v>
      </c>
      <c r="S579" s="220" t="s">
        <v>1861</v>
      </c>
      <c r="T579" s="85" t="s">
        <v>1491</v>
      </c>
      <c r="U579" t="s">
        <v>1972</v>
      </c>
      <c r="V579" t="s">
        <v>2832</v>
      </c>
    </row>
    <row r="580" spans="1:22" ht="15.75" thickBot="1" x14ac:dyDescent="0.3">
      <c r="A580" s="82" t="s">
        <v>3506</v>
      </c>
      <c r="B580" s="82" t="str">
        <f t="shared" si="36"/>
        <v>Barraqueiro Transportes, S.A.</v>
      </c>
      <c r="C580" s="82" t="str">
        <f t="shared" ref="C580:C643" si="37">IF(A580=B580,B580,RIGHT(A580,LEN(A580)-LEN(B580)-3))</f>
        <v>Mafrense</v>
      </c>
      <c r="D580" s="83" t="s">
        <v>629</v>
      </c>
      <c r="E580" s="91" t="s">
        <v>1853</v>
      </c>
      <c r="F580" s="124" t="s">
        <v>620</v>
      </c>
      <c r="G580" s="333">
        <v>2022</v>
      </c>
      <c r="H580" s="341" t="s">
        <v>733</v>
      </c>
      <c r="I580" s="336" t="str">
        <f t="shared" ref="I580:I643" si="38">D580&amp;": "&amp;E580&amp;" : "&amp;F580&amp;" : "&amp;H580</f>
        <v>Pesado de Passageiros M3: III : Gasóleo : E6</v>
      </c>
      <c r="J580" s="125">
        <v>83</v>
      </c>
      <c r="K580" s="125">
        <v>2022</v>
      </c>
      <c r="L580" s="85">
        <v>50</v>
      </c>
      <c r="M580" s="85" t="s">
        <v>630</v>
      </c>
      <c r="N580" s="128">
        <v>166</v>
      </c>
      <c r="O580" s="128">
        <f t="shared" ref="O580:O643" si="39">N580*J580</f>
        <v>13778</v>
      </c>
      <c r="P580" s="125" t="s">
        <v>1203</v>
      </c>
      <c r="Q580" s="85" t="s">
        <v>47</v>
      </c>
      <c r="R580" s="220" t="s">
        <v>1888</v>
      </c>
      <c r="S580" s="220" t="s">
        <v>1861</v>
      </c>
      <c r="T580" s="85" t="s">
        <v>1491</v>
      </c>
      <c r="U580" t="s">
        <v>1972</v>
      </c>
      <c r="V580" t="s">
        <v>2832</v>
      </c>
    </row>
    <row r="581" spans="1:22" ht="15.75" thickBot="1" x14ac:dyDescent="0.3">
      <c r="A581" s="82" t="s">
        <v>3506</v>
      </c>
      <c r="B581" s="82" t="str">
        <f t="shared" si="36"/>
        <v>Barraqueiro Transportes, S.A.</v>
      </c>
      <c r="C581" s="82" t="str">
        <f t="shared" si="37"/>
        <v>Mafrense</v>
      </c>
      <c r="D581" s="83" t="s">
        <v>629</v>
      </c>
      <c r="E581" s="91" t="s">
        <v>1853</v>
      </c>
      <c r="F581" s="124" t="s">
        <v>620</v>
      </c>
      <c r="G581" s="333">
        <v>2022</v>
      </c>
      <c r="H581" s="341" t="s">
        <v>733</v>
      </c>
      <c r="I581" s="336" t="str">
        <f t="shared" si="38"/>
        <v>Pesado de Passageiros M3: III : Gasóleo : E6</v>
      </c>
      <c r="J581" s="125">
        <v>83</v>
      </c>
      <c r="K581" s="125">
        <v>2022</v>
      </c>
      <c r="L581" s="85">
        <v>50</v>
      </c>
      <c r="M581" s="85" t="s">
        <v>630</v>
      </c>
      <c r="N581" s="128">
        <v>166</v>
      </c>
      <c r="O581" s="128">
        <f t="shared" si="39"/>
        <v>13778</v>
      </c>
      <c r="P581" s="125" t="s">
        <v>1204</v>
      </c>
      <c r="Q581" s="85" t="s">
        <v>47</v>
      </c>
      <c r="R581" s="220" t="s">
        <v>1888</v>
      </c>
      <c r="S581" s="220" t="s">
        <v>1861</v>
      </c>
      <c r="T581" s="85" t="s">
        <v>1491</v>
      </c>
      <c r="U581" t="s">
        <v>1972</v>
      </c>
      <c r="V581" t="s">
        <v>2832</v>
      </c>
    </row>
    <row r="582" spans="1:22" ht="15.75" thickBot="1" x14ac:dyDescent="0.3">
      <c r="A582" s="82" t="s">
        <v>3506</v>
      </c>
      <c r="B582" s="82" t="str">
        <f t="shared" si="36"/>
        <v>Barraqueiro Transportes, S.A.</v>
      </c>
      <c r="C582" s="82" t="str">
        <f t="shared" si="37"/>
        <v>Mafrense</v>
      </c>
      <c r="D582" s="83" t="s">
        <v>629</v>
      </c>
      <c r="E582" s="91" t="s">
        <v>1853</v>
      </c>
      <c r="F582" s="124" t="s">
        <v>620</v>
      </c>
      <c r="G582" s="333">
        <v>2022</v>
      </c>
      <c r="H582" s="341" t="s">
        <v>733</v>
      </c>
      <c r="I582" s="336" t="str">
        <f t="shared" si="38"/>
        <v>Pesado de Passageiros M3: III : Gasóleo : E6</v>
      </c>
      <c r="J582" s="125">
        <v>83</v>
      </c>
      <c r="K582" s="125">
        <v>2022</v>
      </c>
      <c r="L582" s="85">
        <v>50</v>
      </c>
      <c r="M582" s="85" t="s">
        <v>630</v>
      </c>
      <c r="N582" s="128">
        <v>166</v>
      </c>
      <c r="O582" s="128">
        <f t="shared" si="39"/>
        <v>13778</v>
      </c>
      <c r="P582" s="125" t="s">
        <v>1205</v>
      </c>
      <c r="Q582" s="85" t="s">
        <v>47</v>
      </c>
      <c r="R582" s="220" t="s">
        <v>1888</v>
      </c>
      <c r="S582" s="220" t="s">
        <v>1861</v>
      </c>
      <c r="T582" s="85" t="s">
        <v>1491</v>
      </c>
      <c r="U582" t="s">
        <v>1972</v>
      </c>
      <c r="V582" t="s">
        <v>2832</v>
      </c>
    </row>
    <row r="583" spans="1:22" ht="15.75" thickBot="1" x14ac:dyDescent="0.3">
      <c r="A583" s="82" t="s">
        <v>3506</v>
      </c>
      <c r="B583" s="82" t="str">
        <f t="shared" si="36"/>
        <v>Barraqueiro Transportes, S.A.</v>
      </c>
      <c r="C583" s="82" t="str">
        <f t="shared" si="37"/>
        <v>Mafrense</v>
      </c>
      <c r="D583" s="83" t="s">
        <v>629</v>
      </c>
      <c r="E583" s="91" t="s">
        <v>1853</v>
      </c>
      <c r="F583" s="124" t="s">
        <v>620</v>
      </c>
      <c r="G583" s="333">
        <v>2000</v>
      </c>
      <c r="H583" s="341" t="s">
        <v>735</v>
      </c>
      <c r="I583" s="336" t="str">
        <f t="shared" si="38"/>
        <v>Pesado de Passageiros M3: III : Gasóleo : E2</v>
      </c>
      <c r="J583" s="125">
        <v>16</v>
      </c>
      <c r="K583" s="125">
        <v>2022</v>
      </c>
      <c r="L583" s="85">
        <v>1193.71</v>
      </c>
      <c r="M583" s="85" t="s">
        <v>630</v>
      </c>
      <c r="N583" s="128">
        <v>7547</v>
      </c>
      <c r="O583" s="128">
        <f t="shared" si="39"/>
        <v>120752</v>
      </c>
      <c r="P583" s="125" t="s">
        <v>1206</v>
      </c>
      <c r="Q583" s="85" t="s">
        <v>47</v>
      </c>
      <c r="R583" s="220" t="s">
        <v>1888</v>
      </c>
      <c r="S583" s="220" t="s">
        <v>1861</v>
      </c>
      <c r="T583" s="85" t="s">
        <v>1491</v>
      </c>
      <c r="U583" t="s">
        <v>1972</v>
      </c>
      <c r="V583" t="s">
        <v>2832</v>
      </c>
    </row>
    <row r="584" spans="1:22" ht="15.75" thickBot="1" x14ac:dyDescent="0.3">
      <c r="A584" s="82" t="s">
        <v>3506</v>
      </c>
      <c r="B584" s="82" t="str">
        <f t="shared" si="36"/>
        <v>Barraqueiro Transportes, S.A.</v>
      </c>
      <c r="C584" s="82" t="str">
        <f t="shared" si="37"/>
        <v>Mafrense</v>
      </c>
      <c r="D584" s="83" t="s">
        <v>629</v>
      </c>
      <c r="E584" s="91" t="s">
        <v>1853</v>
      </c>
      <c r="F584" s="124" t="s">
        <v>620</v>
      </c>
      <c r="G584" s="333">
        <v>2002</v>
      </c>
      <c r="H584" s="341" t="s">
        <v>732</v>
      </c>
      <c r="I584" s="336" t="str">
        <f t="shared" si="38"/>
        <v>Pesado de Passageiros M3: III : Gasóleo : E3</v>
      </c>
      <c r="J584" s="125">
        <v>19</v>
      </c>
      <c r="K584" s="125">
        <v>2022</v>
      </c>
      <c r="L584" s="85">
        <v>277.23</v>
      </c>
      <c r="M584" s="85" t="s">
        <v>630</v>
      </c>
      <c r="N584" s="128">
        <v>1442</v>
      </c>
      <c r="O584" s="128">
        <f t="shared" si="39"/>
        <v>27398</v>
      </c>
      <c r="P584" s="125" t="s">
        <v>1207</v>
      </c>
      <c r="Q584" s="85" t="s">
        <v>47</v>
      </c>
      <c r="R584" s="220" t="s">
        <v>1888</v>
      </c>
      <c r="S584" s="220" t="s">
        <v>1861</v>
      </c>
      <c r="T584" s="85" t="s">
        <v>1491</v>
      </c>
      <c r="U584" t="s">
        <v>1972</v>
      </c>
      <c r="V584" t="s">
        <v>2832</v>
      </c>
    </row>
    <row r="585" spans="1:22" ht="15.75" thickBot="1" x14ac:dyDescent="0.3">
      <c r="A585" s="82" t="s">
        <v>3506</v>
      </c>
      <c r="B585" s="82" t="str">
        <f t="shared" si="36"/>
        <v>Barraqueiro Transportes, S.A.</v>
      </c>
      <c r="C585" s="82" t="str">
        <f t="shared" si="37"/>
        <v>Mafrense</v>
      </c>
      <c r="D585" s="83" t="s">
        <v>629</v>
      </c>
      <c r="E585" s="91" t="s">
        <v>1853</v>
      </c>
      <c r="F585" s="124" t="s">
        <v>620</v>
      </c>
      <c r="G585" s="333">
        <v>2011</v>
      </c>
      <c r="H585" s="341" t="s">
        <v>734</v>
      </c>
      <c r="I585" s="336" t="str">
        <f t="shared" si="38"/>
        <v>Pesado de Passageiros M3: III : Gasóleo : E5</v>
      </c>
      <c r="J585" s="125">
        <v>53</v>
      </c>
      <c r="K585" s="125">
        <v>2022</v>
      </c>
      <c r="L585" s="85">
        <v>23969.91</v>
      </c>
      <c r="M585" s="85" t="s">
        <v>630</v>
      </c>
      <c r="N585" s="128">
        <v>72576</v>
      </c>
      <c r="O585" s="128">
        <f t="shared" si="39"/>
        <v>3846528</v>
      </c>
      <c r="P585" s="125" t="s">
        <v>1208</v>
      </c>
      <c r="Q585" s="85" t="s">
        <v>47</v>
      </c>
      <c r="R585" s="220" t="s">
        <v>1888</v>
      </c>
      <c r="S585" s="220" t="s">
        <v>1861</v>
      </c>
      <c r="T585" s="85" t="s">
        <v>1491</v>
      </c>
      <c r="U585" t="s">
        <v>1972</v>
      </c>
      <c r="V585" t="s">
        <v>2832</v>
      </c>
    </row>
    <row r="586" spans="1:22" ht="15.75" thickBot="1" x14ac:dyDescent="0.3">
      <c r="A586" s="82" t="s">
        <v>3506</v>
      </c>
      <c r="B586" s="82" t="str">
        <f t="shared" si="36"/>
        <v>Barraqueiro Transportes, S.A.</v>
      </c>
      <c r="C586" s="82" t="str">
        <f t="shared" si="37"/>
        <v>Mafrense</v>
      </c>
      <c r="D586" s="83" t="s">
        <v>629</v>
      </c>
      <c r="E586" s="91" t="s">
        <v>1853</v>
      </c>
      <c r="F586" s="124" t="s">
        <v>620</v>
      </c>
      <c r="G586" s="333">
        <v>2000</v>
      </c>
      <c r="H586" s="341" t="s">
        <v>735</v>
      </c>
      <c r="I586" s="336" t="str">
        <f t="shared" si="38"/>
        <v>Pesado de Passageiros M3: III : Gasóleo : E2</v>
      </c>
      <c r="J586" s="125">
        <v>49</v>
      </c>
      <c r="K586" s="125">
        <v>2022</v>
      </c>
      <c r="L586" s="85">
        <v>5314.22</v>
      </c>
      <c r="M586" s="85" t="s">
        <v>630</v>
      </c>
      <c r="N586" s="128">
        <v>14090</v>
      </c>
      <c r="O586" s="128">
        <f t="shared" si="39"/>
        <v>690410</v>
      </c>
      <c r="P586" s="125" t="s">
        <v>1209</v>
      </c>
      <c r="Q586" s="85" t="s">
        <v>47</v>
      </c>
      <c r="R586" s="220" t="s">
        <v>1888</v>
      </c>
      <c r="S586" s="220" t="s">
        <v>1861</v>
      </c>
      <c r="T586" s="85" t="s">
        <v>1491</v>
      </c>
      <c r="U586" t="s">
        <v>1972</v>
      </c>
      <c r="V586" t="s">
        <v>2832</v>
      </c>
    </row>
    <row r="587" spans="1:22" ht="15.75" thickBot="1" x14ac:dyDescent="0.3">
      <c r="A587" s="82" t="s">
        <v>3506</v>
      </c>
      <c r="B587" s="82" t="str">
        <f t="shared" si="36"/>
        <v>Barraqueiro Transportes, S.A.</v>
      </c>
      <c r="C587" s="82" t="str">
        <f t="shared" si="37"/>
        <v>Mafrense</v>
      </c>
      <c r="D587" s="83" t="s">
        <v>629</v>
      </c>
      <c r="E587" s="91" t="s">
        <v>1853</v>
      </c>
      <c r="F587" s="124" t="s">
        <v>620</v>
      </c>
      <c r="G587" s="333">
        <v>2001</v>
      </c>
      <c r="H587" s="341" t="s">
        <v>732</v>
      </c>
      <c r="I587" s="336" t="str">
        <f t="shared" si="38"/>
        <v>Pesado de Passageiros M3: III : Gasóleo : E3</v>
      </c>
      <c r="J587" s="125">
        <v>55</v>
      </c>
      <c r="K587" s="125">
        <v>2022</v>
      </c>
      <c r="L587" s="85">
        <v>10734.21</v>
      </c>
      <c r="M587" s="85" t="s">
        <v>630</v>
      </c>
      <c r="N587" s="128">
        <v>27636</v>
      </c>
      <c r="O587" s="128">
        <f t="shared" si="39"/>
        <v>1519980</v>
      </c>
      <c r="P587" s="125" t="s">
        <v>1210</v>
      </c>
      <c r="Q587" s="85" t="s">
        <v>47</v>
      </c>
      <c r="R587" s="220" t="s">
        <v>1888</v>
      </c>
      <c r="S587" s="220" t="s">
        <v>1861</v>
      </c>
      <c r="T587" s="85" t="s">
        <v>1491</v>
      </c>
      <c r="U587" t="s">
        <v>1972</v>
      </c>
      <c r="V587" t="s">
        <v>2832</v>
      </c>
    </row>
    <row r="588" spans="1:22" ht="15.75" thickBot="1" x14ac:dyDescent="0.3">
      <c r="A588" s="82" t="s">
        <v>3506</v>
      </c>
      <c r="B588" s="82" t="str">
        <f t="shared" si="36"/>
        <v>Barraqueiro Transportes, S.A.</v>
      </c>
      <c r="C588" s="82" t="str">
        <f t="shared" si="37"/>
        <v>Mafrense</v>
      </c>
      <c r="D588" s="83" t="s">
        <v>629</v>
      </c>
      <c r="E588" s="91" t="s">
        <v>1853</v>
      </c>
      <c r="F588" s="124" t="s">
        <v>620</v>
      </c>
      <c r="G588" s="333">
        <v>2004</v>
      </c>
      <c r="H588" s="341" t="s">
        <v>732</v>
      </c>
      <c r="I588" s="336" t="str">
        <f t="shared" si="38"/>
        <v>Pesado de Passageiros M3: III : Gasóleo : E3</v>
      </c>
      <c r="J588" s="125">
        <v>19</v>
      </c>
      <c r="K588" s="125">
        <v>2022</v>
      </c>
      <c r="L588" s="85">
        <v>2448.52</v>
      </c>
      <c r="M588" s="85" t="s">
        <v>630</v>
      </c>
      <c r="N588" s="128">
        <v>11551</v>
      </c>
      <c r="O588" s="128">
        <f t="shared" si="39"/>
        <v>219469</v>
      </c>
      <c r="P588" s="125" t="s">
        <v>1211</v>
      </c>
      <c r="Q588" s="85" t="s">
        <v>47</v>
      </c>
      <c r="R588" s="220" t="s">
        <v>1888</v>
      </c>
      <c r="S588" s="220" t="s">
        <v>1861</v>
      </c>
      <c r="T588" s="85" t="s">
        <v>1491</v>
      </c>
      <c r="U588" t="s">
        <v>1972</v>
      </c>
      <c r="V588" t="s">
        <v>2832</v>
      </c>
    </row>
    <row r="589" spans="1:22" ht="15.75" thickBot="1" x14ac:dyDescent="0.3">
      <c r="A589" s="82" t="s">
        <v>3506</v>
      </c>
      <c r="B589" s="82" t="str">
        <f t="shared" si="36"/>
        <v>Barraqueiro Transportes, S.A.</v>
      </c>
      <c r="C589" s="82" t="str">
        <f t="shared" si="37"/>
        <v>Mafrense</v>
      </c>
      <c r="D589" s="83" t="s">
        <v>629</v>
      </c>
      <c r="E589" s="91" t="s">
        <v>1853</v>
      </c>
      <c r="F589" s="124" t="s">
        <v>620</v>
      </c>
      <c r="G589" s="333">
        <v>2001</v>
      </c>
      <c r="H589" s="341" t="s">
        <v>732</v>
      </c>
      <c r="I589" s="336" t="str">
        <f t="shared" si="38"/>
        <v>Pesado de Passageiros M3: III : Gasóleo : E3</v>
      </c>
      <c r="J589" s="125">
        <v>49</v>
      </c>
      <c r="K589" s="125">
        <v>2022</v>
      </c>
      <c r="L589" s="85">
        <v>15394.8</v>
      </c>
      <c r="M589" s="85" t="s">
        <v>630</v>
      </c>
      <c r="N589" s="128">
        <v>37100</v>
      </c>
      <c r="O589" s="128">
        <f t="shared" si="39"/>
        <v>1817900</v>
      </c>
      <c r="P589" s="125" t="s">
        <v>1212</v>
      </c>
      <c r="Q589" s="85" t="s">
        <v>47</v>
      </c>
      <c r="R589" s="220" t="s">
        <v>1888</v>
      </c>
      <c r="S589" s="220" t="s">
        <v>1861</v>
      </c>
      <c r="T589" s="85" t="s">
        <v>1491</v>
      </c>
      <c r="U589" t="s">
        <v>1972</v>
      </c>
      <c r="V589" t="s">
        <v>2832</v>
      </c>
    </row>
    <row r="590" spans="1:22" ht="15.75" thickBot="1" x14ac:dyDescent="0.3">
      <c r="A590" s="82" t="s">
        <v>3506</v>
      </c>
      <c r="B590" s="82" t="str">
        <f t="shared" si="36"/>
        <v>Barraqueiro Transportes, S.A.</v>
      </c>
      <c r="C590" s="82" t="str">
        <f t="shared" si="37"/>
        <v>Mafrense</v>
      </c>
      <c r="D590" s="83" t="s">
        <v>629</v>
      </c>
      <c r="E590" s="91" t="s">
        <v>1853</v>
      </c>
      <c r="F590" s="124" t="s">
        <v>620</v>
      </c>
      <c r="G590" s="333">
        <v>2001</v>
      </c>
      <c r="H590" s="341" t="s">
        <v>732</v>
      </c>
      <c r="I590" s="336" t="str">
        <f t="shared" si="38"/>
        <v>Pesado de Passageiros M3: III : Gasóleo : E3</v>
      </c>
      <c r="J590" s="125">
        <v>49</v>
      </c>
      <c r="K590" s="125">
        <v>2022</v>
      </c>
      <c r="L590" s="85">
        <v>3056.82</v>
      </c>
      <c r="M590" s="85" t="s">
        <v>630</v>
      </c>
      <c r="N590" s="128">
        <v>7906</v>
      </c>
      <c r="O590" s="128">
        <f t="shared" si="39"/>
        <v>387394</v>
      </c>
      <c r="P590" s="125" t="s">
        <v>1213</v>
      </c>
      <c r="Q590" s="85" t="s">
        <v>47</v>
      </c>
      <c r="R590" s="220" t="s">
        <v>1888</v>
      </c>
      <c r="S590" s="220" t="s">
        <v>1861</v>
      </c>
      <c r="T590" s="85" t="s">
        <v>1491</v>
      </c>
      <c r="U590" t="s">
        <v>1972</v>
      </c>
      <c r="V590" t="s">
        <v>2832</v>
      </c>
    </row>
    <row r="591" spans="1:22" ht="15.75" thickBot="1" x14ac:dyDescent="0.3">
      <c r="A591" s="82" t="s">
        <v>3506</v>
      </c>
      <c r="B591" s="82" t="str">
        <f t="shared" si="36"/>
        <v>Barraqueiro Transportes, S.A.</v>
      </c>
      <c r="C591" s="82" t="str">
        <f t="shared" si="37"/>
        <v>Mafrense</v>
      </c>
      <c r="D591" s="83" t="s">
        <v>629</v>
      </c>
      <c r="E591" s="91" t="s">
        <v>1853</v>
      </c>
      <c r="F591" s="124" t="s">
        <v>620</v>
      </c>
      <c r="G591" s="333">
        <v>2001</v>
      </c>
      <c r="H591" s="341" t="s">
        <v>732</v>
      </c>
      <c r="I591" s="336" t="str">
        <f t="shared" si="38"/>
        <v>Pesado de Passageiros M3: III : Gasóleo : E3</v>
      </c>
      <c r="J591" s="125">
        <v>49</v>
      </c>
      <c r="K591" s="125">
        <v>2022</v>
      </c>
      <c r="L591" s="85">
        <v>13999.56</v>
      </c>
      <c r="M591" s="85" t="s">
        <v>630</v>
      </c>
      <c r="N591" s="128">
        <v>34818</v>
      </c>
      <c r="O591" s="128">
        <f t="shared" si="39"/>
        <v>1706082</v>
      </c>
      <c r="P591" s="125" t="s">
        <v>1214</v>
      </c>
      <c r="Q591" s="85" t="s">
        <v>47</v>
      </c>
      <c r="R591" s="220" t="s">
        <v>1888</v>
      </c>
      <c r="S591" s="220" t="s">
        <v>1861</v>
      </c>
      <c r="T591" s="85" t="s">
        <v>1491</v>
      </c>
      <c r="U591" t="s">
        <v>1972</v>
      </c>
      <c r="V591" t="s">
        <v>2832</v>
      </c>
    </row>
    <row r="592" spans="1:22" ht="15.75" thickBot="1" x14ac:dyDescent="0.3">
      <c r="A592" s="82" t="s">
        <v>3506</v>
      </c>
      <c r="B592" s="82" t="str">
        <f t="shared" si="36"/>
        <v>Barraqueiro Transportes, S.A.</v>
      </c>
      <c r="C592" s="82" t="str">
        <f t="shared" si="37"/>
        <v>Mafrense</v>
      </c>
      <c r="D592" s="83" t="s">
        <v>629</v>
      </c>
      <c r="E592" s="91" t="s">
        <v>1853</v>
      </c>
      <c r="F592" s="124" t="s">
        <v>620</v>
      </c>
      <c r="G592" s="333">
        <v>2001</v>
      </c>
      <c r="H592" s="341" t="s">
        <v>732</v>
      </c>
      <c r="I592" s="336" t="str">
        <f t="shared" si="38"/>
        <v>Pesado de Passageiros M3: III : Gasóleo : E3</v>
      </c>
      <c r="J592" s="125">
        <v>49</v>
      </c>
      <c r="K592" s="125">
        <v>2022</v>
      </c>
      <c r="L592" s="85">
        <v>14969.510000000002</v>
      </c>
      <c r="M592" s="85" t="s">
        <v>630</v>
      </c>
      <c r="N592" s="128">
        <v>39045</v>
      </c>
      <c r="O592" s="128">
        <f t="shared" si="39"/>
        <v>1913205</v>
      </c>
      <c r="P592" s="125" t="s">
        <v>1215</v>
      </c>
      <c r="Q592" s="85" t="s">
        <v>47</v>
      </c>
      <c r="R592" s="220" t="s">
        <v>1888</v>
      </c>
      <c r="S592" s="220" t="s">
        <v>1861</v>
      </c>
      <c r="T592" s="85" t="s">
        <v>1491</v>
      </c>
      <c r="U592" t="s">
        <v>1972</v>
      </c>
      <c r="V592" t="s">
        <v>2832</v>
      </c>
    </row>
    <row r="593" spans="1:22" ht="15.75" thickBot="1" x14ac:dyDescent="0.3">
      <c r="A593" s="82" t="s">
        <v>3506</v>
      </c>
      <c r="B593" s="82" t="str">
        <f t="shared" si="36"/>
        <v>Barraqueiro Transportes, S.A.</v>
      </c>
      <c r="C593" s="82" t="str">
        <f t="shared" si="37"/>
        <v>Mafrense</v>
      </c>
      <c r="D593" s="83" t="s">
        <v>629</v>
      </c>
      <c r="E593" s="91" t="s">
        <v>1853</v>
      </c>
      <c r="F593" s="124" t="s">
        <v>620</v>
      </c>
      <c r="G593" s="333">
        <v>2004</v>
      </c>
      <c r="H593" s="341" t="s">
        <v>732</v>
      </c>
      <c r="I593" s="336" t="str">
        <f t="shared" si="38"/>
        <v>Pesado de Passageiros M3: III : Gasóleo : E3</v>
      </c>
      <c r="J593" s="125">
        <v>49</v>
      </c>
      <c r="K593" s="125">
        <v>2022</v>
      </c>
      <c r="L593" s="85">
        <v>8104.12</v>
      </c>
      <c r="M593" s="85" t="s">
        <v>630</v>
      </c>
      <c r="N593" s="128">
        <v>20836</v>
      </c>
      <c r="O593" s="128">
        <f t="shared" si="39"/>
        <v>1020964</v>
      </c>
      <c r="P593" s="125" t="s">
        <v>843</v>
      </c>
      <c r="Q593" s="85" t="s">
        <v>47</v>
      </c>
      <c r="R593" s="220" t="s">
        <v>1888</v>
      </c>
      <c r="S593" s="220" t="s">
        <v>1861</v>
      </c>
      <c r="T593" s="85" t="s">
        <v>1491</v>
      </c>
      <c r="U593" t="s">
        <v>1972</v>
      </c>
      <c r="V593" t="s">
        <v>2832</v>
      </c>
    </row>
    <row r="594" spans="1:22" ht="15.75" thickBot="1" x14ac:dyDescent="0.3">
      <c r="A594" s="82" t="s">
        <v>3506</v>
      </c>
      <c r="B594" s="82" t="str">
        <f t="shared" si="36"/>
        <v>Barraqueiro Transportes, S.A.</v>
      </c>
      <c r="C594" s="82" t="str">
        <f t="shared" si="37"/>
        <v>Mafrense</v>
      </c>
      <c r="D594" s="83" t="s">
        <v>629</v>
      </c>
      <c r="E594" s="91" t="s">
        <v>1853</v>
      </c>
      <c r="F594" s="124" t="s">
        <v>620</v>
      </c>
      <c r="G594" s="333">
        <v>2005</v>
      </c>
      <c r="H594" s="341" t="s">
        <v>732</v>
      </c>
      <c r="I594" s="336" t="str">
        <f t="shared" si="38"/>
        <v>Pesado de Passageiros M3: III : Gasóleo : E3</v>
      </c>
      <c r="J594" s="125">
        <v>66</v>
      </c>
      <c r="K594" s="125">
        <v>2022</v>
      </c>
      <c r="L594" s="85">
        <v>10701.02</v>
      </c>
      <c r="M594" s="85" t="s">
        <v>630</v>
      </c>
      <c r="N594" s="128">
        <v>29569</v>
      </c>
      <c r="O594" s="128">
        <f t="shared" si="39"/>
        <v>1951554</v>
      </c>
      <c r="P594" s="125" t="s">
        <v>846</v>
      </c>
      <c r="Q594" s="85" t="s">
        <v>47</v>
      </c>
      <c r="R594" s="220" t="s">
        <v>1888</v>
      </c>
      <c r="S594" s="220" t="s">
        <v>1861</v>
      </c>
      <c r="T594" s="85" t="s">
        <v>1491</v>
      </c>
      <c r="U594" t="s">
        <v>1972</v>
      </c>
      <c r="V594" t="s">
        <v>2832</v>
      </c>
    </row>
    <row r="595" spans="1:22" ht="15.75" thickBot="1" x14ac:dyDescent="0.3">
      <c r="A595" s="82" t="s">
        <v>3506</v>
      </c>
      <c r="B595" s="82" t="str">
        <f t="shared" si="36"/>
        <v>Barraqueiro Transportes, S.A.</v>
      </c>
      <c r="C595" s="82" t="str">
        <f t="shared" si="37"/>
        <v>Mafrense</v>
      </c>
      <c r="D595" s="83" t="s">
        <v>629</v>
      </c>
      <c r="E595" s="91" t="s">
        <v>1853</v>
      </c>
      <c r="F595" s="124" t="s">
        <v>620</v>
      </c>
      <c r="G595" s="333">
        <v>2007</v>
      </c>
      <c r="H595" s="341" t="s">
        <v>731</v>
      </c>
      <c r="I595" s="336" t="str">
        <f t="shared" si="38"/>
        <v>Pesado de Passageiros M3: III : Gasóleo : E4</v>
      </c>
      <c r="J595" s="125">
        <v>55</v>
      </c>
      <c r="K595" s="125">
        <v>2022</v>
      </c>
      <c r="L595" s="85">
        <v>24115.185000000001</v>
      </c>
      <c r="M595" s="85" t="s">
        <v>630</v>
      </c>
      <c r="N595" s="128">
        <v>67381</v>
      </c>
      <c r="O595" s="128">
        <f t="shared" si="39"/>
        <v>3705955</v>
      </c>
      <c r="P595" s="125" t="s">
        <v>1216</v>
      </c>
      <c r="Q595" s="85" t="s">
        <v>47</v>
      </c>
      <c r="R595" s="220" t="s">
        <v>1888</v>
      </c>
      <c r="S595" s="220" t="s">
        <v>1861</v>
      </c>
      <c r="T595" s="85" t="s">
        <v>1491</v>
      </c>
      <c r="U595" t="s">
        <v>1972</v>
      </c>
      <c r="V595" t="s">
        <v>2832</v>
      </c>
    </row>
    <row r="596" spans="1:22" ht="15.75" thickBot="1" x14ac:dyDescent="0.3">
      <c r="A596" s="82" t="s">
        <v>3506</v>
      </c>
      <c r="B596" s="82" t="str">
        <f t="shared" si="36"/>
        <v>Barraqueiro Transportes, S.A.</v>
      </c>
      <c r="C596" s="82" t="str">
        <f t="shared" si="37"/>
        <v>Mafrense</v>
      </c>
      <c r="D596" s="83" t="s">
        <v>629</v>
      </c>
      <c r="E596" s="91" t="s">
        <v>1853</v>
      </c>
      <c r="F596" s="124" t="s">
        <v>620</v>
      </c>
      <c r="G596" s="333">
        <v>2016</v>
      </c>
      <c r="H596" s="341" t="s">
        <v>733</v>
      </c>
      <c r="I596" s="336" t="str">
        <f t="shared" si="38"/>
        <v>Pesado de Passageiros M3: III : Gasóleo : E6</v>
      </c>
      <c r="J596" s="125">
        <v>53</v>
      </c>
      <c r="K596" s="125">
        <v>2022</v>
      </c>
      <c r="L596" s="85">
        <v>2423.4899999999998</v>
      </c>
      <c r="M596" s="85" t="s">
        <v>630</v>
      </c>
      <c r="N596" s="128">
        <v>8974</v>
      </c>
      <c r="O596" s="128">
        <f t="shared" si="39"/>
        <v>475622</v>
      </c>
      <c r="P596" s="125" t="s">
        <v>1000</v>
      </c>
      <c r="Q596" s="85" t="s">
        <v>47</v>
      </c>
      <c r="R596" s="220" t="s">
        <v>1888</v>
      </c>
      <c r="S596" s="220" t="s">
        <v>1861</v>
      </c>
      <c r="T596" s="85" t="s">
        <v>1491</v>
      </c>
      <c r="U596" t="s">
        <v>1972</v>
      </c>
      <c r="V596" t="s">
        <v>2832</v>
      </c>
    </row>
    <row r="597" spans="1:22" ht="15.75" thickBot="1" x14ac:dyDescent="0.3">
      <c r="A597" s="82" t="s">
        <v>3506</v>
      </c>
      <c r="B597" s="82" t="str">
        <f t="shared" si="36"/>
        <v>Barraqueiro Transportes, S.A.</v>
      </c>
      <c r="C597" s="82" t="str">
        <f t="shared" si="37"/>
        <v>Mafrense</v>
      </c>
      <c r="D597" s="83" t="s">
        <v>629</v>
      </c>
      <c r="E597" s="91" t="s">
        <v>1853</v>
      </c>
      <c r="F597" s="124" t="s">
        <v>620</v>
      </c>
      <c r="G597" s="333">
        <v>2016</v>
      </c>
      <c r="H597" s="341" t="s">
        <v>733</v>
      </c>
      <c r="I597" s="336" t="str">
        <f t="shared" si="38"/>
        <v>Pesado de Passageiros M3: III : Gasóleo : E6</v>
      </c>
      <c r="J597" s="125">
        <v>59</v>
      </c>
      <c r="K597" s="125">
        <v>2022</v>
      </c>
      <c r="L597" s="85">
        <v>3337.11</v>
      </c>
      <c r="M597" s="85" t="s">
        <v>630</v>
      </c>
      <c r="N597" s="128">
        <v>11345</v>
      </c>
      <c r="O597" s="128">
        <f t="shared" si="39"/>
        <v>669355</v>
      </c>
      <c r="P597" s="125" t="s">
        <v>1006</v>
      </c>
      <c r="Q597" s="85" t="s">
        <v>47</v>
      </c>
      <c r="R597" s="220" t="s">
        <v>1888</v>
      </c>
      <c r="S597" s="220" t="s">
        <v>1861</v>
      </c>
      <c r="T597" s="85" t="s">
        <v>1491</v>
      </c>
      <c r="U597" t="s">
        <v>1972</v>
      </c>
      <c r="V597" t="s">
        <v>2832</v>
      </c>
    </row>
    <row r="598" spans="1:22" ht="15.75" thickBot="1" x14ac:dyDescent="0.3">
      <c r="A598" s="82" t="s">
        <v>3506</v>
      </c>
      <c r="B598" s="82" t="str">
        <f t="shared" si="36"/>
        <v>Barraqueiro Transportes, S.A.</v>
      </c>
      <c r="C598" s="82" t="str">
        <f t="shared" si="37"/>
        <v>Mafrense</v>
      </c>
      <c r="D598" s="83" t="s">
        <v>629</v>
      </c>
      <c r="E598" s="91" t="s">
        <v>1853</v>
      </c>
      <c r="F598" s="124" t="s">
        <v>620</v>
      </c>
      <c r="G598" s="333">
        <v>2016</v>
      </c>
      <c r="H598" s="341" t="s">
        <v>733</v>
      </c>
      <c r="I598" s="336" t="str">
        <f t="shared" si="38"/>
        <v>Pesado de Passageiros M3: III : Gasóleo : E6</v>
      </c>
      <c r="J598" s="125">
        <v>59</v>
      </c>
      <c r="K598" s="125">
        <v>2022</v>
      </c>
      <c r="L598" s="85">
        <v>1101.83</v>
      </c>
      <c r="M598" s="85" t="s">
        <v>630</v>
      </c>
      <c r="N598" s="128">
        <v>3369</v>
      </c>
      <c r="O598" s="128">
        <f t="shared" si="39"/>
        <v>198771</v>
      </c>
      <c r="P598" s="125" t="s">
        <v>1008</v>
      </c>
      <c r="Q598" s="85" t="s">
        <v>47</v>
      </c>
      <c r="R598" s="220" t="s">
        <v>1888</v>
      </c>
      <c r="S598" s="220" t="s">
        <v>1861</v>
      </c>
      <c r="T598" s="85" t="s">
        <v>1491</v>
      </c>
      <c r="U598" t="s">
        <v>1972</v>
      </c>
      <c r="V598" t="s">
        <v>2832</v>
      </c>
    </row>
    <row r="599" spans="1:22" ht="15.75" thickBot="1" x14ac:dyDescent="0.3">
      <c r="A599" s="82" t="s">
        <v>3506</v>
      </c>
      <c r="B599" s="82" t="str">
        <f t="shared" si="36"/>
        <v>Barraqueiro Transportes, S.A.</v>
      </c>
      <c r="C599" s="82" t="str">
        <f t="shared" si="37"/>
        <v>Mafrense</v>
      </c>
      <c r="D599" s="83" t="s">
        <v>629</v>
      </c>
      <c r="E599" s="91" t="s">
        <v>1853</v>
      </c>
      <c r="F599" s="124" t="s">
        <v>620</v>
      </c>
      <c r="G599" s="333">
        <v>2016</v>
      </c>
      <c r="H599" s="341" t="s">
        <v>733</v>
      </c>
      <c r="I599" s="336" t="str">
        <f t="shared" si="38"/>
        <v>Pesado de Passageiros M3: III : Gasóleo : E6</v>
      </c>
      <c r="J599" s="125">
        <v>53</v>
      </c>
      <c r="K599" s="125">
        <v>2022</v>
      </c>
      <c r="L599" s="85">
        <v>2577.5299999999997</v>
      </c>
      <c r="M599" s="85" t="s">
        <v>630</v>
      </c>
      <c r="N599" s="128">
        <v>9869</v>
      </c>
      <c r="O599" s="128">
        <f t="shared" si="39"/>
        <v>523057</v>
      </c>
      <c r="P599" s="125" t="s">
        <v>1009</v>
      </c>
      <c r="Q599" s="85" t="s">
        <v>47</v>
      </c>
      <c r="R599" s="220" t="s">
        <v>1888</v>
      </c>
      <c r="S599" s="220" t="s">
        <v>1861</v>
      </c>
      <c r="T599" s="85" t="s">
        <v>1491</v>
      </c>
      <c r="U599" t="s">
        <v>1972</v>
      </c>
      <c r="V599" t="s">
        <v>2832</v>
      </c>
    </row>
    <row r="600" spans="1:22" ht="15.75" thickBot="1" x14ac:dyDescent="0.3">
      <c r="A600" s="82" t="s">
        <v>3506</v>
      </c>
      <c r="B600" s="82" t="str">
        <f t="shared" si="36"/>
        <v>Barraqueiro Transportes, S.A.</v>
      </c>
      <c r="C600" s="82" t="str">
        <f t="shared" si="37"/>
        <v>Mafrense</v>
      </c>
      <c r="D600" s="83" t="s">
        <v>629</v>
      </c>
      <c r="E600" s="91" t="s">
        <v>1853</v>
      </c>
      <c r="F600" s="124" t="s">
        <v>620</v>
      </c>
      <c r="G600" s="333">
        <v>2016</v>
      </c>
      <c r="H600" s="341" t="s">
        <v>733</v>
      </c>
      <c r="I600" s="336" t="str">
        <f t="shared" si="38"/>
        <v>Pesado de Passageiros M3: III : Gasóleo : E6</v>
      </c>
      <c r="J600" s="125">
        <v>53</v>
      </c>
      <c r="K600" s="125">
        <v>2022</v>
      </c>
      <c r="L600" s="85">
        <v>1012.9599999999999</v>
      </c>
      <c r="M600" s="85" t="s">
        <v>630</v>
      </c>
      <c r="N600" s="128">
        <v>3591</v>
      </c>
      <c r="O600" s="128">
        <f t="shared" si="39"/>
        <v>190323</v>
      </c>
      <c r="P600" s="125" t="s">
        <v>1010</v>
      </c>
      <c r="Q600" s="85" t="s">
        <v>47</v>
      </c>
      <c r="R600" s="220" t="s">
        <v>1888</v>
      </c>
      <c r="S600" s="220" t="s">
        <v>1861</v>
      </c>
      <c r="T600" s="85" t="s">
        <v>1491</v>
      </c>
      <c r="U600" t="s">
        <v>1972</v>
      </c>
      <c r="V600" t="s">
        <v>2832</v>
      </c>
    </row>
    <row r="601" spans="1:22" ht="15.75" thickBot="1" x14ac:dyDescent="0.3">
      <c r="A601" s="82" t="s">
        <v>3506</v>
      </c>
      <c r="B601" s="82" t="str">
        <f t="shared" si="36"/>
        <v>Barraqueiro Transportes, S.A.</v>
      </c>
      <c r="C601" s="82" t="str">
        <f t="shared" si="37"/>
        <v>Mafrense</v>
      </c>
      <c r="D601" s="83" t="s">
        <v>629</v>
      </c>
      <c r="E601" s="91" t="s">
        <v>1853</v>
      </c>
      <c r="F601" s="124" t="s">
        <v>620</v>
      </c>
      <c r="G601" s="333">
        <v>2016</v>
      </c>
      <c r="H601" s="341" t="s">
        <v>733</v>
      </c>
      <c r="I601" s="336" t="str">
        <f t="shared" si="38"/>
        <v>Pesado de Passageiros M3: III : Gasóleo : E6</v>
      </c>
      <c r="J601" s="125">
        <v>53</v>
      </c>
      <c r="K601" s="125">
        <v>2022</v>
      </c>
      <c r="L601" s="85">
        <v>259</v>
      </c>
      <c r="M601" s="85" t="s">
        <v>630</v>
      </c>
      <c r="N601" s="128">
        <v>959</v>
      </c>
      <c r="O601" s="128">
        <f t="shared" si="39"/>
        <v>50827</v>
      </c>
      <c r="P601" s="125" t="s">
        <v>1011</v>
      </c>
      <c r="Q601" s="85" t="s">
        <v>47</v>
      </c>
      <c r="R601" s="220" t="s">
        <v>1888</v>
      </c>
      <c r="S601" s="220" t="s">
        <v>1861</v>
      </c>
      <c r="T601" s="85" t="s">
        <v>1491</v>
      </c>
      <c r="U601" t="s">
        <v>1972</v>
      </c>
      <c r="V601" t="s">
        <v>2832</v>
      </c>
    </row>
    <row r="602" spans="1:22" ht="15.75" thickBot="1" x14ac:dyDescent="0.3">
      <c r="A602" s="82" t="s">
        <v>3506</v>
      </c>
      <c r="B602" s="82" t="str">
        <f t="shared" si="36"/>
        <v>Barraqueiro Transportes, S.A.</v>
      </c>
      <c r="C602" s="82" t="str">
        <f t="shared" si="37"/>
        <v>Mafrense</v>
      </c>
      <c r="D602" s="83" t="s">
        <v>629</v>
      </c>
      <c r="E602" s="91" t="s">
        <v>1853</v>
      </c>
      <c r="F602" s="124" t="s">
        <v>620</v>
      </c>
      <c r="G602" s="333">
        <v>2016</v>
      </c>
      <c r="H602" s="341" t="s">
        <v>733</v>
      </c>
      <c r="I602" s="336" t="str">
        <f t="shared" si="38"/>
        <v>Pesado de Passageiros M3: III : Gasóleo : E6</v>
      </c>
      <c r="J602" s="125">
        <v>53</v>
      </c>
      <c r="K602" s="125">
        <v>2022</v>
      </c>
      <c r="L602" s="85">
        <v>209</v>
      </c>
      <c r="M602" s="85" t="s">
        <v>630</v>
      </c>
      <c r="N602" s="128">
        <v>774</v>
      </c>
      <c r="O602" s="128">
        <f t="shared" si="39"/>
        <v>41022</v>
      </c>
      <c r="P602" s="125" t="s">
        <v>1012</v>
      </c>
      <c r="Q602" s="85" t="s">
        <v>47</v>
      </c>
      <c r="R602" s="220" t="s">
        <v>1888</v>
      </c>
      <c r="S602" s="220" t="s">
        <v>1861</v>
      </c>
      <c r="T602" s="85" t="s">
        <v>1491</v>
      </c>
      <c r="U602" t="s">
        <v>1972</v>
      </c>
      <c r="V602" t="s">
        <v>2832</v>
      </c>
    </row>
    <row r="603" spans="1:22" ht="15.75" thickBot="1" x14ac:dyDescent="0.3">
      <c r="A603" s="82" t="s">
        <v>3506</v>
      </c>
      <c r="B603" s="82" t="str">
        <f t="shared" si="36"/>
        <v>Barraqueiro Transportes, S.A.</v>
      </c>
      <c r="C603" s="82" t="str">
        <f t="shared" si="37"/>
        <v>Mafrense</v>
      </c>
      <c r="D603" s="83" t="s">
        <v>629</v>
      </c>
      <c r="E603" s="91" t="s">
        <v>1853</v>
      </c>
      <c r="F603" s="124" t="s">
        <v>620</v>
      </c>
      <c r="G603" s="333">
        <v>2019</v>
      </c>
      <c r="H603" s="341" t="s">
        <v>733</v>
      </c>
      <c r="I603" s="336" t="str">
        <f t="shared" si="38"/>
        <v>Pesado de Passageiros M3: III : Gasóleo : E6</v>
      </c>
      <c r="J603" s="125">
        <v>53</v>
      </c>
      <c r="K603" s="125">
        <v>2022</v>
      </c>
      <c r="L603" s="85">
        <v>1929.81</v>
      </c>
      <c r="M603" s="85" t="s">
        <v>630</v>
      </c>
      <c r="N603" s="128">
        <v>8650</v>
      </c>
      <c r="O603" s="128">
        <f t="shared" si="39"/>
        <v>458450</v>
      </c>
      <c r="P603" s="125" t="s">
        <v>985</v>
      </c>
      <c r="Q603" s="85" t="s">
        <v>47</v>
      </c>
      <c r="R603" s="220" t="s">
        <v>1888</v>
      </c>
      <c r="S603" s="220" t="s">
        <v>1861</v>
      </c>
      <c r="T603" s="85" t="s">
        <v>1491</v>
      </c>
      <c r="U603" t="s">
        <v>1972</v>
      </c>
      <c r="V603" t="s">
        <v>2832</v>
      </c>
    </row>
    <row r="604" spans="1:22" ht="15.75" thickBot="1" x14ac:dyDescent="0.3">
      <c r="A604" s="82" t="s">
        <v>3506</v>
      </c>
      <c r="B604" s="82" t="str">
        <f t="shared" si="36"/>
        <v>Barraqueiro Transportes, S.A.</v>
      </c>
      <c r="C604" s="82" t="str">
        <f t="shared" si="37"/>
        <v>Mafrense</v>
      </c>
      <c r="D604" s="83" t="s">
        <v>629</v>
      </c>
      <c r="E604" s="91" t="s">
        <v>1853</v>
      </c>
      <c r="F604" s="124" t="s">
        <v>620</v>
      </c>
      <c r="G604" s="333">
        <v>2019</v>
      </c>
      <c r="H604" s="341" t="s">
        <v>733</v>
      </c>
      <c r="I604" s="336" t="str">
        <f t="shared" si="38"/>
        <v>Pesado de Passageiros M3: III : Gasóleo : E6</v>
      </c>
      <c r="J604" s="125">
        <v>53</v>
      </c>
      <c r="K604" s="125">
        <v>2022</v>
      </c>
      <c r="L604" s="85">
        <v>358.87</v>
      </c>
      <c r="M604" s="85" t="s">
        <v>630</v>
      </c>
      <c r="N604" s="128">
        <v>1494</v>
      </c>
      <c r="O604" s="128">
        <f t="shared" si="39"/>
        <v>79182</v>
      </c>
      <c r="P604" s="125" t="s">
        <v>986</v>
      </c>
      <c r="Q604" s="85" t="s">
        <v>47</v>
      </c>
      <c r="R604" s="220" t="s">
        <v>1888</v>
      </c>
      <c r="S604" s="220" t="s">
        <v>1861</v>
      </c>
      <c r="T604" s="85" t="s">
        <v>1491</v>
      </c>
      <c r="U604" t="s">
        <v>1972</v>
      </c>
      <c r="V604" t="s">
        <v>2832</v>
      </c>
    </row>
    <row r="605" spans="1:22" ht="15.75" thickBot="1" x14ac:dyDescent="0.3">
      <c r="A605" s="82" t="s">
        <v>3314</v>
      </c>
      <c r="B605" s="82" t="str">
        <f t="shared" si="36"/>
        <v>Barraqueiro Transportes, S.A.</v>
      </c>
      <c r="C605" s="82" t="str">
        <f t="shared" si="37"/>
        <v>Barraqueiro Alugueres</v>
      </c>
      <c r="D605" s="83" t="s">
        <v>629</v>
      </c>
      <c r="E605" s="91" t="s">
        <v>1853</v>
      </c>
      <c r="F605" s="124" t="s">
        <v>620</v>
      </c>
      <c r="G605" s="333">
        <v>2008</v>
      </c>
      <c r="H605" s="341" t="s">
        <v>731</v>
      </c>
      <c r="I605" s="336" t="str">
        <f t="shared" si="38"/>
        <v>Pesado de Passageiros M3: III : Gasóleo : E4</v>
      </c>
      <c r="J605" s="125">
        <v>53</v>
      </c>
      <c r="K605" s="125">
        <v>2022</v>
      </c>
      <c r="L605" s="85">
        <v>15910.334000000003</v>
      </c>
      <c r="M605" s="85" t="s">
        <v>630</v>
      </c>
      <c r="N605" s="128">
        <v>40579</v>
      </c>
      <c r="O605" s="128">
        <f t="shared" si="39"/>
        <v>2150687</v>
      </c>
      <c r="P605" s="125" t="s">
        <v>1217</v>
      </c>
      <c r="Q605" s="85" t="s">
        <v>47</v>
      </c>
      <c r="R605" s="220" t="s">
        <v>1888</v>
      </c>
      <c r="S605" s="220" t="s">
        <v>1861</v>
      </c>
      <c r="T605" s="85" t="s">
        <v>1491</v>
      </c>
      <c r="U605" t="s">
        <v>1972</v>
      </c>
      <c r="V605" t="s">
        <v>2832</v>
      </c>
    </row>
    <row r="606" spans="1:22" ht="15.75" thickBot="1" x14ac:dyDescent="0.3">
      <c r="A606" s="82" t="s">
        <v>3314</v>
      </c>
      <c r="B606" s="82" t="str">
        <f t="shared" si="36"/>
        <v>Barraqueiro Transportes, S.A.</v>
      </c>
      <c r="C606" s="82" t="str">
        <f t="shared" si="37"/>
        <v>Barraqueiro Alugueres</v>
      </c>
      <c r="D606" s="83" t="s">
        <v>629</v>
      </c>
      <c r="E606" s="91" t="s">
        <v>1853</v>
      </c>
      <c r="F606" s="124" t="s">
        <v>620</v>
      </c>
      <c r="G606" s="333">
        <v>1997</v>
      </c>
      <c r="H606" s="341" t="s">
        <v>736</v>
      </c>
      <c r="I606" s="336" t="str">
        <f t="shared" si="38"/>
        <v>Pesado de Passageiros M3: III : Gasóleo : E1</v>
      </c>
      <c r="J606" s="125">
        <v>80</v>
      </c>
      <c r="K606" s="125">
        <v>2022</v>
      </c>
      <c r="L606" s="85">
        <v>558.43000000000006</v>
      </c>
      <c r="M606" s="85" t="s">
        <v>630</v>
      </c>
      <c r="N606" s="128">
        <v>1550</v>
      </c>
      <c r="O606" s="128">
        <f t="shared" si="39"/>
        <v>124000</v>
      </c>
      <c r="P606" s="125" t="s">
        <v>1131</v>
      </c>
      <c r="Q606" s="85" t="s">
        <v>47</v>
      </c>
      <c r="R606" s="220" t="s">
        <v>1888</v>
      </c>
      <c r="S606" s="220" t="s">
        <v>1861</v>
      </c>
      <c r="T606" s="85" t="s">
        <v>1491</v>
      </c>
      <c r="U606" t="s">
        <v>1972</v>
      </c>
      <c r="V606" t="s">
        <v>2832</v>
      </c>
    </row>
    <row r="607" spans="1:22" ht="15.75" thickBot="1" x14ac:dyDescent="0.3">
      <c r="A607" s="82" t="s">
        <v>3314</v>
      </c>
      <c r="B607" s="82" t="str">
        <f t="shared" si="36"/>
        <v>Barraqueiro Transportes, S.A.</v>
      </c>
      <c r="C607" s="82" t="str">
        <f t="shared" si="37"/>
        <v>Barraqueiro Alugueres</v>
      </c>
      <c r="D607" s="83" t="s">
        <v>629</v>
      </c>
      <c r="E607" s="91" t="s">
        <v>1853</v>
      </c>
      <c r="F607" s="124" t="s">
        <v>620</v>
      </c>
      <c r="G607" s="333">
        <v>1996</v>
      </c>
      <c r="H607" s="341" t="s">
        <v>736</v>
      </c>
      <c r="I607" s="336" t="str">
        <f t="shared" si="38"/>
        <v>Pesado de Passageiros M3: III : Gasóleo : E1</v>
      </c>
      <c r="J607" s="125">
        <v>82</v>
      </c>
      <c r="K607" s="125">
        <v>2022</v>
      </c>
      <c r="L607" s="85">
        <v>169.4</v>
      </c>
      <c r="M607" s="85" t="s">
        <v>630</v>
      </c>
      <c r="N607" s="128">
        <v>469</v>
      </c>
      <c r="O607" s="128">
        <f t="shared" si="39"/>
        <v>38458</v>
      </c>
      <c r="P607" s="125" t="s">
        <v>1218</v>
      </c>
      <c r="Q607" s="85" t="s">
        <v>47</v>
      </c>
      <c r="R607" s="220" t="s">
        <v>1888</v>
      </c>
      <c r="S607" s="220" t="s">
        <v>1861</v>
      </c>
      <c r="T607" s="85" t="s">
        <v>1491</v>
      </c>
      <c r="U607" t="s">
        <v>1972</v>
      </c>
      <c r="V607" t="s">
        <v>2832</v>
      </c>
    </row>
    <row r="608" spans="1:22" ht="15.75" thickBot="1" x14ac:dyDescent="0.3">
      <c r="A608" s="82" t="s">
        <v>3314</v>
      </c>
      <c r="B608" s="82" t="str">
        <f t="shared" si="36"/>
        <v>Barraqueiro Transportes, S.A.</v>
      </c>
      <c r="C608" s="82" t="str">
        <f t="shared" si="37"/>
        <v>Barraqueiro Alugueres</v>
      </c>
      <c r="D608" s="83" t="s">
        <v>629</v>
      </c>
      <c r="E608" s="91" t="s">
        <v>1853</v>
      </c>
      <c r="F608" s="124" t="s">
        <v>620</v>
      </c>
      <c r="G608" s="333">
        <v>2005</v>
      </c>
      <c r="H608" s="341" t="s">
        <v>732</v>
      </c>
      <c r="I608" s="336" t="str">
        <f t="shared" si="38"/>
        <v>Pesado de Passageiros M3: III : Gasóleo : E3</v>
      </c>
      <c r="J608" s="125">
        <v>19</v>
      </c>
      <c r="K608" s="125">
        <v>2022</v>
      </c>
      <c r="L608" s="85">
        <v>0</v>
      </c>
      <c r="M608" s="85" t="s">
        <v>630</v>
      </c>
      <c r="N608" s="128">
        <v>0</v>
      </c>
      <c r="O608" s="128">
        <f t="shared" si="39"/>
        <v>0</v>
      </c>
      <c r="P608" s="125" t="s">
        <v>1219</v>
      </c>
      <c r="Q608" s="85" t="s">
        <v>47</v>
      </c>
      <c r="R608" s="220" t="s">
        <v>1888</v>
      </c>
      <c r="S608" s="220" t="s">
        <v>1861</v>
      </c>
      <c r="T608" s="85" t="s">
        <v>1491</v>
      </c>
      <c r="U608" t="s">
        <v>1972</v>
      </c>
      <c r="V608" t="s">
        <v>2832</v>
      </c>
    </row>
    <row r="609" spans="1:22" ht="15.75" thickBot="1" x14ac:dyDescent="0.3">
      <c r="A609" s="82" t="s">
        <v>3314</v>
      </c>
      <c r="B609" s="82" t="str">
        <f t="shared" si="36"/>
        <v>Barraqueiro Transportes, S.A.</v>
      </c>
      <c r="C609" s="82" t="str">
        <f t="shared" si="37"/>
        <v>Barraqueiro Alugueres</v>
      </c>
      <c r="D609" s="83" t="s">
        <v>629</v>
      </c>
      <c r="E609" s="91" t="s">
        <v>1853</v>
      </c>
      <c r="F609" s="124" t="s">
        <v>620</v>
      </c>
      <c r="G609" s="333">
        <v>2006</v>
      </c>
      <c r="H609" s="341" t="s">
        <v>731</v>
      </c>
      <c r="I609" s="336" t="str">
        <f t="shared" si="38"/>
        <v>Pesado de Passageiros M3: III : Gasóleo : E4</v>
      </c>
      <c r="J609" s="125">
        <v>90</v>
      </c>
      <c r="K609" s="125">
        <v>2022</v>
      </c>
      <c r="L609" s="85">
        <v>9726.6799999999985</v>
      </c>
      <c r="M609" s="85" t="s">
        <v>630</v>
      </c>
      <c r="N609" s="128">
        <v>21293</v>
      </c>
      <c r="O609" s="128">
        <f t="shared" si="39"/>
        <v>1916370</v>
      </c>
      <c r="P609" s="125" t="s">
        <v>1220</v>
      </c>
      <c r="Q609" s="85" t="s">
        <v>47</v>
      </c>
      <c r="R609" s="220" t="s">
        <v>1888</v>
      </c>
      <c r="S609" s="220" t="s">
        <v>1861</v>
      </c>
      <c r="T609" s="85" t="s">
        <v>1491</v>
      </c>
      <c r="U609" t="s">
        <v>1972</v>
      </c>
      <c r="V609" t="s">
        <v>2832</v>
      </c>
    </row>
    <row r="610" spans="1:22" ht="15.75" thickBot="1" x14ac:dyDescent="0.3">
      <c r="A610" s="82" t="s">
        <v>3314</v>
      </c>
      <c r="B610" s="82" t="str">
        <f t="shared" si="36"/>
        <v>Barraqueiro Transportes, S.A.</v>
      </c>
      <c r="C610" s="82" t="str">
        <f t="shared" si="37"/>
        <v>Barraqueiro Alugueres</v>
      </c>
      <c r="D610" s="83" t="s">
        <v>629</v>
      </c>
      <c r="E610" s="91" t="s">
        <v>1853</v>
      </c>
      <c r="F610" s="124" t="s">
        <v>620</v>
      </c>
      <c r="G610" s="333">
        <v>2006</v>
      </c>
      <c r="H610" s="341" t="s">
        <v>731</v>
      </c>
      <c r="I610" s="336" t="str">
        <f t="shared" si="38"/>
        <v>Pesado de Passageiros M3: III : Gasóleo : E4</v>
      </c>
      <c r="J610" s="125">
        <v>53</v>
      </c>
      <c r="K610" s="125">
        <v>2022</v>
      </c>
      <c r="L610" s="85">
        <v>14500.126999999999</v>
      </c>
      <c r="M610" s="85" t="s">
        <v>630</v>
      </c>
      <c r="N610" s="128">
        <v>42259</v>
      </c>
      <c r="O610" s="128">
        <f t="shared" si="39"/>
        <v>2239727</v>
      </c>
      <c r="P610" s="125" t="s">
        <v>1221</v>
      </c>
      <c r="Q610" s="85" t="s">
        <v>47</v>
      </c>
      <c r="R610" s="220" t="s">
        <v>1888</v>
      </c>
      <c r="S610" s="220" t="s">
        <v>1861</v>
      </c>
      <c r="T610" s="85" t="s">
        <v>1491</v>
      </c>
      <c r="U610" t="s">
        <v>1972</v>
      </c>
      <c r="V610" t="s">
        <v>2832</v>
      </c>
    </row>
    <row r="611" spans="1:22" ht="15.75" thickBot="1" x14ac:dyDescent="0.3">
      <c r="A611" s="82" t="s">
        <v>3314</v>
      </c>
      <c r="B611" s="82" t="str">
        <f t="shared" si="36"/>
        <v>Barraqueiro Transportes, S.A.</v>
      </c>
      <c r="C611" s="82" t="str">
        <f t="shared" si="37"/>
        <v>Barraqueiro Alugueres</v>
      </c>
      <c r="D611" s="83" t="s">
        <v>629</v>
      </c>
      <c r="E611" s="91" t="s">
        <v>1853</v>
      </c>
      <c r="F611" s="124" t="s">
        <v>620</v>
      </c>
      <c r="G611" s="333">
        <v>2006</v>
      </c>
      <c r="H611" s="341" t="s">
        <v>731</v>
      </c>
      <c r="I611" s="336" t="str">
        <f t="shared" si="38"/>
        <v>Pesado de Passageiros M3: III : Gasóleo : E4</v>
      </c>
      <c r="J611" s="125">
        <v>19</v>
      </c>
      <c r="K611" s="125">
        <v>2022</v>
      </c>
      <c r="L611" s="85">
        <v>0</v>
      </c>
      <c r="M611" s="85" t="s">
        <v>630</v>
      </c>
      <c r="N611" s="128">
        <v>0</v>
      </c>
      <c r="O611" s="128">
        <f t="shared" si="39"/>
        <v>0</v>
      </c>
      <c r="P611" s="125" t="s">
        <v>1222</v>
      </c>
      <c r="Q611" s="85" t="s">
        <v>47</v>
      </c>
      <c r="R611" s="220" t="s">
        <v>1888</v>
      </c>
      <c r="S611" s="220" t="s">
        <v>1861</v>
      </c>
      <c r="T611" s="85" t="s">
        <v>1491</v>
      </c>
      <c r="U611" t="s">
        <v>1972</v>
      </c>
      <c r="V611" t="s">
        <v>2832</v>
      </c>
    </row>
    <row r="612" spans="1:22" ht="15.75" thickBot="1" x14ac:dyDescent="0.3">
      <c r="A612" s="82" t="s">
        <v>3314</v>
      </c>
      <c r="B612" s="82" t="str">
        <f t="shared" si="36"/>
        <v>Barraqueiro Transportes, S.A.</v>
      </c>
      <c r="C612" s="82" t="str">
        <f t="shared" si="37"/>
        <v>Barraqueiro Alugueres</v>
      </c>
      <c r="D612" s="83" t="s">
        <v>629</v>
      </c>
      <c r="E612" s="91" t="s">
        <v>1853</v>
      </c>
      <c r="F612" s="124" t="s">
        <v>620</v>
      </c>
      <c r="G612" s="333">
        <v>2006</v>
      </c>
      <c r="H612" s="341" t="s">
        <v>731</v>
      </c>
      <c r="I612" s="336" t="str">
        <f t="shared" si="38"/>
        <v>Pesado de Passageiros M3: III : Gasóleo : E4</v>
      </c>
      <c r="J612" s="125">
        <v>15</v>
      </c>
      <c r="K612" s="125">
        <v>2022</v>
      </c>
      <c r="L612" s="85">
        <v>0</v>
      </c>
      <c r="M612" s="85" t="s">
        <v>630</v>
      </c>
      <c r="N612" s="128">
        <v>0</v>
      </c>
      <c r="O612" s="128">
        <f t="shared" si="39"/>
        <v>0</v>
      </c>
      <c r="P612" s="125" t="s">
        <v>1223</v>
      </c>
      <c r="Q612" s="85" t="s">
        <v>47</v>
      </c>
      <c r="R612" s="220" t="s">
        <v>1888</v>
      </c>
      <c r="S612" s="220" t="s">
        <v>1861</v>
      </c>
      <c r="T612" s="85" t="s">
        <v>1491</v>
      </c>
      <c r="U612" t="s">
        <v>1972</v>
      </c>
      <c r="V612" t="s">
        <v>2832</v>
      </c>
    </row>
    <row r="613" spans="1:22" ht="15.75" thickBot="1" x14ac:dyDescent="0.3">
      <c r="A613" s="82" t="s">
        <v>3314</v>
      </c>
      <c r="B613" s="82" t="str">
        <f t="shared" si="36"/>
        <v>Barraqueiro Transportes, S.A.</v>
      </c>
      <c r="C613" s="82" t="str">
        <f t="shared" si="37"/>
        <v>Barraqueiro Alugueres</v>
      </c>
      <c r="D613" s="83" t="s">
        <v>629</v>
      </c>
      <c r="E613" s="91" t="s">
        <v>1853</v>
      </c>
      <c r="F613" s="124" t="s">
        <v>620</v>
      </c>
      <c r="G613" s="333">
        <v>2007</v>
      </c>
      <c r="H613" s="341" t="s">
        <v>731</v>
      </c>
      <c r="I613" s="336" t="str">
        <f t="shared" si="38"/>
        <v>Pesado de Passageiros M3: III : Gasóleo : E4</v>
      </c>
      <c r="J613" s="125">
        <v>53</v>
      </c>
      <c r="K613" s="125">
        <v>2022</v>
      </c>
      <c r="L613" s="85">
        <v>14171.634999999998</v>
      </c>
      <c r="M613" s="85" t="s">
        <v>630</v>
      </c>
      <c r="N613" s="128">
        <v>40964</v>
      </c>
      <c r="O613" s="128">
        <f t="shared" si="39"/>
        <v>2171092</v>
      </c>
      <c r="P613" s="125" t="s">
        <v>1224</v>
      </c>
      <c r="Q613" s="85" t="s">
        <v>47</v>
      </c>
      <c r="R613" s="220" t="s">
        <v>1888</v>
      </c>
      <c r="S613" s="220" t="s">
        <v>1861</v>
      </c>
      <c r="T613" s="85" t="s">
        <v>1491</v>
      </c>
      <c r="U613" t="s">
        <v>1972</v>
      </c>
      <c r="V613" t="s">
        <v>2832</v>
      </c>
    </row>
    <row r="614" spans="1:22" ht="15.75" thickBot="1" x14ac:dyDescent="0.3">
      <c r="A614" s="82" t="s">
        <v>3314</v>
      </c>
      <c r="B614" s="82" t="str">
        <f t="shared" si="36"/>
        <v>Barraqueiro Transportes, S.A.</v>
      </c>
      <c r="C614" s="82" t="str">
        <f t="shared" si="37"/>
        <v>Barraqueiro Alugueres</v>
      </c>
      <c r="D614" s="83" t="s">
        <v>629</v>
      </c>
      <c r="E614" s="91" t="s">
        <v>1853</v>
      </c>
      <c r="F614" s="124" t="s">
        <v>620</v>
      </c>
      <c r="G614" s="333">
        <v>2007</v>
      </c>
      <c r="H614" s="341" t="s">
        <v>731</v>
      </c>
      <c r="I614" s="336" t="str">
        <f t="shared" si="38"/>
        <v>Pesado de Passageiros M3: III : Gasóleo : E4</v>
      </c>
      <c r="J614" s="125">
        <v>53</v>
      </c>
      <c r="K614" s="125">
        <v>2022</v>
      </c>
      <c r="L614" s="85">
        <v>5151.8999999999996</v>
      </c>
      <c r="M614" s="85" t="s">
        <v>630</v>
      </c>
      <c r="N614" s="128">
        <v>16279</v>
      </c>
      <c r="O614" s="128">
        <f t="shared" si="39"/>
        <v>862787</v>
      </c>
      <c r="P614" s="125" t="s">
        <v>1225</v>
      </c>
      <c r="Q614" s="85" t="s">
        <v>47</v>
      </c>
      <c r="R614" s="220" t="s">
        <v>1888</v>
      </c>
      <c r="S614" s="220" t="s">
        <v>1861</v>
      </c>
      <c r="T614" s="85" t="s">
        <v>1491</v>
      </c>
      <c r="U614" t="s">
        <v>1972</v>
      </c>
      <c r="V614" t="s">
        <v>2832</v>
      </c>
    </row>
    <row r="615" spans="1:22" ht="15.75" thickBot="1" x14ac:dyDescent="0.3">
      <c r="A615" s="82" t="s">
        <v>3314</v>
      </c>
      <c r="B615" s="82" t="str">
        <f t="shared" si="36"/>
        <v>Barraqueiro Transportes, S.A.</v>
      </c>
      <c r="C615" s="82" t="str">
        <f t="shared" si="37"/>
        <v>Barraqueiro Alugueres</v>
      </c>
      <c r="D615" s="83" t="s">
        <v>629</v>
      </c>
      <c r="E615" s="91" t="s">
        <v>1853</v>
      </c>
      <c r="F615" s="124" t="s">
        <v>620</v>
      </c>
      <c r="G615" s="333">
        <v>2007</v>
      </c>
      <c r="H615" s="341" t="s">
        <v>731</v>
      </c>
      <c r="I615" s="336" t="str">
        <f t="shared" si="38"/>
        <v>Pesado de Passageiros M3: III : Gasóleo : E4</v>
      </c>
      <c r="J615" s="125">
        <v>53</v>
      </c>
      <c r="K615" s="125">
        <v>2022</v>
      </c>
      <c r="L615" s="85">
        <v>14005.802</v>
      </c>
      <c r="M615" s="85" t="s">
        <v>630</v>
      </c>
      <c r="N615" s="128">
        <v>39199</v>
      </c>
      <c r="O615" s="128">
        <f t="shared" si="39"/>
        <v>2077547</v>
      </c>
      <c r="P615" s="125" t="s">
        <v>1226</v>
      </c>
      <c r="Q615" s="85" t="s">
        <v>47</v>
      </c>
      <c r="R615" s="220" t="s">
        <v>1888</v>
      </c>
      <c r="S615" s="220" t="s">
        <v>1861</v>
      </c>
      <c r="T615" s="85" t="s">
        <v>1491</v>
      </c>
      <c r="U615" t="s">
        <v>1972</v>
      </c>
      <c r="V615" t="s">
        <v>2832</v>
      </c>
    </row>
    <row r="616" spans="1:22" ht="15.75" thickBot="1" x14ac:dyDescent="0.3">
      <c r="A616" s="82" t="s">
        <v>3314</v>
      </c>
      <c r="B616" s="82" t="str">
        <f t="shared" si="36"/>
        <v>Barraqueiro Transportes, S.A.</v>
      </c>
      <c r="C616" s="82" t="str">
        <f t="shared" si="37"/>
        <v>Barraqueiro Alugueres</v>
      </c>
      <c r="D616" s="83" t="s">
        <v>629</v>
      </c>
      <c r="E616" s="91" t="s">
        <v>1853</v>
      </c>
      <c r="F616" s="124" t="s">
        <v>620</v>
      </c>
      <c r="G616" s="333">
        <v>2007</v>
      </c>
      <c r="H616" s="341" t="s">
        <v>731</v>
      </c>
      <c r="I616" s="336" t="str">
        <f t="shared" si="38"/>
        <v>Pesado de Passageiros M3: III : Gasóleo : E4</v>
      </c>
      <c r="J616" s="125">
        <v>53</v>
      </c>
      <c r="K616" s="125">
        <v>2022</v>
      </c>
      <c r="L616" s="85">
        <v>15308.208000000001</v>
      </c>
      <c r="M616" s="85" t="s">
        <v>630</v>
      </c>
      <c r="N616" s="128">
        <v>45486</v>
      </c>
      <c r="O616" s="128">
        <f t="shared" si="39"/>
        <v>2410758</v>
      </c>
      <c r="P616" s="125" t="s">
        <v>1227</v>
      </c>
      <c r="Q616" s="85" t="s">
        <v>47</v>
      </c>
      <c r="R616" s="220" t="s">
        <v>1888</v>
      </c>
      <c r="S616" s="220" t="s">
        <v>1861</v>
      </c>
      <c r="T616" s="85" t="s">
        <v>1491</v>
      </c>
      <c r="U616" t="s">
        <v>1972</v>
      </c>
      <c r="V616" t="s">
        <v>2832</v>
      </c>
    </row>
    <row r="617" spans="1:22" ht="15.75" thickBot="1" x14ac:dyDescent="0.3">
      <c r="A617" s="82" t="s">
        <v>3314</v>
      </c>
      <c r="B617" s="82" t="str">
        <f t="shared" si="36"/>
        <v>Barraqueiro Transportes, S.A.</v>
      </c>
      <c r="C617" s="82" t="str">
        <f t="shared" si="37"/>
        <v>Barraqueiro Alugueres</v>
      </c>
      <c r="D617" s="83" t="s">
        <v>629</v>
      </c>
      <c r="E617" s="91" t="s">
        <v>1853</v>
      </c>
      <c r="F617" s="124" t="s">
        <v>620</v>
      </c>
      <c r="G617" s="333">
        <v>2007</v>
      </c>
      <c r="H617" s="341" t="s">
        <v>731</v>
      </c>
      <c r="I617" s="336" t="str">
        <f t="shared" si="38"/>
        <v>Pesado de Passageiros M3: III : Gasóleo : E4</v>
      </c>
      <c r="J617" s="125">
        <v>53</v>
      </c>
      <c r="K617" s="125">
        <v>2022</v>
      </c>
      <c r="L617" s="85">
        <v>12877.996999999998</v>
      </c>
      <c r="M617" s="85" t="s">
        <v>630</v>
      </c>
      <c r="N617" s="128">
        <v>38060</v>
      </c>
      <c r="O617" s="128">
        <f t="shared" si="39"/>
        <v>2017180</v>
      </c>
      <c r="P617" s="125" t="s">
        <v>1228</v>
      </c>
      <c r="Q617" s="85" t="s">
        <v>47</v>
      </c>
      <c r="R617" s="220" t="s">
        <v>1888</v>
      </c>
      <c r="S617" s="220" t="s">
        <v>1861</v>
      </c>
      <c r="T617" s="85" t="s">
        <v>1491</v>
      </c>
      <c r="U617" t="s">
        <v>1972</v>
      </c>
      <c r="V617" t="s">
        <v>2832</v>
      </c>
    </row>
    <row r="618" spans="1:22" ht="15.75" thickBot="1" x14ac:dyDescent="0.3">
      <c r="A618" s="82" t="s">
        <v>3314</v>
      </c>
      <c r="B618" s="82" t="str">
        <f t="shared" si="36"/>
        <v>Barraqueiro Transportes, S.A.</v>
      </c>
      <c r="C618" s="82" t="str">
        <f t="shared" si="37"/>
        <v>Barraqueiro Alugueres</v>
      </c>
      <c r="D618" s="83" t="s">
        <v>629</v>
      </c>
      <c r="E618" s="91" t="s">
        <v>1853</v>
      </c>
      <c r="F618" s="124" t="s">
        <v>620</v>
      </c>
      <c r="G618" s="333">
        <v>2007</v>
      </c>
      <c r="H618" s="341" t="s">
        <v>731</v>
      </c>
      <c r="I618" s="336" t="str">
        <f t="shared" si="38"/>
        <v>Pesado de Passageiros M3: III : Gasóleo : E4</v>
      </c>
      <c r="J618" s="125">
        <v>53</v>
      </c>
      <c r="K618" s="125">
        <v>2022</v>
      </c>
      <c r="L618" s="85">
        <v>14664.96</v>
      </c>
      <c r="M618" s="85" t="s">
        <v>630</v>
      </c>
      <c r="N618" s="128">
        <v>43754</v>
      </c>
      <c r="O618" s="128">
        <f t="shared" si="39"/>
        <v>2318962</v>
      </c>
      <c r="P618" s="125" t="s">
        <v>1229</v>
      </c>
      <c r="Q618" s="85" t="s">
        <v>47</v>
      </c>
      <c r="R618" s="220" t="s">
        <v>1888</v>
      </c>
      <c r="S618" s="220" t="s">
        <v>1861</v>
      </c>
      <c r="T618" s="85" t="s">
        <v>1491</v>
      </c>
      <c r="U618" t="s">
        <v>1972</v>
      </c>
      <c r="V618" t="s">
        <v>2832</v>
      </c>
    </row>
    <row r="619" spans="1:22" ht="15.75" thickBot="1" x14ac:dyDescent="0.3">
      <c r="A619" s="82" t="s">
        <v>3314</v>
      </c>
      <c r="B619" s="82" t="str">
        <f t="shared" si="36"/>
        <v>Barraqueiro Transportes, S.A.</v>
      </c>
      <c r="C619" s="82" t="str">
        <f t="shared" si="37"/>
        <v>Barraqueiro Alugueres</v>
      </c>
      <c r="D619" s="83" t="s">
        <v>629</v>
      </c>
      <c r="E619" s="91" t="s">
        <v>1853</v>
      </c>
      <c r="F619" s="124" t="s">
        <v>620</v>
      </c>
      <c r="G619" s="333">
        <v>2007</v>
      </c>
      <c r="H619" s="341" t="s">
        <v>731</v>
      </c>
      <c r="I619" s="336" t="str">
        <f t="shared" si="38"/>
        <v>Pesado de Passageiros M3: III : Gasóleo : E4</v>
      </c>
      <c r="J619" s="125">
        <v>55</v>
      </c>
      <c r="K619" s="125">
        <v>2022</v>
      </c>
      <c r="L619" s="85">
        <v>15217.975000000002</v>
      </c>
      <c r="M619" s="85" t="s">
        <v>630</v>
      </c>
      <c r="N619" s="128">
        <v>44706</v>
      </c>
      <c r="O619" s="128">
        <f t="shared" si="39"/>
        <v>2458830</v>
      </c>
      <c r="P619" s="125" t="s">
        <v>1230</v>
      </c>
      <c r="Q619" s="85" t="s">
        <v>47</v>
      </c>
      <c r="R619" s="220" t="s">
        <v>1888</v>
      </c>
      <c r="S619" s="220" t="s">
        <v>1861</v>
      </c>
      <c r="T619" s="85" t="s">
        <v>1491</v>
      </c>
      <c r="U619" t="s">
        <v>1972</v>
      </c>
      <c r="V619" t="s">
        <v>2832</v>
      </c>
    </row>
    <row r="620" spans="1:22" ht="15.75" thickBot="1" x14ac:dyDescent="0.3">
      <c r="A620" s="82" t="s">
        <v>3314</v>
      </c>
      <c r="B620" s="82" t="str">
        <f t="shared" si="36"/>
        <v>Barraqueiro Transportes, S.A.</v>
      </c>
      <c r="C620" s="82" t="str">
        <f t="shared" si="37"/>
        <v>Barraqueiro Alugueres</v>
      </c>
      <c r="D620" s="83" t="s">
        <v>629</v>
      </c>
      <c r="E620" s="91" t="s">
        <v>1853</v>
      </c>
      <c r="F620" s="124" t="s">
        <v>620</v>
      </c>
      <c r="G620" s="333">
        <v>2007</v>
      </c>
      <c r="H620" s="341" t="s">
        <v>731</v>
      </c>
      <c r="I620" s="336" t="str">
        <f t="shared" si="38"/>
        <v>Pesado de Passageiros M3: III : Gasóleo : E4</v>
      </c>
      <c r="J620" s="125">
        <v>53</v>
      </c>
      <c r="K620" s="125">
        <v>2022</v>
      </c>
      <c r="L620" s="85">
        <v>15927.255000000001</v>
      </c>
      <c r="M620" s="85" t="s">
        <v>630</v>
      </c>
      <c r="N620" s="128">
        <v>47242</v>
      </c>
      <c r="O620" s="128">
        <f t="shared" si="39"/>
        <v>2503826</v>
      </c>
      <c r="P620" s="125" t="s">
        <v>1231</v>
      </c>
      <c r="Q620" s="85" t="s">
        <v>47</v>
      </c>
      <c r="R620" s="220" t="s">
        <v>1888</v>
      </c>
      <c r="S620" s="220" t="s">
        <v>1861</v>
      </c>
      <c r="T620" s="85" t="s">
        <v>1491</v>
      </c>
      <c r="U620" t="s">
        <v>1972</v>
      </c>
      <c r="V620" t="s">
        <v>2832</v>
      </c>
    </row>
    <row r="621" spans="1:22" ht="15.75" thickBot="1" x14ac:dyDescent="0.3">
      <c r="A621" s="82" t="s">
        <v>3314</v>
      </c>
      <c r="B621" s="82" t="str">
        <f t="shared" si="36"/>
        <v>Barraqueiro Transportes, S.A.</v>
      </c>
      <c r="C621" s="82" t="str">
        <f t="shared" si="37"/>
        <v>Barraqueiro Alugueres</v>
      </c>
      <c r="D621" s="83" t="s">
        <v>629</v>
      </c>
      <c r="E621" s="91" t="s">
        <v>1853</v>
      </c>
      <c r="F621" s="124" t="s">
        <v>620</v>
      </c>
      <c r="G621" s="333">
        <v>2007</v>
      </c>
      <c r="H621" s="341" t="s">
        <v>731</v>
      </c>
      <c r="I621" s="336" t="str">
        <f t="shared" si="38"/>
        <v>Pesado de Passageiros M3: III : Gasóleo : E4</v>
      </c>
      <c r="J621" s="125">
        <v>53</v>
      </c>
      <c r="K621" s="125">
        <v>2022</v>
      </c>
      <c r="L621" s="85">
        <v>0</v>
      </c>
      <c r="M621" s="85" t="s">
        <v>630</v>
      </c>
      <c r="N621" s="128">
        <v>0</v>
      </c>
      <c r="O621" s="128">
        <f t="shared" si="39"/>
        <v>0</v>
      </c>
      <c r="P621" s="125" t="s">
        <v>1232</v>
      </c>
      <c r="Q621" s="85" t="s">
        <v>47</v>
      </c>
      <c r="R621" s="220" t="s">
        <v>1888</v>
      </c>
      <c r="S621" s="220" t="s">
        <v>1861</v>
      </c>
      <c r="T621" s="85" t="s">
        <v>1491</v>
      </c>
      <c r="U621" t="s">
        <v>1972</v>
      </c>
      <c r="V621" t="s">
        <v>2832</v>
      </c>
    </row>
    <row r="622" spans="1:22" ht="15.75" thickBot="1" x14ac:dyDescent="0.3">
      <c r="A622" s="82" t="s">
        <v>3314</v>
      </c>
      <c r="B622" s="82" t="str">
        <f t="shared" si="36"/>
        <v>Barraqueiro Transportes, S.A.</v>
      </c>
      <c r="C622" s="82" t="str">
        <f t="shared" si="37"/>
        <v>Barraqueiro Alugueres</v>
      </c>
      <c r="D622" s="83" t="s">
        <v>629</v>
      </c>
      <c r="E622" s="91" t="s">
        <v>1853</v>
      </c>
      <c r="F622" s="124" t="s">
        <v>620</v>
      </c>
      <c r="G622" s="333">
        <v>2007</v>
      </c>
      <c r="H622" s="341" t="s">
        <v>731</v>
      </c>
      <c r="I622" s="336" t="str">
        <f t="shared" si="38"/>
        <v>Pesado de Passageiros M3: III : Gasóleo : E4</v>
      </c>
      <c r="J622" s="125">
        <v>53</v>
      </c>
      <c r="K622" s="125">
        <v>2022</v>
      </c>
      <c r="L622" s="85">
        <v>18227.508999999998</v>
      </c>
      <c r="M622" s="85" t="s">
        <v>630</v>
      </c>
      <c r="N622" s="128">
        <v>48302</v>
      </c>
      <c r="O622" s="128">
        <f t="shared" si="39"/>
        <v>2560006</v>
      </c>
      <c r="P622" s="125" t="s">
        <v>1233</v>
      </c>
      <c r="Q622" s="85" t="s">
        <v>47</v>
      </c>
      <c r="R622" s="220" t="s">
        <v>1888</v>
      </c>
      <c r="S622" s="220" t="s">
        <v>1861</v>
      </c>
      <c r="T622" s="85" t="s">
        <v>1491</v>
      </c>
      <c r="U622" t="s">
        <v>1972</v>
      </c>
      <c r="V622" t="s">
        <v>2832</v>
      </c>
    </row>
    <row r="623" spans="1:22" ht="15.75" thickBot="1" x14ac:dyDescent="0.3">
      <c r="A623" s="82" t="s">
        <v>3314</v>
      </c>
      <c r="B623" s="82" t="str">
        <f t="shared" si="36"/>
        <v>Barraqueiro Transportes, S.A.</v>
      </c>
      <c r="C623" s="82" t="str">
        <f t="shared" si="37"/>
        <v>Barraqueiro Alugueres</v>
      </c>
      <c r="D623" s="83" t="s">
        <v>629</v>
      </c>
      <c r="E623" s="91" t="s">
        <v>1853</v>
      </c>
      <c r="F623" s="124" t="s">
        <v>620</v>
      </c>
      <c r="G623" s="333">
        <v>2008</v>
      </c>
      <c r="H623" s="341" t="s">
        <v>731</v>
      </c>
      <c r="I623" s="336" t="str">
        <f t="shared" si="38"/>
        <v>Pesado de Passageiros M3: III : Gasóleo : E4</v>
      </c>
      <c r="J623" s="125">
        <v>59</v>
      </c>
      <c r="K623" s="125">
        <v>2022</v>
      </c>
      <c r="L623" s="85">
        <v>17228.713</v>
      </c>
      <c r="M623" s="85" t="s">
        <v>630</v>
      </c>
      <c r="N623" s="128">
        <v>50107</v>
      </c>
      <c r="O623" s="128">
        <f t="shared" si="39"/>
        <v>2956313</v>
      </c>
      <c r="P623" s="125" t="s">
        <v>1234</v>
      </c>
      <c r="Q623" s="85" t="s">
        <v>47</v>
      </c>
      <c r="R623" s="220" t="s">
        <v>1888</v>
      </c>
      <c r="S623" s="220" t="s">
        <v>1861</v>
      </c>
      <c r="T623" s="85" t="s">
        <v>1491</v>
      </c>
      <c r="U623" t="s">
        <v>1972</v>
      </c>
      <c r="V623" t="s">
        <v>2832</v>
      </c>
    </row>
    <row r="624" spans="1:22" ht="15.75" thickBot="1" x14ac:dyDescent="0.3">
      <c r="A624" s="82" t="s">
        <v>3314</v>
      </c>
      <c r="B624" s="82" t="str">
        <f t="shared" si="36"/>
        <v>Barraqueiro Transportes, S.A.</v>
      </c>
      <c r="C624" s="82" t="str">
        <f t="shared" si="37"/>
        <v>Barraqueiro Alugueres</v>
      </c>
      <c r="D624" s="83" t="s">
        <v>629</v>
      </c>
      <c r="E624" s="91" t="s">
        <v>1853</v>
      </c>
      <c r="F624" s="124" t="s">
        <v>620</v>
      </c>
      <c r="G624" s="333">
        <v>2008</v>
      </c>
      <c r="H624" s="341" t="s">
        <v>731</v>
      </c>
      <c r="I624" s="336" t="str">
        <f t="shared" si="38"/>
        <v>Pesado de Passageiros M3: III : Gasóleo : E4</v>
      </c>
      <c r="J624" s="125">
        <v>59</v>
      </c>
      <c r="K624" s="125">
        <v>2022</v>
      </c>
      <c r="L624" s="85">
        <v>19676.445999999996</v>
      </c>
      <c r="M624" s="85" t="s">
        <v>630</v>
      </c>
      <c r="N624" s="128">
        <v>51007</v>
      </c>
      <c r="O624" s="128">
        <f t="shared" si="39"/>
        <v>3009413</v>
      </c>
      <c r="P624" s="125" t="s">
        <v>1235</v>
      </c>
      <c r="Q624" s="85" t="s">
        <v>47</v>
      </c>
      <c r="R624" s="220" t="s">
        <v>1888</v>
      </c>
      <c r="S624" s="220" t="s">
        <v>1861</v>
      </c>
      <c r="T624" s="85" t="s">
        <v>1491</v>
      </c>
      <c r="U624" t="s">
        <v>1972</v>
      </c>
      <c r="V624" t="s">
        <v>2832</v>
      </c>
    </row>
    <row r="625" spans="1:22" ht="15.75" thickBot="1" x14ac:dyDescent="0.3">
      <c r="A625" s="82" t="s">
        <v>3314</v>
      </c>
      <c r="B625" s="82" t="str">
        <f t="shared" si="36"/>
        <v>Barraqueiro Transportes, S.A.</v>
      </c>
      <c r="C625" s="82" t="str">
        <f t="shared" si="37"/>
        <v>Barraqueiro Alugueres</v>
      </c>
      <c r="D625" s="83" t="s">
        <v>629</v>
      </c>
      <c r="E625" s="91" t="s">
        <v>1853</v>
      </c>
      <c r="F625" s="124" t="s">
        <v>620</v>
      </c>
      <c r="G625" s="333">
        <v>2008</v>
      </c>
      <c r="H625" s="341" t="s">
        <v>731</v>
      </c>
      <c r="I625" s="336" t="str">
        <f t="shared" si="38"/>
        <v>Pesado de Passageiros M3: III : Gasóleo : E4</v>
      </c>
      <c r="J625" s="125">
        <v>53</v>
      </c>
      <c r="K625" s="125">
        <v>2022</v>
      </c>
      <c r="L625" s="85">
        <v>0</v>
      </c>
      <c r="M625" s="85" t="s">
        <v>630</v>
      </c>
      <c r="N625" s="128">
        <v>0</v>
      </c>
      <c r="O625" s="128">
        <f t="shared" si="39"/>
        <v>0</v>
      </c>
      <c r="P625" s="125" t="s">
        <v>1236</v>
      </c>
      <c r="Q625" s="85" t="s">
        <v>47</v>
      </c>
      <c r="R625" s="220" t="s">
        <v>1888</v>
      </c>
      <c r="S625" s="220" t="s">
        <v>1861</v>
      </c>
      <c r="T625" s="85" t="s">
        <v>1491</v>
      </c>
      <c r="U625" t="s">
        <v>1972</v>
      </c>
      <c r="V625" t="s">
        <v>2832</v>
      </c>
    </row>
    <row r="626" spans="1:22" ht="15.75" thickBot="1" x14ac:dyDescent="0.3">
      <c r="A626" s="82" t="s">
        <v>3314</v>
      </c>
      <c r="B626" s="82" t="str">
        <f t="shared" si="36"/>
        <v>Barraqueiro Transportes, S.A.</v>
      </c>
      <c r="C626" s="82" t="str">
        <f t="shared" si="37"/>
        <v>Barraqueiro Alugueres</v>
      </c>
      <c r="D626" s="83" t="s">
        <v>629</v>
      </c>
      <c r="E626" s="91" t="s">
        <v>1853</v>
      </c>
      <c r="F626" s="124" t="s">
        <v>620</v>
      </c>
      <c r="G626" s="333">
        <v>2008</v>
      </c>
      <c r="H626" s="341" t="s">
        <v>731</v>
      </c>
      <c r="I626" s="336" t="str">
        <f t="shared" si="38"/>
        <v>Pesado de Passageiros M3: III : Gasóleo : E4</v>
      </c>
      <c r="J626" s="125">
        <v>53</v>
      </c>
      <c r="K626" s="125">
        <v>2022</v>
      </c>
      <c r="L626" s="85">
        <v>14342.043</v>
      </c>
      <c r="M626" s="85" t="s">
        <v>630</v>
      </c>
      <c r="N626" s="128">
        <v>38701</v>
      </c>
      <c r="O626" s="128">
        <f t="shared" si="39"/>
        <v>2051153</v>
      </c>
      <c r="P626" s="125" t="s">
        <v>1237</v>
      </c>
      <c r="Q626" s="85" t="s">
        <v>47</v>
      </c>
      <c r="R626" s="220" t="s">
        <v>1888</v>
      </c>
      <c r="S626" s="220" t="s">
        <v>1861</v>
      </c>
      <c r="T626" s="85" t="s">
        <v>1491</v>
      </c>
      <c r="U626" t="s">
        <v>1972</v>
      </c>
      <c r="V626" t="s">
        <v>2832</v>
      </c>
    </row>
    <row r="627" spans="1:22" ht="15.75" thickBot="1" x14ac:dyDescent="0.3">
      <c r="A627" s="82" t="s">
        <v>3314</v>
      </c>
      <c r="B627" s="82" t="str">
        <f t="shared" si="36"/>
        <v>Barraqueiro Transportes, S.A.</v>
      </c>
      <c r="C627" s="82" t="str">
        <f t="shared" si="37"/>
        <v>Barraqueiro Alugueres</v>
      </c>
      <c r="D627" s="83" t="s">
        <v>629</v>
      </c>
      <c r="E627" s="91" t="s">
        <v>1853</v>
      </c>
      <c r="F627" s="124" t="s">
        <v>620</v>
      </c>
      <c r="G627" s="333">
        <v>2008</v>
      </c>
      <c r="H627" s="341" t="s">
        <v>731</v>
      </c>
      <c r="I627" s="336" t="str">
        <f t="shared" si="38"/>
        <v>Pesado de Passageiros M3: III : Gasóleo : E4</v>
      </c>
      <c r="J627" s="125">
        <v>53</v>
      </c>
      <c r="K627" s="125">
        <v>2022</v>
      </c>
      <c r="L627" s="85">
        <v>12871.809999999998</v>
      </c>
      <c r="M627" s="85" t="s">
        <v>630</v>
      </c>
      <c r="N627" s="128">
        <v>35839</v>
      </c>
      <c r="O627" s="128">
        <f t="shared" si="39"/>
        <v>1899467</v>
      </c>
      <c r="P627" s="125" t="s">
        <v>1238</v>
      </c>
      <c r="Q627" s="85" t="s">
        <v>47</v>
      </c>
      <c r="R627" s="220" t="s">
        <v>1888</v>
      </c>
      <c r="S627" s="220" t="s">
        <v>1861</v>
      </c>
      <c r="T627" s="85" t="s">
        <v>1491</v>
      </c>
      <c r="U627" t="s">
        <v>1972</v>
      </c>
      <c r="V627" t="s">
        <v>2832</v>
      </c>
    </row>
    <row r="628" spans="1:22" ht="15.75" thickBot="1" x14ac:dyDescent="0.3">
      <c r="A628" s="82" t="s">
        <v>3314</v>
      </c>
      <c r="B628" s="82" t="str">
        <f t="shared" si="36"/>
        <v>Barraqueiro Transportes, S.A.</v>
      </c>
      <c r="C628" s="82" t="str">
        <f t="shared" si="37"/>
        <v>Barraqueiro Alugueres</v>
      </c>
      <c r="D628" s="83" t="s">
        <v>629</v>
      </c>
      <c r="E628" s="91" t="s">
        <v>1853</v>
      </c>
      <c r="F628" s="124" t="s">
        <v>620</v>
      </c>
      <c r="G628" s="333">
        <v>2008</v>
      </c>
      <c r="H628" s="341" t="s">
        <v>731</v>
      </c>
      <c r="I628" s="336" t="str">
        <f t="shared" si="38"/>
        <v>Pesado de Passageiros M3: III : Gasóleo : E4</v>
      </c>
      <c r="J628" s="125">
        <v>34</v>
      </c>
      <c r="K628" s="125">
        <v>2022</v>
      </c>
      <c r="L628" s="85">
        <v>2988.3590000000004</v>
      </c>
      <c r="M628" s="85" t="s">
        <v>630</v>
      </c>
      <c r="N628" s="128">
        <v>9078</v>
      </c>
      <c r="O628" s="128">
        <f t="shared" si="39"/>
        <v>308652</v>
      </c>
      <c r="P628" s="125" t="s">
        <v>1239</v>
      </c>
      <c r="Q628" s="85" t="s">
        <v>47</v>
      </c>
      <c r="R628" s="220" t="s">
        <v>1888</v>
      </c>
      <c r="S628" s="220" t="s">
        <v>1861</v>
      </c>
      <c r="T628" s="85" t="s">
        <v>1491</v>
      </c>
      <c r="U628" t="s">
        <v>1972</v>
      </c>
      <c r="V628" t="s">
        <v>2832</v>
      </c>
    </row>
    <row r="629" spans="1:22" ht="15.75" thickBot="1" x14ac:dyDescent="0.3">
      <c r="A629" s="82" t="s">
        <v>3314</v>
      </c>
      <c r="B629" s="82" t="str">
        <f t="shared" si="36"/>
        <v>Barraqueiro Transportes, S.A.</v>
      </c>
      <c r="C629" s="82" t="str">
        <f t="shared" si="37"/>
        <v>Barraqueiro Alugueres</v>
      </c>
      <c r="D629" s="83" t="s">
        <v>629</v>
      </c>
      <c r="E629" s="91" t="s">
        <v>1853</v>
      </c>
      <c r="F629" s="124" t="s">
        <v>620</v>
      </c>
      <c r="G629" s="333">
        <v>2008</v>
      </c>
      <c r="H629" s="341" t="s">
        <v>731</v>
      </c>
      <c r="I629" s="336" t="str">
        <f t="shared" si="38"/>
        <v>Pesado de Passageiros M3: III : Gasóleo : E4</v>
      </c>
      <c r="J629" s="125">
        <v>34</v>
      </c>
      <c r="K629" s="125">
        <v>2022</v>
      </c>
      <c r="L629" s="85">
        <v>320.91000000000003</v>
      </c>
      <c r="M629" s="85" t="s">
        <v>630</v>
      </c>
      <c r="N629" s="128">
        <v>1072</v>
      </c>
      <c r="O629" s="128">
        <f t="shared" si="39"/>
        <v>36448</v>
      </c>
      <c r="P629" s="125" t="s">
        <v>1240</v>
      </c>
      <c r="Q629" s="85" t="s">
        <v>47</v>
      </c>
      <c r="R629" s="220" t="s">
        <v>1888</v>
      </c>
      <c r="S629" s="220" t="s">
        <v>1861</v>
      </c>
      <c r="T629" s="85" t="s">
        <v>1491</v>
      </c>
      <c r="U629" t="s">
        <v>1972</v>
      </c>
      <c r="V629" t="s">
        <v>2832</v>
      </c>
    </row>
    <row r="630" spans="1:22" ht="15.75" thickBot="1" x14ac:dyDescent="0.3">
      <c r="A630" s="82" t="s">
        <v>3314</v>
      </c>
      <c r="B630" s="82" t="str">
        <f t="shared" si="36"/>
        <v>Barraqueiro Transportes, S.A.</v>
      </c>
      <c r="C630" s="82" t="str">
        <f t="shared" si="37"/>
        <v>Barraqueiro Alugueres</v>
      </c>
      <c r="D630" s="83" t="s">
        <v>629</v>
      </c>
      <c r="E630" s="91" t="s">
        <v>1853</v>
      </c>
      <c r="F630" s="124" t="s">
        <v>620</v>
      </c>
      <c r="G630" s="333">
        <v>2008</v>
      </c>
      <c r="H630" s="341" t="s">
        <v>731</v>
      </c>
      <c r="I630" s="336" t="str">
        <f t="shared" si="38"/>
        <v>Pesado de Passageiros M3: III : Gasóleo : E4</v>
      </c>
      <c r="J630" s="125">
        <v>25</v>
      </c>
      <c r="K630" s="125">
        <v>2022</v>
      </c>
      <c r="L630" s="85">
        <v>0</v>
      </c>
      <c r="M630" s="85" t="s">
        <v>630</v>
      </c>
      <c r="N630" s="128">
        <v>0</v>
      </c>
      <c r="O630" s="128">
        <f t="shared" si="39"/>
        <v>0</v>
      </c>
      <c r="P630" s="125" t="s">
        <v>1241</v>
      </c>
      <c r="Q630" s="85" t="s">
        <v>47</v>
      </c>
      <c r="R630" s="220" t="s">
        <v>1888</v>
      </c>
      <c r="S630" s="220" t="s">
        <v>1861</v>
      </c>
      <c r="T630" s="85" t="s">
        <v>1491</v>
      </c>
      <c r="U630" t="s">
        <v>1972</v>
      </c>
      <c r="V630" t="s">
        <v>2832</v>
      </c>
    </row>
    <row r="631" spans="1:22" ht="15.75" thickBot="1" x14ac:dyDescent="0.3">
      <c r="A631" s="82" t="s">
        <v>3314</v>
      </c>
      <c r="B631" s="82" t="str">
        <f t="shared" si="36"/>
        <v>Barraqueiro Transportes, S.A.</v>
      </c>
      <c r="C631" s="82" t="str">
        <f t="shared" si="37"/>
        <v>Barraqueiro Alugueres</v>
      </c>
      <c r="D631" s="83" t="s">
        <v>629</v>
      </c>
      <c r="E631" s="91" t="s">
        <v>1853</v>
      </c>
      <c r="F631" s="124" t="s">
        <v>620</v>
      </c>
      <c r="G631" s="333">
        <v>2008</v>
      </c>
      <c r="H631" s="341" t="s">
        <v>731</v>
      </c>
      <c r="I631" s="336" t="str">
        <f t="shared" si="38"/>
        <v>Pesado de Passageiros M3: III : Gasóleo : E4</v>
      </c>
      <c r="J631" s="125">
        <v>25</v>
      </c>
      <c r="K631" s="125">
        <v>2022</v>
      </c>
      <c r="L631" s="85">
        <v>0</v>
      </c>
      <c r="M631" s="85" t="s">
        <v>630</v>
      </c>
      <c r="N631" s="128">
        <v>0</v>
      </c>
      <c r="O631" s="128">
        <f t="shared" si="39"/>
        <v>0</v>
      </c>
      <c r="P631" s="125" t="s">
        <v>1242</v>
      </c>
      <c r="Q631" s="85" t="s">
        <v>47</v>
      </c>
      <c r="R631" s="220" t="s">
        <v>1888</v>
      </c>
      <c r="S631" s="220" t="s">
        <v>1861</v>
      </c>
      <c r="T631" s="85" t="s">
        <v>1491</v>
      </c>
      <c r="U631" t="s">
        <v>1972</v>
      </c>
      <c r="V631" t="s">
        <v>2832</v>
      </c>
    </row>
    <row r="632" spans="1:22" ht="15.75" thickBot="1" x14ac:dyDescent="0.3">
      <c r="A632" s="82" t="s">
        <v>3314</v>
      </c>
      <c r="B632" s="82" t="str">
        <f t="shared" si="36"/>
        <v>Barraqueiro Transportes, S.A.</v>
      </c>
      <c r="C632" s="82" t="str">
        <f t="shared" si="37"/>
        <v>Barraqueiro Alugueres</v>
      </c>
      <c r="D632" s="83" t="s">
        <v>629</v>
      </c>
      <c r="E632" s="91" t="s">
        <v>1853</v>
      </c>
      <c r="F632" s="124" t="s">
        <v>620</v>
      </c>
      <c r="G632" s="333">
        <v>2008</v>
      </c>
      <c r="H632" s="341" t="s">
        <v>731</v>
      </c>
      <c r="I632" s="336" t="str">
        <f t="shared" si="38"/>
        <v>Pesado de Passageiros M3: III : Gasóleo : E4</v>
      </c>
      <c r="J632" s="125">
        <v>25</v>
      </c>
      <c r="K632" s="125">
        <v>2022</v>
      </c>
      <c r="L632" s="85">
        <v>0</v>
      </c>
      <c r="M632" s="85" t="s">
        <v>630</v>
      </c>
      <c r="N632" s="128">
        <v>0</v>
      </c>
      <c r="O632" s="128">
        <f t="shared" si="39"/>
        <v>0</v>
      </c>
      <c r="P632" s="125" t="s">
        <v>1243</v>
      </c>
      <c r="Q632" s="85" t="s">
        <v>47</v>
      </c>
      <c r="R632" s="220" t="s">
        <v>1888</v>
      </c>
      <c r="S632" s="220" t="s">
        <v>1861</v>
      </c>
      <c r="T632" s="85" t="s">
        <v>1491</v>
      </c>
      <c r="U632" t="s">
        <v>1972</v>
      </c>
      <c r="V632" t="s">
        <v>2832</v>
      </c>
    </row>
    <row r="633" spans="1:22" ht="15.75" thickBot="1" x14ac:dyDescent="0.3">
      <c r="A633" s="82" t="s">
        <v>3314</v>
      </c>
      <c r="B633" s="82" t="str">
        <f t="shared" si="36"/>
        <v>Barraqueiro Transportes, S.A.</v>
      </c>
      <c r="C633" s="82" t="str">
        <f t="shared" si="37"/>
        <v>Barraqueiro Alugueres</v>
      </c>
      <c r="D633" s="83" t="s">
        <v>629</v>
      </c>
      <c r="E633" s="91" t="s">
        <v>1853</v>
      </c>
      <c r="F633" s="124" t="s">
        <v>620</v>
      </c>
      <c r="G633" s="333">
        <v>2008</v>
      </c>
      <c r="H633" s="341" t="s">
        <v>731</v>
      </c>
      <c r="I633" s="336" t="str">
        <f t="shared" si="38"/>
        <v>Pesado de Passageiros M3: III : Gasóleo : E4</v>
      </c>
      <c r="J633" s="125">
        <v>53</v>
      </c>
      <c r="K633" s="125">
        <v>2022</v>
      </c>
      <c r="L633" s="85">
        <v>15116.002</v>
      </c>
      <c r="M633" s="85" t="s">
        <v>630</v>
      </c>
      <c r="N633" s="128">
        <v>42549</v>
      </c>
      <c r="O633" s="128">
        <f t="shared" si="39"/>
        <v>2255097</v>
      </c>
      <c r="P633" s="125" t="s">
        <v>1244</v>
      </c>
      <c r="Q633" s="85" t="s">
        <v>47</v>
      </c>
      <c r="R633" s="220" t="s">
        <v>1888</v>
      </c>
      <c r="S633" s="220" t="s">
        <v>1861</v>
      </c>
      <c r="T633" s="85" t="s">
        <v>1491</v>
      </c>
      <c r="U633" t="s">
        <v>1972</v>
      </c>
      <c r="V633" t="s">
        <v>2832</v>
      </c>
    </row>
    <row r="634" spans="1:22" ht="15.75" thickBot="1" x14ac:dyDescent="0.3">
      <c r="A634" s="82" t="s">
        <v>3314</v>
      </c>
      <c r="B634" s="82" t="str">
        <f t="shared" si="36"/>
        <v>Barraqueiro Transportes, S.A.</v>
      </c>
      <c r="C634" s="82" t="str">
        <f t="shared" si="37"/>
        <v>Barraqueiro Alugueres</v>
      </c>
      <c r="D634" s="83" t="s">
        <v>629</v>
      </c>
      <c r="E634" s="91" t="s">
        <v>1853</v>
      </c>
      <c r="F634" s="124" t="s">
        <v>620</v>
      </c>
      <c r="G634" s="333">
        <v>2008</v>
      </c>
      <c r="H634" s="341" t="s">
        <v>731</v>
      </c>
      <c r="I634" s="336" t="str">
        <f t="shared" si="38"/>
        <v>Pesado de Passageiros M3: III : Gasóleo : E4</v>
      </c>
      <c r="J634" s="125">
        <v>20</v>
      </c>
      <c r="K634" s="125">
        <v>2022</v>
      </c>
      <c r="L634" s="85">
        <v>0</v>
      </c>
      <c r="M634" s="85" t="s">
        <v>630</v>
      </c>
      <c r="N634" s="128">
        <v>0</v>
      </c>
      <c r="O634" s="128">
        <f t="shared" si="39"/>
        <v>0</v>
      </c>
      <c r="P634" s="125" t="s">
        <v>1245</v>
      </c>
      <c r="Q634" s="85" t="s">
        <v>47</v>
      </c>
      <c r="R634" s="220" t="s">
        <v>1888</v>
      </c>
      <c r="S634" s="220" t="s">
        <v>1861</v>
      </c>
      <c r="T634" s="85" t="s">
        <v>1491</v>
      </c>
      <c r="U634" t="s">
        <v>1972</v>
      </c>
      <c r="V634" t="s">
        <v>2832</v>
      </c>
    </row>
    <row r="635" spans="1:22" ht="15.75" thickBot="1" x14ac:dyDescent="0.3">
      <c r="A635" s="82" t="s">
        <v>3314</v>
      </c>
      <c r="B635" s="82" t="str">
        <f t="shared" si="36"/>
        <v>Barraqueiro Transportes, S.A.</v>
      </c>
      <c r="C635" s="82" t="str">
        <f t="shared" si="37"/>
        <v>Barraqueiro Alugueres</v>
      </c>
      <c r="D635" s="83" t="s">
        <v>629</v>
      </c>
      <c r="E635" s="91" t="s">
        <v>1853</v>
      </c>
      <c r="F635" s="124" t="s">
        <v>620</v>
      </c>
      <c r="G635" s="333">
        <v>2008</v>
      </c>
      <c r="H635" s="341" t="s">
        <v>731</v>
      </c>
      <c r="I635" s="336" t="str">
        <f t="shared" si="38"/>
        <v>Pesado de Passageiros M3: III : Gasóleo : E4</v>
      </c>
      <c r="J635" s="125">
        <v>55</v>
      </c>
      <c r="K635" s="125">
        <v>2022</v>
      </c>
      <c r="L635" s="85">
        <v>12732.849</v>
      </c>
      <c r="M635" s="85" t="s">
        <v>630</v>
      </c>
      <c r="N635" s="128">
        <v>38546</v>
      </c>
      <c r="O635" s="128">
        <f t="shared" si="39"/>
        <v>2120030</v>
      </c>
      <c r="P635" s="125" t="s">
        <v>1246</v>
      </c>
      <c r="Q635" s="85" t="s">
        <v>47</v>
      </c>
      <c r="R635" s="220" t="s">
        <v>1888</v>
      </c>
      <c r="S635" s="220" t="s">
        <v>1861</v>
      </c>
      <c r="T635" s="85" t="s">
        <v>1491</v>
      </c>
      <c r="U635" t="s">
        <v>1972</v>
      </c>
      <c r="V635" t="s">
        <v>2832</v>
      </c>
    </row>
    <row r="636" spans="1:22" ht="15.75" thickBot="1" x14ac:dyDescent="0.3">
      <c r="A636" s="82" t="s">
        <v>3314</v>
      </c>
      <c r="B636" s="82" t="str">
        <f t="shared" si="36"/>
        <v>Barraqueiro Transportes, S.A.</v>
      </c>
      <c r="C636" s="82" t="str">
        <f t="shared" si="37"/>
        <v>Barraqueiro Alugueres</v>
      </c>
      <c r="D636" s="83" t="s">
        <v>629</v>
      </c>
      <c r="E636" s="91" t="s">
        <v>1853</v>
      </c>
      <c r="F636" s="124" t="s">
        <v>620</v>
      </c>
      <c r="G636" s="333">
        <v>2008</v>
      </c>
      <c r="H636" s="341" t="s">
        <v>731</v>
      </c>
      <c r="I636" s="336" t="str">
        <f t="shared" si="38"/>
        <v>Pesado de Passageiros M3: III : Gasóleo : E4</v>
      </c>
      <c r="J636" s="125">
        <v>60</v>
      </c>
      <c r="K636" s="125">
        <v>2022</v>
      </c>
      <c r="L636" s="85">
        <v>16346.691999999999</v>
      </c>
      <c r="M636" s="85" t="s">
        <v>630</v>
      </c>
      <c r="N636" s="128">
        <v>44033</v>
      </c>
      <c r="O636" s="128">
        <f t="shared" si="39"/>
        <v>2641980</v>
      </c>
      <c r="P636" s="125" t="s">
        <v>1247</v>
      </c>
      <c r="Q636" s="85" t="s">
        <v>47</v>
      </c>
      <c r="R636" s="220" t="s">
        <v>1888</v>
      </c>
      <c r="S636" s="220" t="s">
        <v>1861</v>
      </c>
      <c r="T636" s="85" t="s">
        <v>1491</v>
      </c>
      <c r="U636" t="s">
        <v>1972</v>
      </c>
      <c r="V636" t="s">
        <v>2832</v>
      </c>
    </row>
    <row r="637" spans="1:22" ht="15.75" thickBot="1" x14ac:dyDescent="0.3">
      <c r="A637" s="82" t="s">
        <v>3314</v>
      </c>
      <c r="B637" s="82" t="str">
        <f t="shared" si="36"/>
        <v>Barraqueiro Transportes, S.A.</v>
      </c>
      <c r="C637" s="82" t="str">
        <f t="shared" si="37"/>
        <v>Barraqueiro Alugueres</v>
      </c>
      <c r="D637" s="83" t="s">
        <v>629</v>
      </c>
      <c r="E637" s="91" t="s">
        <v>1853</v>
      </c>
      <c r="F637" s="124" t="s">
        <v>620</v>
      </c>
      <c r="G637" s="333">
        <v>2015</v>
      </c>
      <c r="H637" s="341" t="s">
        <v>733</v>
      </c>
      <c r="I637" s="336" t="str">
        <f t="shared" si="38"/>
        <v>Pesado de Passageiros M3: III : Gasóleo : E6</v>
      </c>
      <c r="J637" s="125">
        <v>91</v>
      </c>
      <c r="K637" s="125">
        <v>2022</v>
      </c>
      <c r="L637" s="85">
        <v>2392.14</v>
      </c>
      <c r="M637" s="85" t="s">
        <v>630</v>
      </c>
      <c r="N637" s="128">
        <v>9477</v>
      </c>
      <c r="O637" s="128">
        <f t="shared" si="39"/>
        <v>862407</v>
      </c>
      <c r="P637" s="125" t="s">
        <v>1248</v>
      </c>
      <c r="Q637" s="85" t="s">
        <v>47</v>
      </c>
      <c r="R637" s="220" t="s">
        <v>1888</v>
      </c>
      <c r="S637" s="220" t="s">
        <v>1861</v>
      </c>
      <c r="T637" s="85" t="s">
        <v>1491</v>
      </c>
      <c r="U637" t="s">
        <v>1972</v>
      </c>
      <c r="V637" t="s">
        <v>2832</v>
      </c>
    </row>
    <row r="638" spans="1:22" ht="15.75" thickBot="1" x14ac:dyDescent="0.3">
      <c r="A638" s="82" t="s">
        <v>3314</v>
      </c>
      <c r="B638" s="82" t="str">
        <f t="shared" si="36"/>
        <v>Barraqueiro Transportes, S.A.</v>
      </c>
      <c r="C638" s="82" t="str">
        <f t="shared" si="37"/>
        <v>Barraqueiro Alugueres</v>
      </c>
      <c r="D638" s="83" t="s">
        <v>629</v>
      </c>
      <c r="E638" s="91" t="s">
        <v>1853</v>
      </c>
      <c r="F638" s="124" t="s">
        <v>620</v>
      </c>
      <c r="G638" s="333">
        <v>2015</v>
      </c>
      <c r="H638" s="341" t="s">
        <v>733</v>
      </c>
      <c r="I638" s="336" t="str">
        <f t="shared" si="38"/>
        <v>Pesado de Passageiros M3: III : Gasóleo : E6</v>
      </c>
      <c r="J638" s="125">
        <v>91</v>
      </c>
      <c r="K638" s="125">
        <v>2022</v>
      </c>
      <c r="L638" s="85">
        <v>2179.8999999999996</v>
      </c>
      <c r="M638" s="85" t="s">
        <v>630</v>
      </c>
      <c r="N638" s="128">
        <v>7180</v>
      </c>
      <c r="O638" s="128">
        <f t="shared" si="39"/>
        <v>653380</v>
      </c>
      <c r="P638" s="125" t="s">
        <v>1249</v>
      </c>
      <c r="Q638" s="85" t="s">
        <v>47</v>
      </c>
      <c r="R638" s="220" t="s">
        <v>1888</v>
      </c>
      <c r="S638" s="220" t="s">
        <v>1861</v>
      </c>
      <c r="T638" s="85" t="s">
        <v>1491</v>
      </c>
      <c r="U638" t="s">
        <v>1972</v>
      </c>
      <c r="V638" t="s">
        <v>2832</v>
      </c>
    </row>
    <row r="639" spans="1:22" ht="15.75" thickBot="1" x14ac:dyDescent="0.3">
      <c r="A639" s="82" t="s">
        <v>3314</v>
      </c>
      <c r="B639" s="82" t="str">
        <f t="shared" si="36"/>
        <v>Barraqueiro Transportes, S.A.</v>
      </c>
      <c r="C639" s="82" t="str">
        <f t="shared" si="37"/>
        <v>Barraqueiro Alugueres</v>
      </c>
      <c r="D639" s="83" t="s">
        <v>629</v>
      </c>
      <c r="E639" s="91" t="s">
        <v>1853</v>
      </c>
      <c r="F639" s="124" t="s">
        <v>620</v>
      </c>
      <c r="G639" s="333">
        <v>2015</v>
      </c>
      <c r="H639" s="341" t="s">
        <v>733</v>
      </c>
      <c r="I639" s="336" t="str">
        <f t="shared" si="38"/>
        <v>Pesado de Passageiros M3: III : Gasóleo : E6</v>
      </c>
      <c r="J639" s="125">
        <v>91</v>
      </c>
      <c r="K639" s="125">
        <v>2022</v>
      </c>
      <c r="L639" s="85">
        <v>2777.24</v>
      </c>
      <c r="M639" s="85" t="s">
        <v>630</v>
      </c>
      <c r="N639" s="128">
        <v>10680</v>
      </c>
      <c r="O639" s="128">
        <f t="shared" si="39"/>
        <v>971880</v>
      </c>
      <c r="P639" s="125" t="s">
        <v>1250</v>
      </c>
      <c r="Q639" s="85" t="s">
        <v>47</v>
      </c>
      <c r="R639" s="220" t="s">
        <v>1888</v>
      </c>
      <c r="S639" s="220" t="s">
        <v>1861</v>
      </c>
      <c r="T639" s="85" t="s">
        <v>1491</v>
      </c>
      <c r="U639" t="s">
        <v>1972</v>
      </c>
      <c r="V639" t="s">
        <v>2832</v>
      </c>
    </row>
    <row r="640" spans="1:22" ht="15.75" thickBot="1" x14ac:dyDescent="0.3">
      <c r="A640" s="82" t="s">
        <v>3314</v>
      </c>
      <c r="B640" s="82" t="str">
        <f t="shared" si="36"/>
        <v>Barraqueiro Transportes, S.A.</v>
      </c>
      <c r="C640" s="82" t="str">
        <f t="shared" si="37"/>
        <v>Barraqueiro Alugueres</v>
      </c>
      <c r="D640" s="83" t="s">
        <v>629</v>
      </c>
      <c r="E640" s="91" t="s">
        <v>1853</v>
      </c>
      <c r="F640" s="124" t="s">
        <v>620</v>
      </c>
      <c r="G640" s="333">
        <v>2015</v>
      </c>
      <c r="H640" s="341" t="s">
        <v>733</v>
      </c>
      <c r="I640" s="336" t="str">
        <f t="shared" si="38"/>
        <v>Pesado de Passageiros M3: III : Gasóleo : E6</v>
      </c>
      <c r="J640" s="125">
        <v>91</v>
      </c>
      <c r="K640" s="125">
        <v>2022</v>
      </c>
      <c r="L640" s="85">
        <v>2589.5600000000004</v>
      </c>
      <c r="M640" s="85" t="s">
        <v>630</v>
      </c>
      <c r="N640" s="128">
        <v>10422</v>
      </c>
      <c r="O640" s="128">
        <f t="shared" si="39"/>
        <v>948402</v>
      </c>
      <c r="P640" s="125" t="s">
        <v>1251</v>
      </c>
      <c r="Q640" s="85" t="s">
        <v>47</v>
      </c>
      <c r="R640" s="220" t="s">
        <v>1888</v>
      </c>
      <c r="S640" s="220" t="s">
        <v>1861</v>
      </c>
      <c r="T640" s="85" t="s">
        <v>1491</v>
      </c>
      <c r="U640" t="s">
        <v>1972</v>
      </c>
      <c r="V640" t="s">
        <v>2832</v>
      </c>
    </row>
    <row r="641" spans="1:22" ht="15.75" thickBot="1" x14ac:dyDescent="0.3">
      <c r="A641" s="82" t="s">
        <v>3314</v>
      </c>
      <c r="B641" s="82" t="str">
        <f t="shared" si="36"/>
        <v>Barraqueiro Transportes, S.A.</v>
      </c>
      <c r="C641" s="82" t="str">
        <f t="shared" si="37"/>
        <v>Barraqueiro Alugueres</v>
      </c>
      <c r="D641" s="83" t="s">
        <v>629</v>
      </c>
      <c r="E641" s="91" t="s">
        <v>1853</v>
      </c>
      <c r="F641" s="124" t="s">
        <v>620</v>
      </c>
      <c r="G641" s="333">
        <v>2015</v>
      </c>
      <c r="H641" s="341" t="s">
        <v>733</v>
      </c>
      <c r="I641" s="336" t="str">
        <f t="shared" si="38"/>
        <v>Pesado de Passageiros M3: III : Gasóleo : E6</v>
      </c>
      <c r="J641" s="125">
        <v>91</v>
      </c>
      <c r="K641" s="125">
        <v>2022</v>
      </c>
      <c r="L641" s="85">
        <v>3780.1800000000003</v>
      </c>
      <c r="M641" s="85" t="s">
        <v>630</v>
      </c>
      <c r="N641" s="128">
        <v>14239</v>
      </c>
      <c r="O641" s="128">
        <f t="shared" si="39"/>
        <v>1295749</v>
      </c>
      <c r="P641" s="125" t="s">
        <v>1252</v>
      </c>
      <c r="Q641" s="85" t="s">
        <v>47</v>
      </c>
      <c r="R641" s="220" t="s">
        <v>1888</v>
      </c>
      <c r="S641" s="220" t="s">
        <v>1861</v>
      </c>
      <c r="T641" s="85" t="s">
        <v>1491</v>
      </c>
      <c r="U641" t="s">
        <v>1972</v>
      </c>
      <c r="V641" t="s">
        <v>2832</v>
      </c>
    </row>
    <row r="642" spans="1:22" ht="15.75" thickBot="1" x14ac:dyDescent="0.3">
      <c r="A642" s="82" t="s">
        <v>3314</v>
      </c>
      <c r="B642" s="82" t="str">
        <f t="shared" si="36"/>
        <v>Barraqueiro Transportes, S.A.</v>
      </c>
      <c r="C642" s="82" t="str">
        <f t="shared" si="37"/>
        <v>Barraqueiro Alugueres</v>
      </c>
      <c r="D642" s="83" t="s">
        <v>629</v>
      </c>
      <c r="E642" s="91" t="s">
        <v>1853</v>
      </c>
      <c r="F642" s="124" t="s">
        <v>620</v>
      </c>
      <c r="G642" s="333">
        <v>2015</v>
      </c>
      <c r="H642" s="341" t="s">
        <v>733</v>
      </c>
      <c r="I642" s="336" t="str">
        <f t="shared" si="38"/>
        <v>Pesado de Passageiros M3: III : Gasóleo : E6</v>
      </c>
      <c r="J642" s="125">
        <v>91</v>
      </c>
      <c r="K642" s="125">
        <v>2022</v>
      </c>
      <c r="L642" s="85">
        <v>1765.92</v>
      </c>
      <c r="M642" s="85" t="s">
        <v>630</v>
      </c>
      <c r="N642" s="128">
        <v>6116</v>
      </c>
      <c r="O642" s="128">
        <f t="shared" si="39"/>
        <v>556556</v>
      </c>
      <c r="P642" s="125" t="s">
        <v>1253</v>
      </c>
      <c r="Q642" s="85" t="s">
        <v>47</v>
      </c>
      <c r="R642" s="220" t="s">
        <v>1888</v>
      </c>
      <c r="S642" s="220" t="s">
        <v>1861</v>
      </c>
      <c r="T642" s="85" t="s">
        <v>1491</v>
      </c>
      <c r="U642" t="s">
        <v>1972</v>
      </c>
      <c r="V642" t="s">
        <v>2832</v>
      </c>
    </row>
    <row r="643" spans="1:22" ht="15.75" thickBot="1" x14ac:dyDescent="0.3">
      <c r="A643" s="82" t="s">
        <v>3314</v>
      </c>
      <c r="B643" s="82" t="str">
        <f t="shared" ref="B643:B706" si="40">LEFT(A643,IFERROR(FIND(" - ",A643)-1,LEN(A643)))</f>
        <v>Barraqueiro Transportes, S.A.</v>
      </c>
      <c r="C643" s="82" t="str">
        <f t="shared" si="37"/>
        <v>Barraqueiro Alugueres</v>
      </c>
      <c r="D643" s="83" t="s">
        <v>629</v>
      </c>
      <c r="E643" s="91" t="s">
        <v>1853</v>
      </c>
      <c r="F643" s="124" t="s">
        <v>620</v>
      </c>
      <c r="G643" s="333">
        <v>2004</v>
      </c>
      <c r="H643" s="341" t="s">
        <v>732</v>
      </c>
      <c r="I643" s="336" t="str">
        <f t="shared" si="38"/>
        <v>Pesado de Passageiros M3: III : Gasóleo : E3</v>
      </c>
      <c r="J643" s="125">
        <v>19</v>
      </c>
      <c r="K643" s="125">
        <v>2022</v>
      </c>
      <c r="L643" s="85">
        <v>0</v>
      </c>
      <c r="M643" s="85" t="s">
        <v>630</v>
      </c>
      <c r="N643" s="128">
        <v>0</v>
      </c>
      <c r="O643" s="128">
        <f t="shared" si="39"/>
        <v>0</v>
      </c>
      <c r="P643" s="125" t="s">
        <v>1254</v>
      </c>
      <c r="Q643" s="85" t="s">
        <v>47</v>
      </c>
      <c r="R643" s="220" t="s">
        <v>1888</v>
      </c>
      <c r="S643" s="220" t="s">
        <v>1861</v>
      </c>
      <c r="T643" s="85" t="s">
        <v>1491</v>
      </c>
      <c r="U643" t="s">
        <v>1972</v>
      </c>
      <c r="V643" t="s">
        <v>2832</v>
      </c>
    </row>
    <row r="644" spans="1:22" ht="15.75" thickBot="1" x14ac:dyDescent="0.3">
      <c r="A644" s="82" t="s">
        <v>3314</v>
      </c>
      <c r="B644" s="82" t="str">
        <f t="shared" si="40"/>
        <v>Barraqueiro Transportes, S.A.</v>
      </c>
      <c r="C644" s="82" t="str">
        <f t="shared" ref="C644:C707" si="41">IF(A644=B644,B644,RIGHT(A644,LEN(A644)-LEN(B644)-3))</f>
        <v>Barraqueiro Alugueres</v>
      </c>
      <c r="D644" s="83" t="s">
        <v>629</v>
      </c>
      <c r="E644" s="91" t="s">
        <v>1853</v>
      </c>
      <c r="F644" s="124" t="s">
        <v>620</v>
      </c>
      <c r="G644" s="333">
        <v>2004</v>
      </c>
      <c r="H644" s="341" t="s">
        <v>732</v>
      </c>
      <c r="I644" s="336" t="str">
        <f t="shared" ref="I644:I707" si="42">D644&amp;": "&amp;E644&amp;" : "&amp;F644&amp;" : "&amp;H644</f>
        <v>Pesado de Passageiros M3: III : Gasóleo : E3</v>
      </c>
      <c r="J644" s="125">
        <v>19</v>
      </c>
      <c r="K644" s="125">
        <v>2022</v>
      </c>
      <c r="L644" s="85">
        <v>0</v>
      </c>
      <c r="M644" s="85" t="s">
        <v>630</v>
      </c>
      <c r="N644" s="128">
        <v>0</v>
      </c>
      <c r="O644" s="128">
        <f t="shared" ref="O644:O707" si="43">N644*J644</f>
        <v>0</v>
      </c>
      <c r="P644" s="125" t="s">
        <v>1255</v>
      </c>
      <c r="Q644" s="85" t="s">
        <v>47</v>
      </c>
      <c r="R644" s="220" t="s">
        <v>1888</v>
      </c>
      <c r="S644" s="220" t="s">
        <v>1861</v>
      </c>
      <c r="T644" s="85" t="s">
        <v>1491</v>
      </c>
      <c r="U644" t="s">
        <v>1972</v>
      </c>
      <c r="V644" t="s">
        <v>2832</v>
      </c>
    </row>
    <row r="645" spans="1:22" ht="15.75" thickBot="1" x14ac:dyDescent="0.3">
      <c r="A645" s="82" t="s">
        <v>3314</v>
      </c>
      <c r="B645" s="82" t="str">
        <f t="shared" si="40"/>
        <v>Barraqueiro Transportes, S.A.</v>
      </c>
      <c r="C645" s="82" t="str">
        <f t="shared" si="41"/>
        <v>Barraqueiro Alugueres</v>
      </c>
      <c r="D645" s="83" t="s">
        <v>629</v>
      </c>
      <c r="E645" s="91" t="s">
        <v>1853</v>
      </c>
      <c r="F645" s="124" t="s">
        <v>620</v>
      </c>
      <c r="G645" s="333">
        <v>2009</v>
      </c>
      <c r="H645" s="341" t="s">
        <v>734</v>
      </c>
      <c r="I645" s="336" t="str">
        <f t="shared" si="42"/>
        <v>Pesado de Passageiros M3: III : Gasóleo : E5</v>
      </c>
      <c r="J645" s="125">
        <v>34</v>
      </c>
      <c r="K645" s="125">
        <v>2022</v>
      </c>
      <c r="L645" s="85">
        <v>6488.0889999999999</v>
      </c>
      <c r="M645" s="85" t="s">
        <v>630</v>
      </c>
      <c r="N645" s="128">
        <v>21609</v>
      </c>
      <c r="O645" s="128">
        <f t="shared" si="43"/>
        <v>734706</v>
      </c>
      <c r="P645" s="125" t="s">
        <v>1256</v>
      </c>
      <c r="Q645" s="85" t="s">
        <v>47</v>
      </c>
      <c r="R645" s="220" t="s">
        <v>1888</v>
      </c>
      <c r="S645" s="220" t="s">
        <v>1861</v>
      </c>
      <c r="T645" s="85" t="s">
        <v>1491</v>
      </c>
      <c r="U645" t="s">
        <v>1972</v>
      </c>
      <c r="V645" t="s">
        <v>2832</v>
      </c>
    </row>
    <row r="646" spans="1:22" ht="15.75" thickBot="1" x14ac:dyDescent="0.3">
      <c r="A646" s="82" t="s">
        <v>3314</v>
      </c>
      <c r="B646" s="82" t="str">
        <f t="shared" si="40"/>
        <v>Barraqueiro Transportes, S.A.</v>
      </c>
      <c r="C646" s="82" t="str">
        <f t="shared" si="41"/>
        <v>Barraqueiro Alugueres</v>
      </c>
      <c r="D646" s="83" t="s">
        <v>629</v>
      </c>
      <c r="E646" s="91" t="s">
        <v>1853</v>
      </c>
      <c r="F646" s="124" t="s">
        <v>620</v>
      </c>
      <c r="G646" s="333">
        <v>2009</v>
      </c>
      <c r="H646" s="341" t="s">
        <v>734</v>
      </c>
      <c r="I646" s="336" t="str">
        <f t="shared" si="42"/>
        <v>Pesado de Passageiros M3: III : Gasóleo : E5</v>
      </c>
      <c r="J646" s="125">
        <v>34</v>
      </c>
      <c r="K646" s="125">
        <v>2022</v>
      </c>
      <c r="L646" s="85">
        <v>3798.57</v>
      </c>
      <c r="M646" s="85" t="s">
        <v>630</v>
      </c>
      <c r="N646" s="128">
        <v>12816</v>
      </c>
      <c r="O646" s="128">
        <f t="shared" si="43"/>
        <v>435744</v>
      </c>
      <c r="P646" s="125" t="s">
        <v>1257</v>
      </c>
      <c r="Q646" s="85" t="s">
        <v>47</v>
      </c>
      <c r="R646" s="220" t="s">
        <v>1888</v>
      </c>
      <c r="S646" s="220" t="s">
        <v>1861</v>
      </c>
      <c r="T646" s="85" t="s">
        <v>1491</v>
      </c>
      <c r="U646" t="s">
        <v>1972</v>
      </c>
      <c r="V646" t="s">
        <v>2832</v>
      </c>
    </row>
    <row r="647" spans="1:22" ht="15.75" thickBot="1" x14ac:dyDescent="0.3">
      <c r="A647" s="82" t="s">
        <v>3314</v>
      </c>
      <c r="B647" s="82" t="str">
        <f t="shared" si="40"/>
        <v>Barraqueiro Transportes, S.A.</v>
      </c>
      <c r="C647" s="82" t="str">
        <f t="shared" si="41"/>
        <v>Barraqueiro Alugueres</v>
      </c>
      <c r="D647" s="83" t="s">
        <v>629</v>
      </c>
      <c r="E647" s="91" t="s">
        <v>1853</v>
      </c>
      <c r="F647" s="124" t="s">
        <v>620</v>
      </c>
      <c r="G647" s="333">
        <v>2009</v>
      </c>
      <c r="H647" s="341" t="s">
        <v>734</v>
      </c>
      <c r="I647" s="336" t="str">
        <f t="shared" si="42"/>
        <v>Pesado de Passageiros M3: III : Gasóleo : E5</v>
      </c>
      <c r="J647" s="125">
        <v>34</v>
      </c>
      <c r="K647" s="125">
        <v>2022</v>
      </c>
      <c r="L647" s="85">
        <v>6392.107</v>
      </c>
      <c r="M647" s="85" t="s">
        <v>630</v>
      </c>
      <c r="N647" s="128">
        <v>20913</v>
      </c>
      <c r="O647" s="128">
        <f t="shared" si="43"/>
        <v>711042</v>
      </c>
      <c r="P647" s="125" t="s">
        <v>1258</v>
      </c>
      <c r="Q647" s="85" t="s">
        <v>47</v>
      </c>
      <c r="R647" s="220" t="s">
        <v>1888</v>
      </c>
      <c r="S647" s="220" t="s">
        <v>1861</v>
      </c>
      <c r="T647" s="85" t="s">
        <v>1491</v>
      </c>
      <c r="U647" t="s">
        <v>1972</v>
      </c>
      <c r="V647" t="s">
        <v>2832</v>
      </c>
    </row>
    <row r="648" spans="1:22" ht="15.75" thickBot="1" x14ac:dyDescent="0.3">
      <c r="A648" s="82" t="s">
        <v>3314</v>
      </c>
      <c r="B648" s="82" t="str">
        <f t="shared" si="40"/>
        <v>Barraqueiro Transportes, S.A.</v>
      </c>
      <c r="C648" s="82" t="str">
        <f t="shared" si="41"/>
        <v>Barraqueiro Alugueres</v>
      </c>
      <c r="D648" s="83" t="s">
        <v>629</v>
      </c>
      <c r="E648" s="91" t="s">
        <v>1853</v>
      </c>
      <c r="F648" s="124" t="s">
        <v>620</v>
      </c>
      <c r="G648" s="333">
        <v>2009</v>
      </c>
      <c r="H648" s="341" t="s">
        <v>734</v>
      </c>
      <c r="I648" s="336" t="str">
        <f t="shared" si="42"/>
        <v>Pesado de Passageiros M3: III : Gasóleo : E5</v>
      </c>
      <c r="J648" s="125">
        <v>24</v>
      </c>
      <c r="K648" s="125">
        <v>2022</v>
      </c>
      <c r="L648" s="85">
        <v>1237.152</v>
      </c>
      <c r="M648" s="85" t="s">
        <v>630</v>
      </c>
      <c r="N648" s="128">
        <v>6395</v>
      </c>
      <c r="O648" s="128">
        <f t="shared" si="43"/>
        <v>153480</v>
      </c>
      <c r="P648" s="125" t="s">
        <v>1259</v>
      </c>
      <c r="Q648" s="85" t="s">
        <v>47</v>
      </c>
      <c r="R648" s="220" t="s">
        <v>1888</v>
      </c>
      <c r="S648" s="220" t="s">
        <v>1861</v>
      </c>
      <c r="T648" s="85" t="s">
        <v>1491</v>
      </c>
      <c r="U648" t="s">
        <v>1972</v>
      </c>
      <c r="V648" t="s">
        <v>2832</v>
      </c>
    </row>
    <row r="649" spans="1:22" ht="15.75" thickBot="1" x14ac:dyDescent="0.3">
      <c r="A649" s="82" t="s">
        <v>3314</v>
      </c>
      <c r="B649" s="82" t="str">
        <f t="shared" si="40"/>
        <v>Barraqueiro Transportes, S.A.</v>
      </c>
      <c r="C649" s="82" t="str">
        <f t="shared" si="41"/>
        <v>Barraqueiro Alugueres</v>
      </c>
      <c r="D649" s="83" t="s">
        <v>629</v>
      </c>
      <c r="E649" s="91" t="s">
        <v>1853</v>
      </c>
      <c r="F649" s="124" t="s">
        <v>620</v>
      </c>
      <c r="G649" s="333">
        <v>2009</v>
      </c>
      <c r="H649" s="341" t="s">
        <v>734</v>
      </c>
      <c r="I649" s="336" t="str">
        <f t="shared" si="42"/>
        <v>Pesado de Passageiros M3: III : Gasóleo : E5</v>
      </c>
      <c r="J649" s="125">
        <v>24</v>
      </c>
      <c r="K649" s="125">
        <v>2022</v>
      </c>
      <c r="L649" s="85">
        <v>2074.7089999999998</v>
      </c>
      <c r="M649" s="85" t="s">
        <v>630</v>
      </c>
      <c r="N649" s="128">
        <v>10343</v>
      </c>
      <c r="O649" s="128">
        <f t="shared" si="43"/>
        <v>248232</v>
      </c>
      <c r="P649" s="125" t="s">
        <v>1260</v>
      </c>
      <c r="Q649" s="85" t="s">
        <v>47</v>
      </c>
      <c r="R649" s="220" t="s">
        <v>1888</v>
      </c>
      <c r="S649" s="220" t="s">
        <v>1861</v>
      </c>
      <c r="T649" s="85" t="s">
        <v>1491</v>
      </c>
      <c r="U649" t="s">
        <v>1972</v>
      </c>
      <c r="V649" t="s">
        <v>2832</v>
      </c>
    </row>
    <row r="650" spans="1:22" ht="15.75" thickBot="1" x14ac:dyDescent="0.3">
      <c r="A650" s="82" t="s">
        <v>3314</v>
      </c>
      <c r="B650" s="82" t="str">
        <f t="shared" si="40"/>
        <v>Barraqueiro Transportes, S.A.</v>
      </c>
      <c r="C650" s="82" t="str">
        <f t="shared" si="41"/>
        <v>Barraqueiro Alugueres</v>
      </c>
      <c r="D650" s="83" t="s">
        <v>629</v>
      </c>
      <c r="E650" s="91" t="s">
        <v>1853</v>
      </c>
      <c r="F650" s="124" t="s">
        <v>620</v>
      </c>
      <c r="G650" s="333">
        <v>2009</v>
      </c>
      <c r="H650" s="341" t="s">
        <v>734</v>
      </c>
      <c r="I650" s="336" t="str">
        <f t="shared" si="42"/>
        <v>Pesado de Passageiros M3: III : Gasóleo : E5</v>
      </c>
      <c r="J650" s="125">
        <v>69</v>
      </c>
      <c r="K650" s="125">
        <v>2022</v>
      </c>
      <c r="L650" s="85">
        <v>12088.854000000001</v>
      </c>
      <c r="M650" s="85" t="s">
        <v>630</v>
      </c>
      <c r="N650" s="128">
        <v>29124</v>
      </c>
      <c r="O650" s="128">
        <f t="shared" si="43"/>
        <v>2009556</v>
      </c>
      <c r="P650" s="125" t="s">
        <v>1261</v>
      </c>
      <c r="Q650" s="85" t="s">
        <v>47</v>
      </c>
      <c r="R650" s="220" t="s">
        <v>1888</v>
      </c>
      <c r="S650" s="220" t="s">
        <v>1861</v>
      </c>
      <c r="T650" s="85" t="s">
        <v>1491</v>
      </c>
      <c r="U650" t="s">
        <v>1972</v>
      </c>
      <c r="V650" t="s">
        <v>2832</v>
      </c>
    </row>
    <row r="651" spans="1:22" ht="15.75" thickBot="1" x14ac:dyDescent="0.3">
      <c r="A651" s="82" t="s">
        <v>3314</v>
      </c>
      <c r="B651" s="82" t="str">
        <f t="shared" si="40"/>
        <v>Barraqueiro Transportes, S.A.</v>
      </c>
      <c r="C651" s="82" t="str">
        <f t="shared" si="41"/>
        <v>Barraqueiro Alugueres</v>
      </c>
      <c r="D651" s="83" t="s">
        <v>629</v>
      </c>
      <c r="E651" s="91" t="s">
        <v>1853</v>
      </c>
      <c r="F651" s="124" t="s">
        <v>620</v>
      </c>
      <c r="G651" s="333">
        <v>2009</v>
      </c>
      <c r="H651" s="341" t="s">
        <v>734</v>
      </c>
      <c r="I651" s="336" t="str">
        <f t="shared" si="42"/>
        <v>Pesado de Passageiros M3: III : Gasóleo : E5</v>
      </c>
      <c r="J651" s="125">
        <v>27</v>
      </c>
      <c r="K651" s="125">
        <v>2022</v>
      </c>
      <c r="L651" s="85">
        <v>1424.1819999999998</v>
      </c>
      <c r="M651" s="85" t="s">
        <v>630</v>
      </c>
      <c r="N651" s="128">
        <v>7637</v>
      </c>
      <c r="O651" s="128">
        <f t="shared" si="43"/>
        <v>206199</v>
      </c>
      <c r="P651" s="125" t="s">
        <v>1262</v>
      </c>
      <c r="Q651" s="85" t="s">
        <v>47</v>
      </c>
      <c r="R651" s="220" t="s">
        <v>1888</v>
      </c>
      <c r="S651" s="220" t="s">
        <v>1861</v>
      </c>
      <c r="T651" s="85" t="s">
        <v>1491</v>
      </c>
      <c r="U651" t="s">
        <v>1972</v>
      </c>
      <c r="V651" t="s">
        <v>2832</v>
      </c>
    </row>
    <row r="652" spans="1:22" ht="15.75" thickBot="1" x14ac:dyDescent="0.3">
      <c r="A652" s="82" t="s">
        <v>3314</v>
      </c>
      <c r="B652" s="82" t="str">
        <f t="shared" si="40"/>
        <v>Barraqueiro Transportes, S.A.</v>
      </c>
      <c r="C652" s="82" t="str">
        <f t="shared" si="41"/>
        <v>Barraqueiro Alugueres</v>
      </c>
      <c r="D652" s="83" t="s">
        <v>629</v>
      </c>
      <c r="E652" s="91" t="s">
        <v>1853</v>
      </c>
      <c r="F652" s="124" t="s">
        <v>620</v>
      </c>
      <c r="G652" s="333">
        <v>2009</v>
      </c>
      <c r="H652" s="341" t="s">
        <v>734</v>
      </c>
      <c r="I652" s="336" t="str">
        <f t="shared" si="42"/>
        <v>Pesado de Passageiros M3: III : Gasóleo : E5</v>
      </c>
      <c r="J652" s="125">
        <v>27</v>
      </c>
      <c r="K652" s="125">
        <v>2022</v>
      </c>
      <c r="L652" s="85">
        <v>2927.6120000000001</v>
      </c>
      <c r="M652" s="85" t="s">
        <v>630</v>
      </c>
      <c r="N652" s="128">
        <v>15225</v>
      </c>
      <c r="O652" s="128">
        <f t="shared" si="43"/>
        <v>411075</v>
      </c>
      <c r="P652" s="125" t="s">
        <v>1263</v>
      </c>
      <c r="Q652" s="85" t="s">
        <v>47</v>
      </c>
      <c r="R652" s="220" t="s">
        <v>1888</v>
      </c>
      <c r="S652" s="220" t="s">
        <v>1861</v>
      </c>
      <c r="T652" s="85" t="s">
        <v>1491</v>
      </c>
      <c r="U652" t="s">
        <v>1972</v>
      </c>
      <c r="V652" t="s">
        <v>2832</v>
      </c>
    </row>
    <row r="653" spans="1:22" ht="15.75" thickBot="1" x14ac:dyDescent="0.3">
      <c r="A653" s="82" t="s">
        <v>3314</v>
      </c>
      <c r="B653" s="82" t="str">
        <f t="shared" si="40"/>
        <v>Barraqueiro Transportes, S.A.</v>
      </c>
      <c r="C653" s="82" t="str">
        <f t="shared" si="41"/>
        <v>Barraqueiro Alugueres</v>
      </c>
      <c r="D653" s="83" t="s">
        <v>629</v>
      </c>
      <c r="E653" s="91" t="s">
        <v>1853</v>
      </c>
      <c r="F653" s="124" t="s">
        <v>620</v>
      </c>
      <c r="G653" s="333">
        <v>2009</v>
      </c>
      <c r="H653" s="341" t="s">
        <v>734</v>
      </c>
      <c r="I653" s="336" t="str">
        <f t="shared" si="42"/>
        <v>Pesado de Passageiros M3: III : Gasóleo : E5</v>
      </c>
      <c r="J653" s="125">
        <v>27</v>
      </c>
      <c r="K653" s="125">
        <v>2022</v>
      </c>
      <c r="L653" s="85">
        <v>1055.7159999999999</v>
      </c>
      <c r="M653" s="85" t="s">
        <v>630</v>
      </c>
      <c r="N653" s="128">
        <v>5535</v>
      </c>
      <c r="O653" s="128">
        <f t="shared" si="43"/>
        <v>149445</v>
      </c>
      <c r="P653" s="125" t="s">
        <v>1264</v>
      </c>
      <c r="Q653" s="85" t="s">
        <v>47</v>
      </c>
      <c r="R653" s="220" t="s">
        <v>1888</v>
      </c>
      <c r="S653" s="220" t="s">
        <v>1861</v>
      </c>
      <c r="T653" s="85" t="s">
        <v>1491</v>
      </c>
      <c r="U653" t="s">
        <v>1972</v>
      </c>
      <c r="V653" t="s">
        <v>2832</v>
      </c>
    </row>
    <row r="654" spans="1:22" ht="15.75" thickBot="1" x14ac:dyDescent="0.3">
      <c r="A654" s="82" t="s">
        <v>3314</v>
      </c>
      <c r="B654" s="82" t="str">
        <f t="shared" si="40"/>
        <v>Barraqueiro Transportes, S.A.</v>
      </c>
      <c r="C654" s="82" t="str">
        <f t="shared" si="41"/>
        <v>Barraqueiro Alugueres</v>
      </c>
      <c r="D654" s="83" t="s">
        <v>629</v>
      </c>
      <c r="E654" s="91" t="s">
        <v>1853</v>
      </c>
      <c r="F654" s="124" t="s">
        <v>620</v>
      </c>
      <c r="G654" s="333">
        <v>2009</v>
      </c>
      <c r="H654" s="341" t="s">
        <v>734</v>
      </c>
      <c r="I654" s="336" t="str">
        <f t="shared" si="42"/>
        <v>Pesado de Passageiros M3: III : Gasóleo : E5</v>
      </c>
      <c r="J654" s="125">
        <v>27</v>
      </c>
      <c r="K654" s="125">
        <v>2022</v>
      </c>
      <c r="L654" s="85">
        <v>1504.6469999999999</v>
      </c>
      <c r="M654" s="85" t="s">
        <v>630</v>
      </c>
      <c r="N654" s="128">
        <v>7925</v>
      </c>
      <c r="O654" s="128">
        <f t="shared" si="43"/>
        <v>213975</v>
      </c>
      <c r="P654" s="125" t="s">
        <v>1265</v>
      </c>
      <c r="Q654" s="85" t="s">
        <v>47</v>
      </c>
      <c r="R654" s="220" t="s">
        <v>1888</v>
      </c>
      <c r="S654" s="220" t="s">
        <v>1861</v>
      </c>
      <c r="T654" s="85" t="s">
        <v>1491</v>
      </c>
      <c r="U654" t="s">
        <v>1972</v>
      </c>
      <c r="V654" t="s">
        <v>2832</v>
      </c>
    </row>
    <row r="655" spans="1:22" ht="15.75" thickBot="1" x14ac:dyDescent="0.3">
      <c r="A655" s="82" t="s">
        <v>3314</v>
      </c>
      <c r="B655" s="82" t="str">
        <f t="shared" si="40"/>
        <v>Barraqueiro Transportes, S.A.</v>
      </c>
      <c r="C655" s="82" t="str">
        <f t="shared" si="41"/>
        <v>Barraqueiro Alugueres</v>
      </c>
      <c r="D655" s="83" t="s">
        <v>629</v>
      </c>
      <c r="E655" s="91" t="s">
        <v>1853</v>
      </c>
      <c r="F655" s="124" t="s">
        <v>620</v>
      </c>
      <c r="G655" s="333">
        <v>2009</v>
      </c>
      <c r="H655" s="341" t="s">
        <v>734</v>
      </c>
      <c r="I655" s="336" t="str">
        <f t="shared" si="42"/>
        <v>Pesado de Passageiros M3: III : Gasóleo : E5</v>
      </c>
      <c r="J655" s="125">
        <v>27</v>
      </c>
      <c r="K655" s="125">
        <v>2022</v>
      </c>
      <c r="L655" s="85">
        <v>777.82399999999996</v>
      </c>
      <c r="M655" s="85" t="s">
        <v>630</v>
      </c>
      <c r="N655" s="128">
        <v>3994</v>
      </c>
      <c r="O655" s="128">
        <f t="shared" si="43"/>
        <v>107838</v>
      </c>
      <c r="P655" s="125" t="s">
        <v>1266</v>
      </c>
      <c r="Q655" s="85" t="s">
        <v>47</v>
      </c>
      <c r="R655" s="220" t="s">
        <v>1888</v>
      </c>
      <c r="S655" s="220" t="s">
        <v>1861</v>
      </c>
      <c r="T655" s="85" t="s">
        <v>1491</v>
      </c>
      <c r="U655" t="s">
        <v>1972</v>
      </c>
      <c r="V655" t="s">
        <v>2832</v>
      </c>
    </row>
    <row r="656" spans="1:22" ht="15.75" thickBot="1" x14ac:dyDescent="0.3">
      <c r="A656" s="82" t="s">
        <v>3314</v>
      </c>
      <c r="B656" s="82" t="str">
        <f t="shared" si="40"/>
        <v>Barraqueiro Transportes, S.A.</v>
      </c>
      <c r="C656" s="82" t="str">
        <f t="shared" si="41"/>
        <v>Barraqueiro Alugueres</v>
      </c>
      <c r="D656" s="83" t="s">
        <v>629</v>
      </c>
      <c r="E656" s="91" t="s">
        <v>1853</v>
      </c>
      <c r="F656" s="124" t="s">
        <v>620</v>
      </c>
      <c r="G656" s="333">
        <v>2009</v>
      </c>
      <c r="H656" s="341" t="s">
        <v>734</v>
      </c>
      <c r="I656" s="336" t="str">
        <f t="shared" si="42"/>
        <v>Pesado de Passageiros M3: III : Gasóleo : E5</v>
      </c>
      <c r="J656" s="125">
        <v>27</v>
      </c>
      <c r="K656" s="125">
        <v>2022</v>
      </c>
      <c r="L656" s="85">
        <v>784.28</v>
      </c>
      <c r="M656" s="85" t="s">
        <v>630</v>
      </c>
      <c r="N656" s="128">
        <v>3929</v>
      </c>
      <c r="O656" s="128">
        <f t="shared" si="43"/>
        <v>106083</v>
      </c>
      <c r="P656" s="125" t="s">
        <v>1267</v>
      </c>
      <c r="Q656" s="85" t="s">
        <v>47</v>
      </c>
      <c r="R656" s="220" t="s">
        <v>1888</v>
      </c>
      <c r="S656" s="220" t="s">
        <v>1861</v>
      </c>
      <c r="T656" s="85" t="s">
        <v>1491</v>
      </c>
      <c r="U656" t="s">
        <v>1972</v>
      </c>
      <c r="V656" t="s">
        <v>2832</v>
      </c>
    </row>
    <row r="657" spans="1:22" ht="15.75" thickBot="1" x14ac:dyDescent="0.3">
      <c r="A657" s="82" t="s">
        <v>3314</v>
      </c>
      <c r="B657" s="82" t="str">
        <f t="shared" si="40"/>
        <v>Barraqueiro Transportes, S.A.</v>
      </c>
      <c r="C657" s="82" t="str">
        <f t="shared" si="41"/>
        <v>Barraqueiro Alugueres</v>
      </c>
      <c r="D657" s="83" t="s">
        <v>629</v>
      </c>
      <c r="E657" s="91" t="s">
        <v>1853</v>
      </c>
      <c r="F657" s="124" t="s">
        <v>620</v>
      </c>
      <c r="G657" s="333">
        <v>2009</v>
      </c>
      <c r="H657" s="341" t="s">
        <v>734</v>
      </c>
      <c r="I657" s="336" t="str">
        <f t="shared" si="42"/>
        <v>Pesado de Passageiros M3: III : Gasóleo : E5</v>
      </c>
      <c r="J657" s="125">
        <v>27</v>
      </c>
      <c r="K657" s="125">
        <v>2022</v>
      </c>
      <c r="L657" s="85">
        <v>31.58</v>
      </c>
      <c r="M657" s="85" t="s">
        <v>630</v>
      </c>
      <c r="N657" s="128">
        <v>175</v>
      </c>
      <c r="O657" s="128">
        <f t="shared" si="43"/>
        <v>4725</v>
      </c>
      <c r="P657" s="125" t="s">
        <v>1268</v>
      </c>
      <c r="Q657" s="85" t="s">
        <v>47</v>
      </c>
      <c r="R657" s="220" t="s">
        <v>1888</v>
      </c>
      <c r="S657" s="220" t="s">
        <v>1861</v>
      </c>
      <c r="T657" s="85" t="s">
        <v>1491</v>
      </c>
      <c r="U657" t="s">
        <v>1972</v>
      </c>
      <c r="V657" t="s">
        <v>2832</v>
      </c>
    </row>
    <row r="658" spans="1:22" ht="15.75" thickBot="1" x14ac:dyDescent="0.3">
      <c r="A658" s="82" t="s">
        <v>3314</v>
      </c>
      <c r="B658" s="82" t="str">
        <f t="shared" si="40"/>
        <v>Barraqueiro Transportes, S.A.</v>
      </c>
      <c r="C658" s="82" t="str">
        <f t="shared" si="41"/>
        <v>Barraqueiro Alugueres</v>
      </c>
      <c r="D658" s="83" t="s">
        <v>629</v>
      </c>
      <c r="E658" s="91" t="s">
        <v>1853</v>
      </c>
      <c r="F658" s="124" t="s">
        <v>620</v>
      </c>
      <c r="G658" s="333">
        <v>2009</v>
      </c>
      <c r="H658" s="341" t="s">
        <v>734</v>
      </c>
      <c r="I658" s="336" t="str">
        <f t="shared" si="42"/>
        <v>Pesado de Passageiros M3: III : Gasóleo : E5</v>
      </c>
      <c r="J658" s="125">
        <v>27</v>
      </c>
      <c r="K658" s="125">
        <v>2022</v>
      </c>
      <c r="L658" s="85">
        <v>4191.4260000000004</v>
      </c>
      <c r="M658" s="85" t="s">
        <v>630</v>
      </c>
      <c r="N658" s="128">
        <v>27508</v>
      </c>
      <c r="O658" s="128">
        <f t="shared" si="43"/>
        <v>742716</v>
      </c>
      <c r="P658" s="125" t="s">
        <v>1269</v>
      </c>
      <c r="Q658" s="85" t="s">
        <v>47</v>
      </c>
      <c r="R658" s="220" t="s">
        <v>1888</v>
      </c>
      <c r="S658" s="220" t="s">
        <v>1861</v>
      </c>
      <c r="T658" s="85" t="s">
        <v>1491</v>
      </c>
      <c r="U658" t="s">
        <v>1972</v>
      </c>
      <c r="V658" t="s">
        <v>2832</v>
      </c>
    </row>
    <row r="659" spans="1:22" ht="15.75" thickBot="1" x14ac:dyDescent="0.3">
      <c r="A659" s="82" t="s">
        <v>3314</v>
      </c>
      <c r="B659" s="82" t="str">
        <f t="shared" si="40"/>
        <v>Barraqueiro Transportes, S.A.</v>
      </c>
      <c r="C659" s="82" t="str">
        <f t="shared" si="41"/>
        <v>Barraqueiro Alugueres</v>
      </c>
      <c r="D659" s="83" t="s">
        <v>629</v>
      </c>
      <c r="E659" s="91" t="s">
        <v>1853</v>
      </c>
      <c r="F659" s="124" t="s">
        <v>620</v>
      </c>
      <c r="G659" s="333">
        <v>2009</v>
      </c>
      <c r="H659" s="341" t="s">
        <v>734</v>
      </c>
      <c r="I659" s="336" t="str">
        <f t="shared" si="42"/>
        <v>Pesado de Passageiros M3: III : Gasóleo : E5</v>
      </c>
      <c r="J659" s="125">
        <v>27</v>
      </c>
      <c r="K659" s="125">
        <v>2022</v>
      </c>
      <c r="L659" s="85">
        <v>3142.6000000000004</v>
      </c>
      <c r="M659" s="85" t="s">
        <v>630</v>
      </c>
      <c r="N659" s="128">
        <v>18337</v>
      </c>
      <c r="O659" s="128">
        <f t="shared" si="43"/>
        <v>495099</v>
      </c>
      <c r="P659" s="125" t="s">
        <v>1270</v>
      </c>
      <c r="Q659" s="85" t="s">
        <v>47</v>
      </c>
      <c r="R659" s="220" t="s">
        <v>1888</v>
      </c>
      <c r="S659" s="220" t="s">
        <v>1861</v>
      </c>
      <c r="T659" s="85" t="s">
        <v>1491</v>
      </c>
      <c r="U659" t="s">
        <v>1972</v>
      </c>
      <c r="V659" t="s">
        <v>2832</v>
      </c>
    </row>
    <row r="660" spans="1:22" ht="15.75" thickBot="1" x14ac:dyDescent="0.3">
      <c r="A660" s="82" t="s">
        <v>3314</v>
      </c>
      <c r="B660" s="82" t="str">
        <f t="shared" si="40"/>
        <v>Barraqueiro Transportes, S.A.</v>
      </c>
      <c r="C660" s="82" t="str">
        <f t="shared" si="41"/>
        <v>Barraqueiro Alugueres</v>
      </c>
      <c r="D660" s="83" t="s">
        <v>629</v>
      </c>
      <c r="E660" s="91" t="s">
        <v>1853</v>
      </c>
      <c r="F660" s="124" t="s">
        <v>620</v>
      </c>
      <c r="G660" s="333">
        <v>2009</v>
      </c>
      <c r="H660" s="341" t="s">
        <v>734</v>
      </c>
      <c r="I660" s="336" t="str">
        <f t="shared" si="42"/>
        <v>Pesado de Passageiros M3: III : Gasóleo : E5</v>
      </c>
      <c r="J660" s="125">
        <v>51</v>
      </c>
      <c r="K660" s="125">
        <v>2022</v>
      </c>
      <c r="L660" s="85">
        <v>0</v>
      </c>
      <c r="M660" s="85" t="s">
        <v>630</v>
      </c>
      <c r="N660" s="128">
        <v>0</v>
      </c>
      <c r="O660" s="128">
        <f t="shared" si="43"/>
        <v>0</v>
      </c>
      <c r="P660" s="125" t="s">
        <v>1271</v>
      </c>
      <c r="Q660" s="85" t="s">
        <v>47</v>
      </c>
      <c r="R660" s="220" t="s">
        <v>1888</v>
      </c>
      <c r="S660" s="220" t="s">
        <v>1861</v>
      </c>
      <c r="T660" s="85" t="s">
        <v>1491</v>
      </c>
      <c r="U660" t="s">
        <v>1972</v>
      </c>
      <c r="V660" t="s">
        <v>2832</v>
      </c>
    </row>
    <row r="661" spans="1:22" ht="15.75" thickBot="1" x14ac:dyDescent="0.3">
      <c r="A661" s="82" t="s">
        <v>3314</v>
      </c>
      <c r="B661" s="82" t="str">
        <f t="shared" si="40"/>
        <v>Barraqueiro Transportes, S.A.</v>
      </c>
      <c r="C661" s="82" t="str">
        <f t="shared" si="41"/>
        <v>Barraqueiro Alugueres</v>
      </c>
      <c r="D661" s="83" t="s">
        <v>629</v>
      </c>
      <c r="E661" s="91" t="s">
        <v>1853</v>
      </c>
      <c r="F661" s="124" t="s">
        <v>620</v>
      </c>
      <c r="G661" s="333">
        <v>2009</v>
      </c>
      <c r="H661" s="341" t="s">
        <v>734</v>
      </c>
      <c r="I661" s="336" t="str">
        <f t="shared" si="42"/>
        <v>Pesado de Passageiros M3: III : Gasóleo : E5</v>
      </c>
      <c r="J661" s="125">
        <v>51</v>
      </c>
      <c r="K661" s="125">
        <v>2022</v>
      </c>
      <c r="L661" s="85">
        <v>0</v>
      </c>
      <c r="M661" s="85" t="s">
        <v>630</v>
      </c>
      <c r="N661" s="128">
        <v>0</v>
      </c>
      <c r="O661" s="128">
        <f t="shared" si="43"/>
        <v>0</v>
      </c>
      <c r="P661" s="125" t="s">
        <v>1272</v>
      </c>
      <c r="Q661" s="85" t="s">
        <v>47</v>
      </c>
      <c r="R661" s="220" t="s">
        <v>1888</v>
      </c>
      <c r="S661" s="220" t="s">
        <v>1861</v>
      </c>
      <c r="T661" s="85" t="s">
        <v>1491</v>
      </c>
      <c r="U661" t="s">
        <v>1972</v>
      </c>
      <c r="V661" t="s">
        <v>2832</v>
      </c>
    </row>
    <row r="662" spans="1:22" ht="15.75" thickBot="1" x14ac:dyDescent="0.3">
      <c r="A662" s="82" t="s">
        <v>3314</v>
      </c>
      <c r="B662" s="82" t="str">
        <f t="shared" si="40"/>
        <v>Barraqueiro Transportes, S.A.</v>
      </c>
      <c r="C662" s="82" t="str">
        <f t="shared" si="41"/>
        <v>Barraqueiro Alugueres</v>
      </c>
      <c r="D662" s="83" t="s">
        <v>629</v>
      </c>
      <c r="E662" s="91" t="s">
        <v>1853</v>
      </c>
      <c r="F662" s="124" t="s">
        <v>620</v>
      </c>
      <c r="G662" s="333">
        <v>2010</v>
      </c>
      <c r="H662" s="341" t="s">
        <v>734</v>
      </c>
      <c r="I662" s="336" t="str">
        <f t="shared" si="42"/>
        <v>Pesado de Passageiros M3: III : Gasóleo : E5</v>
      </c>
      <c r="J662" s="125">
        <v>58</v>
      </c>
      <c r="K662" s="125">
        <v>2022</v>
      </c>
      <c r="L662" s="85">
        <v>16364.618000000002</v>
      </c>
      <c r="M662" s="85" t="s">
        <v>630</v>
      </c>
      <c r="N662" s="128">
        <v>49651</v>
      </c>
      <c r="O662" s="128">
        <f t="shared" si="43"/>
        <v>2879758</v>
      </c>
      <c r="P662" s="125" t="s">
        <v>1273</v>
      </c>
      <c r="Q662" s="85" t="s">
        <v>47</v>
      </c>
      <c r="R662" s="220" t="s">
        <v>1888</v>
      </c>
      <c r="S662" s="220" t="s">
        <v>1861</v>
      </c>
      <c r="T662" s="85" t="s">
        <v>1491</v>
      </c>
      <c r="U662" t="s">
        <v>1972</v>
      </c>
      <c r="V662" t="s">
        <v>2832</v>
      </c>
    </row>
    <row r="663" spans="1:22" ht="15.75" thickBot="1" x14ac:dyDescent="0.3">
      <c r="A663" s="82" t="s">
        <v>3314</v>
      </c>
      <c r="B663" s="82" t="str">
        <f t="shared" si="40"/>
        <v>Barraqueiro Transportes, S.A.</v>
      </c>
      <c r="C663" s="82" t="str">
        <f t="shared" si="41"/>
        <v>Barraqueiro Alugueres</v>
      </c>
      <c r="D663" s="83" t="s">
        <v>629</v>
      </c>
      <c r="E663" s="91" t="s">
        <v>1853</v>
      </c>
      <c r="F663" s="124" t="s">
        <v>620</v>
      </c>
      <c r="G663" s="333">
        <v>2011</v>
      </c>
      <c r="H663" s="341" t="s">
        <v>734</v>
      </c>
      <c r="I663" s="336" t="str">
        <f t="shared" si="42"/>
        <v>Pesado de Passageiros M3: III : Gasóleo : E5</v>
      </c>
      <c r="J663" s="125">
        <v>24</v>
      </c>
      <c r="K663" s="125">
        <v>2022</v>
      </c>
      <c r="L663" s="85">
        <v>1752.577</v>
      </c>
      <c r="M663" s="85" t="s">
        <v>630</v>
      </c>
      <c r="N663" s="128">
        <v>8828</v>
      </c>
      <c r="O663" s="128">
        <f t="shared" si="43"/>
        <v>211872</v>
      </c>
      <c r="P663" s="125" t="s">
        <v>1274</v>
      </c>
      <c r="Q663" s="85" t="s">
        <v>47</v>
      </c>
      <c r="R663" s="220" t="s">
        <v>1888</v>
      </c>
      <c r="S663" s="220" t="s">
        <v>1861</v>
      </c>
      <c r="T663" s="85" t="s">
        <v>1491</v>
      </c>
      <c r="U663" t="s">
        <v>1972</v>
      </c>
      <c r="V663" t="s">
        <v>2832</v>
      </c>
    </row>
    <row r="664" spans="1:22" ht="15.75" thickBot="1" x14ac:dyDescent="0.3">
      <c r="A664" s="82" t="s">
        <v>3314</v>
      </c>
      <c r="B664" s="82" t="str">
        <f t="shared" si="40"/>
        <v>Barraqueiro Transportes, S.A.</v>
      </c>
      <c r="C664" s="82" t="str">
        <f t="shared" si="41"/>
        <v>Barraqueiro Alugueres</v>
      </c>
      <c r="D664" s="83" t="s">
        <v>629</v>
      </c>
      <c r="E664" s="91" t="s">
        <v>1853</v>
      </c>
      <c r="F664" s="124" t="s">
        <v>620</v>
      </c>
      <c r="G664" s="333">
        <v>2011</v>
      </c>
      <c r="H664" s="341" t="s">
        <v>734</v>
      </c>
      <c r="I664" s="336" t="str">
        <f t="shared" si="42"/>
        <v>Pesado de Passageiros M3: III : Gasóleo : E5</v>
      </c>
      <c r="J664" s="125">
        <v>27</v>
      </c>
      <c r="K664" s="125">
        <v>2022</v>
      </c>
      <c r="L664" s="85">
        <v>2768.6169999999997</v>
      </c>
      <c r="M664" s="85" t="s">
        <v>630</v>
      </c>
      <c r="N664" s="128">
        <v>15534</v>
      </c>
      <c r="O664" s="128">
        <f t="shared" si="43"/>
        <v>419418</v>
      </c>
      <c r="P664" s="125" t="s">
        <v>1275</v>
      </c>
      <c r="Q664" s="85" t="s">
        <v>47</v>
      </c>
      <c r="R664" s="220" t="s">
        <v>1888</v>
      </c>
      <c r="S664" s="220" t="s">
        <v>1861</v>
      </c>
      <c r="T664" s="85" t="s">
        <v>1491</v>
      </c>
      <c r="U664" t="s">
        <v>1972</v>
      </c>
      <c r="V664" t="s">
        <v>2832</v>
      </c>
    </row>
    <row r="665" spans="1:22" ht="15.75" thickBot="1" x14ac:dyDescent="0.3">
      <c r="A665" s="82" t="s">
        <v>3314</v>
      </c>
      <c r="B665" s="82" t="str">
        <f t="shared" si="40"/>
        <v>Barraqueiro Transportes, S.A.</v>
      </c>
      <c r="C665" s="82" t="str">
        <f t="shared" si="41"/>
        <v>Barraqueiro Alugueres</v>
      </c>
      <c r="D665" s="83" t="s">
        <v>629</v>
      </c>
      <c r="E665" s="91" t="s">
        <v>1853</v>
      </c>
      <c r="F665" s="124" t="s">
        <v>620</v>
      </c>
      <c r="G665" s="333">
        <v>2012</v>
      </c>
      <c r="H665" s="341" t="s">
        <v>734</v>
      </c>
      <c r="I665" s="336" t="str">
        <f t="shared" si="42"/>
        <v>Pesado de Passageiros M3: III : Gasóleo : E5</v>
      </c>
      <c r="J665" s="125">
        <v>63</v>
      </c>
      <c r="K665" s="125">
        <v>2022</v>
      </c>
      <c r="L665" s="85">
        <v>13780.245000000003</v>
      </c>
      <c r="M665" s="85" t="s">
        <v>630</v>
      </c>
      <c r="N665" s="128">
        <v>38315</v>
      </c>
      <c r="O665" s="128">
        <f t="shared" si="43"/>
        <v>2413845</v>
      </c>
      <c r="P665" s="125" t="s">
        <v>1276</v>
      </c>
      <c r="Q665" s="85" t="s">
        <v>47</v>
      </c>
      <c r="R665" s="220" t="s">
        <v>1888</v>
      </c>
      <c r="S665" s="220" t="s">
        <v>1861</v>
      </c>
      <c r="T665" s="85" t="s">
        <v>1491</v>
      </c>
      <c r="U665" t="s">
        <v>1972</v>
      </c>
      <c r="V665" t="s">
        <v>2832</v>
      </c>
    </row>
    <row r="666" spans="1:22" ht="15.75" thickBot="1" x14ac:dyDescent="0.3">
      <c r="A666" s="82" t="s">
        <v>3314</v>
      </c>
      <c r="B666" s="82" t="str">
        <f t="shared" si="40"/>
        <v>Barraqueiro Transportes, S.A.</v>
      </c>
      <c r="C666" s="82" t="str">
        <f t="shared" si="41"/>
        <v>Barraqueiro Alugueres</v>
      </c>
      <c r="D666" s="83" t="s">
        <v>629</v>
      </c>
      <c r="E666" s="91" t="s">
        <v>1853</v>
      </c>
      <c r="F666" s="124" t="s">
        <v>620</v>
      </c>
      <c r="G666" s="333">
        <v>2012</v>
      </c>
      <c r="H666" s="341" t="s">
        <v>734</v>
      </c>
      <c r="I666" s="336" t="str">
        <f t="shared" si="42"/>
        <v>Pesado de Passageiros M3: III : Gasóleo : E5</v>
      </c>
      <c r="J666" s="125">
        <v>34</v>
      </c>
      <c r="K666" s="125">
        <v>2022</v>
      </c>
      <c r="L666" s="85">
        <v>5668.8020000000006</v>
      </c>
      <c r="M666" s="85" t="s">
        <v>630</v>
      </c>
      <c r="N666" s="128">
        <v>16964</v>
      </c>
      <c r="O666" s="128">
        <f t="shared" si="43"/>
        <v>576776</v>
      </c>
      <c r="P666" s="125" t="s">
        <v>1277</v>
      </c>
      <c r="Q666" s="85" t="s">
        <v>47</v>
      </c>
      <c r="R666" s="220" t="s">
        <v>1888</v>
      </c>
      <c r="S666" s="220" t="s">
        <v>1861</v>
      </c>
      <c r="T666" s="85" t="s">
        <v>1491</v>
      </c>
      <c r="U666" t="s">
        <v>1972</v>
      </c>
      <c r="V666" t="s">
        <v>2832</v>
      </c>
    </row>
    <row r="667" spans="1:22" ht="15.75" thickBot="1" x14ac:dyDescent="0.3">
      <c r="A667" s="82" t="s">
        <v>3314</v>
      </c>
      <c r="B667" s="82" t="str">
        <f t="shared" si="40"/>
        <v>Barraqueiro Transportes, S.A.</v>
      </c>
      <c r="C667" s="82" t="str">
        <f t="shared" si="41"/>
        <v>Barraqueiro Alugueres</v>
      </c>
      <c r="D667" s="83" t="s">
        <v>629</v>
      </c>
      <c r="E667" s="91" t="s">
        <v>1853</v>
      </c>
      <c r="F667" s="124" t="s">
        <v>620</v>
      </c>
      <c r="G667" s="333">
        <v>2013</v>
      </c>
      <c r="H667" s="341" t="s">
        <v>733</v>
      </c>
      <c r="I667" s="336" t="str">
        <f t="shared" si="42"/>
        <v>Pesado de Passageiros M3: III : Gasóleo : E6</v>
      </c>
      <c r="J667" s="125">
        <v>34</v>
      </c>
      <c r="K667" s="125">
        <v>2022</v>
      </c>
      <c r="L667" s="85">
        <v>5355.8899999999994</v>
      </c>
      <c r="M667" s="85" t="s">
        <v>630</v>
      </c>
      <c r="N667" s="128">
        <v>16933</v>
      </c>
      <c r="O667" s="128">
        <f t="shared" si="43"/>
        <v>575722</v>
      </c>
      <c r="P667" s="125" t="s">
        <v>1278</v>
      </c>
      <c r="Q667" s="85" t="s">
        <v>47</v>
      </c>
      <c r="R667" s="220" t="s">
        <v>1888</v>
      </c>
      <c r="S667" s="220" t="s">
        <v>1861</v>
      </c>
      <c r="T667" s="85" t="s">
        <v>1491</v>
      </c>
      <c r="U667" t="s">
        <v>1972</v>
      </c>
      <c r="V667" t="s">
        <v>2832</v>
      </c>
    </row>
    <row r="668" spans="1:22" ht="15.75" thickBot="1" x14ac:dyDescent="0.3">
      <c r="A668" s="82" t="s">
        <v>3314</v>
      </c>
      <c r="B668" s="82" t="str">
        <f t="shared" si="40"/>
        <v>Barraqueiro Transportes, S.A.</v>
      </c>
      <c r="C668" s="82" t="str">
        <f t="shared" si="41"/>
        <v>Barraqueiro Alugueres</v>
      </c>
      <c r="D668" s="83" t="s">
        <v>629</v>
      </c>
      <c r="E668" s="91" t="s">
        <v>1853</v>
      </c>
      <c r="F668" s="124" t="s">
        <v>620</v>
      </c>
      <c r="G668" s="333">
        <v>2013</v>
      </c>
      <c r="H668" s="341" t="s">
        <v>733</v>
      </c>
      <c r="I668" s="336" t="str">
        <f t="shared" si="42"/>
        <v>Pesado de Passageiros M3: III : Gasóleo : E6</v>
      </c>
      <c r="J668" s="125">
        <v>34</v>
      </c>
      <c r="K668" s="125">
        <v>2022</v>
      </c>
      <c r="L668" s="85">
        <v>6880.9660000000003</v>
      </c>
      <c r="M668" s="85" t="s">
        <v>630</v>
      </c>
      <c r="N668" s="128">
        <v>22857</v>
      </c>
      <c r="O668" s="128">
        <f t="shared" si="43"/>
        <v>777138</v>
      </c>
      <c r="P668" s="125" t="s">
        <v>1279</v>
      </c>
      <c r="Q668" s="85" t="s">
        <v>47</v>
      </c>
      <c r="R668" s="220" t="s">
        <v>1888</v>
      </c>
      <c r="S668" s="220" t="s">
        <v>1861</v>
      </c>
      <c r="T668" s="85" t="s">
        <v>1491</v>
      </c>
      <c r="U668" t="s">
        <v>1972</v>
      </c>
      <c r="V668" t="s">
        <v>2832</v>
      </c>
    </row>
    <row r="669" spans="1:22" ht="15.75" thickBot="1" x14ac:dyDescent="0.3">
      <c r="A669" s="82" t="s">
        <v>3314</v>
      </c>
      <c r="B669" s="82" t="str">
        <f t="shared" si="40"/>
        <v>Barraqueiro Transportes, S.A.</v>
      </c>
      <c r="C669" s="82" t="str">
        <f t="shared" si="41"/>
        <v>Barraqueiro Alugueres</v>
      </c>
      <c r="D669" s="83" t="s">
        <v>629</v>
      </c>
      <c r="E669" s="91" t="s">
        <v>1853</v>
      </c>
      <c r="F669" s="124" t="s">
        <v>620</v>
      </c>
      <c r="G669" s="333">
        <v>2013</v>
      </c>
      <c r="H669" s="341" t="s">
        <v>733</v>
      </c>
      <c r="I669" s="336" t="str">
        <f t="shared" si="42"/>
        <v>Pesado de Passageiros M3: III : Gasóleo : E6</v>
      </c>
      <c r="J669" s="125">
        <v>55</v>
      </c>
      <c r="K669" s="125">
        <v>2022</v>
      </c>
      <c r="L669" s="85">
        <v>17205.267</v>
      </c>
      <c r="M669" s="85" t="s">
        <v>630</v>
      </c>
      <c r="N669" s="128">
        <v>48715</v>
      </c>
      <c r="O669" s="128">
        <f t="shared" si="43"/>
        <v>2679325</v>
      </c>
      <c r="P669" s="125" t="s">
        <v>1280</v>
      </c>
      <c r="Q669" s="85" t="s">
        <v>47</v>
      </c>
      <c r="R669" s="220" t="s">
        <v>1888</v>
      </c>
      <c r="S669" s="220" t="s">
        <v>1861</v>
      </c>
      <c r="T669" s="85" t="s">
        <v>1491</v>
      </c>
      <c r="U669" t="s">
        <v>1972</v>
      </c>
      <c r="V669" t="s">
        <v>2832</v>
      </c>
    </row>
    <row r="670" spans="1:22" ht="15.75" thickBot="1" x14ac:dyDescent="0.3">
      <c r="A670" s="82" t="s">
        <v>3314</v>
      </c>
      <c r="B670" s="82" t="str">
        <f t="shared" si="40"/>
        <v>Barraqueiro Transportes, S.A.</v>
      </c>
      <c r="C670" s="82" t="str">
        <f t="shared" si="41"/>
        <v>Barraqueiro Alugueres</v>
      </c>
      <c r="D670" s="83" t="s">
        <v>629</v>
      </c>
      <c r="E670" s="91" t="s">
        <v>1853</v>
      </c>
      <c r="F670" s="124" t="s">
        <v>620</v>
      </c>
      <c r="G670" s="333">
        <v>2014</v>
      </c>
      <c r="H670" s="341" t="s">
        <v>733</v>
      </c>
      <c r="I670" s="336" t="str">
        <f t="shared" si="42"/>
        <v>Pesado de Passageiros M3: III : Gasóleo : E6</v>
      </c>
      <c r="J670" s="125">
        <v>41</v>
      </c>
      <c r="K670" s="125">
        <v>2022</v>
      </c>
      <c r="L670" s="85">
        <v>14986.885999999999</v>
      </c>
      <c r="M670" s="85" t="s">
        <v>630</v>
      </c>
      <c r="N670" s="128">
        <v>56138</v>
      </c>
      <c r="O670" s="128">
        <f t="shared" si="43"/>
        <v>2301658</v>
      </c>
      <c r="P670" s="125" t="s">
        <v>1281</v>
      </c>
      <c r="Q670" s="85" t="s">
        <v>47</v>
      </c>
      <c r="R670" s="220" t="s">
        <v>1888</v>
      </c>
      <c r="S670" s="220" t="s">
        <v>1861</v>
      </c>
      <c r="T670" s="85" t="s">
        <v>1491</v>
      </c>
      <c r="U670" t="s">
        <v>1972</v>
      </c>
      <c r="V670" t="s">
        <v>2832</v>
      </c>
    </row>
    <row r="671" spans="1:22" ht="15.75" thickBot="1" x14ac:dyDescent="0.3">
      <c r="A671" s="82" t="s">
        <v>3314</v>
      </c>
      <c r="B671" s="82" t="str">
        <f t="shared" si="40"/>
        <v>Barraqueiro Transportes, S.A.</v>
      </c>
      <c r="C671" s="82" t="str">
        <f t="shared" si="41"/>
        <v>Barraqueiro Alugueres</v>
      </c>
      <c r="D671" s="83" t="s">
        <v>629</v>
      </c>
      <c r="E671" s="91" t="s">
        <v>1853</v>
      </c>
      <c r="F671" s="124" t="s">
        <v>620</v>
      </c>
      <c r="G671" s="333">
        <v>2016</v>
      </c>
      <c r="H671" s="341" t="s">
        <v>733</v>
      </c>
      <c r="I671" s="336" t="str">
        <f t="shared" si="42"/>
        <v>Pesado de Passageiros M3: III : Gasóleo : E6</v>
      </c>
      <c r="J671" s="125">
        <v>53</v>
      </c>
      <c r="K671" s="125">
        <v>2022</v>
      </c>
      <c r="L671" s="85">
        <v>18533.046000000002</v>
      </c>
      <c r="M671" s="85" t="s">
        <v>630</v>
      </c>
      <c r="N671" s="128">
        <v>54584</v>
      </c>
      <c r="O671" s="128">
        <f t="shared" si="43"/>
        <v>2892952</v>
      </c>
      <c r="P671" s="125" t="s">
        <v>1282</v>
      </c>
      <c r="Q671" s="85" t="s">
        <v>47</v>
      </c>
      <c r="R671" s="220" t="s">
        <v>1888</v>
      </c>
      <c r="S671" s="220" t="s">
        <v>1861</v>
      </c>
      <c r="T671" s="85" t="s">
        <v>1491</v>
      </c>
      <c r="U671" t="s">
        <v>1972</v>
      </c>
      <c r="V671" t="s">
        <v>2832</v>
      </c>
    </row>
    <row r="672" spans="1:22" ht="15.75" thickBot="1" x14ac:dyDescent="0.3">
      <c r="A672" s="82" t="s">
        <v>3314</v>
      </c>
      <c r="B672" s="82" t="str">
        <f t="shared" si="40"/>
        <v>Barraqueiro Transportes, S.A.</v>
      </c>
      <c r="C672" s="82" t="str">
        <f t="shared" si="41"/>
        <v>Barraqueiro Alugueres</v>
      </c>
      <c r="D672" s="83" t="s">
        <v>629</v>
      </c>
      <c r="E672" s="91" t="s">
        <v>1853</v>
      </c>
      <c r="F672" s="124" t="s">
        <v>620</v>
      </c>
      <c r="G672" s="333">
        <v>2016</v>
      </c>
      <c r="H672" s="341" t="s">
        <v>733</v>
      </c>
      <c r="I672" s="336" t="str">
        <f t="shared" si="42"/>
        <v>Pesado de Passageiros M3: III : Gasóleo : E6</v>
      </c>
      <c r="J672" s="125">
        <v>53</v>
      </c>
      <c r="K672" s="125">
        <v>2022</v>
      </c>
      <c r="L672" s="85">
        <v>27640.052999999996</v>
      </c>
      <c r="M672" s="85" t="s">
        <v>630</v>
      </c>
      <c r="N672" s="128">
        <v>90340</v>
      </c>
      <c r="O672" s="128">
        <f t="shared" si="43"/>
        <v>4788020</v>
      </c>
      <c r="P672" s="125" t="s">
        <v>1283</v>
      </c>
      <c r="Q672" s="85" t="s">
        <v>47</v>
      </c>
      <c r="R672" s="220" t="s">
        <v>1888</v>
      </c>
      <c r="S672" s="220" t="s">
        <v>1861</v>
      </c>
      <c r="T672" s="85" t="s">
        <v>1491</v>
      </c>
      <c r="U672" t="s">
        <v>1972</v>
      </c>
      <c r="V672" t="s">
        <v>2832</v>
      </c>
    </row>
    <row r="673" spans="1:22" ht="15.75" thickBot="1" x14ac:dyDescent="0.3">
      <c r="A673" s="82" t="s">
        <v>3314</v>
      </c>
      <c r="B673" s="82" t="str">
        <f t="shared" si="40"/>
        <v>Barraqueiro Transportes, S.A.</v>
      </c>
      <c r="C673" s="82" t="str">
        <f t="shared" si="41"/>
        <v>Barraqueiro Alugueres</v>
      </c>
      <c r="D673" s="83" t="s">
        <v>629</v>
      </c>
      <c r="E673" s="91" t="s">
        <v>1853</v>
      </c>
      <c r="F673" s="124" t="s">
        <v>620</v>
      </c>
      <c r="G673" s="333">
        <v>2016</v>
      </c>
      <c r="H673" s="341" t="s">
        <v>733</v>
      </c>
      <c r="I673" s="336" t="str">
        <f t="shared" si="42"/>
        <v>Pesado de Passageiros M3: III : Gasóleo : E6</v>
      </c>
      <c r="J673" s="125">
        <v>53</v>
      </c>
      <c r="K673" s="125">
        <v>2022</v>
      </c>
      <c r="L673" s="85">
        <v>30584.059000000001</v>
      </c>
      <c r="M673" s="85" t="s">
        <v>630</v>
      </c>
      <c r="N673" s="128">
        <v>100781</v>
      </c>
      <c r="O673" s="128">
        <f t="shared" si="43"/>
        <v>5341393</v>
      </c>
      <c r="P673" s="125" t="s">
        <v>1284</v>
      </c>
      <c r="Q673" s="85" t="s">
        <v>47</v>
      </c>
      <c r="R673" s="220" t="s">
        <v>1888</v>
      </c>
      <c r="S673" s="220" t="s">
        <v>1861</v>
      </c>
      <c r="T673" s="85" t="s">
        <v>1491</v>
      </c>
      <c r="U673" t="s">
        <v>1972</v>
      </c>
      <c r="V673" t="s">
        <v>2832</v>
      </c>
    </row>
    <row r="674" spans="1:22" ht="15.75" thickBot="1" x14ac:dyDescent="0.3">
      <c r="A674" s="82" t="s">
        <v>3314</v>
      </c>
      <c r="B674" s="82" t="str">
        <f t="shared" si="40"/>
        <v>Barraqueiro Transportes, S.A.</v>
      </c>
      <c r="C674" s="82" t="str">
        <f t="shared" si="41"/>
        <v>Barraqueiro Alugueres</v>
      </c>
      <c r="D674" s="83" t="s">
        <v>629</v>
      </c>
      <c r="E674" s="91" t="s">
        <v>1853</v>
      </c>
      <c r="F674" s="124" t="s">
        <v>620</v>
      </c>
      <c r="G674" s="333">
        <v>2016</v>
      </c>
      <c r="H674" s="341" t="s">
        <v>733</v>
      </c>
      <c r="I674" s="336" t="str">
        <f t="shared" si="42"/>
        <v>Pesado de Passageiros M3: III : Gasóleo : E6</v>
      </c>
      <c r="J674" s="125">
        <v>53</v>
      </c>
      <c r="K674" s="125">
        <v>2022</v>
      </c>
      <c r="L674" s="85">
        <v>27579.582999999999</v>
      </c>
      <c r="M674" s="85" t="s">
        <v>630</v>
      </c>
      <c r="N674" s="128">
        <v>89412</v>
      </c>
      <c r="O674" s="128">
        <f t="shared" si="43"/>
        <v>4738836</v>
      </c>
      <c r="P674" s="125" t="s">
        <v>1285</v>
      </c>
      <c r="Q674" s="85" t="s">
        <v>47</v>
      </c>
      <c r="R674" s="220" t="s">
        <v>1888</v>
      </c>
      <c r="S674" s="220" t="s">
        <v>1861</v>
      </c>
      <c r="T674" s="85" t="s">
        <v>1491</v>
      </c>
      <c r="U674" t="s">
        <v>1972</v>
      </c>
      <c r="V674" t="s">
        <v>2832</v>
      </c>
    </row>
    <row r="675" spans="1:22" ht="15.75" thickBot="1" x14ac:dyDescent="0.3">
      <c r="A675" s="82" t="s">
        <v>3314</v>
      </c>
      <c r="B675" s="82" t="str">
        <f t="shared" si="40"/>
        <v>Barraqueiro Transportes, S.A.</v>
      </c>
      <c r="C675" s="82" t="str">
        <f t="shared" si="41"/>
        <v>Barraqueiro Alugueres</v>
      </c>
      <c r="D675" s="83" t="s">
        <v>629</v>
      </c>
      <c r="E675" s="91" t="s">
        <v>1853</v>
      </c>
      <c r="F675" s="124" t="s">
        <v>620</v>
      </c>
      <c r="G675" s="333">
        <v>2016</v>
      </c>
      <c r="H675" s="341" t="s">
        <v>733</v>
      </c>
      <c r="I675" s="336" t="str">
        <f t="shared" si="42"/>
        <v>Pesado de Passageiros M3: III : Gasóleo : E6</v>
      </c>
      <c r="J675" s="125">
        <v>53</v>
      </c>
      <c r="K675" s="125">
        <v>2022</v>
      </c>
      <c r="L675" s="85">
        <v>23104.152000000006</v>
      </c>
      <c r="M675" s="85" t="s">
        <v>630</v>
      </c>
      <c r="N675" s="128">
        <v>69282</v>
      </c>
      <c r="O675" s="128">
        <f t="shared" si="43"/>
        <v>3671946</v>
      </c>
      <c r="P675" s="125" t="s">
        <v>1286</v>
      </c>
      <c r="Q675" s="85" t="s">
        <v>47</v>
      </c>
      <c r="R675" s="220" t="s">
        <v>1888</v>
      </c>
      <c r="S675" s="220" t="s">
        <v>1861</v>
      </c>
      <c r="T675" s="85" t="s">
        <v>1491</v>
      </c>
      <c r="U675" t="s">
        <v>1972</v>
      </c>
      <c r="V675" t="s">
        <v>2832</v>
      </c>
    </row>
    <row r="676" spans="1:22" ht="15.75" thickBot="1" x14ac:dyDescent="0.3">
      <c r="A676" s="82" t="s">
        <v>3314</v>
      </c>
      <c r="B676" s="82" t="str">
        <f t="shared" si="40"/>
        <v>Barraqueiro Transportes, S.A.</v>
      </c>
      <c r="C676" s="82" t="str">
        <f t="shared" si="41"/>
        <v>Barraqueiro Alugueres</v>
      </c>
      <c r="D676" s="83" t="s">
        <v>629</v>
      </c>
      <c r="E676" s="91" t="s">
        <v>1853</v>
      </c>
      <c r="F676" s="124" t="s">
        <v>620</v>
      </c>
      <c r="G676" s="333">
        <v>2016</v>
      </c>
      <c r="H676" s="341" t="s">
        <v>733</v>
      </c>
      <c r="I676" s="336" t="str">
        <f t="shared" si="42"/>
        <v>Pesado de Passageiros M3: III : Gasóleo : E6</v>
      </c>
      <c r="J676" s="125">
        <v>19</v>
      </c>
      <c r="K676" s="125">
        <v>2022</v>
      </c>
      <c r="L676" s="85">
        <v>2344.7399999999998</v>
      </c>
      <c r="M676" s="85" t="s">
        <v>630</v>
      </c>
      <c r="N676" s="128">
        <v>14897</v>
      </c>
      <c r="O676" s="128">
        <f t="shared" si="43"/>
        <v>283043</v>
      </c>
      <c r="P676" s="125" t="s">
        <v>1287</v>
      </c>
      <c r="Q676" s="85" t="s">
        <v>47</v>
      </c>
      <c r="R676" s="220" t="s">
        <v>1888</v>
      </c>
      <c r="S676" s="220" t="s">
        <v>1861</v>
      </c>
      <c r="T676" s="85" t="s">
        <v>1491</v>
      </c>
      <c r="U676" t="s">
        <v>1972</v>
      </c>
      <c r="V676" t="s">
        <v>2832</v>
      </c>
    </row>
    <row r="677" spans="1:22" ht="15.75" thickBot="1" x14ac:dyDescent="0.3">
      <c r="A677" s="82" t="s">
        <v>3314</v>
      </c>
      <c r="B677" s="82" t="str">
        <f t="shared" si="40"/>
        <v>Barraqueiro Transportes, S.A.</v>
      </c>
      <c r="C677" s="82" t="str">
        <f t="shared" si="41"/>
        <v>Barraqueiro Alugueres</v>
      </c>
      <c r="D677" s="83" t="s">
        <v>629</v>
      </c>
      <c r="E677" s="91" t="s">
        <v>1853</v>
      </c>
      <c r="F677" s="124" t="s">
        <v>620</v>
      </c>
      <c r="G677" s="333">
        <v>2016</v>
      </c>
      <c r="H677" s="341" t="s">
        <v>733</v>
      </c>
      <c r="I677" s="336" t="str">
        <f t="shared" si="42"/>
        <v>Pesado de Passageiros M3: III : Gasóleo : E6</v>
      </c>
      <c r="J677" s="125">
        <v>40</v>
      </c>
      <c r="K677" s="125">
        <v>2022</v>
      </c>
      <c r="L677" s="85">
        <v>9404.482</v>
      </c>
      <c r="M677" s="85" t="s">
        <v>630</v>
      </c>
      <c r="N677" s="128">
        <v>31877</v>
      </c>
      <c r="O677" s="128">
        <f t="shared" si="43"/>
        <v>1275080</v>
      </c>
      <c r="P677" s="125" t="s">
        <v>1288</v>
      </c>
      <c r="Q677" s="85" t="s">
        <v>47</v>
      </c>
      <c r="R677" s="220" t="s">
        <v>1888</v>
      </c>
      <c r="S677" s="220" t="s">
        <v>1861</v>
      </c>
      <c r="T677" s="85" t="s">
        <v>1491</v>
      </c>
      <c r="U677" t="s">
        <v>1972</v>
      </c>
      <c r="V677" t="s">
        <v>2832</v>
      </c>
    </row>
    <row r="678" spans="1:22" ht="15.75" thickBot="1" x14ac:dyDescent="0.3">
      <c r="A678" s="82" t="s">
        <v>3314</v>
      </c>
      <c r="B678" s="82" t="str">
        <f t="shared" si="40"/>
        <v>Barraqueiro Transportes, S.A.</v>
      </c>
      <c r="C678" s="82" t="str">
        <f t="shared" si="41"/>
        <v>Barraqueiro Alugueres</v>
      </c>
      <c r="D678" s="83" t="s">
        <v>629</v>
      </c>
      <c r="E678" s="91" t="s">
        <v>1853</v>
      </c>
      <c r="F678" s="124" t="s">
        <v>620</v>
      </c>
      <c r="G678" s="333">
        <v>2016</v>
      </c>
      <c r="H678" s="341" t="s">
        <v>733</v>
      </c>
      <c r="I678" s="336" t="str">
        <f t="shared" si="42"/>
        <v>Pesado de Passageiros M3: III : Gasóleo : E6</v>
      </c>
      <c r="J678" s="125">
        <v>40</v>
      </c>
      <c r="K678" s="125">
        <v>2022</v>
      </c>
      <c r="L678" s="85">
        <v>1908.6200000000001</v>
      </c>
      <c r="M678" s="85" t="s">
        <v>630</v>
      </c>
      <c r="N678" s="128">
        <v>5917</v>
      </c>
      <c r="O678" s="128">
        <f t="shared" si="43"/>
        <v>236680</v>
      </c>
      <c r="P678" s="125" t="s">
        <v>1289</v>
      </c>
      <c r="Q678" s="85" t="s">
        <v>47</v>
      </c>
      <c r="R678" s="220" t="s">
        <v>1888</v>
      </c>
      <c r="S678" s="220" t="s">
        <v>1861</v>
      </c>
      <c r="T678" s="85" t="s">
        <v>1491</v>
      </c>
      <c r="U678" t="s">
        <v>1972</v>
      </c>
      <c r="V678" t="s">
        <v>2832</v>
      </c>
    </row>
    <row r="679" spans="1:22" ht="15.75" thickBot="1" x14ac:dyDescent="0.3">
      <c r="A679" s="82" t="s">
        <v>3314</v>
      </c>
      <c r="B679" s="82" t="str">
        <f t="shared" si="40"/>
        <v>Barraqueiro Transportes, S.A.</v>
      </c>
      <c r="C679" s="82" t="str">
        <f t="shared" si="41"/>
        <v>Barraqueiro Alugueres</v>
      </c>
      <c r="D679" s="83" t="s">
        <v>629</v>
      </c>
      <c r="E679" s="91" t="s">
        <v>1853</v>
      </c>
      <c r="F679" s="124" t="s">
        <v>620</v>
      </c>
      <c r="G679" s="333">
        <v>2017</v>
      </c>
      <c r="H679" s="341" t="s">
        <v>733</v>
      </c>
      <c r="I679" s="336" t="str">
        <f t="shared" si="42"/>
        <v>Pesado de Passageiros M3: III : Gasóleo : E6</v>
      </c>
      <c r="J679" s="125">
        <v>55</v>
      </c>
      <c r="K679" s="125">
        <v>2022</v>
      </c>
      <c r="L679" s="85">
        <v>26951.085000000003</v>
      </c>
      <c r="M679" s="85" t="s">
        <v>630</v>
      </c>
      <c r="N679" s="128">
        <v>82010</v>
      </c>
      <c r="O679" s="128">
        <f t="shared" si="43"/>
        <v>4510550</v>
      </c>
      <c r="P679" s="125" t="s">
        <v>1290</v>
      </c>
      <c r="Q679" s="85" t="s">
        <v>47</v>
      </c>
      <c r="R679" s="220" t="s">
        <v>1888</v>
      </c>
      <c r="S679" s="220" t="s">
        <v>1861</v>
      </c>
      <c r="T679" s="85" t="s">
        <v>1491</v>
      </c>
      <c r="U679" t="s">
        <v>1972</v>
      </c>
      <c r="V679" t="s">
        <v>2832</v>
      </c>
    </row>
    <row r="680" spans="1:22" ht="15.75" thickBot="1" x14ac:dyDescent="0.3">
      <c r="A680" s="82" t="s">
        <v>3314</v>
      </c>
      <c r="B680" s="82" t="str">
        <f t="shared" si="40"/>
        <v>Barraqueiro Transportes, S.A.</v>
      </c>
      <c r="C680" s="82" t="str">
        <f t="shared" si="41"/>
        <v>Barraqueiro Alugueres</v>
      </c>
      <c r="D680" s="83" t="s">
        <v>629</v>
      </c>
      <c r="E680" s="91" t="s">
        <v>1853</v>
      </c>
      <c r="F680" s="124" t="s">
        <v>620</v>
      </c>
      <c r="G680" s="333">
        <v>2017</v>
      </c>
      <c r="H680" s="341" t="s">
        <v>733</v>
      </c>
      <c r="I680" s="336" t="str">
        <f t="shared" si="42"/>
        <v>Pesado de Passageiros M3: III : Gasóleo : E6</v>
      </c>
      <c r="J680" s="125">
        <v>39</v>
      </c>
      <c r="K680" s="125">
        <v>2022</v>
      </c>
      <c r="L680" s="85">
        <v>6755.2210000000014</v>
      </c>
      <c r="M680" s="85" t="s">
        <v>630</v>
      </c>
      <c r="N680" s="128">
        <v>25558</v>
      </c>
      <c r="O680" s="128">
        <f t="shared" si="43"/>
        <v>996762</v>
      </c>
      <c r="P680" s="125" t="s">
        <v>1291</v>
      </c>
      <c r="Q680" s="85" t="s">
        <v>47</v>
      </c>
      <c r="R680" s="220" t="s">
        <v>1888</v>
      </c>
      <c r="S680" s="220" t="s">
        <v>1861</v>
      </c>
      <c r="T680" s="85" t="s">
        <v>1491</v>
      </c>
      <c r="U680" t="s">
        <v>1972</v>
      </c>
      <c r="V680" t="s">
        <v>2832</v>
      </c>
    </row>
    <row r="681" spans="1:22" ht="15.75" thickBot="1" x14ac:dyDescent="0.3">
      <c r="A681" s="82" t="s">
        <v>3314</v>
      </c>
      <c r="B681" s="82" t="str">
        <f t="shared" si="40"/>
        <v>Barraqueiro Transportes, S.A.</v>
      </c>
      <c r="C681" s="82" t="str">
        <f t="shared" si="41"/>
        <v>Barraqueiro Alugueres</v>
      </c>
      <c r="D681" s="83" t="s">
        <v>629</v>
      </c>
      <c r="E681" s="91" t="s">
        <v>1853</v>
      </c>
      <c r="F681" s="124" t="s">
        <v>620</v>
      </c>
      <c r="G681" s="333">
        <v>2016</v>
      </c>
      <c r="H681" s="341" t="s">
        <v>733</v>
      </c>
      <c r="I681" s="336" t="str">
        <f t="shared" si="42"/>
        <v>Pesado de Passageiros M3: III : Gasóleo : E6</v>
      </c>
      <c r="J681" s="125">
        <v>55</v>
      </c>
      <c r="K681" s="125">
        <v>2022</v>
      </c>
      <c r="L681" s="85">
        <v>19868.109999999997</v>
      </c>
      <c r="M681" s="85" t="s">
        <v>630</v>
      </c>
      <c r="N681" s="128">
        <v>58651</v>
      </c>
      <c r="O681" s="128">
        <f t="shared" si="43"/>
        <v>3225805</v>
      </c>
      <c r="P681" s="125" t="s">
        <v>1292</v>
      </c>
      <c r="Q681" s="85" t="s">
        <v>47</v>
      </c>
      <c r="R681" s="220" t="s">
        <v>1888</v>
      </c>
      <c r="S681" s="220" t="s">
        <v>1861</v>
      </c>
      <c r="T681" s="85" t="s">
        <v>1491</v>
      </c>
      <c r="U681" t="s">
        <v>1972</v>
      </c>
      <c r="V681" t="s">
        <v>2832</v>
      </c>
    </row>
    <row r="682" spans="1:22" ht="15.75" thickBot="1" x14ac:dyDescent="0.3">
      <c r="A682" s="82" t="s">
        <v>3314</v>
      </c>
      <c r="B682" s="82" t="str">
        <f t="shared" si="40"/>
        <v>Barraqueiro Transportes, S.A.</v>
      </c>
      <c r="C682" s="82" t="str">
        <f t="shared" si="41"/>
        <v>Barraqueiro Alugueres</v>
      </c>
      <c r="D682" s="83" t="s">
        <v>629</v>
      </c>
      <c r="E682" s="91" t="s">
        <v>1853</v>
      </c>
      <c r="F682" s="124" t="s">
        <v>620</v>
      </c>
      <c r="G682" s="333">
        <v>2018</v>
      </c>
      <c r="H682" s="341" t="s">
        <v>733</v>
      </c>
      <c r="I682" s="336" t="str">
        <f t="shared" si="42"/>
        <v>Pesado de Passageiros M3: III : Gasóleo : E6</v>
      </c>
      <c r="J682" s="125">
        <v>39</v>
      </c>
      <c r="K682" s="125">
        <v>2022</v>
      </c>
      <c r="L682" s="85">
        <v>9254.8780000000006</v>
      </c>
      <c r="M682" s="85" t="s">
        <v>630</v>
      </c>
      <c r="N682" s="128">
        <v>33960</v>
      </c>
      <c r="O682" s="128">
        <f t="shared" si="43"/>
        <v>1324440</v>
      </c>
      <c r="P682" s="125" t="s">
        <v>1293</v>
      </c>
      <c r="Q682" s="85" t="s">
        <v>47</v>
      </c>
      <c r="R682" s="220" t="s">
        <v>1888</v>
      </c>
      <c r="S682" s="220" t="s">
        <v>1861</v>
      </c>
      <c r="T682" s="85" t="s">
        <v>1491</v>
      </c>
      <c r="U682" t="s">
        <v>1972</v>
      </c>
      <c r="V682" t="s">
        <v>2832</v>
      </c>
    </row>
    <row r="683" spans="1:22" ht="15.75" thickBot="1" x14ac:dyDescent="0.3">
      <c r="A683" s="82" t="s">
        <v>3314</v>
      </c>
      <c r="B683" s="82" t="str">
        <f t="shared" si="40"/>
        <v>Barraqueiro Transportes, S.A.</v>
      </c>
      <c r="C683" s="82" t="str">
        <f t="shared" si="41"/>
        <v>Barraqueiro Alugueres</v>
      </c>
      <c r="D683" s="83" t="s">
        <v>629</v>
      </c>
      <c r="E683" s="91" t="s">
        <v>1853</v>
      </c>
      <c r="F683" s="124" t="s">
        <v>620</v>
      </c>
      <c r="G683" s="333">
        <v>2018</v>
      </c>
      <c r="H683" s="341" t="s">
        <v>733</v>
      </c>
      <c r="I683" s="336" t="str">
        <f t="shared" si="42"/>
        <v>Pesado de Passageiros M3: III : Gasóleo : E6</v>
      </c>
      <c r="J683" s="125">
        <v>39</v>
      </c>
      <c r="K683" s="125">
        <v>2022</v>
      </c>
      <c r="L683" s="85">
        <v>10930.446000000002</v>
      </c>
      <c r="M683" s="85" t="s">
        <v>630</v>
      </c>
      <c r="N683" s="128">
        <v>40957</v>
      </c>
      <c r="O683" s="128">
        <f t="shared" si="43"/>
        <v>1597323</v>
      </c>
      <c r="P683" s="125" t="s">
        <v>1294</v>
      </c>
      <c r="Q683" s="85" t="s">
        <v>47</v>
      </c>
      <c r="R683" s="220" t="s">
        <v>1888</v>
      </c>
      <c r="S683" s="220" t="s">
        <v>1861</v>
      </c>
      <c r="T683" s="85" t="s">
        <v>1491</v>
      </c>
      <c r="U683" t="s">
        <v>1972</v>
      </c>
      <c r="V683" t="s">
        <v>2832</v>
      </c>
    </row>
    <row r="684" spans="1:22" ht="15.75" thickBot="1" x14ac:dyDescent="0.3">
      <c r="A684" s="82" t="s">
        <v>3314</v>
      </c>
      <c r="B684" s="82" t="str">
        <f t="shared" si="40"/>
        <v>Barraqueiro Transportes, S.A.</v>
      </c>
      <c r="C684" s="82" t="str">
        <f t="shared" si="41"/>
        <v>Barraqueiro Alugueres</v>
      </c>
      <c r="D684" s="83" t="s">
        <v>629</v>
      </c>
      <c r="E684" s="91" t="s">
        <v>1853</v>
      </c>
      <c r="F684" s="124" t="s">
        <v>620</v>
      </c>
      <c r="G684" s="333">
        <v>2018</v>
      </c>
      <c r="H684" s="341" t="s">
        <v>733</v>
      </c>
      <c r="I684" s="336" t="str">
        <f t="shared" si="42"/>
        <v>Pesado de Passageiros M3: III : Gasóleo : E6</v>
      </c>
      <c r="J684" s="125">
        <v>39</v>
      </c>
      <c r="K684" s="125">
        <v>2022</v>
      </c>
      <c r="L684" s="85">
        <v>11618.116999999998</v>
      </c>
      <c r="M684" s="85" t="s">
        <v>630</v>
      </c>
      <c r="N684" s="128">
        <v>43212</v>
      </c>
      <c r="O684" s="128">
        <f t="shared" si="43"/>
        <v>1685268</v>
      </c>
      <c r="P684" s="125" t="s">
        <v>1295</v>
      </c>
      <c r="Q684" s="85" t="s">
        <v>47</v>
      </c>
      <c r="R684" s="220" t="s">
        <v>1888</v>
      </c>
      <c r="S684" s="220" t="s">
        <v>1861</v>
      </c>
      <c r="T684" s="85" t="s">
        <v>1491</v>
      </c>
      <c r="U684" t="s">
        <v>1972</v>
      </c>
      <c r="V684" t="s">
        <v>2832</v>
      </c>
    </row>
    <row r="685" spans="1:22" ht="15.75" thickBot="1" x14ac:dyDescent="0.3">
      <c r="A685" s="82" t="s">
        <v>3314</v>
      </c>
      <c r="B685" s="82" t="str">
        <f t="shared" si="40"/>
        <v>Barraqueiro Transportes, S.A.</v>
      </c>
      <c r="C685" s="82" t="str">
        <f t="shared" si="41"/>
        <v>Barraqueiro Alugueres</v>
      </c>
      <c r="D685" s="83" t="s">
        <v>629</v>
      </c>
      <c r="E685" s="91" t="s">
        <v>1853</v>
      </c>
      <c r="F685" s="124" t="s">
        <v>620</v>
      </c>
      <c r="G685" s="333">
        <v>2019</v>
      </c>
      <c r="H685" s="341" t="s">
        <v>733</v>
      </c>
      <c r="I685" s="336" t="str">
        <f t="shared" si="42"/>
        <v>Pesado de Passageiros M3: III : Gasóleo : E6</v>
      </c>
      <c r="J685" s="125">
        <v>53</v>
      </c>
      <c r="K685" s="125">
        <v>2022</v>
      </c>
      <c r="L685" s="85">
        <v>30418.862000000001</v>
      </c>
      <c r="M685" s="85" t="s">
        <v>630</v>
      </c>
      <c r="N685" s="128">
        <v>122012</v>
      </c>
      <c r="O685" s="128">
        <f t="shared" si="43"/>
        <v>6466636</v>
      </c>
      <c r="P685" s="125" t="s">
        <v>1296</v>
      </c>
      <c r="Q685" s="85" t="s">
        <v>47</v>
      </c>
      <c r="R685" s="220" t="s">
        <v>1888</v>
      </c>
      <c r="S685" s="220" t="s">
        <v>1861</v>
      </c>
      <c r="T685" s="85" t="s">
        <v>1491</v>
      </c>
      <c r="U685" t="s">
        <v>1972</v>
      </c>
      <c r="V685" t="s">
        <v>2832</v>
      </c>
    </row>
    <row r="686" spans="1:22" ht="15.75" thickBot="1" x14ac:dyDescent="0.3">
      <c r="A686" s="82" t="s">
        <v>3314</v>
      </c>
      <c r="B686" s="82" t="str">
        <f t="shared" si="40"/>
        <v>Barraqueiro Transportes, S.A.</v>
      </c>
      <c r="C686" s="82" t="str">
        <f t="shared" si="41"/>
        <v>Barraqueiro Alugueres</v>
      </c>
      <c r="D686" s="83" t="s">
        <v>629</v>
      </c>
      <c r="E686" s="91" t="s">
        <v>1853</v>
      </c>
      <c r="F686" s="124" t="s">
        <v>620</v>
      </c>
      <c r="G686" s="333">
        <v>2019</v>
      </c>
      <c r="H686" s="341" t="s">
        <v>733</v>
      </c>
      <c r="I686" s="336" t="str">
        <f t="shared" si="42"/>
        <v>Pesado de Passageiros M3: III : Gasóleo : E6</v>
      </c>
      <c r="J686" s="125">
        <v>53</v>
      </c>
      <c r="K686" s="125">
        <v>2022</v>
      </c>
      <c r="L686" s="85">
        <v>24557.69</v>
      </c>
      <c r="M686" s="85" t="s">
        <v>630</v>
      </c>
      <c r="N686" s="128">
        <v>96844</v>
      </c>
      <c r="O686" s="128">
        <f t="shared" si="43"/>
        <v>5132732</v>
      </c>
      <c r="P686" s="125" t="s">
        <v>1297</v>
      </c>
      <c r="Q686" s="85" t="s">
        <v>47</v>
      </c>
      <c r="R686" s="220" t="s">
        <v>1888</v>
      </c>
      <c r="S686" s="220" t="s">
        <v>1861</v>
      </c>
      <c r="T686" s="85" t="s">
        <v>1491</v>
      </c>
      <c r="U686" t="s">
        <v>1972</v>
      </c>
      <c r="V686" t="s">
        <v>2832</v>
      </c>
    </row>
    <row r="687" spans="1:22" ht="15.75" thickBot="1" x14ac:dyDescent="0.3">
      <c r="A687" s="82" t="s">
        <v>3314</v>
      </c>
      <c r="B687" s="82" t="str">
        <f t="shared" si="40"/>
        <v>Barraqueiro Transportes, S.A.</v>
      </c>
      <c r="C687" s="82" t="str">
        <f t="shared" si="41"/>
        <v>Barraqueiro Alugueres</v>
      </c>
      <c r="D687" s="83" t="s">
        <v>629</v>
      </c>
      <c r="E687" s="91" t="s">
        <v>1853</v>
      </c>
      <c r="F687" s="124" t="s">
        <v>620</v>
      </c>
      <c r="G687" s="333">
        <v>2019</v>
      </c>
      <c r="H687" s="341" t="s">
        <v>733</v>
      </c>
      <c r="I687" s="336" t="str">
        <f t="shared" si="42"/>
        <v>Pesado de Passageiros M3: III : Gasóleo : E6</v>
      </c>
      <c r="J687" s="125">
        <v>39</v>
      </c>
      <c r="K687" s="125">
        <v>2022</v>
      </c>
      <c r="L687" s="85">
        <v>13070.733</v>
      </c>
      <c r="M687" s="85" t="s">
        <v>630</v>
      </c>
      <c r="N687" s="128">
        <v>48980</v>
      </c>
      <c r="O687" s="128">
        <f t="shared" si="43"/>
        <v>1910220</v>
      </c>
      <c r="P687" s="125" t="s">
        <v>1298</v>
      </c>
      <c r="Q687" s="85" t="s">
        <v>47</v>
      </c>
      <c r="R687" s="220" t="s">
        <v>1888</v>
      </c>
      <c r="S687" s="220" t="s">
        <v>1861</v>
      </c>
      <c r="T687" s="85" t="s">
        <v>1491</v>
      </c>
      <c r="U687" t="s">
        <v>1972</v>
      </c>
      <c r="V687" t="s">
        <v>2832</v>
      </c>
    </row>
    <row r="688" spans="1:22" ht="15.75" thickBot="1" x14ac:dyDescent="0.3">
      <c r="A688" s="82" t="s">
        <v>3314</v>
      </c>
      <c r="B688" s="82" t="str">
        <f t="shared" si="40"/>
        <v>Barraqueiro Transportes, S.A.</v>
      </c>
      <c r="C688" s="82" t="str">
        <f t="shared" si="41"/>
        <v>Barraqueiro Alugueres</v>
      </c>
      <c r="D688" s="83" t="s">
        <v>629</v>
      </c>
      <c r="E688" s="91" t="s">
        <v>1853</v>
      </c>
      <c r="F688" s="124" t="s">
        <v>620</v>
      </c>
      <c r="G688" s="333">
        <v>2019</v>
      </c>
      <c r="H688" s="341" t="s">
        <v>733</v>
      </c>
      <c r="I688" s="336" t="str">
        <f t="shared" si="42"/>
        <v>Pesado de Passageiros M3: III : Gasóleo : E6</v>
      </c>
      <c r="J688" s="125">
        <v>39</v>
      </c>
      <c r="K688" s="125">
        <v>2022</v>
      </c>
      <c r="L688" s="85">
        <v>11473.458999999999</v>
      </c>
      <c r="M688" s="85" t="s">
        <v>630</v>
      </c>
      <c r="N688" s="128">
        <v>39862</v>
      </c>
      <c r="O688" s="128">
        <f t="shared" si="43"/>
        <v>1554618</v>
      </c>
      <c r="P688" s="125" t="s">
        <v>1299</v>
      </c>
      <c r="Q688" s="85" t="s">
        <v>47</v>
      </c>
      <c r="R688" s="220" t="s">
        <v>1888</v>
      </c>
      <c r="S688" s="220" t="s">
        <v>1861</v>
      </c>
      <c r="T688" s="85" t="s">
        <v>1491</v>
      </c>
      <c r="U688" t="s">
        <v>1972</v>
      </c>
      <c r="V688" t="s">
        <v>2832</v>
      </c>
    </row>
    <row r="689" spans="1:22" ht="15.75" thickBot="1" x14ac:dyDescent="0.3">
      <c r="A689" s="82" t="s">
        <v>3314</v>
      </c>
      <c r="B689" s="82" t="str">
        <f t="shared" si="40"/>
        <v>Barraqueiro Transportes, S.A.</v>
      </c>
      <c r="C689" s="82" t="str">
        <f t="shared" si="41"/>
        <v>Barraqueiro Alugueres</v>
      </c>
      <c r="D689" s="83" t="s">
        <v>629</v>
      </c>
      <c r="E689" s="91" t="s">
        <v>1853</v>
      </c>
      <c r="F689" s="124" t="s">
        <v>620</v>
      </c>
      <c r="G689" s="333">
        <v>2019</v>
      </c>
      <c r="H689" s="341" t="s">
        <v>733</v>
      </c>
      <c r="I689" s="336" t="str">
        <f t="shared" si="42"/>
        <v>Pesado de Passageiros M3: III : Gasóleo : E6</v>
      </c>
      <c r="J689" s="125">
        <v>19</v>
      </c>
      <c r="K689" s="125">
        <v>2022</v>
      </c>
      <c r="L689" s="85">
        <v>5494.7029999999986</v>
      </c>
      <c r="M689" s="85" t="s">
        <v>630</v>
      </c>
      <c r="N689" s="128">
        <v>28539</v>
      </c>
      <c r="O689" s="128">
        <f t="shared" si="43"/>
        <v>542241</v>
      </c>
      <c r="P689" s="125" t="s">
        <v>1300</v>
      </c>
      <c r="Q689" s="85" t="s">
        <v>47</v>
      </c>
      <c r="R689" s="220" t="s">
        <v>1888</v>
      </c>
      <c r="S689" s="220" t="s">
        <v>1861</v>
      </c>
      <c r="T689" s="85" t="s">
        <v>1491</v>
      </c>
      <c r="U689" t="s">
        <v>1972</v>
      </c>
      <c r="V689" t="s">
        <v>2832</v>
      </c>
    </row>
    <row r="690" spans="1:22" ht="15.75" thickBot="1" x14ac:dyDescent="0.3">
      <c r="A690" s="82" t="s">
        <v>3314</v>
      </c>
      <c r="B690" s="82" t="str">
        <f t="shared" si="40"/>
        <v>Barraqueiro Transportes, S.A.</v>
      </c>
      <c r="C690" s="82" t="str">
        <f t="shared" si="41"/>
        <v>Barraqueiro Alugueres</v>
      </c>
      <c r="D690" s="83" t="s">
        <v>629</v>
      </c>
      <c r="E690" s="91" t="s">
        <v>1853</v>
      </c>
      <c r="F690" s="124" t="s">
        <v>620</v>
      </c>
      <c r="G690" s="333">
        <v>2020</v>
      </c>
      <c r="H690" s="341" t="s">
        <v>733</v>
      </c>
      <c r="I690" s="336" t="str">
        <f t="shared" si="42"/>
        <v>Pesado de Passageiros M3: III : Gasóleo : E6</v>
      </c>
      <c r="J690" s="125">
        <v>53</v>
      </c>
      <c r="K690" s="125">
        <v>2022</v>
      </c>
      <c r="L690" s="85">
        <v>25161.516999999996</v>
      </c>
      <c r="M690" s="85" t="s">
        <v>630</v>
      </c>
      <c r="N690" s="128">
        <v>100932</v>
      </c>
      <c r="O690" s="128">
        <f t="shared" si="43"/>
        <v>5349396</v>
      </c>
      <c r="P690" s="125" t="s">
        <v>1301</v>
      </c>
      <c r="Q690" s="85" t="s">
        <v>47</v>
      </c>
      <c r="R690" s="220" t="s">
        <v>1888</v>
      </c>
      <c r="S690" s="220" t="s">
        <v>1861</v>
      </c>
      <c r="T690" s="85" t="s">
        <v>1491</v>
      </c>
      <c r="U690" t="s">
        <v>1972</v>
      </c>
      <c r="V690" t="s">
        <v>2832</v>
      </c>
    </row>
    <row r="691" spans="1:22" ht="15.75" thickBot="1" x14ac:dyDescent="0.3">
      <c r="A691" s="82" t="s">
        <v>3314</v>
      </c>
      <c r="B691" s="82" t="str">
        <f t="shared" si="40"/>
        <v>Barraqueiro Transportes, S.A.</v>
      </c>
      <c r="C691" s="82" t="str">
        <f t="shared" si="41"/>
        <v>Barraqueiro Alugueres</v>
      </c>
      <c r="D691" s="83" t="s">
        <v>629</v>
      </c>
      <c r="E691" s="91" t="s">
        <v>1853</v>
      </c>
      <c r="F691" s="124" t="s">
        <v>620</v>
      </c>
      <c r="G691" s="333">
        <v>2020</v>
      </c>
      <c r="H691" s="341" t="s">
        <v>733</v>
      </c>
      <c r="I691" s="336" t="str">
        <f t="shared" si="42"/>
        <v>Pesado de Passageiros M3: III : Gasóleo : E6</v>
      </c>
      <c r="J691" s="125">
        <v>63</v>
      </c>
      <c r="K691" s="125">
        <v>2022</v>
      </c>
      <c r="L691" s="85">
        <v>78692.513999999996</v>
      </c>
      <c r="M691" s="85" t="s">
        <v>630</v>
      </c>
      <c r="N691" s="128">
        <v>264642</v>
      </c>
      <c r="O691" s="128">
        <f t="shared" si="43"/>
        <v>16672446</v>
      </c>
      <c r="P691" s="125" t="s">
        <v>1302</v>
      </c>
      <c r="Q691" s="85" t="s">
        <v>47</v>
      </c>
      <c r="R691" s="220" t="s">
        <v>1888</v>
      </c>
      <c r="S691" s="220" t="s">
        <v>1861</v>
      </c>
      <c r="T691" s="85" t="s">
        <v>1491</v>
      </c>
      <c r="U691" t="s">
        <v>1972</v>
      </c>
      <c r="V691" t="s">
        <v>2832</v>
      </c>
    </row>
    <row r="692" spans="1:22" ht="15.75" thickBot="1" x14ac:dyDescent="0.3">
      <c r="A692" s="82" t="s">
        <v>3314</v>
      </c>
      <c r="B692" s="82" t="str">
        <f t="shared" si="40"/>
        <v>Barraqueiro Transportes, S.A.</v>
      </c>
      <c r="C692" s="82" t="str">
        <f t="shared" si="41"/>
        <v>Barraqueiro Alugueres</v>
      </c>
      <c r="D692" s="83" t="s">
        <v>629</v>
      </c>
      <c r="E692" s="91" t="s">
        <v>1853</v>
      </c>
      <c r="F692" s="124" t="s">
        <v>620</v>
      </c>
      <c r="G692" s="333">
        <v>2020</v>
      </c>
      <c r="H692" s="341" t="s">
        <v>733</v>
      </c>
      <c r="I692" s="336" t="str">
        <f t="shared" si="42"/>
        <v>Pesado de Passageiros M3: III : Gasóleo : E6</v>
      </c>
      <c r="J692" s="125">
        <v>29</v>
      </c>
      <c r="K692" s="125">
        <v>2022</v>
      </c>
      <c r="L692" s="85">
        <v>4804.7290000000003</v>
      </c>
      <c r="M692" s="85" t="s">
        <v>630</v>
      </c>
      <c r="N692" s="128">
        <v>23668</v>
      </c>
      <c r="O692" s="128">
        <f t="shared" si="43"/>
        <v>686372</v>
      </c>
      <c r="P692" s="125" t="s">
        <v>1303</v>
      </c>
      <c r="Q692" s="85" t="s">
        <v>47</v>
      </c>
      <c r="R692" s="220" t="s">
        <v>1888</v>
      </c>
      <c r="S692" s="220" t="s">
        <v>1861</v>
      </c>
      <c r="T692" s="85" t="s">
        <v>1491</v>
      </c>
      <c r="U692" t="s">
        <v>1972</v>
      </c>
      <c r="V692" t="s">
        <v>2832</v>
      </c>
    </row>
    <row r="693" spans="1:22" ht="15.75" thickBot="1" x14ac:dyDescent="0.3">
      <c r="A693" s="82" t="s">
        <v>3314</v>
      </c>
      <c r="B693" s="82" t="str">
        <f t="shared" si="40"/>
        <v>Barraqueiro Transportes, S.A.</v>
      </c>
      <c r="C693" s="82" t="str">
        <f t="shared" si="41"/>
        <v>Barraqueiro Alugueres</v>
      </c>
      <c r="D693" s="83" t="s">
        <v>629</v>
      </c>
      <c r="E693" s="91" t="s">
        <v>1853</v>
      </c>
      <c r="F693" s="124" t="s">
        <v>620</v>
      </c>
      <c r="G693" s="333">
        <v>2020</v>
      </c>
      <c r="H693" s="341" t="s">
        <v>733</v>
      </c>
      <c r="I693" s="336" t="str">
        <f t="shared" si="42"/>
        <v>Pesado de Passageiros M3: III : Gasóleo : E6</v>
      </c>
      <c r="J693" s="125">
        <v>29</v>
      </c>
      <c r="K693" s="125">
        <v>2022</v>
      </c>
      <c r="L693" s="85">
        <v>5770.2780000000002</v>
      </c>
      <c r="M693" s="85" t="s">
        <v>630</v>
      </c>
      <c r="N693" s="128">
        <v>29266</v>
      </c>
      <c r="O693" s="128">
        <f t="shared" si="43"/>
        <v>848714</v>
      </c>
      <c r="P693" s="125" t="s">
        <v>1304</v>
      </c>
      <c r="Q693" s="85" t="s">
        <v>47</v>
      </c>
      <c r="R693" s="220" t="s">
        <v>1888</v>
      </c>
      <c r="S693" s="220" t="s">
        <v>1861</v>
      </c>
      <c r="T693" s="85" t="s">
        <v>1491</v>
      </c>
      <c r="U693" t="s">
        <v>1972</v>
      </c>
      <c r="V693" t="s">
        <v>2832</v>
      </c>
    </row>
    <row r="694" spans="1:22" ht="15.75" thickBot="1" x14ac:dyDescent="0.3">
      <c r="A694" s="82" t="s">
        <v>3314</v>
      </c>
      <c r="B694" s="82" t="str">
        <f t="shared" si="40"/>
        <v>Barraqueiro Transportes, S.A.</v>
      </c>
      <c r="C694" s="82" t="str">
        <f t="shared" si="41"/>
        <v>Barraqueiro Alugueres</v>
      </c>
      <c r="D694" s="83" t="s">
        <v>629</v>
      </c>
      <c r="E694" s="91" t="s">
        <v>1853</v>
      </c>
      <c r="F694" s="124" t="s">
        <v>620</v>
      </c>
      <c r="G694" s="333">
        <v>2009</v>
      </c>
      <c r="H694" s="341" t="s">
        <v>734</v>
      </c>
      <c r="I694" s="336" t="str">
        <f t="shared" si="42"/>
        <v>Pesado de Passageiros M3: III : Gasóleo : E5</v>
      </c>
      <c r="J694" s="125">
        <v>34</v>
      </c>
      <c r="K694" s="125">
        <v>2022</v>
      </c>
      <c r="L694" s="85">
        <v>6053.0450000000001</v>
      </c>
      <c r="M694" s="85" t="s">
        <v>630</v>
      </c>
      <c r="N694" s="128">
        <v>21004</v>
      </c>
      <c r="O694" s="128">
        <f t="shared" si="43"/>
        <v>714136</v>
      </c>
      <c r="P694" s="125" t="s">
        <v>1305</v>
      </c>
      <c r="Q694" s="85" t="s">
        <v>47</v>
      </c>
      <c r="R694" s="220" t="s">
        <v>1888</v>
      </c>
      <c r="S694" s="220" t="s">
        <v>1861</v>
      </c>
      <c r="T694" s="85" t="s">
        <v>1491</v>
      </c>
      <c r="U694" t="s">
        <v>1972</v>
      </c>
      <c r="V694" t="s">
        <v>2832</v>
      </c>
    </row>
    <row r="695" spans="1:22" ht="15.75" thickBot="1" x14ac:dyDescent="0.3">
      <c r="A695" s="82" t="s">
        <v>3314</v>
      </c>
      <c r="B695" s="82" t="str">
        <f t="shared" si="40"/>
        <v>Barraqueiro Transportes, S.A.</v>
      </c>
      <c r="C695" s="82" t="str">
        <f t="shared" si="41"/>
        <v>Barraqueiro Alugueres</v>
      </c>
      <c r="D695" s="83" t="s">
        <v>629</v>
      </c>
      <c r="E695" s="91" t="s">
        <v>1853</v>
      </c>
      <c r="F695" s="124" t="s">
        <v>620</v>
      </c>
      <c r="G695" s="333">
        <v>2014</v>
      </c>
      <c r="H695" s="341" t="s">
        <v>733</v>
      </c>
      <c r="I695" s="336" t="str">
        <f t="shared" si="42"/>
        <v>Pesado de Passageiros M3: III : Gasóleo : E6</v>
      </c>
      <c r="J695" s="125">
        <v>62</v>
      </c>
      <c r="K695" s="125">
        <v>2022</v>
      </c>
      <c r="L695" s="85">
        <v>11974.539999999997</v>
      </c>
      <c r="M695" s="85" t="s">
        <v>630</v>
      </c>
      <c r="N695" s="128">
        <v>29215</v>
      </c>
      <c r="O695" s="128">
        <f t="shared" si="43"/>
        <v>1811330</v>
      </c>
      <c r="P695" s="125" t="s">
        <v>1306</v>
      </c>
      <c r="Q695" s="85" t="s">
        <v>47</v>
      </c>
      <c r="R695" s="220" t="s">
        <v>1888</v>
      </c>
      <c r="S695" s="220" t="s">
        <v>1861</v>
      </c>
      <c r="T695" s="85" t="s">
        <v>1491</v>
      </c>
      <c r="U695" t="s">
        <v>1972</v>
      </c>
      <c r="V695" t="s">
        <v>2832</v>
      </c>
    </row>
    <row r="696" spans="1:22" ht="15.75" thickBot="1" x14ac:dyDescent="0.3">
      <c r="A696" s="82" t="s">
        <v>3314</v>
      </c>
      <c r="B696" s="82" t="str">
        <f t="shared" si="40"/>
        <v>Barraqueiro Transportes, S.A.</v>
      </c>
      <c r="C696" s="82" t="str">
        <f t="shared" si="41"/>
        <v>Barraqueiro Alugueres</v>
      </c>
      <c r="D696" s="83" t="s">
        <v>629</v>
      </c>
      <c r="E696" s="91" t="s">
        <v>1853</v>
      </c>
      <c r="F696" s="124" t="s">
        <v>620</v>
      </c>
      <c r="G696" s="333">
        <v>2019</v>
      </c>
      <c r="H696" s="341" t="s">
        <v>733</v>
      </c>
      <c r="I696" s="336" t="str">
        <f t="shared" si="42"/>
        <v>Pesado de Passageiros M3: III : Gasóleo : E6</v>
      </c>
      <c r="J696" s="125">
        <v>16</v>
      </c>
      <c r="K696" s="125">
        <v>2022</v>
      </c>
      <c r="L696" s="85">
        <v>399.45</v>
      </c>
      <c r="M696" s="85" t="s">
        <v>630</v>
      </c>
      <c r="N696" s="128">
        <v>2348</v>
      </c>
      <c r="O696" s="128">
        <f t="shared" si="43"/>
        <v>37568</v>
      </c>
      <c r="P696" s="125" t="s">
        <v>1307</v>
      </c>
      <c r="Q696" s="85" t="s">
        <v>47</v>
      </c>
      <c r="R696" s="220" t="s">
        <v>1888</v>
      </c>
      <c r="S696" s="220" t="s">
        <v>1861</v>
      </c>
      <c r="T696" s="85" t="s">
        <v>1491</v>
      </c>
      <c r="U696" t="s">
        <v>1972</v>
      </c>
      <c r="V696" t="s">
        <v>2832</v>
      </c>
    </row>
    <row r="697" spans="1:22" ht="15.75" thickBot="1" x14ac:dyDescent="0.3">
      <c r="A697" s="82" t="s">
        <v>3314</v>
      </c>
      <c r="B697" s="82" t="str">
        <f t="shared" si="40"/>
        <v>Barraqueiro Transportes, S.A.</v>
      </c>
      <c r="C697" s="82" t="str">
        <f t="shared" si="41"/>
        <v>Barraqueiro Alugueres</v>
      </c>
      <c r="D697" s="83" t="s">
        <v>629</v>
      </c>
      <c r="E697" s="91" t="s">
        <v>1853</v>
      </c>
      <c r="F697" s="124" t="s">
        <v>620</v>
      </c>
      <c r="G697" s="333">
        <v>2006</v>
      </c>
      <c r="H697" s="341" t="s">
        <v>731</v>
      </c>
      <c r="I697" s="336" t="str">
        <f t="shared" si="42"/>
        <v>Pesado de Passageiros M3: III : Gasóleo : E4</v>
      </c>
      <c r="J697" s="125">
        <v>58</v>
      </c>
      <c r="K697" s="125">
        <v>2022</v>
      </c>
      <c r="L697" s="85">
        <v>4800.585</v>
      </c>
      <c r="M697" s="85" t="s">
        <v>630</v>
      </c>
      <c r="N697" s="128">
        <v>15259</v>
      </c>
      <c r="O697" s="128">
        <f t="shared" si="43"/>
        <v>885022</v>
      </c>
      <c r="P697" s="125" t="s">
        <v>1308</v>
      </c>
      <c r="Q697" s="85" t="s">
        <v>47</v>
      </c>
      <c r="R697" s="220" t="s">
        <v>1888</v>
      </c>
      <c r="S697" s="220" t="s">
        <v>1861</v>
      </c>
      <c r="T697" s="85" t="s">
        <v>1491</v>
      </c>
      <c r="U697" t="s">
        <v>1972</v>
      </c>
      <c r="V697" t="s">
        <v>2832</v>
      </c>
    </row>
    <row r="698" spans="1:22" ht="15.75" thickBot="1" x14ac:dyDescent="0.3">
      <c r="A698" s="82" t="s">
        <v>3314</v>
      </c>
      <c r="B698" s="82" t="str">
        <f t="shared" si="40"/>
        <v>Barraqueiro Transportes, S.A.</v>
      </c>
      <c r="C698" s="82" t="str">
        <f t="shared" si="41"/>
        <v>Barraqueiro Alugueres</v>
      </c>
      <c r="D698" s="83" t="s">
        <v>629</v>
      </c>
      <c r="E698" s="91" t="s">
        <v>1853</v>
      </c>
      <c r="F698" s="124" t="s">
        <v>620</v>
      </c>
      <c r="G698" s="333">
        <v>2004</v>
      </c>
      <c r="H698" s="341" t="s">
        <v>732</v>
      </c>
      <c r="I698" s="336" t="str">
        <f t="shared" si="42"/>
        <v>Pesado de Passageiros M3: III : Gasóleo : E3</v>
      </c>
      <c r="J698" s="125">
        <v>19</v>
      </c>
      <c r="K698" s="125">
        <v>2022</v>
      </c>
      <c r="L698" s="85">
        <v>0</v>
      </c>
      <c r="M698" s="85" t="s">
        <v>630</v>
      </c>
      <c r="N698" s="128">
        <v>0</v>
      </c>
      <c r="O698" s="128">
        <f t="shared" si="43"/>
        <v>0</v>
      </c>
      <c r="P698" s="125" t="s">
        <v>1309</v>
      </c>
      <c r="Q698" s="85" t="s">
        <v>47</v>
      </c>
      <c r="R698" s="220" t="s">
        <v>1888</v>
      </c>
      <c r="S698" s="220" t="s">
        <v>1861</v>
      </c>
      <c r="T698" s="85" t="s">
        <v>1491</v>
      </c>
      <c r="U698" t="s">
        <v>1972</v>
      </c>
      <c r="V698" t="s">
        <v>2832</v>
      </c>
    </row>
    <row r="699" spans="1:22" ht="15.75" thickBot="1" x14ac:dyDescent="0.3">
      <c r="A699" s="82" t="s">
        <v>3314</v>
      </c>
      <c r="B699" s="82" t="str">
        <f t="shared" si="40"/>
        <v>Barraqueiro Transportes, S.A.</v>
      </c>
      <c r="C699" s="82" t="str">
        <f t="shared" si="41"/>
        <v>Barraqueiro Alugueres</v>
      </c>
      <c r="D699" s="83" t="s">
        <v>629</v>
      </c>
      <c r="E699" s="91" t="s">
        <v>1853</v>
      </c>
      <c r="F699" s="124" t="s">
        <v>620</v>
      </c>
      <c r="G699" s="333">
        <v>2015</v>
      </c>
      <c r="H699" s="341" t="s">
        <v>733</v>
      </c>
      <c r="I699" s="336" t="str">
        <f t="shared" si="42"/>
        <v>Pesado de Passageiros M3: III : Gasóleo : E6</v>
      </c>
      <c r="J699" s="125">
        <v>53</v>
      </c>
      <c r="K699" s="125">
        <v>2022</v>
      </c>
      <c r="L699" s="85">
        <v>1899.4940000000001</v>
      </c>
      <c r="M699" s="85" t="s">
        <v>630</v>
      </c>
      <c r="N699" s="128">
        <v>12280</v>
      </c>
      <c r="O699" s="128">
        <f t="shared" si="43"/>
        <v>650840</v>
      </c>
      <c r="P699" s="125" t="s">
        <v>1310</v>
      </c>
      <c r="Q699" s="85" t="s">
        <v>47</v>
      </c>
      <c r="R699" s="220" t="s">
        <v>1888</v>
      </c>
      <c r="S699" s="220" t="s">
        <v>1861</v>
      </c>
      <c r="T699" s="85" t="s">
        <v>1491</v>
      </c>
      <c r="U699" t="s">
        <v>1972</v>
      </c>
      <c r="V699" t="s">
        <v>2832</v>
      </c>
    </row>
    <row r="700" spans="1:22" ht="15.75" thickBot="1" x14ac:dyDescent="0.3">
      <c r="A700" s="82" t="s">
        <v>3314</v>
      </c>
      <c r="B700" s="82" t="str">
        <f t="shared" si="40"/>
        <v>Barraqueiro Transportes, S.A.</v>
      </c>
      <c r="C700" s="82" t="str">
        <f t="shared" si="41"/>
        <v>Barraqueiro Alugueres</v>
      </c>
      <c r="D700" s="83" t="s">
        <v>629</v>
      </c>
      <c r="E700" s="91" t="s">
        <v>1853</v>
      </c>
      <c r="F700" s="124" t="s">
        <v>620</v>
      </c>
      <c r="G700" s="333">
        <v>2004</v>
      </c>
      <c r="H700" s="341" t="s">
        <v>732</v>
      </c>
      <c r="I700" s="336" t="str">
        <f t="shared" si="42"/>
        <v>Pesado de Passageiros M3: III : Gasóleo : E3</v>
      </c>
      <c r="J700" s="125">
        <v>53</v>
      </c>
      <c r="K700" s="125">
        <v>2022</v>
      </c>
      <c r="L700" s="85">
        <v>0</v>
      </c>
      <c r="M700" s="85" t="s">
        <v>630</v>
      </c>
      <c r="N700" s="128">
        <v>0</v>
      </c>
      <c r="O700" s="128">
        <f t="shared" si="43"/>
        <v>0</v>
      </c>
      <c r="P700" s="125" t="s">
        <v>1311</v>
      </c>
      <c r="Q700" s="85" t="s">
        <v>47</v>
      </c>
      <c r="R700" s="220" t="s">
        <v>1888</v>
      </c>
      <c r="S700" s="220" t="s">
        <v>1861</v>
      </c>
      <c r="T700" s="85" t="s">
        <v>1491</v>
      </c>
      <c r="U700" t="s">
        <v>1972</v>
      </c>
      <c r="V700" t="s">
        <v>2832</v>
      </c>
    </row>
    <row r="701" spans="1:22" ht="15.75" thickBot="1" x14ac:dyDescent="0.3">
      <c r="A701" s="82" t="s">
        <v>3314</v>
      </c>
      <c r="B701" s="82" t="str">
        <f t="shared" si="40"/>
        <v>Barraqueiro Transportes, S.A.</v>
      </c>
      <c r="C701" s="82" t="str">
        <f t="shared" si="41"/>
        <v>Barraqueiro Alugueres</v>
      </c>
      <c r="D701" s="83" t="s">
        <v>629</v>
      </c>
      <c r="E701" s="91" t="s">
        <v>1853</v>
      </c>
      <c r="F701" s="124" t="s">
        <v>620</v>
      </c>
      <c r="G701" s="333">
        <v>2004</v>
      </c>
      <c r="H701" s="341" t="s">
        <v>732</v>
      </c>
      <c r="I701" s="336" t="str">
        <f t="shared" si="42"/>
        <v>Pesado de Passageiros M3: III : Gasóleo : E3</v>
      </c>
      <c r="J701" s="125">
        <v>53</v>
      </c>
      <c r="K701" s="125">
        <v>2022</v>
      </c>
      <c r="L701" s="85">
        <v>2193.0839999999998</v>
      </c>
      <c r="M701" s="85" t="s">
        <v>630</v>
      </c>
      <c r="N701" s="128">
        <v>6512</v>
      </c>
      <c r="O701" s="128">
        <f t="shared" si="43"/>
        <v>345136</v>
      </c>
      <c r="P701" s="125" t="s">
        <v>1312</v>
      </c>
      <c r="Q701" s="85" t="s">
        <v>47</v>
      </c>
      <c r="R701" s="220" t="s">
        <v>1888</v>
      </c>
      <c r="S701" s="220" t="s">
        <v>1861</v>
      </c>
      <c r="T701" s="85" t="s">
        <v>1491</v>
      </c>
      <c r="U701" t="s">
        <v>1972</v>
      </c>
      <c r="V701" t="s">
        <v>2832</v>
      </c>
    </row>
    <row r="702" spans="1:22" ht="15.75" thickBot="1" x14ac:dyDescent="0.3">
      <c r="A702" s="82" t="s">
        <v>3314</v>
      </c>
      <c r="B702" s="82" t="str">
        <f t="shared" si="40"/>
        <v>Barraqueiro Transportes, S.A.</v>
      </c>
      <c r="C702" s="82" t="str">
        <f t="shared" si="41"/>
        <v>Barraqueiro Alugueres</v>
      </c>
      <c r="D702" s="83" t="s">
        <v>629</v>
      </c>
      <c r="E702" s="91" t="s">
        <v>1853</v>
      </c>
      <c r="F702" s="124" t="s">
        <v>620</v>
      </c>
      <c r="G702" s="333">
        <v>2004</v>
      </c>
      <c r="H702" s="341" t="s">
        <v>732</v>
      </c>
      <c r="I702" s="336" t="str">
        <f t="shared" si="42"/>
        <v>Pesado de Passageiros M3: III : Gasóleo : E3</v>
      </c>
      <c r="J702" s="125">
        <v>53</v>
      </c>
      <c r="K702" s="125">
        <v>2022</v>
      </c>
      <c r="L702" s="85">
        <v>0</v>
      </c>
      <c r="M702" s="85" t="s">
        <v>630</v>
      </c>
      <c r="N702" s="128">
        <v>0</v>
      </c>
      <c r="O702" s="128">
        <f t="shared" si="43"/>
        <v>0</v>
      </c>
      <c r="P702" s="125" t="s">
        <v>1313</v>
      </c>
      <c r="Q702" s="85" t="s">
        <v>47</v>
      </c>
      <c r="R702" s="220" t="s">
        <v>1888</v>
      </c>
      <c r="S702" s="220" t="s">
        <v>1861</v>
      </c>
      <c r="T702" s="85" t="s">
        <v>1491</v>
      </c>
      <c r="U702" t="s">
        <v>1972</v>
      </c>
      <c r="V702" t="s">
        <v>2832</v>
      </c>
    </row>
    <row r="703" spans="1:22" ht="15.75" thickBot="1" x14ac:dyDescent="0.3">
      <c r="A703" s="82" t="s">
        <v>3314</v>
      </c>
      <c r="B703" s="82" t="str">
        <f t="shared" si="40"/>
        <v>Barraqueiro Transportes, S.A.</v>
      </c>
      <c r="C703" s="82" t="str">
        <f t="shared" si="41"/>
        <v>Barraqueiro Alugueres</v>
      </c>
      <c r="D703" s="83" t="s">
        <v>629</v>
      </c>
      <c r="E703" s="91" t="s">
        <v>1853</v>
      </c>
      <c r="F703" s="124" t="s">
        <v>620</v>
      </c>
      <c r="G703" s="333">
        <v>2004</v>
      </c>
      <c r="H703" s="341" t="s">
        <v>732</v>
      </c>
      <c r="I703" s="336" t="str">
        <f t="shared" si="42"/>
        <v>Pesado de Passageiros M3: III : Gasóleo : E3</v>
      </c>
      <c r="J703" s="125">
        <v>49</v>
      </c>
      <c r="K703" s="125">
        <v>2022</v>
      </c>
      <c r="L703" s="85">
        <v>14208.113000000001</v>
      </c>
      <c r="M703" s="85" t="s">
        <v>630</v>
      </c>
      <c r="N703" s="128">
        <v>45003</v>
      </c>
      <c r="O703" s="128">
        <f t="shared" si="43"/>
        <v>2205147</v>
      </c>
      <c r="P703" s="125" t="s">
        <v>1314</v>
      </c>
      <c r="Q703" s="85" t="s">
        <v>47</v>
      </c>
      <c r="R703" s="220" t="s">
        <v>1888</v>
      </c>
      <c r="S703" s="220" t="s">
        <v>1861</v>
      </c>
      <c r="T703" s="85" t="s">
        <v>1491</v>
      </c>
      <c r="U703" t="s">
        <v>1972</v>
      </c>
      <c r="V703" t="s">
        <v>2832</v>
      </c>
    </row>
    <row r="704" spans="1:22" ht="15.75" thickBot="1" x14ac:dyDescent="0.3">
      <c r="A704" s="82" t="s">
        <v>3314</v>
      </c>
      <c r="B704" s="82" t="str">
        <f t="shared" si="40"/>
        <v>Barraqueiro Transportes, S.A.</v>
      </c>
      <c r="C704" s="82" t="str">
        <f t="shared" si="41"/>
        <v>Barraqueiro Alugueres</v>
      </c>
      <c r="D704" s="83" t="s">
        <v>629</v>
      </c>
      <c r="E704" s="91" t="s">
        <v>1853</v>
      </c>
      <c r="F704" s="124" t="s">
        <v>620</v>
      </c>
      <c r="G704" s="333">
        <v>2005</v>
      </c>
      <c r="H704" s="341" t="s">
        <v>732</v>
      </c>
      <c r="I704" s="336" t="str">
        <f t="shared" si="42"/>
        <v>Pesado de Passageiros M3: III : Gasóleo : E3</v>
      </c>
      <c r="J704" s="125">
        <v>37</v>
      </c>
      <c r="K704" s="125">
        <v>2022</v>
      </c>
      <c r="L704" s="85">
        <v>10290.300000000001</v>
      </c>
      <c r="M704" s="85" t="s">
        <v>630</v>
      </c>
      <c r="N704" s="128">
        <v>29820</v>
      </c>
      <c r="O704" s="128">
        <f t="shared" si="43"/>
        <v>1103340</v>
      </c>
      <c r="P704" s="125" t="s">
        <v>1315</v>
      </c>
      <c r="Q704" s="85" t="s">
        <v>47</v>
      </c>
      <c r="R704" s="220" t="s">
        <v>1888</v>
      </c>
      <c r="S704" s="220" t="s">
        <v>1861</v>
      </c>
      <c r="T704" s="85" t="s">
        <v>1491</v>
      </c>
      <c r="U704" t="s">
        <v>1972</v>
      </c>
      <c r="V704" t="s">
        <v>2832</v>
      </c>
    </row>
    <row r="705" spans="1:22" ht="15.75" thickBot="1" x14ac:dyDescent="0.3">
      <c r="A705" s="82" t="s">
        <v>3314</v>
      </c>
      <c r="B705" s="82" t="str">
        <f t="shared" si="40"/>
        <v>Barraqueiro Transportes, S.A.</v>
      </c>
      <c r="C705" s="82" t="str">
        <f t="shared" si="41"/>
        <v>Barraqueiro Alugueres</v>
      </c>
      <c r="D705" s="83" t="s">
        <v>629</v>
      </c>
      <c r="E705" s="91" t="s">
        <v>1853</v>
      </c>
      <c r="F705" s="124" t="s">
        <v>620</v>
      </c>
      <c r="G705" s="333">
        <v>2006</v>
      </c>
      <c r="H705" s="341" t="s">
        <v>731</v>
      </c>
      <c r="I705" s="336" t="str">
        <f t="shared" si="42"/>
        <v>Pesado de Passageiros M3: III : Gasóleo : E4</v>
      </c>
      <c r="J705" s="125">
        <v>53</v>
      </c>
      <c r="K705" s="125">
        <v>2022</v>
      </c>
      <c r="L705" s="85">
        <v>14041.046</v>
      </c>
      <c r="M705" s="85" t="s">
        <v>630</v>
      </c>
      <c r="N705" s="128">
        <v>35095</v>
      </c>
      <c r="O705" s="128">
        <f t="shared" si="43"/>
        <v>1860035</v>
      </c>
      <c r="P705" s="125" t="s">
        <v>1316</v>
      </c>
      <c r="Q705" s="85" t="s">
        <v>47</v>
      </c>
      <c r="R705" s="220" t="s">
        <v>1888</v>
      </c>
      <c r="S705" s="220" t="s">
        <v>1861</v>
      </c>
      <c r="T705" s="85" t="s">
        <v>1491</v>
      </c>
      <c r="U705" t="s">
        <v>1972</v>
      </c>
      <c r="V705" t="s">
        <v>2832</v>
      </c>
    </row>
    <row r="706" spans="1:22" ht="15.75" thickBot="1" x14ac:dyDescent="0.3">
      <c r="A706" s="82" t="s">
        <v>3314</v>
      </c>
      <c r="B706" s="82" t="str">
        <f t="shared" si="40"/>
        <v>Barraqueiro Transportes, S.A.</v>
      </c>
      <c r="C706" s="82" t="str">
        <f t="shared" si="41"/>
        <v>Barraqueiro Alugueres</v>
      </c>
      <c r="D706" s="83" t="s">
        <v>629</v>
      </c>
      <c r="E706" s="91" t="s">
        <v>1853</v>
      </c>
      <c r="F706" s="124" t="s">
        <v>620</v>
      </c>
      <c r="G706" s="333">
        <v>2006</v>
      </c>
      <c r="H706" s="341" t="s">
        <v>731</v>
      </c>
      <c r="I706" s="336" t="str">
        <f t="shared" si="42"/>
        <v>Pesado de Passageiros M3: III : Gasóleo : E4</v>
      </c>
      <c r="J706" s="125">
        <v>51</v>
      </c>
      <c r="K706" s="125">
        <v>2022</v>
      </c>
      <c r="L706" s="85">
        <v>10960.237000000003</v>
      </c>
      <c r="M706" s="85" t="s">
        <v>630</v>
      </c>
      <c r="N706" s="128">
        <v>32348</v>
      </c>
      <c r="O706" s="128">
        <f t="shared" si="43"/>
        <v>1649748</v>
      </c>
      <c r="P706" s="125" t="s">
        <v>1317</v>
      </c>
      <c r="Q706" s="85" t="s">
        <v>47</v>
      </c>
      <c r="R706" s="220" t="s">
        <v>1888</v>
      </c>
      <c r="S706" s="220" t="s">
        <v>1861</v>
      </c>
      <c r="T706" s="85" t="s">
        <v>1491</v>
      </c>
      <c r="U706" t="s">
        <v>1972</v>
      </c>
      <c r="V706" t="s">
        <v>2832</v>
      </c>
    </row>
    <row r="707" spans="1:22" ht="15.75" thickBot="1" x14ac:dyDescent="0.3">
      <c r="A707" s="82" t="s">
        <v>3314</v>
      </c>
      <c r="B707" s="82" t="str">
        <f t="shared" ref="B707:B750" si="44">LEFT(A707,IFERROR(FIND(" - ",A707)-1,LEN(A707)))</f>
        <v>Barraqueiro Transportes, S.A.</v>
      </c>
      <c r="C707" s="82" t="str">
        <f t="shared" si="41"/>
        <v>Barraqueiro Alugueres</v>
      </c>
      <c r="D707" s="83" t="s">
        <v>629</v>
      </c>
      <c r="E707" s="91" t="s">
        <v>1853</v>
      </c>
      <c r="F707" s="124" t="s">
        <v>620</v>
      </c>
      <c r="G707" s="333">
        <v>2006</v>
      </c>
      <c r="H707" s="341" t="s">
        <v>731</v>
      </c>
      <c r="I707" s="336" t="str">
        <f t="shared" si="42"/>
        <v>Pesado de Passageiros M3: III : Gasóleo : E4</v>
      </c>
      <c r="J707" s="125">
        <v>51</v>
      </c>
      <c r="K707" s="125">
        <v>2022</v>
      </c>
      <c r="L707" s="85">
        <v>3585.84</v>
      </c>
      <c r="M707" s="85" t="s">
        <v>630</v>
      </c>
      <c r="N707" s="128">
        <v>12299</v>
      </c>
      <c r="O707" s="128">
        <f t="shared" si="43"/>
        <v>627249</v>
      </c>
      <c r="P707" s="125" t="s">
        <v>1318</v>
      </c>
      <c r="Q707" s="85" t="s">
        <v>47</v>
      </c>
      <c r="R707" s="220" t="s">
        <v>1888</v>
      </c>
      <c r="S707" s="220" t="s">
        <v>1861</v>
      </c>
      <c r="T707" s="85" t="s">
        <v>1491</v>
      </c>
      <c r="U707" t="s">
        <v>1972</v>
      </c>
      <c r="V707" t="s">
        <v>2832</v>
      </c>
    </row>
    <row r="708" spans="1:22" ht="15.75" thickBot="1" x14ac:dyDescent="0.3">
      <c r="A708" s="82" t="s">
        <v>3314</v>
      </c>
      <c r="B708" s="82" t="str">
        <f t="shared" si="44"/>
        <v>Barraqueiro Transportes, S.A.</v>
      </c>
      <c r="C708" s="82" t="str">
        <f t="shared" ref="C708:C750" si="45">IF(A708=B708,B708,RIGHT(A708,LEN(A708)-LEN(B708)-3))</f>
        <v>Barraqueiro Alugueres</v>
      </c>
      <c r="D708" s="83" t="s">
        <v>629</v>
      </c>
      <c r="E708" s="91" t="s">
        <v>1853</v>
      </c>
      <c r="F708" s="124" t="s">
        <v>620</v>
      </c>
      <c r="G708" s="333">
        <v>2006</v>
      </c>
      <c r="H708" s="341" t="s">
        <v>731</v>
      </c>
      <c r="I708" s="336" t="str">
        <f t="shared" ref="I708:I771" si="46">D708&amp;": "&amp;E708&amp;" : "&amp;F708&amp;" : "&amp;H708</f>
        <v>Pesado de Passageiros M3: III : Gasóleo : E4</v>
      </c>
      <c r="J708" s="125">
        <v>51</v>
      </c>
      <c r="K708" s="125">
        <v>2022</v>
      </c>
      <c r="L708" s="85">
        <v>11794.012000000001</v>
      </c>
      <c r="M708" s="85" t="s">
        <v>630</v>
      </c>
      <c r="N708" s="128">
        <v>34648</v>
      </c>
      <c r="O708" s="128">
        <f t="shared" ref="O708:O771" si="47">N708*J708</f>
        <v>1767048</v>
      </c>
      <c r="P708" s="125" t="s">
        <v>1319</v>
      </c>
      <c r="Q708" s="85" t="s">
        <v>47</v>
      </c>
      <c r="R708" s="220" t="s">
        <v>1888</v>
      </c>
      <c r="S708" s="220" t="s">
        <v>1861</v>
      </c>
      <c r="T708" s="85" t="s">
        <v>1491</v>
      </c>
      <c r="U708" t="s">
        <v>1972</v>
      </c>
      <c r="V708" t="s">
        <v>2832</v>
      </c>
    </row>
    <row r="709" spans="1:22" ht="15.75" thickBot="1" x14ac:dyDescent="0.3">
      <c r="A709" s="82" t="s">
        <v>3314</v>
      </c>
      <c r="B709" s="82" t="str">
        <f t="shared" si="44"/>
        <v>Barraqueiro Transportes, S.A.</v>
      </c>
      <c r="C709" s="82" t="str">
        <f t="shared" si="45"/>
        <v>Barraqueiro Alugueres</v>
      </c>
      <c r="D709" s="83" t="s">
        <v>629</v>
      </c>
      <c r="E709" s="91" t="s">
        <v>1853</v>
      </c>
      <c r="F709" s="124" t="s">
        <v>620</v>
      </c>
      <c r="G709" s="333">
        <v>2006</v>
      </c>
      <c r="H709" s="341" t="s">
        <v>731</v>
      </c>
      <c r="I709" s="336" t="str">
        <f t="shared" si="46"/>
        <v>Pesado de Passageiros M3: III : Gasóleo : E4</v>
      </c>
      <c r="J709" s="125">
        <v>51</v>
      </c>
      <c r="K709" s="125">
        <v>2022</v>
      </c>
      <c r="L709" s="85">
        <v>9899.4290000000001</v>
      </c>
      <c r="M709" s="85" t="s">
        <v>630</v>
      </c>
      <c r="N709" s="128">
        <v>28597</v>
      </c>
      <c r="O709" s="128">
        <f t="shared" si="47"/>
        <v>1458447</v>
      </c>
      <c r="P709" s="125" t="s">
        <v>1320</v>
      </c>
      <c r="Q709" s="85" t="s">
        <v>47</v>
      </c>
      <c r="R709" s="220" t="s">
        <v>1888</v>
      </c>
      <c r="S709" s="220" t="s">
        <v>1861</v>
      </c>
      <c r="T709" s="85" t="s">
        <v>1491</v>
      </c>
      <c r="U709" t="s">
        <v>1972</v>
      </c>
      <c r="V709" t="s">
        <v>2832</v>
      </c>
    </row>
    <row r="710" spans="1:22" ht="15.75" thickBot="1" x14ac:dyDescent="0.3">
      <c r="A710" s="82" t="s">
        <v>3314</v>
      </c>
      <c r="B710" s="82" t="str">
        <f t="shared" si="44"/>
        <v>Barraqueiro Transportes, S.A.</v>
      </c>
      <c r="C710" s="82" t="str">
        <f t="shared" si="45"/>
        <v>Barraqueiro Alugueres</v>
      </c>
      <c r="D710" s="83" t="s">
        <v>629</v>
      </c>
      <c r="E710" s="91" t="s">
        <v>1853</v>
      </c>
      <c r="F710" s="124" t="s">
        <v>620</v>
      </c>
      <c r="G710" s="333">
        <v>2007</v>
      </c>
      <c r="H710" s="341" t="s">
        <v>731</v>
      </c>
      <c r="I710" s="336" t="str">
        <f t="shared" si="46"/>
        <v>Pesado de Passageiros M3: III : Gasóleo : E4</v>
      </c>
      <c r="J710" s="125">
        <v>55</v>
      </c>
      <c r="K710" s="125">
        <v>2022</v>
      </c>
      <c r="L710" s="85">
        <v>11337.277000000002</v>
      </c>
      <c r="M710" s="85" t="s">
        <v>630</v>
      </c>
      <c r="N710" s="128">
        <v>33043</v>
      </c>
      <c r="O710" s="128">
        <f t="shared" si="47"/>
        <v>1817365</v>
      </c>
      <c r="P710" s="125" t="s">
        <v>1321</v>
      </c>
      <c r="Q710" s="85" t="s">
        <v>47</v>
      </c>
      <c r="R710" s="220" t="s">
        <v>1888</v>
      </c>
      <c r="S710" s="220" t="s">
        <v>1861</v>
      </c>
      <c r="T710" s="85" t="s">
        <v>1491</v>
      </c>
      <c r="U710" t="s">
        <v>1972</v>
      </c>
      <c r="V710" t="s">
        <v>2832</v>
      </c>
    </row>
    <row r="711" spans="1:22" ht="15.75" thickBot="1" x14ac:dyDescent="0.3">
      <c r="A711" s="82" t="s">
        <v>3314</v>
      </c>
      <c r="B711" s="82" t="str">
        <f t="shared" si="44"/>
        <v>Barraqueiro Transportes, S.A.</v>
      </c>
      <c r="C711" s="82" t="str">
        <f t="shared" si="45"/>
        <v>Barraqueiro Alugueres</v>
      </c>
      <c r="D711" s="83" t="s">
        <v>629</v>
      </c>
      <c r="E711" s="91" t="s">
        <v>1853</v>
      </c>
      <c r="F711" s="124" t="s">
        <v>620</v>
      </c>
      <c r="G711" s="333">
        <v>2007</v>
      </c>
      <c r="H711" s="341" t="s">
        <v>731</v>
      </c>
      <c r="I711" s="336" t="str">
        <f t="shared" si="46"/>
        <v>Pesado de Passageiros M3: III : Gasóleo : E4</v>
      </c>
      <c r="J711" s="125">
        <v>55</v>
      </c>
      <c r="K711" s="125">
        <v>2022</v>
      </c>
      <c r="L711" s="85">
        <v>12801.24</v>
      </c>
      <c r="M711" s="85" t="s">
        <v>630</v>
      </c>
      <c r="N711" s="128">
        <v>38524</v>
      </c>
      <c r="O711" s="128">
        <f t="shared" si="47"/>
        <v>2118820</v>
      </c>
      <c r="P711" s="125" t="s">
        <v>1322</v>
      </c>
      <c r="Q711" s="85" t="s">
        <v>47</v>
      </c>
      <c r="R711" s="220" t="s">
        <v>1888</v>
      </c>
      <c r="S711" s="220" t="s">
        <v>1861</v>
      </c>
      <c r="T711" s="85" t="s">
        <v>1491</v>
      </c>
      <c r="U711" t="s">
        <v>1972</v>
      </c>
      <c r="V711" t="s">
        <v>2832</v>
      </c>
    </row>
    <row r="712" spans="1:22" ht="15.75" thickBot="1" x14ac:dyDescent="0.3">
      <c r="A712" s="82" t="s">
        <v>3314</v>
      </c>
      <c r="B712" s="82" t="str">
        <f t="shared" si="44"/>
        <v>Barraqueiro Transportes, S.A.</v>
      </c>
      <c r="C712" s="82" t="str">
        <f t="shared" si="45"/>
        <v>Barraqueiro Alugueres</v>
      </c>
      <c r="D712" s="83" t="s">
        <v>629</v>
      </c>
      <c r="E712" s="91" t="s">
        <v>1853</v>
      </c>
      <c r="F712" s="124" t="s">
        <v>620</v>
      </c>
      <c r="G712" s="333">
        <v>2007</v>
      </c>
      <c r="H712" s="341" t="s">
        <v>731</v>
      </c>
      <c r="I712" s="336" t="str">
        <f t="shared" si="46"/>
        <v>Pesado de Passageiros M3: III : Gasóleo : E4</v>
      </c>
      <c r="J712" s="125">
        <v>55</v>
      </c>
      <c r="K712" s="125">
        <v>2022</v>
      </c>
      <c r="L712" s="85">
        <v>14762.460999999999</v>
      </c>
      <c r="M712" s="85" t="s">
        <v>630</v>
      </c>
      <c r="N712" s="128">
        <v>42788</v>
      </c>
      <c r="O712" s="128">
        <f t="shared" si="47"/>
        <v>2353340</v>
      </c>
      <c r="P712" s="125" t="s">
        <v>1323</v>
      </c>
      <c r="Q712" s="85" t="s">
        <v>47</v>
      </c>
      <c r="R712" s="220" t="s">
        <v>1888</v>
      </c>
      <c r="S712" s="220" t="s">
        <v>1861</v>
      </c>
      <c r="T712" s="85" t="s">
        <v>1491</v>
      </c>
      <c r="U712" t="s">
        <v>1972</v>
      </c>
      <c r="V712" t="s">
        <v>2832</v>
      </c>
    </row>
    <row r="713" spans="1:22" ht="15.75" thickBot="1" x14ac:dyDescent="0.3">
      <c r="A713" s="82" t="s">
        <v>3314</v>
      </c>
      <c r="B713" s="82" t="str">
        <f t="shared" si="44"/>
        <v>Barraqueiro Transportes, S.A.</v>
      </c>
      <c r="C713" s="82" t="str">
        <f t="shared" si="45"/>
        <v>Barraqueiro Alugueres</v>
      </c>
      <c r="D713" s="83" t="s">
        <v>629</v>
      </c>
      <c r="E713" s="91" t="s">
        <v>1853</v>
      </c>
      <c r="F713" s="124" t="s">
        <v>620</v>
      </c>
      <c r="G713" s="333">
        <v>2007</v>
      </c>
      <c r="H713" s="341" t="s">
        <v>731</v>
      </c>
      <c r="I713" s="336" t="str">
        <f t="shared" si="46"/>
        <v>Pesado de Passageiros M3: III : Gasóleo : E4</v>
      </c>
      <c r="J713" s="125">
        <v>55</v>
      </c>
      <c r="K713" s="125">
        <v>2022</v>
      </c>
      <c r="L713" s="85">
        <v>14538.562</v>
      </c>
      <c r="M713" s="85" t="s">
        <v>630</v>
      </c>
      <c r="N713" s="128">
        <v>41234</v>
      </c>
      <c r="O713" s="128">
        <f t="shared" si="47"/>
        <v>2267870</v>
      </c>
      <c r="P713" s="125" t="s">
        <v>1324</v>
      </c>
      <c r="Q713" s="85" t="s">
        <v>47</v>
      </c>
      <c r="R713" s="220" t="s">
        <v>1888</v>
      </c>
      <c r="S713" s="220" t="s">
        <v>1861</v>
      </c>
      <c r="T713" s="85" t="s">
        <v>1491</v>
      </c>
      <c r="U713" t="s">
        <v>1972</v>
      </c>
      <c r="V713" t="s">
        <v>2832</v>
      </c>
    </row>
    <row r="714" spans="1:22" ht="15.75" thickBot="1" x14ac:dyDescent="0.3">
      <c r="A714" s="82" t="s">
        <v>3314</v>
      </c>
      <c r="B714" s="82" t="str">
        <f t="shared" si="44"/>
        <v>Barraqueiro Transportes, S.A.</v>
      </c>
      <c r="C714" s="82" t="str">
        <f t="shared" si="45"/>
        <v>Barraqueiro Alugueres</v>
      </c>
      <c r="D714" s="83" t="s">
        <v>629</v>
      </c>
      <c r="E714" s="91" t="s">
        <v>1853</v>
      </c>
      <c r="F714" s="124" t="s">
        <v>620</v>
      </c>
      <c r="G714" s="333">
        <v>2008</v>
      </c>
      <c r="H714" s="341" t="s">
        <v>731</v>
      </c>
      <c r="I714" s="336" t="str">
        <f t="shared" si="46"/>
        <v>Pesado de Passageiros M3: III : Gasóleo : E4</v>
      </c>
      <c r="J714" s="125">
        <v>53</v>
      </c>
      <c r="K714" s="125">
        <v>2022</v>
      </c>
      <c r="L714" s="85">
        <v>14734.53</v>
      </c>
      <c r="M714" s="85" t="s">
        <v>630</v>
      </c>
      <c r="N714" s="128">
        <v>41176</v>
      </c>
      <c r="O714" s="128">
        <f t="shared" si="47"/>
        <v>2182328</v>
      </c>
      <c r="P714" s="125" t="s">
        <v>1325</v>
      </c>
      <c r="Q714" s="85" t="s">
        <v>47</v>
      </c>
      <c r="R714" s="220" t="s">
        <v>1888</v>
      </c>
      <c r="S714" s="220" t="s">
        <v>1861</v>
      </c>
      <c r="T714" s="85" t="s">
        <v>1491</v>
      </c>
      <c r="U714" t="s">
        <v>1972</v>
      </c>
      <c r="V714" t="s">
        <v>2832</v>
      </c>
    </row>
    <row r="715" spans="1:22" ht="15.75" thickBot="1" x14ac:dyDescent="0.3">
      <c r="A715" s="82" t="s">
        <v>3314</v>
      </c>
      <c r="B715" s="82" t="str">
        <f t="shared" si="44"/>
        <v>Barraqueiro Transportes, S.A.</v>
      </c>
      <c r="C715" s="82" t="str">
        <f t="shared" si="45"/>
        <v>Barraqueiro Alugueres</v>
      </c>
      <c r="D715" s="83" t="s">
        <v>629</v>
      </c>
      <c r="E715" s="91" t="s">
        <v>1853</v>
      </c>
      <c r="F715" s="124" t="s">
        <v>620</v>
      </c>
      <c r="G715" s="333">
        <v>2008</v>
      </c>
      <c r="H715" s="341" t="s">
        <v>731</v>
      </c>
      <c r="I715" s="336" t="str">
        <f t="shared" si="46"/>
        <v>Pesado de Passageiros M3: III : Gasóleo : E4</v>
      </c>
      <c r="J715" s="125">
        <v>53</v>
      </c>
      <c r="K715" s="125">
        <v>2022</v>
      </c>
      <c r="L715" s="85">
        <v>13881.819999999998</v>
      </c>
      <c r="M715" s="85" t="s">
        <v>630</v>
      </c>
      <c r="N715" s="128">
        <v>41416</v>
      </c>
      <c r="O715" s="128">
        <f t="shared" si="47"/>
        <v>2195048</v>
      </c>
      <c r="P715" s="125" t="s">
        <v>1326</v>
      </c>
      <c r="Q715" s="85" t="s">
        <v>47</v>
      </c>
      <c r="R715" s="220" t="s">
        <v>1888</v>
      </c>
      <c r="S715" s="220" t="s">
        <v>1861</v>
      </c>
      <c r="T715" s="85" t="s">
        <v>1491</v>
      </c>
      <c r="U715" t="s">
        <v>1972</v>
      </c>
      <c r="V715" t="s">
        <v>2832</v>
      </c>
    </row>
    <row r="716" spans="1:22" ht="15.75" thickBot="1" x14ac:dyDescent="0.3">
      <c r="A716" s="82" t="s">
        <v>3314</v>
      </c>
      <c r="B716" s="82" t="str">
        <f t="shared" si="44"/>
        <v>Barraqueiro Transportes, S.A.</v>
      </c>
      <c r="C716" s="82" t="str">
        <f t="shared" si="45"/>
        <v>Barraqueiro Alugueres</v>
      </c>
      <c r="D716" s="83" t="s">
        <v>629</v>
      </c>
      <c r="E716" s="91" t="s">
        <v>1853</v>
      </c>
      <c r="F716" s="124" t="s">
        <v>620</v>
      </c>
      <c r="G716" s="333">
        <v>2008</v>
      </c>
      <c r="H716" s="341" t="s">
        <v>731</v>
      </c>
      <c r="I716" s="336" t="str">
        <f t="shared" si="46"/>
        <v>Pesado de Passageiros M3: III : Gasóleo : E4</v>
      </c>
      <c r="J716" s="125">
        <v>53</v>
      </c>
      <c r="K716" s="125">
        <v>2022</v>
      </c>
      <c r="L716" s="85">
        <v>19107.637999999999</v>
      </c>
      <c r="M716" s="85" t="s">
        <v>630</v>
      </c>
      <c r="N716" s="128">
        <v>57597</v>
      </c>
      <c r="O716" s="128">
        <f t="shared" si="47"/>
        <v>3052641</v>
      </c>
      <c r="P716" s="125" t="s">
        <v>1327</v>
      </c>
      <c r="Q716" s="85" t="s">
        <v>47</v>
      </c>
      <c r="R716" s="220" t="s">
        <v>1888</v>
      </c>
      <c r="S716" s="220" t="s">
        <v>1861</v>
      </c>
      <c r="T716" s="85" t="s">
        <v>1491</v>
      </c>
      <c r="U716" t="s">
        <v>1972</v>
      </c>
      <c r="V716" t="s">
        <v>2832</v>
      </c>
    </row>
    <row r="717" spans="1:22" ht="15.75" thickBot="1" x14ac:dyDescent="0.3">
      <c r="A717" s="82" t="s">
        <v>3314</v>
      </c>
      <c r="B717" s="82" t="str">
        <f t="shared" si="44"/>
        <v>Barraqueiro Transportes, S.A.</v>
      </c>
      <c r="C717" s="82" t="str">
        <f t="shared" si="45"/>
        <v>Barraqueiro Alugueres</v>
      </c>
      <c r="D717" s="83" t="s">
        <v>629</v>
      </c>
      <c r="E717" s="91" t="s">
        <v>1853</v>
      </c>
      <c r="F717" s="124" t="s">
        <v>620</v>
      </c>
      <c r="G717" s="333">
        <v>2008</v>
      </c>
      <c r="H717" s="341" t="s">
        <v>731</v>
      </c>
      <c r="I717" s="336" t="str">
        <f t="shared" si="46"/>
        <v>Pesado de Passageiros M3: III : Gasóleo : E4</v>
      </c>
      <c r="J717" s="125">
        <v>53</v>
      </c>
      <c r="K717" s="125">
        <v>2022</v>
      </c>
      <c r="L717" s="85">
        <v>0</v>
      </c>
      <c r="M717" s="85" t="s">
        <v>630</v>
      </c>
      <c r="N717" s="128">
        <v>0</v>
      </c>
      <c r="O717" s="128">
        <f t="shared" si="47"/>
        <v>0</v>
      </c>
      <c r="P717" s="125" t="s">
        <v>1328</v>
      </c>
      <c r="Q717" s="85" t="s">
        <v>47</v>
      </c>
      <c r="R717" s="220" t="s">
        <v>1888</v>
      </c>
      <c r="S717" s="220" t="s">
        <v>1861</v>
      </c>
      <c r="T717" s="85" t="s">
        <v>1491</v>
      </c>
      <c r="U717" t="s">
        <v>1972</v>
      </c>
      <c r="V717" t="s">
        <v>2832</v>
      </c>
    </row>
    <row r="718" spans="1:22" ht="15.75" thickBot="1" x14ac:dyDescent="0.3">
      <c r="A718" s="82" t="s">
        <v>3314</v>
      </c>
      <c r="B718" s="82" t="str">
        <f t="shared" si="44"/>
        <v>Barraqueiro Transportes, S.A.</v>
      </c>
      <c r="C718" s="82" t="str">
        <f t="shared" si="45"/>
        <v>Barraqueiro Alugueres</v>
      </c>
      <c r="D718" s="83" t="s">
        <v>629</v>
      </c>
      <c r="E718" s="91" t="s">
        <v>1853</v>
      </c>
      <c r="F718" s="124" t="s">
        <v>620</v>
      </c>
      <c r="G718" s="333">
        <v>2008</v>
      </c>
      <c r="H718" s="341" t="s">
        <v>731</v>
      </c>
      <c r="I718" s="336" t="str">
        <f t="shared" si="46"/>
        <v>Pesado de Passageiros M3: III : Gasóleo : E4</v>
      </c>
      <c r="J718" s="125">
        <v>53</v>
      </c>
      <c r="K718" s="125">
        <v>2022</v>
      </c>
      <c r="L718" s="85">
        <v>10205.735000000001</v>
      </c>
      <c r="M718" s="85" t="s">
        <v>630</v>
      </c>
      <c r="N718" s="128">
        <v>29001</v>
      </c>
      <c r="O718" s="128">
        <f t="shared" si="47"/>
        <v>1537053</v>
      </c>
      <c r="P718" s="125" t="s">
        <v>1329</v>
      </c>
      <c r="Q718" s="85" t="s">
        <v>47</v>
      </c>
      <c r="R718" s="220" t="s">
        <v>1888</v>
      </c>
      <c r="S718" s="220" t="s">
        <v>1861</v>
      </c>
      <c r="T718" s="85" t="s">
        <v>1491</v>
      </c>
      <c r="U718" t="s">
        <v>1972</v>
      </c>
      <c r="V718" t="s">
        <v>2832</v>
      </c>
    </row>
    <row r="719" spans="1:22" ht="15.75" thickBot="1" x14ac:dyDescent="0.3">
      <c r="A719" s="82" t="s">
        <v>3314</v>
      </c>
      <c r="B719" s="82" t="str">
        <f t="shared" si="44"/>
        <v>Barraqueiro Transportes, S.A.</v>
      </c>
      <c r="C719" s="82" t="str">
        <f t="shared" si="45"/>
        <v>Barraqueiro Alugueres</v>
      </c>
      <c r="D719" s="83" t="s">
        <v>629</v>
      </c>
      <c r="E719" s="91" t="s">
        <v>1853</v>
      </c>
      <c r="F719" s="124" t="s">
        <v>620</v>
      </c>
      <c r="G719" s="333">
        <v>2008</v>
      </c>
      <c r="H719" s="341" t="s">
        <v>731</v>
      </c>
      <c r="I719" s="336" t="str">
        <f t="shared" si="46"/>
        <v>Pesado de Passageiros M3: III : Gasóleo : E4</v>
      </c>
      <c r="J719" s="125">
        <v>53</v>
      </c>
      <c r="K719" s="125">
        <v>2022</v>
      </c>
      <c r="L719" s="85">
        <v>17787.803</v>
      </c>
      <c r="M719" s="85" t="s">
        <v>630</v>
      </c>
      <c r="N719" s="128">
        <v>50876</v>
      </c>
      <c r="O719" s="128">
        <f t="shared" si="47"/>
        <v>2696428</v>
      </c>
      <c r="P719" s="125" t="s">
        <v>1330</v>
      </c>
      <c r="Q719" s="85" t="s">
        <v>47</v>
      </c>
      <c r="R719" s="220" t="s">
        <v>1888</v>
      </c>
      <c r="S719" s="220" t="s">
        <v>1861</v>
      </c>
      <c r="T719" s="85" t="s">
        <v>1491</v>
      </c>
      <c r="U719" t="s">
        <v>1972</v>
      </c>
      <c r="V719" t="s">
        <v>2832</v>
      </c>
    </row>
    <row r="720" spans="1:22" ht="15.75" thickBot="1" x14ac:dyDescent="0.3">
      <c r="A720" s="82" t="s">
        <v>3314</v>
      </c>
      <c r="B720" s="82" t="str">
        <f t="shared" si="44"/>
        <v>Barraqueiro Transportes, S.A.</v>
      </c>
      <c r="C720" s="82" t="str">
        <f t="shared" si="45"/>
        <v>Barraqueiro Alugueres</v>
      </c>
      <c r="D720" s="83" t="s">
        <v>629</v>
      </c>
      <c r="E720" s="91" t="s">
        <v>1853</v>
      </c>
      <c r="F720" s="124" t="s">
        <v>620</v>
      </c>
      <c r="G720" s="333">
        <v>2008</v>
      </c>
      <c r="H720" s="341" t="s">
        <v>731</v>
      </c>
      <c r="I720" s="336" t="str">
        <f t="shared" si="46"/>
        <v>Pesado de Passageiros M3: III : Gasóleo : E4</v>
      </c>
      <c r="J720" s="125">
        <v>53</v>
      </c>
      <c r="K720" s="125">
        <v>2022</v>
      </c>
      <c r="L720" s="85">
        <v>19569.421000000002</v>
      </c>
      <c r="M720" s="85" t="s">
        <v>630</v>
      </c>
      <c r="N720" s="128">
        <v>60303</v>
      </c>
      <c r="O720" s="128">
        <f t="shared" si="47"/>
        <v>3196059</v>
      </c>
      <c r="P720" s="125" t="s">
        <v>1331</v>
      </c>
      <c r="Q720" s="85" t="s">
        <v>47</v>
      </c>
      <c r="R720" s="220" t="s">
        <v>1888</v>
      </c>
      <c r="S720" s="220" t="s">
        <v>1861</v>
      </c>
      <c r="T720" s="85" t="s">
        <v>1491</v>
      </c>
      <c r="U720" t="s">
        <v>1972</v>
      </c>
      <c r="V720" t="s">
        <v>2832</v>
      </c>
    </row>
    <row r="721" spans="1:22" ht="15.75" thickBot="1" x14ac:dyDescent="0.3">
      <c r="A721" s="82" t="s">
        <v>3314</v>
      </c>
      <c r="B721" s="82" t="str">
        <f t="shared" si="44"/>
        <v>Barraqueiro Transportes, S.A.</v>
      </c>
      <c r="C721" s="82" t="str">
        <f t="shared" si="45"/>
        <v>Barraqueiro Alugueres</v>
      </c>
      <c r="D721" s="83" t="s">
        <v>629</v>
      </c>
      <c r="E721" s="91" t="s">
        <v>1853</v>
      </c>
      <c r="F721" s="124" t="s">
        <v>620</v>
      </c>
      <c r="G721" s="333">
        <v>2008</v>
      </c>
      <c r="H721" s="341" t="s">
        <v>731</v>
      </c>
      <c r="I721" s="336" t="str">
        <f t="shared" si="46"/>
        <v>Pesado de Passageiros M3: III : Gasóleo : E4</v>
      </c>
      <c r="J721" s="125">
        <v>53</v>
      </c>
      <c r="K721" s="125">
        <v>2022</v>
      </c>
      <c r="L721" s="85">
        <v>12285.554</v>
      </c>
      <c r="M721" s="85" t="s">
        <v>630</v>
      </c>
      <c r="N721" s="128">
        <v>36708</v>
      </c>
      <c r="O721" s="128">
        <f t="shared" si="47"/>
        <v>1945524</v>
      </c>
      <c r="P721" s="125" t="s">
        <v>1332</v>
      </c>
      <c r="Q721" s="85" t="s">
        <v>47</v>
      </c>
      <c r="R721" s="220" t="s">
        <v>1888</v>
      </c>
      <c r="S721" s="220" t="s">
        <v>1861</v>
      </c>
      <c r="T721" s="85" t="s">
        <v>1491</v>
      </c>
      <c r="U721" t="s">
        <v>1972</v>
      </c>
      <c r="V721" t="s">
        <v>2832</v>
      </c>
    </row>
    <row r="722" spans="1:22" ht="15.75" thickBot="1" x14ac:dyDescent="0.3">
      <c r="A722" s="82" t="s">
        <v>3314</v>
      </c>
      <c r="B722" s="82" t="str">
        <f t="shared" si="44"/>
        <v>Barraqueiro Transportes, S.A.</v>
      </c>
      <c r="C722" s="82" t="str">
        <f t="shared" si="45"/>
        <v>Barraqueiro Alugueres</v>
      </c>
      <c r="D722" s="83" t="s">
        <v>629</v>
      </c>
      <c r="E722" s="91" t="s">
        <v>1853</v>
      </c>
      <c r="F722" s="124" t="s">
        <v>620</v>
      </c>
      <c r="G722" s="333">
        <v>2008</v>
      </c>
      <c r="H722" s="341" t="s">
        <v>731</v>
      </c>
      <c r="I722" s="336" t="str">
        <f t="shared" si="46"/>
        <v>Pesado de Passageiros M3: III : Gasóleo : E4</v>
      </c>
      <c r="J722" s="125">
        <v>34</v>
      </c>
      <c r="K722" s="125">
        <v>2022</v>
      </c>
      <c r="L722" s="85">
        <v>13139.721999999998</v>
      </c>
      <c r="M722" s="85" t="s">
        <v>630</v>
      </c>
      <c r="N722" s="128">
        <v>34087</v>
      </c>
      <c r="O722" s="128">
        <f t="shared" si="47"/>
        <v>1158958</v>
      </c>
      <c r="P722" s="125" t="s">
        <v>1333</v>
      </c>
      <c r="Q722" s="85" t="s">
        <v>47</v>
      </c>
      <c r="R722" s="220" t="s">
        <v>1888</v>
      </c>
      <c r="S722" s="220" t="s">
        <v>1861</v>
      </c>
      <c r="T722" s="85" t="s">
        <v>1491</v>
      </c>
      <c r="U722" t="s">
        <v>1972</v>
      </c>
      <c r="V722" t="s">
        <v>2832</v>
      </c>
    </row>
    <row r="723" spans="1:22" ht="15.75" thickBot="1" x14ac:dyDescent="0.3">
      <c r="A723" s="82" t="s">
        <v>3314</v>
      </c>
      <c r="B723" s="82" t="str">
        <f t="shared" si="44"/>
        <v>Barraqueiro Transportes, S.A.</v>
      </c>
      <c r="C723" s="82" t="str">
        <f t="shared" si="45"/>
        <v>Barraqueiro Alugueres</v>
      </c>
      <c r="D723" s="83" t="s">
        <v>629</v>
      </c>
      <c r="E723" s="91" t="s">
        <v>1853</v>
      </c>
      <c r="F723" s="124" t="s">
        <v>620</v>
      </c>
      <c r="G723" s="333">
        <v>2008</v>
      </c>
      <c r="H723" s="341" t="s">
        <v>731</v>
      </c>
      <c r="I723" s="336" t="str">
        <f t="shared" si="46"/>
        <v>Pesado de Passageiros M3: III : Gasóleo : E4</v>
      </c>
      <c r="J723" s="125">
        <v>34</v>
      </c>
      <c r="K723" s="125">
        <v>2022</v>
      </c>
      <c r="L723" s="85">
        <v>15405.339</v>
      </c>
      <c r="M723" s="85" t="s">
        <v>630</v>
      </c>
      <c r="N723" s="128">
        <v>40526</v>
      </c>
      <c r="O723" s="128">
        <f t="shared" si="47"/>
        <v>1377884</v>
      </c>
      <c r="P723" s="125" t="s">
        <v>1334</v>
      </c>
      <c r="Q723" s="85" t="s">
        <v>47</v>
      </c>
      <c r="R723" s="220" t="s">
        <v>1888</v>
      </c>
      <c r="S723" s="220" t="s">
        <v>1861</v>
      </c>
      <c r="T723" s="85" t="s">
        <v>1491</v>
      </c>
      <c r="U723" t="s">
        <v>1972</v>
      </c>
      <c r="V723" t="s">
        <v>2832</v>
      </c>
    </row>
    <row r="724" spans="1:22" ht="15.75" thickBot="1" x14ac:dyDescent="0.3">
      <c r="A724" s="82" t="s">
        <v>3314</v>
      </c>
      <c r="B724" s="82" t="str">
        <f t="shared" si="44"/>
        <v>Barraqueiro Transportes, S.A.</v>
      </c>
      <c r="C724" s="82" t="str">
        <f t="shared" si="45"/>
        <v>Barraqueiro Alugueres</v>
      </c>
      <c r="D724" s="83" t="s">
        <v>629</v>
      </c>
      <c r="E724" s="91" t="s">
        <v>1853</v>
      </c>
      <c r="F724" s="124" t="s">
        <v>620</v>
      </c>
      <c r="G724" s="333">
        <v>2009</v>
      </c>
      <c r="H724" s="341" t="s">
        <v>734</v>
      </c>
      <c r="I724" s="336" t="str">
        <f t="shared" si="46"/>
        <v>Pesado de Passageiros M3: III : Gasóleo : E5</v>
      </c>
      <c r="J724" s="125">
        <v>53</v>
      </c>
      <c r="K724" s="125">
        <v>2022</v>
      </c>
      <c r="L724" s="85">
        <v>25511.771000000001</v>
      </c>
      <c r="M724" s="85" t="s">
        <v>630</v>
      </c>
      <c r="N724" s="128">
        <v>80189</v>
      </c>
      <c r="O724" s="128">
        <f t="shared" si="47"/>
        <v>4250017</v>
      </c>
      <c r="P724" s="125" t="s">
        <v>1335</v>
      </c>
      <c r="Q724" s="85" t="s">
        <v>47</v>
      </c>
      <c r="R724" s="220" t="s">
        <v>1888</v>
      </c>
      <c r="S724" s="220" t="s">
        <v>1861</v>
      </c>
      <c r="T724" s="85" t="s">
        <v>1491</v>
      </c>
      <c r="U724" t="s">
        <v>1972</v>
      </c>
      <c r="V724" t="s">
        <v>2832</v>
      </c>
    </row>
    <row r="725" spans="1:22" ht="15.75" thickBot="1" x14ac:dyDescent="0.3">
      <c r="A725" s="82" t="s">
        <v>3314</v>
      </c>
      <c r="B725" s="82" t="str">
        <f t="shared" si="44"/>
        <v>Barraqueiro Transportes, S.A.</v>
      </c>
      <c r="C725" s="82" t="str">
        <f t="shared" si="45"/>
        <v>Barraqueiro Alugueres</v>
      </c>
      <c r="D725" s="83" t="s">
        <v>629</v>
      </c>
      <c r="E725" s="91" t="s">
        <v>1853</v>
      </c>
      <c r="F725" s="124" t="s">
        <v>620</v>
      </c>
      <c r="G725" s="333">
        <v>2011</v>
      </c>
      <c r="H725" s="341" t="s">
        <v>734</v>
      </c>
      <c r="I725" s="336" t="str">
        <f t="shared" si="46"/>
        <v>Pesado de Passageiros M3: III : Gasóleo : E5</v>
      </c>
      <c r="J725" s="125">
        <v>53</v>
      </c>
      <c r="K725" s="125">
        <v>2022</v>
      </c>
      <c r="L725" s="85">
        <v>22781.541999999998</v>
      </c>
      <c r="M725" s="85" t="s">
        <v>630</v>
      </c>
      <c r="N725" s="128">
        <v>69774</v>
      </c>
      <c r="O725" s="128">
        <f t="shared" si="47"/>
        <v>3698022</v>
      </c>
      <c r="P725" s="125" t="s">
        <v>1336</v>
      </c>
      <c r="Q725" s="85" t="s">
        <v>47</v>
      </c>
      <c r="R725" s="220" t="s">
        <v>1888</v>
      </c>
      <c r="S725" s="220" t="s">
        <v>1861</v>
      </c>
      <c r="T725" s="85" t="s">
        <v>1491</v>
      </c>
      <c r="U725" t="s">
        <v>1972</v>
      </c>
      <c r="V725" t="s">
        <v>2832</v>
      </c>
    </row>
    <row r="726" spans="1:22" ht="15.75" thickBot="1" x14ac:dyDescent="0.3">
      <c r="A726" s="82" t="s">
        <v>3314</v>
      </c>
      <c r="B726" s="82" t="str">
        <f t="shared" si="44"/>
        <v>Barraqueiro Transportes, S.A.</v>
      </c>
      <c r="C726" s="82" t="str">
        <f t="shared" si="45"/>
        <v>Barraqueiro Alugueres</v>
      </c>
      <c r="D726" s="83" t="s">
        <v>629</v>
      </c>
      <c r="E726" s="91" t="s">
        <v>1853</v>
      </c>
      <c r="F726" s="124" t="s">
        <v>620</v>
      </c>
      <c r="G726" s="333">
        <v>2011</v>
      </c>
      <c r="H726" s="341" t="s">
        <v>734</v>
      </c>
      <c r="I726" s="336" t="str">
        <f t="shared" si="46"/>
        <v>Pesado de Passageiros M3: III : Gasóleo : E5</v>
      </c>
      <c r="J726" s="125">
        <v>53</v>
      </c>
      <c r="K726" s="125">
        <v>2022</v>
      </c>
      <c r="L726" s="85">
        <v>19491.171999999999</v>
      </c>
      <c r="M726" s="85" t="s">
        <v>630</v>
      </c>
      <c r="N726" s="128">
        <v>57886</v>
      </c>
      <c r="O726" s="128">
        <f t="shared" si="47"/>
        <v>3067958</v>
      </c>
      <c r="P726" s="125" t="s">
        <v>1337</v>
      </c>
      <c r="Q726" s="85" t="s">
        <v>47</v>
      </c>
      <c r="R726" s="220" t="s">
        <v>1888</v>
      </c>
      <c r="S726" s="220" t="s">
        <v>1861</v>
      </c>
      <c r="T726" s="85" t="s">
        <v>1491</v>
      </c>
      <c r="U726" t="s">
        <v>1972</v>
      </c>
      <c r="V726" t="s">
        <v>2832</v>
      </c>
    </row>
    <row r="727" spans="1:22" ht="15.75" thickBot="1" x14ac:dyDescent="0.3">
      <c r="A727" s="82" t="s">
        <v>3314</v>
      </c>
      <c r="B727" s="82" t="str">
        <f t="shared" si="44"/>
        <v>Barraqueiro Transportes, S.A.</v>
      </c>
      <c r="C727" s="82" t="str">
        <f t="shared" si="45"/>
        <v>Barraqueiro Alugueres</v>
      </c>
      <c r="D727" s="83" t="s">
        <v>629</v>
      </c>
      <c r="E727" s="91" t="s">
        <v>1853</v>
      </c>
      <c r="F727" s="124" t="s">
        <v>620</v>
      </c>
      <c r="G727" s="333">
        <v>2011</v>
      </c>
      <c r="H727" s="341" t="s">
        <v>734</v>
      </c>
      <c r="I727" s="336" t="str">
        <f t="shared" si="46"/>
        <v>Pesado de Passageiros M3: III : Gasóleo : E5</v>
      </c>
      <c r="J727" s="125">
        <v>53</v>
      </c>
      <c r="K727" s="125">
        <v>2022</v>
      </c>
      <c r="L727" s="85">
        <v>19566.760999999999</v>
      </c>
      <c r="M727" s="85" t="s">
        <v>630</v>
      </c>
      <c r="N727" s="128">
        <v>56933</v>
      </c>
      <c r="O727" s="128">
        <f t="shared" si="47"/>
        <v>3017449</v>
      </c>
      <c r="P727" s="125" t="s">
        <v>1338</v>
      </c>
      <c r="Q727" s="85" t="s">
        <v>47</v>
      </c>
      <c r="R727" s="220" t="s">
        <v>1888</v>
      </c>
      <c r="S727" s="220" t="s">
        <v>1861</v>
      </c>
      <c r="T727" s="85" t="s">
        <v>1491</v>
      </c>
      <c r="U727" t="s">
        <v>1972</v>
      </c>
      <c r="V727" t="s">
        <v>2832</v>
      </c>
    </row>
    <row r="728" spans="1:22" ht="15.75" thickBot="1" x14ac:dyDescent="0.3">
      <c r="A728" s="82" t="s">
        <v>3314</v>
      </c>
      <c r="B728" s="82" t="str">
        <f t="shared" si="44"/>
        <v>Barraqueiro Transportes, S.A.</v>
      </c>
      <c r="C728" s="82" t="str">
        <f t="shared" si="45"/>
        <v>Barraqueiro Alugueres</v>
      </c>
      <c r="D728" s="83" t="s">
        <v>629</v>
      </c>
      <c r="E728" s="91" t="s">
        <v>1853</v>
      </c>
      <c r="F728" s="124" t="s">
        <v>620</v>
      </c>
      <c r="G728" s="333">
        <v>2011</v>
      </c>
      <c r="H728" s="341" t="s">
        <v>734</v>
      </c>
      <c r="I728" s="336" t="str">
        <f t="shared" si="46"/>
        <v>Pesado de Passageiros M3: III : Gasóleo : E5</v>
      </c>
      <c r="J728" s="125">
        <v>53</v>
      </c>
      <c r="K728" s="125">
        <v>2022</v>
      </c>
      <c r="L728" s="85">
        <v>20978.825000000001</v>
      </c>
      <c r="M728" s="85" t="s">
        <v>630</v>
      </c>
      <c r="N728" s="128">
        <v>64405</v>
      </c>
      <c r="O728" s="128">
        <f t="shared" si="47"/>
        <v>3413465</v>
      </c>
      <c r="P728" s="125" t="s">
        <v>1339</v>
      </c>
      <c r="Q728" s="85" t="s">
        <v>47</v>
      </c>
      <c r="R728" s="220" t="s">
        <v>1888</v>
      </c>
      <c r="S728" s="220" t="s">
        <v>1861</v>
      </c>
      <c r="T728" s="85" t="s">
        <v>1491</v>
      </c>
      <c r="U728" t="s">
        <v>1972</v>
      </c>
      <c r="V728" t="s">
        <v>2832</v>
      </c>
    </row>
    <row r="729" spans="1:22" ht="15.75" thickBot="1" x14ac:dyDescent="0.3">
      <c r="A729" s="82" t="s">
        <v>3314</v>
      </c>
      <c r="B729" s="82" t="str">
        <f t="shared" si="44"/>
        <v>Barraqueiro Transportes, S.A.</v>
      </c>
      <c r="C729" s="82" t="str">
        <f t="shared" si="45"/>
        <v>Barraqueiro Alugueres</v>
      </c>
      <c r="D729" s="83" t="s">
        <v>629</v>
      </c>
      <c r="E729" s="91" t="s">
        <v>1853</v>
      </c>
      <c r="F729" s="124" t="s">
        <v>620</v>
      </c>
      <c r="G729" s="333">
        <v>2011</v>
      </c>
      <c r="H729" s="341" t="s">
        <v>734</v>
      </c>
      <c r="I729" s="336" t="str">
        <f t="shared" si="46"/>
        <v>Pesado de Passageiros M3: III : Gasóleo : E5</v>
      </c>
      <c r="J729" s="125">
        <v>53</v>
      </c>
      <c r="K729" s="125">
        <v>2022</v>
      </c>
      <c r="L729" s="85">
        <v>16716.853999999999</v>
      </c>
      <c r="M729" s="85" t="s">
        <v>630</v>
      </c>
      <c r="N729" s="128">
        <v>51560</v>
      </c>
      <c r="O729" s="128">
        <f t="shared" si="47"/>
        <v>2732680</v>
      </c>
      <c r="P729" s="125" t="s">
        <v>1340</v>
      </c>
      <c r="Q729" s="85" t="s">
        <v>47</v>
      </c>
      <c r="R729" s="220" t="s">
        <v>1888</v>
      </c>
      <c r="S729" s="220" t="s">
        <v>1861</v>
      </c>
      <c r="T729" s="85" t="s">
        <v>1491</v>
      </c>
      <c r="U729" t="s">
        <v>1972</v>
      </c>
      <c r="V729" t="s">
        <v>2832</v>
      </c>
    </row>
    <row r="730" spans="1:22" ht="15.75" thickBot="1" x14ac:dyDescent="0.3">
      <c r="A730" s="82" t="s">
        <v>3314</v>
      </c>
      <c r="B730" s="82" t="str">
        <f t="shared" si="44"/>
        <v>Barraqueiro Transportes, S.A.</v>
      </c>
      <c r="C730" s="82" t="str">
        <f t="shared" si="45"/>
        <v>Barraqueiro Alugueres</v>
      </c>
      <c r="D730" s="83" t="s">
        <v>629</v>
      </c>
      <c r="E730" s="91" t="s">
        <v>1853</v>
      </c>
      <c r="F730" s="124" t="s">
        <v>620</v>
      </c>
      <c r="G730" s="333">
        <v>2011</v>
      </c>
      <c r="H730" s="341" t="s">
        <v>734</v>
      </c>
      <c r="I730" s="336" t="str">
        <f t="shared" si="46"/>
        <v>Pesado de Passageiros M3: III : Gasóleo : E5</v>
      </c>
      <c r="J730" s="125">
        <v>53</v>
      </c>
      <c r="K730" s="125">
        <v>2022</v>
      </c>
      <c r="L730" s="85">
        <v>15245.787000000002</v>
      </c>
      <c r="M730" s="85" t="s">
        <v>630</v>
      </c>
      <c r="N730" s="128">
        <v>51122</v>
      </c>
      <c r="O730" s="128">
        <f t="shared" si="47"/>
        <v>2709466</v>
      </c>
      <c r="P730" s="125" t="s">
        <v>1341</v>
      </c>
      <c r="Q730" s="85" t="s">
        <v>47</v>
      </c>
      <c r="R730" s="220" t="s">
        <v>1888</v>
      </c>
      <c r="S730" s="220" t="s">
        <v>1861</v>
      </c>
      <c r="T730" s="85" t="s">
        <v>1491</v>
      </c>
      <c r="U730" t="s">
        <v>1972</v>
      </c>
      <c r="V730" t="s">
        <v>2832</v>
      </c>
    </row>
    <row r="731" spans="1:22" ht="15.75" thickBot="1" x14ac:dyDescent="0.3">
      <c r="A731" s="82" t="s">
        <v>3314</v>
      </c>
      <c r="B731" s="82" t="str">
        <f t="shared" si="44"/>
        <v>Barraqueiro Transportes, S.A.</v>
      </c>
      <c r="C731" s="82" t="str">
        <f t="shared" si="45"/>
        <v>Barraqueiro Alugueres</v>
      </c>
      <c r="D731" s="83" t="s">
        <v>629</v>
      </c>
      <c r="E731" s="91" t="s">
        <v>1853</v>
      </c>
      <c r="F731" s="124" t="s">
        <v>620</v>
      </c>
      <c r="G731" s="333">
        <v>2011</v>
      </c>
      <c r="H731" s="341" t="s">
        <v>734</v>
      </c>
      <c r="I731" s="336" t="str">
        <f t="shared" si="46"/>
        <v>Pesado de Passageiros M3: III : Gasóleo : E5</v>
      </c>
      <c r="J731" s="125">
        <v>53</v>
      </c>
      <c r="K731" s="125">
        <v>2022</v>
      </c>
      <c r="L731" s="85">
        <v>24890.617000000002</v>
      </c>
      <c r="M731" s="85" t="s">
        <v>630</v>
      </c>
      <c r="N731" s="128">
        <v>75766</v>
      </c>
      <c r="O731" s="128">
        <f t="shared" si="47"/>
        <v>4015598</v>
      </c>
      <c r="P731" s="125" t="s">
        <v>1342</v>
      </c>
      <c r="Q731" s="85" t="s">
        <v>47</v>
      </c>
      <c r="R731" s="220" t="s">
        <v>1888</v>
      </c>
      <c r="S731" s="220" t="s">
        <v>1861</v>
      </c>
      <c r="T731" s="85" t="s">
        <v>1491</v>
      </c>
      <c r="U731" t="s">
        <v>1972</v>
      </c>
      <c r="V731" t="s">
        <v>2832</v>
      </c>
    </row>
    <row r="732" spans="1:22" ht="15.75" thickBot="1" x14ac:dyDescent="0.3">
      <c r="A732" s="82" t="s">
        <v>3314</v>
      </c>
      <c r="B732" s="82" t="str">
        <f t="shared" si="44"/>
        <v>Barraqueiro Transportes, S.A.</v>
      </c>
      <c r="C732" s="82" t="str">
        <f t="shared" si="45"/>
        <v>Barraqueiro Alugueres</v>
      </c>
      <c r="D732" s="83" t="s">
        <v>629</v>
      </c>
      <c r="E732" s="91" t="s">
        <v>1853</v>
      </c>
      <c r="F732" s="124" t="s">
        <v>620</v>
      </c>
      <c r="G732" s="333">
        <v>2011</v>
      </c>
      <c r="H732" s="341" t="s">
        <v>734</v>
      </c>
      <c r="I732" s="336" t="str">
        <f t="shared" si="46"/>
        <v>Pesado de Passageiros M3: III : Gasóleo : E5</v>
      </c>
      <c r="J732" s="125">
        <v>53</v>
      </c>
      <c r="K732" s="125">
        <v>2022</v>
      </c>
      <c r="L732" s="85">
        <v>22399.293999999998</v>
      </c>
      <c r="M732" s="85" t="s">
        <v>630</v>
      </c>
      <c r="N732" s="128">
        <v>67341</v>
      </c>
      <c r="O732" s="128">
        <f t="shared" si="47"/>
        <v>3569073</v>
      </c>
      <c r="P732" s="125" t="s">
        <v>1343</v>
      </c>
      <c r="Q732" s="85" t="s">
        <v>47</v>
      </c>
      <c r="R732" s="220" t="s">
        <v>1888</v>
      </c>
      <c r="S732" s="220" t="s">
        <v>1861</v>
      </c>
      <c r="T732" s="85" t="s">
        <v>1491</v>
      </c>
      <c r="U732" t="s">
        <v>1972</v>
      </c>
      <c r="V732" t="s">
        <v>2832</v>
      </c>
    </row>
    <row r="733" spans="1:22" ht="15.75" thickBot="1" x14ac:dyDescent="0.3">
      <c r="A733" s="82" t="s">
        <v>3314</v>
      </c>
      <c r="B733" s="82" t="str">
        <f t="shared" si="44"/>
        <v>Barraqueiro Transportes, S.A.</v>
      </c>
      <c r="C733" s="82" t="str">
        <f t="shared" si="45"/>
        <v>Barraqueiro Alugueres</v>
      </c>
      <c r="D733" s="83" t="s">
        <v>629</v>
      </c>
      <c r="E733" s="91" t="s">
        <v>1853</v>
      </c>
      <c r="F733" s="124" t="s">
        <v>620</v>
      </c>
      <c r="G733" s="333">
        <v>2012</v>
      </c>
      <c r="H733" s="341" t="s">
        <v>734</v>
      </c>
      <c r="I733" s="336" t="str">
        <f t="shared" si="46"/>
        <v>Pesado de Passageiros M3: III : Gasóleo : E5</v>
      </c>
      <c r="J733" s="125">
        <v>53</v>
      </c>
      <c r="K733" s="125">
        <v>2022</v>
      </c>
      <c r="L733" s="85">
        <v>16576.670000000002</v>
      </c>
      <c r="M733" s="85" t="s">
        <v>630</v>
      </c>
      <c r="N733" s="128">
        <v>53628</v>
      </c>
      <c r="O733" s="128">
        <f t="shared" si="47"/>
        <v>2842284</v>
      </c>
      <c r="P733" s="125" t="s">
        <v>1344</v>
      </c>
      <c r="Q733" s="85" t="s">
        <v>47</v>
      </c>
      <c r="R733" s="220" t="s">
        <v>1888</v>
      </c>
      <c r="S733" s="220" t="s">
        <v>1861</v>
      </c>
      <c r="T733" s="85" t="s">
        <v>1491</v>
      </c>
      <c r="U733" t="s">
        <v>1972</v>
      </c>
      <c r="V733" t="s">
        <v>2832</v>
      </c>
    </row>
    <row r="734" spans="1:22" ht="15.75" thickBot="1" x14ac:dyDescent="0.3">
      <c r="A734" s="82" t="s">
        <v>3314</v>
      </c>
      <c r="B734" s="82" t="str">
        <f t="shared" si="44"/>
        <v>Barraqueiro Transportes, S.A.</v>
      </c>
      <c r="C734" s="82" t="str">
        <f t="shared" si="45"/>
        <v>Barraqueiro Alugueres</v>
      </c>
      <c r="D734" s="83" t="s">
        <v>629</v>
      </c>
      <c r="E734" s="91" t="s">
        <v>1853</v>
      </c>
      <c r="F734" s="124" t="s">
        <v>620</v>
      </c>
      <c r="G734" s="333">
        <v>2013</v>
      </c>
      <c r="H734" s="341" t="s">
        <v>733</v>
      </c>
      <c r="I734" s="336" t="str">
        <f t="shared" si="46"/>
        <v>Pesado de Passageiros M3: III : Gasóleo : E6</v>
      </c>
      <c r="J734" s="125">
        <v>53</v>
      </c>
      <c r="K734" s="125">
        <v>2022</v>
      </c>
      <c r="L734" s="85">
        <v>24199.774000000001</v>
      </c>
      <c r="M734" s="85" t="s">
        <v>630</v>
      </c>
      <c r="N734" s="128">
        <v>76648</v>
      </c>
      <c r="O734" s="128">
        <f t="shared" si="47"/>
        <v>4062344</v>
      </c>
      <c r="P734" s="125" t="s">
        <v>1345</v>
      </c>
      <c r="Q734" s="85" t="s">
        <v>47</v>
      </c>
      <c r="R734" s="220" t="s">
        <v>1888</v>
      </c>
      <c r="S734" s="220" t="s">
        <v>1861</v>
      </c>
      <c r="T734" s="85" t="s">
        <v>1491</v>
      </c>
      <c r="U734" t="s">
        <v>1972</v>
      </c>
      <c r="V734" t="s">
        <v>2832</v>
      </c>
    </row>
    <row r="735" spans="1:22" ht="15.75" thickBot="1" x14ac:dyDescent="0.3">
      <c r="A735" s="82" t="s">
        <v>3314</v>
      </c>
      <c r="B735" s="82" t="str">
        <f t="shared" si="44"/>
        <v>Barraqueiro Transportes, S.A.</v>
      </c>
      <c r="C735" s="82" t="str">
        <f t="shared" si="45"/>
        <v>Barraqueiro Alugueres</v>
      </c>
      <c r="D735" s="83" t="s">
        <v>629</v>
      </c>
      <c r="E735" s="91" t="s">
        <v>1853</v>
      </c>
      <c r="F735" s="124" t="s">
        <v>620</v>
      </c>
      <c r="G735" s="333">
        <v>2013</v>
      </c>
      <c r="H735" s="341" t="s">
        <v>733</v>
      </c>
      <c r="I735" s="336" t="str">
        <f t="shared" si="46"/>
        <v>Pesado de Passageiros M3: III : Gasóleo : E6</v>
      </c>
      <c r="J735" s="125">
        <v>55</v>
      </c>
      <c r="K735" s="125">
        <v>2022</v>
      </c>
      <c r="L735" s="85">
        <v>26764.061000000002</v>
      </c>
      <c r="M735" s="85" t="s">
        <v>630</v>
      </c>
      <c r="N735" s="128">
        <v>76745</v>
      </c>
      <c r="O735" s="128">
        <f t="shared" si="47"/>
        <v>4220975</v>
      </c>
      <c r="P735" s="125" t="s">
        <v>1346</v>
      </c>
      <c r="Q735" s="85" t="s">
        <v>47</v>
      </c>
      <c r="R735" s="220" t="s">
        <v>1888</v>
      </c>
      <c r="S735" s="220" t="s">
        <v>1861</v>
      </c>
      <c r="T735" s="85" t="s">
        <v>1491</v>
      </c>
      <c r="U735" t="s">
        <v>1972</v>
      </c>
      <c r="V735" t="s">
        <v>2832</v>
      </c>
    </row>
    <row r="736" spans="1:22" ht="15.75" thickBot="1" x14ac:dyDescent="0.3">
      <c r="A736" s="82" t="s">
        <v>3314</v>
      </c>
      <c r="B736" s="82" t="str">
        <f t="shared" si="44"/>
        <v>Barraqueiro Transportes, S.A.</v>
      </c>
      <c r="C736" s="82" t="str">
        <f t="shared" si="45"/>
        <v>Barraqueiro Alugueres</v>
      </c>
      <c r="D736" s="83" t="s">
        <v>629</v>
      </c>
      <c r="E736" s="91" t="s">
        <v>1853</v>
      </c>
      <c r="F736" s="124" t="s">
        <v>620</v>
      </c>
      <c r="G736" s="333">
        <v>2014</v>
      </c>
      <c r="H736" s="341" t="s">
        <v>733</v>
      </c>
      <c r="I736" s="336" t="str">
        <f t="shared" si="46"/>
        <v>Pesado de Passageiros M3: III : Gasóleo : E6</v>
      </c>
      <c r="J736" s="125">
        <v>53</v>
      </c>
      <c r="K736" s="125">
        <v>2022</v>
      </c>
      <c r="L736" s="85">
        <v>49880.796999999999</v>
      </c>
      <c r="M736" s="85" t="s">
        <v>630</v>
      </c>
      <c r="N736" s="128">
        <v>173290</v>
      </c>
      <c r="O736" s="128">
        <f t="shared" si="47"/>
        <v>9184370</v>
      </c>
      <c r="P736" s="125" t="s">
        <v>1347</v>
      </c>
      <c r="Q736" s="85" t="s">
        <v>47</v>
      </c>
      <c r="R736" s="220" t="s">
        <v>1888</v>
      </c>
      <c r="S736" s="220" t="s">
        <v>1861</v>
      </c>
      <c r="T736" s="85" t="s">
        <v>1491</v>
      </c>
      <c r="U736" t="s">
        <v>1972</v>
      </c>
      <c r="V736" t="s">
        <v>2832</v>
      </c>
    </row>
    <row r="737" spans="1:22" ht="15.75" thickBot="1" x14ac:dyDescent="0.3">
      <c r="A737" s="82" t="s">
        <v>3314</v>
      </c>
      <c r="B737" s="82" t="str">
        <f t="shared" si="44"/>
        <v>Barraqueiro Transportes, S.A.</v>
      </c>
      <c r="C737" s="82" t="str">
        <f t="shared" si="45"/>
        <v>Barraqueiro Alugueres</v>
      </c>
      <c r="D737" s="83" t="s">
        <v>629</v>
      </c>
      <c r="E737" s="91" t="s">
        <v>1853</v>
      </c>
      <c r="F737" s="124" t="s">
        <v>620</v>
      </c>
      <c r="G737" s="333">
        <v>2014</v>
      </c>
      <c r="H737" s="341" t="s">
        <v>733</v>
      </c>
      <c r="I737" s="336" t="str">
        <f t="shared" si="46"/>
        <v>Pesado de Passageiros M3: III : Gasóleo : E6</v>
      </c>
      <c r="J737" s="125">
        <v>53</v>
      </c>
      <c r="K737" s="125">
        <v>2022</v>
      </c>
      <c r="L737" s="85">
        <v>42631.003000000004</v>
      </c>
      <c r="M737" s="85" t="s">
        <v>630</v>
      </c>
      <c r="N737" s="128">
        <v>157266</v>
      </c>
      <c r="O737" s="128">
        <f t="shared" si="47"/>
        <v>8335098</v>
      </c>
      <c r="P737" s="125" t="s">
        <v>1348</v>
      </c>
      <c r="Q737" s="85" t="s">
        <v>47</v>
      </c>
      <c r="R737" s="220" t="s">
        <v>1888</v>
      </c>
      <c r="S737" s="220" t="s">
        <v>1861</v>
      </c>
      <c r="T737" s="85" t="s">
        <v>1491</v>
      </c>
      <c r="U737" t="s">
        <v>1972</v>
      </c>
      <c r="V737" t="s">
        <v>2832</v>
      </c>
    </row>
    <row r="738" spans="1:22" ht="15.75" thickBot="1" x14ac:dyDescent="0.3">
      <c r="A738" s="82" t="s">
        <v>3314</v>
      </c>
      <c r="B738" s="82" t="str">
        <f t="shared" si="44"/>
        <v>Barraqueiro Transportes, S.A.</v>
      </c>
      <c r="C738" s="82" t="str">
        <f t="shared" si="45"/>
        <v>Barraqueiro Alugueres</v>
      </c>
      <c r="D738" s="83" t="s">
        <v>629</v>
      </c>
      <c r="E738" s="91" t="s">
        <v>1853</v>
      </c>
      <c r="F738" s="124" t="s">
        <v>620</v>
      </c>
      <c r="G738" s="333">
        <v>2015</v>
      </c>
      <c r="H738" s="341" t="s">
        <v>733</v>
      </c>
      <c r="I738" s="336" t="str">
        <f t="shared" si="46"/>
        <v>Pesado de Passageiros M3: III : Gasóleo : E6</v>
      </c>
      <c r="J738" s="125">
        <v>53</v>
      </c>
      <c r="K738" s="125">
        <v>2022</v>
      </c>
      <c r="L738" s="85">
        <v>32721.629000000001</v>
      </c>
      <c r="M738" s="85" t="s">
        <v>630</v>
      </c>
      <c r="N738" s="128">
        <v>119851</v>
      </c>
      <c r="O738" s="128">
        <f t="shared" si="47"/>
        <v>6352103</v>
      </c>
      <c r="P738" s="125" t="s">
        <v>1349</v>
      </c>
      <c r="Q738" s="85" t="s">
        <v>47</v>
      </c>
      <c r="R738" s="220" t="s">
        <v>1888</v>
      </c>
      <c r="S738" s="220" t="s">
        <v>1861</v>
      </c>
      <c r="T738" s="85" t="s">
        <v>1491</v>
      </c>
      <c r="U738" t="s">
        <v>1972</v>
      </c>
      <c r="V738" t="s">
        <v>2832</v>
      </c>
    </row>
    <row r="739" spans="1:22" ht="15.75" thickBot="1" x14ac:dyDescent="0.3">
      <c r="A739" s="82" t="s">
        <v>3314</v>
      </c>
      <c r="B739" s="82" t="str">
        <f t="shared" si="44"/>
        <v>Barraqueiro Transportes, S.A.</v>
      </c>
      <c r="C739" s="82" t="str">
        <f t="shared" si="45"/>
        <v>Barraqueiro Alugueres</v>
      </c>
      <c r="D739" s="83" t="s">
        <v>629</v>
      </c>
      <c r="E739" s="91" t="s">
        <v>1853</v>
      </c>
      <c r="F739" s="124" t="s">
        <v>620</v>
      </c>
      <c r="G739" s="333">
        <v>2015</v>
      </c>
      <c r="H739" s="341" t="s">
        <v>733</v>
      </c>
      <c r="I739" s="336" t="str">
        <f t="shared" si="46"/>
        <v>Pesado de Passageiros M3: III : Gasóleo : E6</v>
      </c>
      <c r="J739" s="125">
        <v>53</v>
      </c>
      <c r="K739" s="125">
        <v>2022</v>
      </c>
      <c r="L739" s="85">
        <v>38810.126000000004</v>
      </c>
      <c r="M739" s="85" t="s">
        <v>630</v>
      </c>
      <c r="N739" s="128">
        <v>142831</v>
      </c>
      <c r="O739" s="128">
        <f t="shared" si="47"/>
        <v>7570043</v>
      </c>
      <c r="P739" s="125" t="s">
        <v>1350</v>
      </c>
      <c r="Q739" s="85" t="s">
        <v>47</v>
      </c>
      <c r="R739" s="220" t="s">
        <v>1888</v>
      </c>
      <c r="S739" s="220" t="s">
        <v>1861</v>
      </c>
      <c r="T739" s="85" t="s">
        <v>1491</v>
      </c>
      <c r="U739" t="s">
        <v>1972</v>
      </c>
      <c r="V739" t="s">
        <v>2832</v>
      </c>
    </row>
    <row r="740" spans="1:22" ht="15.75" thickBot="1" x14ac:dyDescent="0.3">
      <c r="A740" s="82" t="s">
        <v>3314</v>
      </c>
      <c r="B740" s="82" t="str">
        <f t="shared" si="44"/>
        <v>Barraqueiro Transportes, S.A.</v>
      </c>
      <c r="C740" s="82" t="str">
        <f t="shared" si="45"/>
        <v>Barraqueiro Alugueres</v>
      </c>
      <c r="D740" s="83" t="s">
        <v>629</v>
      </c>
      <c r="E740" s="91" t="s">
        <v>1853</v>
      </c>
      <c r="F740" s="124" t="s">
        <v>620</v>
      </c>
      <c r="G740" s="333">
        <v>2015</v>
      </c>
      <c r="H740" s="341" t="s">
        <v>733</v>
      </c>
      <c r="I740" s="336" t="str">
        <f t="shared" si="46"/>
        <v>Pesado de Passageiros M3: III : Gasóleo : E6</v>
      </c>
      <c r="J740" s="125">
        <v>53</v>
      </c>
      <c r="K740" s="125">
        <v>2022</v>
      </c>
      <c r="L740" s="85">
        <v>59900.791000000005</v>
      </c>
      <c r="M740" s="85" t="s">
        <v>630</v>
      </c>
      <c r="N740" s="128">
        <v>219747</v>
      </c>
      <c r="O740" s="128">
        <f t="shared" si="47"/>
        <v>11646591</v>
      </c>
      <c r="P740" s="125" t="s">
        <v>1351</v>
      </c>
      <c r="Q740" s="85" t="s">
        <v>47</v>
      </c>
      <c r="R740" s="220" t="s">
        <v>1888</v>
      </c>
      <c r="S740" s="220" t="s">
        <v>1861</v>
      </c>
      <c r="T740" s="85" t="s">
        <v>1491</v>
      </c>
      <c r="U740" t="s">
        <v>1972</v>
      </c>
      <c r="V740" t="s">
        <v>2832</v>
      </c>
    </row>
    <row r="741" spans="1:22" ht="15.75" thickBot="1" x14ac:dyDescent="0.3">
      <c r="A741" s="82" t="s">
        <v>3314</v>
      </c>
      <c r="B741" s="82" t="str">
        <f t="shared" si="44"/>
        <v>Barraqueiro Transportes, S.A.</v>
      </c>
      <c r="C741" s="82" t="str">
        <f t="shared" si="45"/>
        <v>Barraqueiro Alugueres</v>
      </c>
      <c r="D741" s="83" t="s">
        <v>629</v>
      </c>
      <c r="E741" s="91" t="s">
        <v>1853</v>
      </c>
      <c r="F741" s="124" t="s">
        <v>620</v>
      </c>
      <c r="G741" s="333">
        <v>2015</v>
      </c>
      <c r="H741" s="341" t="s">
        <v>733</v>
      </c>
      <c r="I741" s="336" t="str">
        <f t="shared" si="46"/>
        <v>Pesado de Passageiros M3: III : Gasóleo : E6</v>
      </c>
      <c r="J741" s="125">
        <v>53</v>
      </c>
      <c r="K741" s="125">
        <v>2022</v>
      </c>
      <c r="L741" s="85">
        <v>48446.445999999996</v>
      </c>
      <c r="M741" s="85" t="s">
        <v>630</v>
      </c>
      <c r="N741" s="128">
        <v>181360</v>
      </c>
      <c r="O741" s="128">
        <f t="shared" si="47"/>
        <v>9612080</v>
      </c>
      <c r="P741" s="125" t="s">
        <v>1352</v>
      </c>
      <c r="Q741" s="85" t="s">
        <v>47</v>
      </c>
      <c r="R741" s="220" t="s">
        <v>1888</v>
      </c>
      <c r="S741" s="220" t="s">
        <v>1861</v>
      </c>
      <c r="T741" s="85" t="s">
        <v>1491</v>
      </c>
      <c r="U741" t="s">
        <v>1972</v>
      </c>
      <c r="V741" t="s">
        <v>2832</v>
      </c>
    </row>
    <row r="742" spans="1:22" ht="15.75" thickBot="1" x14ac:dyDescent="0.3">
      <c r="A742" s="82" t="s">
        <v>3314</v>
      </c>
      <c r="B742" s="82" t="str">
        <f t="shared" si="44"/>
        <v>Barraqueiro Transportes, S.A.</v>
      </c>
      <c r="C742" s="82" t="str">
        <f t="shared" si="45"/>
        <v>Barraqueiro Alugueres</v>
      </c>
      <c r="D742" s="83" t="s">
        <v>629</v>
      </c>
      <c r="E742" s="91" t="s">
        <v>1853</v>
      </c>
      <c r="F742" s="124" t="s">
        <v>620</v>
      </c>
      <c r="G742" s="333">
        <v>2015</v>
      </c>
      <c r="H742" s="341" t="s">
        <v>733</v>
      </c>
      <c r="I742" s="336" t="str">
        <f t="shared" si="46"/>
        <v>Pesado de Passageiros M3: III : Gasóleo : E6</v>
      </c>
      <c r="J742" s="125">
        <v>53</v>
      </c>
      <c r="K742" s="125">
        <v>2022</v>
      </c>
      <c r="L742" s="85">
        <v>47573.140999999989</v>
      </c>
      <c r="M742" s="85" t="s">
        <v>630</v>
      </c>
      <c r="N742" s="128">
        <v>180801</v>
      </c>
      <c r="O742" s="128">
        <f t="shared" si="47"/>
        <v>9582453</v>
      </c>
      <c r="P742" s="125" t="s">
        <v>1353</v>
      </c>
      <c r="Q742" s="85" t="s">
        <v>47</v>
      </c>
      <c r="R742" s="220" t="s">
        <v>1888</v>
      </c>
      <c r="S742" s="220" t="s">
        <v>1861</v>
      </c>
      <c r="T742" s="85" t="s">
        <v>1491</v>
      </c>
      <c r="U742" t="s">
        <v>1972</v>
      </c>
      <c r="V742" t="s">
        <v>2832</v>
      </c>
    </row>
    <row r="743" spans="1:22" ht="15.75" thickBot="1" x14ac:dyDescent="0.3">
      <c r="A743" s="82" t="s">
        <v>3314</v>
      </c>
      <c r="B743" s="82" t="str">
        <f t="shared" si="44"/>
        <v>Barraqueiro Transportes, S.A.</v>
      </c>
      <c r="C743" s="82" t="str">
        <f t="shared" si="45"/>
        <v>Barraqueiro Alugueres</v>
      </c>
      <c r="D743" s="83" t="s">
        <v>629</v>
      </c>
      <c r="E743" s="91" t="s">
        <v>1853</v>
      </c>
      <c r="F743" s="124" t="s">
        <v>620</v>
      </c>
      <c r="G743" s="333">
        <v>2016</v>
      </c>
      <c r="H743" s="341" t="s">
        <v>733</v>
      </c>
      <c r="I743" s="336" t="str">
        <f t="shared" si="46"/>
        <v>Pesado de Passageiros M3: III : Gasóleo : E6</v>
      </c>
      <c r="J743" s="125">
        <v>53</v>
      </c>
      <c r="K743" s="125">
        <v>2022</v>
      </c>
      <c r="L743" s="85">
        <v>32618.466000000004</v>
      </c>
      <c r="M743" s="85" t="s">
        <v>630</v>
      </c>
      <c r="N743" s="128">
        <v>118425</v>
      </c>
      <c r="O743" s="128">
        <f t="shared" si="47"/>
        <v>6276525</v>
      </c>
      <c r="P743" s="125" t="s">
        <v>1354</v>
      </c>
      <c r="Q743" s="85" t="s">
        <v>47</v>
      </c>
      <c r="R743" s="220" t="s">
        <v>1888</v>
      </c>
      <c r="S743" s="220" t="s">
        <v>1861</v>
      </c>
      <c r="T743" s="85" t="s">
        <v>1491</v>
      </c>
      <c r="U743" t="s">
        <v>1972</v>
      </c>
      <c r="V743" t="s">
        <v>2832</v>
      </c>
    </row>
    <row r="744" spans="1:22" ht="15.75" thickBot="1" x14ac:dyDescent="0.3">
      <c r="A744" s="82" t="s">
        <v>3314</v>
      </c>
      <c r="B744" s="82" t="str">
        <f t="shared" si="44"/>
        <v>Barraqueiro Transportes, S.A.</v>
      </c>
      <c r="C744" s="82" t="str">
        <f t="shared" si="45"/>
        <v>Barraqueiro Alugueres</v>
      </c>
      <c r="D744" s="83" t="s">
        <v>629</v>
      </c>
      <c r="E744" s="91" t="s">
        <v>1853</v>
      </c>
      <c r="F744" s="124" t="s">
        <v>620</v>
      </c>
      <c r="G744" s="333">
        <v>2016</v>
      </c>
      <c r="H744" s="341" t="s">
        <v>733</v>
      </c>
      <c r="I744" s="336" t="str">
        <f t="shared" si="46"/>
        <v>Pesado de Passageiros M3: III : Gasóleo : E6</v>
      </c>
      <c r="J744" s="125">
        <v>53</v>
      </c>
      <c r="K744" s="125">
        <v>2022</v>
      </c>
      <c r="L744" s="85">
        <v>29694.453999999998</v>
      </c>
      <c r="M744" s="85" t="s">
        <v>630</v>
      </c>
      <c r="N744" s="128">
        <v>108469</v>
      </c>
      <c r="O744" s="128">
        <f t="shared" si="47"/>
        <v>5748857</v>
      </c>
      <c r="P744" s="125" t="s">
        <v>1355</v>
      </c>
      <c r="Q744" s="85" t="s">
        <v>47</v>
      </c>
      <c r="R744" s="220" t="s">
        <v>1888</v>
      </c>
      <c r="S744" s="220" t="s">
        <v>1861</v>
      </c>
      <c r="T744" s="85" t="s">
        <v>1491</v>
      </c>
      <c r="U744" t="s">
        <v>1972</v>
      </c>
      <c r="V744" t="s">
        <v>2832</v>
      </c>
    </row>
    <row r="745" spans="1:22" ht="15.75" thickBot="1" x14ac:dyDescent="0.3">
      <c r="A745" s="82" t="s">
        <v>3314</v>
      </c>
      <c r="B745" s="82" t="str">
        <f t="shared" si="44"/>
        <v>Barraqueiro Transportes, S.A.</v>
      </c>
      <c r="C745" s="82" t="str">
        <f t="shared" si="45"/>
        <v>Barraqueiro Alugueres</v>
      </c>
      <c r="D745" s="83" t="s">
        <v>629</v>
      </c>
      <c r="E745" s="91" t="s">
        <v>1853</v>
      </c>
      <c r="F745" s="124" t="s">
        <v>620</v>
      </c>
      <c r="G745" s="333">
        <v>2016</v>
      </c>
      <c r="H745" s="341" t="s">
        <v>733</v>
      </c>
      <c r="I745" s="336" t="str">
        <f t="shared" si="46"/>
        <v>Pesado de Passageiros M3: III : Gasóleo : E6</v>
      </c>
      <c r="J745" s="125">
        <v>53</v>
      </c>
      <c r="K745" s="125">
        <v>2022</v>
      </c>
      <c r="L745" s="85">
        <v>31585.492000000002</v>
      </c>
      <c r="M745" s="85" t="s">
        <v>630</v>
      </c>
      <c r="N745" s="128">
        <v>115060</v>
      </c>
      <c r="O745" s="128">
        <f t="shared" si="47"/>
        <v>6098180</v>
      </c>
      <c r="P745" s="125" t="s">
        <v>1356</v>
      </c>
      <c r="Q745" s="85" t="s">
        <v>47</v>
      </c>
      <c r="R745" s="220" t="s">
        <v>1888</v>
      </c>
      <c r="S745" s="220" t="s">
        <v>1861</v>
      </c>
      <c r="T745" s="85" t="s">
        <v>1491</v>
      </c>
      <c r="U745" t="s">
        <v>1972</v>
      </c>
      <c r="V745" t="s">
        <v>2832</v>
      </c>
    </row>
    <row r="746" spans="1:22" ht="15.75" thickBot="1" x14ac:dyDescent="0.3">
      <c r="A746" s="82" t="s">
        <v>3314</v>
      </c>
      <c r="B746" s="82" t="str">
        <f t="shared" si="44"/>
        <v>Barraqueiro Transportes, S.A.</v>
      </c>
      <c r="C746" s="82" t="str">
        <f t="shared" si="45"/>
        <v>Barraqueiro Alugueres</v>
      </c>
      <c r="D746" s="83" t="s">
        <v>629</v>
      </c>
      <c r="E746" s="91" t="s">
        <v>1853</v>
      </c>
      <c r="F746" s="124" t="s">
        <v>620</v>
      </c>
      <c r="G746" s="333">
        <v>2016</v>
      </c>
      <c r="H746" s="341" t="s">
        <v>733</v>
      </c>
      <c r="I746" s="336" t="str">
        <f t="shared" si="46"/>
        <v>Pesado de Passageiros M3: III : Gasóleo : E6</v>
      </c>
      <c r="J746" s="125">
        <v>53</v>
      </c>
      <c r="K746" s="125">
        <v>2022</v>
      </c>
      <c r="L746" s="85">
        <v>37363.274999999994</v>
      </c>
      <c r="M746" s="85" t="s">
        <v>630</v>
      </c>
      <c r="N746" s="128">
        <v>129853</v>
      </c>
      <c r="O746" s="128">
        <f t="shared" si="47"/>
        <v>6882209</v>
      </c>
      <c r="P746" s="125" t="s">
        <v>1357</v>
      </c>
      <c r="Q746" s="85" t="s">
        <v>47</v>
      </c>
      <c r="R746" s="220" t="s">
        <v>1888</v>
      </c>
      <c r="S746" s="220" t="s">
        <v>1861</v>
      </c>
      <c r="T746" s="85" t="s">
        <v>1491</v>
      </c>
      <c r="U746" t="s">
        <v>1972</v>
      </c>
      <c r="V746" t="s">
        <v>2832</v>
      </c>
    </row>
    <row r="747" spans="1:22" ht="15.75" thickBot="1" x14ac:dyDescent="0.3">
      <c r="A747" s="82" t="s">
        <v>3314</v>
      </c>
      <c r="B747" s="82" t="str">
        <f t="shared" si="44"/>
        <v>Barraqueiro Transportes, S.A.</v>
      </c>
      <c r="C747" s="82" t="str">
        <f t="shared" si="45"/>
        <v>Barraqueiro Alugueres</v>
      </c>
      <c r="D747" s="83" t="s">
        <v>629</v>
      </c>
      <c r="E747" s="91" t="s">
        <v>1853</v>
      </c>
      <c r="F747" s="124" t="s">
        <v>620</v>
      </c>
      <c r="G747" s="333">
        <v>2016</v>
      </c>
      <c r="H747" s="341" t="s">
        <v>733</v>
      </c>
      <c r="I747" s="336" t="str">
        <f t="shared" si="46"/>
        <v>Pesado de Passageiros M3: III : Gasóleo : E6</v>
      </c>
      <c r="J747" s="125">
        <v>59</v>
      </c>
      <c r="K747" s="125">
        <v>2022</v>
      </c>
      <c r="L747" s="85">
        <v>5955.6500000000005</v>
      </c>
      <c r="M747" s="85" t="s">
        <v>630</v>
      </c>
      <c r="N747" s="128">
        <v>22415</v>
      </c>
      <c r="O747" s="128">
        <f t="shared" si="47"/>
        <v>1322485</v>
      </c>
      <c r="P747" s="125" t="s">
        <v>1007</v>
      </c>
      <c r="Q747" s="85" t="s">
        <v>47</v>
      </c>
      <c r="R747" s="220" t="s">
        <v>1888</v>
      </c>
      <c r="S747" s="220" t="s">
        <v>1861</v>
      </c>
      <c r="T747" s="85" t="s">
        <v>1491</v>
      </c>
      <c r="U747" t="s">
        <v>1972</v>
      </c>
      <c r="V747" t="s">
        <v>2832</v>
      </c>
    </row>
    <row r="748" spans="1:22" ht="15.75" thickBot="1" x14ac:dyDescent="0.3">
      <c r="A748" s="82" t="s">
        <v>3314</v>
      </c>
      <c r="B748" s="82" t="str">
        <f t="shared" si="44"/>
        <v>Barraqueiro Transportes, S.A.</v>
      </c>
      <c r="C748" s="82" t="str">
        <f t="shared" si="45"/>
        <v>Barraqueiro Alugueres</v>
      </c>
      <c r="D748" s="83" t="s">
        <v>629</v>
      </c>
      <c r="E748" s="91" t="s">
        <v>1853</v>
      </c>
      <c r="F748" s="124" t="s">
        <v>620</v>
      </c>
      <c r="G748" s="333">
        <v>2017</v>
      </c>
      <c r="H748" s="341" t="s">
        <v>733</v>
      </c>
      <c r="I748" s="336" t="str">
        <f t="shared" si="46"/>
        <v>Pesado de Passageiros M3: III : Gasóleo : E6</v>
      </c>
      <c r="J748" s="125">
        <v>57</v>
      </c>
      <c r="K748" s="125">
        <v>2022</v>
      </c>
      <c r="L748" s="85">
        <v>32654.289000000001</v>
      </c>
      <c r="M748" s="85" t="s">
        <v>630</v>
      </c>
      <c r="N748" s="128">
        <v>117038</v>
      </c>
      <c r="O748" s="128">
        <f t="shared" si="47"/>
        <v>6671166</v>
      </c>
      <c r="P748" s="125" t="s">
        <v>1358</v>
      </c>
      <c r="Q748" s="85" t="s">
        <v>47</v>
      </c>
      <c r="R748" s="220" t="s">
        <v>1888</v>
      </c>
      <c r="S748" s="220" t="s">
        <v>1861</v>
      </c>
      <c r="T748" s="85" t="s">
        <v>1491</v>
      </c>
      <c r="U748" t="s">
        <v>1972</v>
      </c>
      <c r="V748" t="s">
        <v>2832</v>
      </c>
    </row>
    <row r="749" spans="1:22" ht="15.75" thickBot="1" x14ac:dyDescent="0.3">
      <c r="A749" s="82" t="s">
        <v>3314</v>
      </c>
      <c r="B749" s="82" t="str">
        <f t="shared" si="44"/>
        <v>Barraqueiro Transportes, S.A.</v>
      </c>
      <c r="C749" s="82" t="str">
        <f t="shared" si="45"/>
        <v>Barraqueiro Alugueres</v>
      </c>
      <c r="D749" s="83" t="s">
        <v>629</v>
      </c>
      <c r="E749" s="91" t="s">
        <v>1853</v>
      </c>
      <c r="F749" s="124" t="s">
        <v>620</v>
      </c>
      <c r="G749" s="333">
        <v>2017</v>
      </c>
      <c r="H749" s="341" t="s">
        <v>733</v>
      </c>
      <c r="I749" s="336" t="str">
        <f t="shared" si="46"/>
        <v>Pesado de Passageiros M3: III : Gasóleo : E6</v>
      </c>
      <c r="J749" s="125">
        <v>57</v>
      </c>
      <c r="K749" s="125">
        <v>2022</v>
      </c>
      <c r="L749" s="85">
        <v>19011.898999999998</v>
      </c>
      <c r="M749" s="85" t="s">
        <v>630</v>
      </c>
      <c r="N749" s="128">
        <v>66747</v>
      </c>
      <c r="O749" s="128">
        <f t="shared" si="47"/>
        <v>3804579</v>
      </c>
      <c r="P749" s="125" t="s">
        <v>1359</v>
      </c>
      <c r="Q749" s="85" t="s">
        <v>47</v>
      </c>
      <c r="R749" s="220" t="s">
        <v>1888</v>
      </c>
      <c r="S749" s="220" t="s">
        <v>1861</v>
      </c>
      <c r="T749" s="85" t="s">
        <v>1491</v>
      </c>
      <c r="U749" t="s">
        <v>1972</v>
      </c>
      <c r="V749" t="s">
        <v>2832</v>
      </c>
    </row>
    <row r="750" spans="1:22" ht="15.75" thickBot="1" x14ac:dyDescent="0.3">
      <c r="A750" s="82" t="s">
        <v>3314</v>
      </c>
      <c r="B750" s="82" t="str">
        <f t="shared" si="44"/>
        <v>Barraqueiro Transportes, S.A.</v>
      </c>
      <c r="C750" s="82" t="str">
        <f t="shared" si="45"/>
        <v>Barraqueiro Alugueres</v>
      </c>
      <c r="D750" s="83" t="s">
        <v>629</v>
      </c>
      <c r="E750" s="91" t="s">
        <v>1853</v>
      </c>
      <c r="F750" s="124" t="s">
        <v>620</v>
      </c>
      <c r="G750" s="333">
        <v>2019</v>
      </c>
      <c r="H750" s="341" t="s">
        <v>733</v>
      </c>
      <c r="I750" s="336" t="str">
        <f t="shared" si="46"/>
        <v>Pesado de Passageiros M3: III : Gasóleo : E6</v>
      </c>
      <c r="J750" s="125">
        <v>63</v>
      </c>
      <c r="K750" s="125">
        <v>2022</v>
      </c>
      <c r="L750" s="85">
        <v>30635.460000000003</v>
      </c>
      <c r="M750" s="85" t="s">
        <v>630</v>
      </c>
      <c r="N750" s="128">
        <v>103022</v>
      </c>
      <c r="O750" s="128">
        <f t="shared" si="47"/>
        <v>6490386</v>
      </c>
      <c r="P750" s="125" t="s">
        <v>1037</v>
      </c>
      <c r="Q750" s="85" t="s">
        <v>47</v>
      </c>
      <c r="R750" s="220" t="s">
        <v>1888</v>
      </c>
      <c r="S750" s="220" t="s">
        <v>1861</v>
      </c>
      <c r="T750" s="85" t="s">
        <v>1491</v>
      </c>
      <c r="U750" t="s">
        <v>1972</v>
      </c>
      <c r="V750" t="s">
        <v>2832</v>
      </c>
    </row>
    <row r="751" spans="1:22" s="299" customFormat="1" ht="15.75" thickBot="1" x14ac:dyDescent="0.3">
      <c r="A751" s="292" t="s">
        <v>4683</v>
      </c>
      <c r="B751" s="292" t="s">
        <v>4683</v>
      </c>
      <c r="C751" s="292" t="s">
        <v>4683</v>
      </c>
      <c r="D751" s="276" t="s">
        <v>629</v>
      </c>
      <c r="E751" s="279" t="s">
        <v>1853</v>
      </c>
      <c r="F751" s="428" t="s">
        <v>620</v>
      </c>
      <c r="G751" s="429">
        <v>1997</v>
      </c>
      <c r="H751" s="382" t="s">
        <v>736</v>
      </c>
      <c r="I751" s="339" t="str">
        <f t="shared" si="46"/>
        <v>Pesado de Passageiros M3: III : Gasóleo : E1</v>
      </c>
      <c r="J751" s="268">
        <v>70</v>
      </c>
      <c r="K751" s="268">
        <v>2022</v>
      </c>
      <c r="L751" s="253">
        <v>2636.36</v>
      </c>
      <c r="M751" s="253" t="s">
        <v>630</v>
      </c>
      <c r="N751" s="254">
        <v>7623</v>
      </c>
      <c r="O751" s="254">
        <f t="shared" si="47"/>
        <v>533610</v>
      </c>
      <c r="P751" s="268" t="s">
        <v>1360</v>
      </c>
      <c r="Q751" s="253" t="s">
        <v>47</v>
      </c>
      <c r="R751" s="299" t="s">
        <v>1888</v>
      </c>
      <c r="S751" s="299" t="s">
        <v>1861</v>
      </c>
      <c r="T751" s="253" t="s">
        <v>1491</v>
      </c>
      <c r="U751" s="299" t="s">
        <v>1972</v>
      </c>
      <c r="V751" s="299" t="s">
        <v>2832</v>
      </c>
    </row>
    <row r="752" spans="1:22" s="299" customFormat="1" ht="15.75" thickBot="1" x14ac:dyDescent="0.3">
      <c r="A752" s="292" t="s">
        <v>4683</v>
      </c>
      <c r="B752" s="292" t="s">
        <v>4683</v>
      </c>
      <c r="C752" s="292" t="s">
        <v>4683</v>
      </c>
      <c r="D752" s="276" t="s">
        <v>629</v>
      </c>
      <c r="E752" s="279" t="s">
        <v>1853</v>
      </c>
      <c r="F752" s="428" t="s">
        <v>620</v>
      </c>
      <c r="G752" s="429">
        <v>1997</v>
      </c>
      <c r="H752" s="382" t="s">
        <v>736</v>
      </c>
      <c r="I752" s="339" t="str">
        <f t="shared" si="46"/>
        <v>Pesado de Passageiros M3: III : Gasóleo : E1</v>
      </c>
      <c r="J752" s="268">
        <v>70</v>
      </c>
      <c r="K752" s="268">
        <v>2022</v>
      </c>
      <c r="L752" s="253">
        <v>270</v>
      </c>
      <c r="M752" s="253" t="s">
        <v>630</v>
      </c>
      <c r="N752" s="254">
        <v>750</v>
      </c>
      <c r="O752" s="254">
        <f t="shared" si="47"/>
        <v>52500</v>
      </c>
      <c r="P752" s="268" t="s">
        <v>1361</v>
      </c>
      <c r="Q752" s="253" t="s">
        <v>47</v>
      </c>
      <c r="R752" s="299" t="s">
        <v>1888</v>
      </c>
      <c r="S752" s="299" t="s">
        <v>1861</v>
      </c>
      <c r="T752" s="253" t="s">
        <v>1491</v>
      </c>
      <c r="U752" s="299" t="s">
        <v>1972</v>
      </c>
      <c r="V752" s="299" t="s">
        <v>2832</v>
      </c>
    </row>
    <row r="753" spans="1:22" s="299" customFormat="1" ht="15.75" thickBot="1" x14ac:dyDescent="0.3">
      <c r="A753" s="292" t="s">
        <v>4683</v>
      </c>
      <c r="B753" s="292" t="s">
        <v>4683</v>
      </c>
      <c r="C753" s="292" t="s">
        <v>4683</v>
      </c>
      <c r="D753" s="276" t="s">
        <v>629</v>
      </c>
      <c r="E753" s="279" t="s">
        <v>1853</v>
      </c>
      <c r="F753" s="428" t="s">
        <v>620</v>
      </c>
      <c r="G753" s="429">
        <v>2007</v>
      </c>
      <c r="H753" s="382" t="s">
        <v>731</v>
      </c>
      <c r="I753" s="339" t="str">
        <f t="shared" si="46"/>
        <v>Pesado de Passageiros M3: III : Gasóleo : E4</v>
      </c>
      <c r="J753" s="268">
        <v>55</v>
      </c>
      <c r="K753" s="268">
        <v>2022</v>
      </c>
      <c r="L753" s="253">
        <v>15612.899999999998</v>
      </c>
      <c r="M753" s="253" t="s">
        <v>630</v>
      </c>
      <c r="N753" s="254">
        <v>45994</v>
      </c>
      <c r="O753" s="254">
        <f t="shared" si="47"/>
        <v>2529670</v>
      </c>
      <c r="P753" s="268" t="s">
        <v>1362</v>
      </c>
      <c r="Q753" s="253" t="s">
        <v>47</v>
      </c>
      <c r="R753" s="299" t="s">
        <v>1888</v>
      </c>
      <c r="S753" s="299" t="s">
        <v>1861</v>
      </c>
      <c r="T753" s="253" t="s">
        <v>1491</v>
      </c>
      <c r="U753" s="299" t="s">
        <v>1972</v>
      </c>
      <c r="V753" s="299" t="s">
        <v>2832</v>
      </c>
    </row>
    <row r="754" spans="1:22" s="299" customFormat="1" ht="15.75" thickBot="1" x14ac:dyDescent="0.3">
      <c r="A754" s="292" t="s">
        <v>4683</v>
      </c>
      <c r="B754" s="292" t="s">
        <v>4683</v>
      </c>
      <c r="C754" s="292" t="s">
        <v>4683</v>
      </c>
      <c r="D754" s="276" t="s">
        <v>629</v>
      </c>
      <c r="E754" s="279" t="s">
        <v>1853</v>
      </c>
      <c r="F754" s="428" t="s">
        <v>620</v>
      </c>
      <c r="G754" s="429">
        <v>1997</v>
      </c>
      <c r="H754" s="382" t="s">
        <v>736</v>
      </c>
      <c r="I754" s="339" t="str">
        <f t="shared" si="46"/>
        <v>Pesado de Passageiros M3: III : Gasóleo : E1</v>
      </c>
      <c r="J754" s="268">
        <v>96</v>
      </c>
      <c r="K754" s="268">
        <v>2022</v>
      </c>
      <c r="L754" s="253">
        <v>6247.9400000000005</v>
      </c>
      <c r="M754" s="253" t="s">
        <v>630</v>
      </c>
      <c r="N754" s="254">
        <v>15785</v>
      </c>
      <c r="O754" s="254">
        <f t="shared" si="47"/>
        <v>1515360</v>
      </c>
      <c r="P754" s="268" t="s">
        <v>1084</v>
      </c>
      <c r="Q754" s="253" t="s">
        <v>47</v>
      </c>
      <c r="R754" s="299" t="s">
        <v>1888</v>
      </c>
      <c r="S754" s="299" t="s">
        <v>1861</v>
      </c>
      <c r="T754" s="253" t="s">
        <v>1491</v>
      </c>
      <c r="U754" s="299" t="s">
        <v>1972</v>
      </c>
      <c r="V754" s="299" t="s">
        <v>2832</v>
      </c>
    </row>
    <row r="755" spans="1:22" s="299" customFormat="1" ht="15.75" thickBot="1" x14ac:dyDescent="0.3">
      <c r="A755" s="292" t="s">
        <v>4683</v>
      </c>
      <c r="B755" s="292" t="s">
        <v>4683</v>
      </c>
      <c r="C755" s="292" t="s">
        <v>4683</v>
      </c>
      <c r="D755" s="276" t="s">
        <v>629</v>
      </c>
      <c r="E755" s="279" t="s">
        <v>1853</v>
      </c>
      <c r="F755" s="428" t="s">
        <v>620</v>
      </c>
      <c r="G755" s="429">
        <v>2008</v>
      </c>
      <c r="H755" s="382" t="s">
        <v>731</v>
      </c>
      <c r="I755" s="339" t="str">
        <f t="shared" si="46"/>
        <v>Pesado de Passageiros M3: III : Gasóleo : E4</v>
      </c>
      <c r="J755" s="268">
        <v>57</v>
      </c>
      <c r="K755" s="268">
        <v>2022</v>
      </c>
      <c r="L755" s="253">
        <v>13427.6</v>
      </c>
      <c r="M755" s="253" t="s">
        <v>630</v>
      </c>
      <c r="N755" s="254">
        <v>41215</v>
      </c>
      <c r="O755" s="254">
        <f t="shared" si="47"/>
        <v>2349255</v>
      </c>
      <c r="P755" s="268" t="s">
        <v>1363</v>
      </c>
      <c r="Q755" s="253" t="s">
        <v>47</v>
      </c>
      <c r="R755" s="299" t="s">
        <v>1888</v>
      </c>
      <c r="S755" s="299" t="s">
        <v>1861</v>
      </c>
      <c r="T755" s="253" t="s">
        <v>1491</v>
      </c>
      <c r="U755" s="299" t="s">
        <v>1972</v>
      </c>
      <c r="V755" s="299" t="s">
        <v>2832</v>
      </c>
    </row>
    <row r="756" spans="1:22" s="299" customFormat="1" ht="15.75" thickBot="1" x14ac:dyDescent="0.3">
      <c r="A756" s="292" t="s">
        <v>4683</v>
      </c>
      <c r="B756" s="292" t="s">
        <v>4683</v>
      </c>
      <c r="C756" s="292" t="s">
        <v>4683</v>
      </c>
      <c r="D756" s="276" t="s">
        <v>629</v>
      </c>
      <c r="E756" s="279" t="s">
        <v>1853</v>
      </c>
      <c r="F756" s="428" t="s">
        <v>620</v>
      </c>
      <c r="G756" s="429">
        <v>2008</v>
      </c>
      <c r="H756" s="382" t="s">
        <v>731</v>
      </c>
      <c r="I756" s="339" t="str">
        <f t="shared" si="46"/>
        <v>Pesado de Passageiros M3: III : Gasóleo : E4</v>
      </c>
      <c r="J756" s="268">
        <v>25</v>
      </c>
      <c r="K756" s="268">
        <v>2022</v>
      </c>
      <c r="L756" s="253">
        <v>2381.5699999999997</v>
      </c>
      <c r="M756" s="253" t="s">
        <v>630</v>
      </c>
      <c r="N756" s="254">
        <v>13721</v>
      </c>
      <c r="O756" s="254">
        <f t="shared" si="47"/>
        <v>343025</v>
      </c>
      <c r="P756" s="268" t="s">
        <v>1364</v>
      </c>
      <c r="Q756" s="253" t="s">
        <v>47</v>
      </c>
      <c r="R756" s="299" t="s">
        <v>1888</v>
      </c>
      <c r="S756" s="299" t="s">
        <v>1861</v>
      </c>
      <c r="T756" s="253" t="s">
        <v>1491</v>
      </c>
      <c r="U756" s="299" t="s">
        <v>1972</v>
      </c>
      <c r="V756" s="299" t="s">
        <v>2832</v>
      </c>
    </row>
    <row r="757" spans="1:22" s="299" customFormat="1" ht="15.75" thickBot="1" x14ac:dyDescent="0.3">
      <c r="A757" s="292" t="s">
        <v>4683</v>
      </c>
      <c r="B757" s="292" t="s">
        <v>4683</v>
      </c>
      <c r="C757" s="292" t="s">
        <v>4683</v>
      </c>
      <c r="D757" s="276" t="s">
        <v>629</v>
      </c>
      <c r="E757" s="279" t="s">
        <v>1853</v>
      </c>
      <c r="F757" s="428" t="s">
        <v>620</v>
      </c>
      <c r="G757" s="429">
        <v>2008</v>
      </c>
      <c r="H757" s="382" t="s">
        <v>731</v>
      </c>
      <c r="I757" s="339" t="str">
        <f t="shared" si="46"/>
        <v>Pesado de Passageiros M3: III : Gasóleo : E4</v>
      </c>
      <c r="J757" s="268">
        <v>25</v>
      </c>
      <c r="K757" s="268">
        <v>2022</v>
      </c>
      <c r="L757" s="253">
        <v>2794.17</v>
      </c>
      <c r="M757" s="253" t="s">
        <v>630</v>
      </c>
      <c r="N757" s="254">
        <v>16549</v>
      </c>
      <c r="O757" s="254">
        <f t="shared" si="47"/>
        <v>413725</v>
      </c>
      <c r="P757" s="268" t="s">
        <v>1365</v>
      </c>
      <c r="Q757" s="253" t="s">
        <v>47</v>
      </c>
      <c r="R757" s="299" t="s">
        <v>1888</v>
      </c>
      <c r="S757" s="299" t="s">
        <v>1861</v>
      </c>
      <c r="T757" s="253" t="s">
        <v>1491</v>
      </c>
      <c r="U757" s="299" t="s">
        <v>1972</v>
      </c>
      <c r="V757" s="299" t="s">
        <v>2832</v>
      </c>
    </row>
    <row r="758" spans="1:22" s="299" customFormat="1" ht="15.75" thickBot="1" x14ac:dyDescent="0.3">
      <c r="A758" s="292" t="s">
        <v>4683</v>
      </c>
      <c r="B758" s="292" t="s">
        <v>4683</v>
      </c>
      <c r="C758" s="292" t="s">
        <v>4683</v>
      </c>
      <c r="D758" s="276" t="s">
        <v>629</v>
      </c>
      <c r="E758" s="279" t="s">
        <v>1853</v>
      </c>
      <c r="F758" s="428" t="s">
        <v>620</v>
      </c>
      <c r="G758" s="429">
        <v>2008</v>
      </c>
      <c r="H758" s="382" t="s">
        <v>731</v>
      </c>
      <c r="I758" s="339" t="str">
        <f t="shared" si="46"/>
        <v>Pesado de Passageiros M3: III : Gasóleo : E4</v>
      </c>
      <c r="J758" s="268">
        <v>25</v>
      </c>
      <c r="K758" s="268">
        <v>2022</v>
      </c>
      <c r="L758" s="253">
        <v>1920.2199999999998</v>
      </c>
      <c r="M758" s="253" t="s">
        <v>630</v>
      </c>
      <c r="N758" s="254">
        <v>11761</v>
      </c>
      <c r="O758" s="254">
        <f t="shared" si="47"/>
        <v>294025</v>
      </c>
      <c r="P758" s="268" t="s">
        <v>1366</v>
      </c>
      <c r="Q758" s="253" t="s">
        <v>47</v>
      </c>
      <c r="R758" s="299" t="s">
        <v>1888</v>
      </c>
      <c r="S758" s="299" t="s">
        <v>1861</v>
      </c>
      <c r="T758" s="253" t="s">
        <v>1491</v>
      </c>
      <c r="U758" s="299" t="s">
        <v>1972</v>
      </c>
      <c r="V758" s="299" t="s">
        <v>2832</v>
      </c>
    </row>
    <row r="759" spans="1:22" s="299" customFormat="1" ht="15.75" thickBot="1" x14ac:dyDescent="0.3">
      <c r="A759" s="292" t="s">
        <v>4683</v>
      </c>
      <c r="B759" s="292" t="s">
        <v>4683</v>
      </c>
      <c r="C759" s="292" t="s">
        <v>4683</v>
      </c>
      <c r="D759" s="276" t="s">
        <v>629</v>
      </c>
      <c r="E759" s="279" t="s">
        <v>1853</v>
      </c>
      <c r="F759" s="428" t="s">
        <v>620</v>
      </c>
      <c r="G759" s="429">
        <v>2008</v>
      </c>
      <c r="H759" s="382" t="s">
        <v>731</v>
      </c>
      <c r="I759" s="339" t="str">
        <f t="shared" si="46"/>
        <v>Pesado de Passageiros M3: III : Gasóleo : E4</v>
      </c>
      <c r="J759" s="268">
        <v>55</v>
      </c>
      <c r="K759" s="268">
        <v>2022</v>
      </c>
      <c r="L759" s="253">
        <v>16561.490000000002</v>
      </c>
      <c r="M759" s="253" t="s">
        <v>630</v>
      </c>
      <c r="N759" s="254">
        <v>48545</v>
      </c>
      <c r="O759" s="254">
        <f t="shared" si="47"/>
        <v>2669975</v>
      </c>
      <c r="P759" s="268" t="s">
        <v>1367</v>
      </c>
      <c r="Q759" s="253" t="s">
        <v>47</v>
      </c>
      <c r="R759" s="299" t="s">
        <v>1888</v>
      </c>
      <c r="S759" s="299" t="s">
        <v>1861</v>
      </c>
      <c r="T759" s="253" t="s">
        <v>1491</v>
      </c>
      <c r="U759" s="299" t="s">
        <v>1972</v>
      </c>
      <c r="V759" s="299" t="s">
        <v>2832</v>
      </c>
    </row>
    <row r="760" spans="1:22" s="299" customFormat="1" ht="15.75" thickBot="1" x14ac:dyDescent="0.3">
      <c r="A760" s="292" t="s">
        <v>4683</v>
      </c>
      <c r="B760" s="292" t="s">
        <v>4683</v>
      </c>
      <c r="C760" s="292" t="s">
        <v>4683</v>
      </c>
      <c r="D760" s="276" t="s">
        <v>629</v>
      </c>
      <c r="E760" s="279" t="s">
        <v>1853</v>
      </c>
      <c r="F760" s="428" t="s">
        <v>620</v>
      </c>
      <c r="G760" s="429">
        <v>1993</v>
      </c>
      <c r="H760" s="382" t="s">
        <v>736</v>
      </c>
      <c r="I760" s="339" t="str">
        <f t="shared" si="46"/>
        <v>Pesado de Passageiros M3: III : Gasóleo : E1</v>
      </c>
      <c r="J760" s="268">
        <v>82</v>
      </c>
      <c r="K760" s="268">
        <v>2022</v>
      </c>
      <c r="L760" s="253">
        <v>2388.9499999999998</v>
      </c>
      <c r="M760" s="253" t="s">
        <v>630</v>
      </c>
      <c r="N760" s="254">
        <v>7220</v>
      </c>
      <c r="O760" s="254">
        <f t="shared" si="47"/>
        <v>592040</v>
      </c>
      <c r="P760" s="268" t="s">
        <v>1368</v>
      </c>
      <c r="Q760" s="253" t="s">
        <v>47</v>
      </c>
      <c r="R760" s="299" t="s">
        <v>1888</v>
      </c>
      <c r="S760" s="299" t="s">
        <v>1861</v>
      </c>
      <c r="T760" s="253" t="s">
        <v>1491</v>
      </c>
      <c r="U760" s="299" t="s">
        <v>1972</v>
      </c>
      <c r="V760" s="299" t="s">
        <v>2832</v>
      </c>
    </row>
    <row r="761" spans="1:22" s="299" customFormat="1" ht="15.75" thickBot="1" x14ac:dyDescent="0.3">
      <c r="A761" s="292" t="s">
        <v>4683</v>
      </c>
      <c r="B761" s="292" t="s">
        <v>4683</v>
      </c>
      <c r="C761" s="292" t="s">
        <v>4683</v>
      </c>
      <c r="D761" s="276" t="s">
        <v>629</v>
      </c>
      <c r="E761" s="279" t="s">
        <v>1853</v>
      </c>
      <c r="F761" s="428" t="s">
        <v>620</v>
      </c>
      <c r="G761" s="429">
        <v>1993</v>
      </c>
      <c r="H761" s="382" t="s">
        <v>736</v>
      </c>
      <c r="I761" s="339" t="str">
        <f t="shared" si="46"/>
        <v>Pesado de Passageiros M3: III : Gasóleo : E1</v>
      </c>
      <c r="J761" s="268">
        <v>82</v>
      </c>
      <c r="K761" s="268">
        <v>2022</v>
      </c>
      <c r="L761" s="253">
        <v>1218.5</v>
      </c>
      <c r="M761" s="253" t="s">
        <v>630</v>
      </c>
      <c r="N761" s="254">
        <v>3796</v>
      </c>
      <c r="O761" s="254">
        <f t="shared" si="47"/>
        <v>311272</v>
      </c>
      <c r="P761" s="268" t="s">
        <v>1369</v>
      </c>
      <c r="Q761" s="253" t="s">
        <v>47</v>
      </c>
      <c r="R761" s="299" t="s">
        <v>1888</v>
      </c>
      <c r="S761" s="299" t="s">
        <v>1861</v>
      </c>
      <c r="T761" s="253" t="s">
        <v>1491</v>
      </c>
      <c r="U761" s="299" t="s">
        <v>1972</v>
      </c>
      <c r="V761" s="299" t="s">
        <v>2832</v>
      </c>
    </row>
    <row r="762" spans="1:22" s="299" customFormat="1" ht="15.75" thickBot="1" x14ac:dyDescent="0.3">
      <c r="A762" s="292" t="s">
        <v>4683</v>
      </c>
      <c r="B762" s="292" t="s">
        <v>4683</v>
      </c>
      <c r="C762" s="292" t="s">
        <v>4683</v>
      </c>
      <c r="D762" s="276" t="s">
        <v>629</v>
      </c>
      <c r="E762" s="279" t="s">
        <v>1853</v>
      </c>
      <c r="F762" s="428" t="s">
        <v>620</v>
      </c>
      <c r="G762" s="429">
        <v>2006</v>
      </c>
      <c r="H762" s="382" t="s">
        <v>731</v>
      </c>
      <c r="I762" s="339" t="str">
        <f t="shared" si="46"/>
        <v>Pesado de Passageiros M3: III : Gasóleo : E4</v>
      </c>
      <c r="J762" s="268">
        <v>94</v>
      </c>
      <c r="K762" s="268">
        <v>2022</v>
      </c>
      <c r="L762" s="253">
        <v>17062.939999999999</v>
      </c>
      <c r="M762" s="253" t="s">
        <v>630</v>
      </c>
      <c r="N762" s="254">
        <v>45960</v>
      </c>
      <c r="O762" s="254">
        <f t="shared" si="47"/>
        <v>4320240</v>
      </c>
      <c r="P762" s="268" t="s">
        <v>1370</v>
      </c>
      <c r="Q762" s="253" t="s">
        <v>47</v>
      </c>
      <c r="R762" s="299" t="s">
        <v>1888</v>
      </c>
      <c r="S762" s="299" t="s">
        <v>1861</v>
      </c>
      <c r="T762" s="253" t="s">
        <v>1491</v>
      </c>
      <c r="U762" s="299" t="s">
        <v>1972</v>
      </c>
      <c r="V762" s="299" t="s">
        <v>2832</v>
      </c>
    </row>
    <row r="763" spans="1:22" s="299" customFormat="1" ht="15.75" thickBot="1" x14ac:dyDescent="0.3">
      <c r="A763" s="292" t="s">
        <v>4683</v>
      </c>
      <c r="B763" s="292" t="s">
        <v>4683</v>
      </c>
      <c r="C763" s="292" t="s">
        <v>4683</v>
      </c>
      <c r="D763" s="276" t="s">
        <v>629</v>
      </c>
      <c r="E763" s="279" t="s">
        <v>1853</v>
      </c>
      <c r="F763" s="428" t="s">
        <v>620</v>
      </c>
      <c r="G763" s="429">
        <v>2010</v>
      </c>
      <c r="H763" s="382" t="s">
        <v>734</v>
      </c>
      <c r="I763" s="339" t="str">
        <f t="shared" si="46"/>
        <v>Pesado de Passageiros M3: III : Gasóleo : E5</v>
      </c>
      <c r="J763" s="268">
        <v>25</v>
      </c>
      <c r="K763" s="268">
        <v>2022</v>
      </c>
      <c r="L763" s="253">
        <v>21335.082999999995</v>
      </c>
      <c r="M763" s="253" t="s">
        <v>630</v>
      </c>
      <c r="N763" s="254">
        <v>63708</v>
      </c>
      <c r="O763" s="254">
        <f t="shared" si="47"/>
        <v>1592700</v>
      </c>
      <c r="P763" s="268" t="s">
        <v>1371</v>
      </c>
      <c r="Q763" s="253" t="s">
        <v>47</v>
      </c>
      <c r="R763" s="299" t="s">
        <v>1888</v>
      </c>
      <c r="S763" s="299" t="s">
        <v>1861</v>
      </c>
      <c r="T763" s="253" t="s">
        <v>1491</v>
      </c>
      <c r="U763" s="299" t="s">
        <v>1972</v>
      </c>
      <c r="V763" s="299" t="s">
        <v>2832</v>
      </c>
    </row>
    <row r="764" spans="1:22" s="299" customFormat="1" ht="15.75" thickBot="1" x14ac:dyDescent="0.3">
      <c r="A764" s="292" t="s">
        <v>4683</v>
      </c>
      <c r="B764" s="292" t="s">
        <v>4683</v>
      </c>
      <c r="C764" s="292" t="s">
        <v>4683</v>
      </c>
      <c r="D764" s="276" t="s">
        <v>629</v>
      </c>
      <c r="E764" s="279" t="s">
        <v>1853</v>
      </c>
      <c r="F764" s="428" t="s">
        <v>620</v>
      </c>
      <c r="G764" s="429">
        <v>2005</v>
      </c>
      <c r="H764" s="382" t="s">
        <v>732</v>
      </c>
      <c r="I764" s="339" t="str">
        <f t="shared" si="46"/>
        <v>Pesado de Passageiros M3: III : Gasóleo : E3</v>
      </c>
      <c r="J764" s="268">
        <v>57</v>
      </c>
      <c r="K764" s="268">
        <v>2022</v>
      </c>
      <c r="L764" s="253">
        <v>17400.14</v>
      </c>
      <c r="M764" s="253" t="s">
        <v>630</v>
      </c>
      <c r="N764" s="254">
        <v>51309</v>
      </c>
      <c r="O764" s="254">
        <f t="shared" si="47"/>
        <v>2924613</v>
      </c>
      <c r="P764" s="268" t="s">
        <v>1372</v>
      </c>
      <c r="Q764" s="253" t="s">
        <v>47</v>
      </c>
      <c r="R764" s="299" t="s">
        <v>1888</v>
      </c>
      <c r="S764" s="299" t="s">
        <v>1861</v>
      </c>
      <c r="T764" s="253" t="s">
        <v>1491</v>
      </c>
      <c r="U764" s="299" t="s">
        <v>1972</v>
      </c>
      <c r="V764" s="299" t="s">
        <v>2832</v>
      </c>
    </row>
    <row r="765" spans="1:22" s="299" customFormat="1" ht="15.75" thickBot="1" x14ac:dyDescent="0.3">
      <c r="A765" s="292" t="s">
        <v>4683</v>
      </c>
      <c r="B765" s="292" t="s">
        <v>4683</v>
      </c>
      <c r="C765" s="292" t="s">
        <v>4683</v>
      </c>
      <c r="D765" s="276" t="s">
        <v>629</v>
      </c>
      <c r="E765" s="279" t="s">
        <v>1853</v>
      </c>
      <c r="F765" s="428" t="s">
        <v>620</v>
      </c>
      <c r="G765" s="429">
        <v>2009</v>
      </c>
      <c r="H765" s="382" t="s">
        <v>734</v>
      </c>
      <c r="I765" s="339" t="str">
        <f t="shared" si="46"/>
        <v>Pesado de Passageiros M3: III : Gasóleo : E5</v>
      </c>
      <c r="J765" s="268">
        <v>53</v>
      </c>
      <c r="K765" s="268">
        <v>2022</v>
      </c>
      <c r="L765" s="253">
        <v>15290.883</v>
      </c>
      <c r="M765" s="253" t="s">
        <v>630</v>
      </c>
      <c r="N765" s="254">
        <v>40852</v>
      </c>
      <c r="O765" s="254">
        <f t="shared" si="47"/>
        <v>2165156</v>
      </c>
      <c r="P765" s="268" t="s">
        <v>1373</v>
      </c>
      <c r="Q765" s="253" t="s">
        <v>47</v>
      </c>
      <c r="R765" s="299" t="s">
        <v>1888</v>
      </c>
      <c r="S765" s="299" t="s">
        <v>1861</v>
      </c>
      <c r="T765" s="253" t="s">
        <v>1491</v>
      </c>
      <c r="U765" s="299" t="s">
        <v>1972</v>
      </c>
      <c r="V765" s="299" t="s">
        <v>2832</v>
      </c>
    </row>
    <row r="766" spans="1:22" s="299" customFormat="1" ht="15.75" thickBot="1" x14ac:dyDescent="0.3">
      <c r="A766" s="292" t="s">
        <v>4683</v>
      </c>
      <c r="B766" s="292" t="s">
        <v>4683</v>
      </c>
      <c r="C766" s="292" t="s">
        <v>4683</v>
      </c>
      <c r="D766" s="276" t="s">
        <v>629</v>
      </c>
      <c r="E766" s="279" t="s">
        <v>1853</v>
      </c>
      <c r="F766" s="428" t="s">
        <v>620</v>
      </c>
      <c r="G766" s="429">
        <v>2009</v>
      </c>
      <c r="H766" s="382" t="s">
        <v>734</v>
      </c>
      <c r="I766" s="339" t="str">
        <f t="shared" si="46"/>
        <v>Pesado de Passageiros M3: III : Gasóleo : E5</v>
      </c>
      <c r="J766" s="268">
        <v>53</v>
      </c>
      <c r="K766" s="268">
        <v>2022</v>
      </c>
      <c r="L766" s="253">
        <v>11439.130000000001</v>
      </c>
      <c r="M766" s="253" t="s">
        <v>630</v>
      </c>
      <c r="N766" s="254">
        <v>31529</v>
      </c>
      <c r="O766" s="254">
        <f t="shared" si="47"/>
        <v>1671037</v>
      </c>
      <c r="P766" s="268" t="s">
        <v>767</v>
      </c>
      <c r="Q766" s="253" t="s">
        <v>47</v>
      </c>
      <c r="R766" s="299" t="s">
        <v>1888</v>
      </c>
      <c r="S766" s="299" t="s">
        <v>1861</v>
      </c>
      <c r="T766" s="253" t="s">
        <v>1491</v>
      </c>
      <c r="U766" s="299" t="s">
        <v>1972</v>
      </c>
      <c r="V766" s="299" t="s">
        <v>2832</v>
      </c>
    </row>
    <row r="767" spans="1:22" s="299" customFormat="1" ht="15.75" thickBot="1" x14ac:dyDescent="0.3">
      <c r="A767" s="292" t="s">
        <v>4683</v>
      </c>
      <c r="B767" s="292" t="s">
        <v>4683</v>
      </c>
      <c r="C767" s="292" t="s">
        <v>4683</v>
      </c>
      <c r="D767" s="276" t="s">
        <v>629</v>
      </c>
      <c r="E767" s="279" t="s">
        <v>1853</v>
      </c>
      <c r="F767" s="428" t="s">
        <v>620</v>
      </c>
      <c r="G767" s="429">
        <v>2009</v>
      </c>
      <c r="H767" s="382" t="s">
        <v>734</v>
      </c>
      <c r="I767" s="339" t="str">
        <f t="shared" si="46"/>
        <v>Pesado de Passageiros M3: III : Gasóleo : E5</v>
      </c>
      <c r="J767" s="268">
        <v>53</v>
      </c>
      <c r="K767" s="268">
        <v>2022</v>
      </c>
      <c r="L767" s="253">
        <v>16414.89</v>
      </c>
      <c r="M767" s="253" t="s">
        <v>630</v>
      </c>
      <c r="N767" s="254">
        <v>44689</v>
      </c>
      <c r="O767" s="254">
        <f t="shared" si="47"/>
        <v>2368517</v>
      </c>
      <c r="P767" s="268" t="s">
        <v>1374</v>
      </c>
      <c r="Q767" s="253" t="s">
        <v>47</v>
      </c>
      <c r="R767" s="299" t="s">
        <v>1888</v>
      </c>
      <c r="S767" s="299" t="s">
        <v>1861</v>
      </c>
      <c r="T767" s="253" t="s">
        <v>1491</v>
      </c>
      <c r="U767" s="299" t="s">
        <v>1972</v>
      </c>
      <c r="V767" s="299" t="s">
        <v>2832</v>
      </c>
    </row>
    <row r="768" spans="1:22" s="299" customFormat="1" ht="15.75" thickBot="1" x14ac:dyDescent="0.3">
      <c r="A768" s="292" t="s">
        <v>4683</v>
      </c>
      <c r="B768" s="292" t="s">
        <v>4683</v>
      </c>
      <c r="C768" s="292" t="s">
        <v>4683</v>
      </c>
      <c r="D768" s="276" t="s">
        <v>629</v>
      </c>
      <c r="E768" s="279" t="s">
        <v>1853</v>
      </c>
      <c r="F768" s="428" t="s">
        <v>620</v>
      </c>
      <c r="G768" s="429">
        <v>2005</v>
      </c>
      <c r="H768" s="382" t="s">
        <v>732</v>
      </c>
      <c r="I768" s="339" t="str">
        <f t="shared" si="46"/>
        <v>Pesado de Passageiros M3: III : Gasóleo : E3</v>
      </c>
      <c r="J768" s="268">
        <v>66</v>
      </c>
      <c r="K768" s="268">
        <v>2022</v>
      </c>
      <c r="L768" s="253">
        <v>20547.02</v>
      </c>
      <c r="M768" s="253" t="s">
        <v>630</v>
      </c>
      <c r="N768" s="254">
        <v>55945</v>
      </c>
      <c r="O768" s="254">
        <f t="shared" si="47"/>
        <v>3692370</v>
      </c>
      <c r="P768" s="268" t="s">
        <v>1375</v>
      </c>
      <c r="Q768" s="253" t="s">
        <v>47</v>
      </c>
      <c r="R768" s="299" t="s">
        <v>1888</v>
      </c>
      <c r="S768" s="299" t="s">
        <v>1861</v>
      </c>
      <c r="T768" s="253" t="s">
        <v>1491</v>
      </c>
      <c r="U768" s="299" t="s">
        <v>1972</v>
      </c>
      <c r="V768" s="299" t="s">
        <v>2832</v>
      </c>
    </row>
    <row r="769" spans="1:22" s="299" customFormat="1" ht="15.75" thickBot="1" x14ac:dyDescent="0.3">
      <c r="A769" s="292" t="s">
        <v>4683</v>
      </c>
      <c r="B769" s="292" t="s">
        <v>4683</v>
      </c>
      <c r="C769" s="292" t="s">
        <v>4683</v>
      </c>
      <c r="D769" s="276" t="s">
        <v>629</v>
      </c>
      <c r="E769" s="279" t="s">
        <v>1853</v>
      </c>
      <c r="F769" s="428" t="s">
        <v>620</v>
      </c>
      <c r="G769" s="429">
        <v>2004</v>
      </c>
      <c r="H769" s="382" t="s">
        <v>732</v>
      </c>
      <c r="I769" s="339" t="str">
        <f t="shared" si="46"/>
        <v>Pesado de Passageiros M3: III : Gasóleo : E3</v>
      </c>
      <c r="J769" s="268">
        <v>69</v>
      </c>
      <c r="K769" s="268">
        <v>2022</v>
      </c>
      <c r="L769" s="253">
        <v>5808.73</v>
      </c>
      <c r="M769" s="253" t="s">
        <v>630</v>
      </c>
      <c r="N769" s="254">
        <v>13090</v>
      </c>
      <c r="O769" s="254">
        <f t="shared" si="47"/>
        <v>903210</v>
      </c>
      <c r="P769" s="268" t="s">
        <v>1376</v>
      </c>
      <c r="Q769" s="253" t="s">
        <v>47</v>
      </c>
      <c r="R769" s="299" t="s">
        <v>1888</v>
      </c>
      <c r="S769" s="299" t="s">
        <v>1861</v>
      </c>
      <c r="T769" s="253" t="s">
        <v>1491</v>
      </c>
      <c r="U769" s="299" t="s">
        <v>1972</v>
      </c>
      <c r="V769" s="299" t="s">
        <v>2832</v>
      </c>
    </row>
    <row r="770" spans="1:22" s="299" customFormat="1" ht="15.75" thickBot="1" x14ac:dyDescent="0.3">
      <c r="A770" s="292" t="s">
        <v>4683</v>
      </c>
      <c r="B770" s="292" t="s">
        <v>4683</v>
      </c>
      <c r="C770" s="292" t="s">
        <v>4683</v>
      </c>
      <c r="D770" s="276" t="s">
        <v>629</v>
      </c>
      <c r="E770" s="279" t="s">
        <v>1853</v>
      </c>
      <c r="F770" s="428" t="s">
        <v>620</v>
      </c>
      <c r="G770" s="429">
        <v>2006</v>
      </c>
      <c r="H770" s="382" t="s">
        <v>731</v>
      </c>
      <c r="I770" s="339" t="str">
        <f t="shared" si="46"/>
        <v>Pesado de Passageiros M3: III : Gasóleo : E4</v>
      </c>
      <c r="J770" s="268">
        <v>65</v>
      </c>
      <c r="K770" s="268">
        <v>2022</v>
      </c>
      <c r="L770" s="253">
        <v>20935.48</v>
      </c>
      <c r="M770" s="253" t="s">
        <v>630</v>
      </c>
      <c r="N770" s="254">
        <v>56432</v>
      </c>
      <c r="O770" s="254">
        <f t="shared" si="47"/>
        <v>3668080</v>
      </c>
      <c r="P770" s="268" t="s">
        <v>1377</v>
      </c>
      <c r="Q770" s="253" t="s">
        <v>47</v>
      </c>
      <c r="R770" s="299" t="s">
        <v>1888</v>
      </c>
      <c r="S770" s="299" t="s">
        <v>1861</v>
      </c>
      <c r="T770" s="253" t="s">
        <v>1491</v>
      </c>
      <c r="U770" s="299" t="s">
        <v>1972</v>
      </c>
      <c r="V770" s="299" t="s">
        <v>2832</v>
      </c>
    </row>
    <row r="771" spans="1:22" s="299" customFormat="1" ht="15.75" thickBot="1" x14ac:dyDescent="0.3">
      <c r="A771" s="292" t="s">
        <v>4683</v>
      </c>
      <c r="B771" s="292" t="s">
        <v>4683</v>
      </c>
      <c r="C771" s="292" t="s">
        <v>4683</v>
      </c>
      <c r="D771" s="276" t="s">
        <v>629</v>
      </c>
      <c r="E771" s="279" t="s">
        <v>1853</v>
      </c>
      <c r="F771" s="428" t="s">
        <v>620</v>
      </c>
      <c r="G771" s="429">
        <v>2004</v>
      </c>
      <c r="H771" s="382" t="s">
        <v>732</v>
      </c>
      <c r="I771" s="339" t="str">
        <f t="shared" si="46"/>
        <v>Pesado de Passageiros M3: III : Gasóleo : E3</v>
      </c>
      <c r="J771" s="268">
        <v>49</v>
      </c>
      <c r="K771" s="268">
        <v>2022</v>
      </c>
      <c r="L771" s="253">
        <v>20202.93</v>
      </c>
      <c r="M771" s="253" t="s">
        <v>630</v>
      </c>
      <c r="N771" s="254">
        <v>59286</v>
      </c>
      <c r="O771" s="254">
        <f t="shared" si="47"/>
        <v>2905014</v>
      </c>
      <c r="P771" s="268" t="s">
        <v>1378</v>
      </c>
      <c r="Q771" s="253" t="s">
        <v>47</v>
      </c>
      <c r="R771" s="299" t="s">
        <v>1888</v>
      </c>
      <c r="S771" s="299" t="s">
        <v>1861</v>
      </c>
      <c r="T771" s="253" t="s">
        <v>1491</v>
      </c>
      <c r="U771" s="299" t="s">
        <v>1972</v>
      </c>
      <c r="V771" s="299" t="s">
        <v>2832</v>
      </c>
    </row>
    <row r="772" spans="1:22" s="299" customFormat="1" ht="15.75" thickBot="1" x14ac:dyDescent="0.3">
      <c r="A772" s="292" t="s">
        <v>4683</v>
      </c>
      <c r="B772" s="292" t="s">
        <v>4683</v>
      </c>
      <c r="C772" s="292" t="s">
        <v>4683</v>
      </c>
      <c r="D772" s="276" t="s">
        <v>629</v>
      </c>
      <c r="E772" s="279" t="s">
        <v>1853</v>
      </c>
      <c r="F772" s="428" t="s">
        <v>620</v>
      </c>
      <c r="G772" s="429">
        <v>1998</v>
      </c>
      <c r="H772" s="382" t="s">
        <v>736</v>
      </c>
      <c r="I772" s="339" t="str">
        <f t="shared" ref="I772:I835" si="48">D772&amp;": "&amp;E772&amp;" : "&amp;F772&amp;" : "&amp;H772</f>
        <v>Pesado de Passageiros M3: III : Gasóleo : E1</v>
      </c>
      <c r="J772" s="268">
        <v>51</v>
      </c>
      <c r="K772" s="268">
        <v>2022</v>
      </c>
      <c r="L772" s="253">
        <v>10378.340000000002</v>
      </c>
      <c r="M772" s="253" t="s">
        <v>630</v>
      </c>
      <c r="N772" s="254">
        <v>27640</v>
      </c>
      <c r="O772" s="254">
        <f t="shared" ref="O772:O835" si="49">N772*J772</f>
        <v>1409640</v>
      </c>
      <c r="P772" s="268" t="s">
        <v>1379</v>
      </c>
      <c r="Q772" s="253" t="s">
        <v>47</v>
      </c>
      <c r="R772" s="299" t="s">
        <v>1888</v>
      </c>
      <c r="S772" s="299" t="s">
        <v>1861</v>
      </c>
      <c r="T772" s="253" t="s">
        <v>1491</v>
      </c>
      <c r="U772" s="299" t="s">
        <v>1972</v>
      </c>
      <c r="V772" s="299" t="s">
        <v>2832</v>
      </c>
    </row>
    <row r="773" spans="1:22" s="299" customFormat="1" ht="15.75" thickBot="1" x14ac:dyDescent="0.3">
      <c r="A773" s="292" t="s">
        <v>4683</v>
      </c>
      <c r="B773" s="292" t="s">
        <v>4683</v>
      </c>
      <c r="C773" s="292" t="s">
        <v>4683</v>
      </c>
      <c r="D773" s="276" t="s">
        <v>629</v>
      </c>
      <c r="E773" s="279" t="s">
        <v>1853</v>
      </c>
      <c r="F773" s="428" t="s">
        <v>620</v>
      </c>
      <c r="G773" s="429">
        <v>1999</v>
      </c>
      <c r="H773" s="382" t="s">
        <v>736</v>
      </c>
      <c r="I773" s="339" t="str">
        <f t="shared" si="48"/>
        <v>Pesado de Passageiros M3: III : Gasóleo : E1</v>
      </c>
      <c r="J773" s="268">
        <v>51</v>
      </c>
      <c r="K773" s="268">
        <v>2022</v>
      </c>
      <c r="L773" s="253">
        <v>8266.89</v>
      </c>
      <c r="M773" s="253" t="s">
        <v>630</v>
      </c>
      <c r="N773" s="254">
        <v>23147</v>
      </c>
      <c r="O773" s="254">
        <f t="shared" si="49"/>
        <v>1180497</v>
      </c>
      <c r="P773" s="268" t="s">
        <v>1380</v>
      </c>
      <c r="Q773" s="253" t="s">
        <v>47</v>
      </c>
      <c r="R773" s="299" t="s">
        <v>1888</v>
      </c>
      <c r="S773" s="299" t="s">
        <v>1861</v>
      </c>
      <c r="T773" s="253" t="s">
        <v>1491</v>
      </c>
      <c r="U773" s="299" t="s">
        <v>1972</v>
      </c>
      <c r="V773" s="299" t="s">
        <v>2832</v>
      </c>
    </row>
    <row r="774" spans="1:22" s="299" customFormat="1" ht="15.75" thickBot="1" x14ac:dyDescent="0.3">
      <c r="A774" s="292" t="s">
        <v>4683</v>
      </c>
      <c r="B774" s="292" t="s">
        <v>4683</v>
      </c>
      <c r="C774" s="292" t="s">
        <v>4683</v>
      </c>
      <c r="D774" s="276" t="s">
        <v>629</v>
      </c>
      <c r="E774" s="279" t="s">
        <v>1853</v>
      </c>
      <c r="F774" s="428" t="s">
        <v>620</v>
      </c>
      <c r="G774" s="429">
        <v>2001</v>
      </c>
      <c r="H774" s="382" t="s">
        <v>732</v>
      </c>
      <c r="I774" s="339" t="str">
        <f t="shared" si="48"/>
        <v>Pesado de Passageiros M3: III : Gasóleo : E3</v>
      </c>
      <c r="J774" s="268">
        <v>55</v>
      </c>
      <c r="K774" s="268">
        <v>2022</v>
      </c>
      <c r="L774" s="253">
        <v>16793.070000000003</v>
      </c>
      <c r="M774" s="253" t="s">
        <v>630</v>
      </c>
      <c r="N774" s="254">
        <v>44912</v>
      </c>
      <c r="O774" s="254">
        <f t="shared" si="49"/>
        <v>2470160</v>
      </c>
      <c r="P774" s="268" t="s">
        <v>1381</v>
      </c>
      <c r="Q774" s="253" t="s">
        <v>47</v>
      </c>
      <c r="R774" s="299" t="s">
        <v>1888</v>
      </c>
      <c r="S774" s="299" t="s">
        <v>1861</v>
      </c>
      <c r="T774" s="253" t="s">
        <v>1491</v>
      </c>
      <c r="U774" s="299" t="s">
        <v>1972</v>
      </c>
      <c r="V774" s="299" t="s">
        <v>2832</v>
      </c>
    </row>
    <row r="775" spans="1:22" s="299" customFormat="1" ht="15.75" thickBot="1" x14ac:dyDescent="0.3">
      <c r="A775" s="292" t="s">
        <v>4683</v>
      </c>
      <c r="B775" s="292" t="s">
        <v>4683</v>
      </c>
      <c r="C775" s="292" t="s">
        <v>4683</v>
      </c>
      <c r="D775" s="276" t="s">
        <v>629</v>
      </c>
      <c r="E775" s="279" t="s">
        <v>1853</v>
      </c>
      <c r="F775" s="428" t="s">
        <v>620</v>
      </c>
      <c r="G775" s="429">
        <v>2002</v>
      </c>
      <c r="H775" s="382" t="s">
        <v>732</v>
      </c>
      <c r="I775" s="339" t="str">
        <f t="shared" si="48"/>
        <v>Pesado de Passageiros M3: III : Gasóleo : E3</v>
      </c>
      <c r="J775" s="268">
        <v>57</v>
      </c>
      <c r="K775" s="268">
        <v>2022</v>
      </c>
      <c r="L775" s="253">
        <v>7996.85</v>
      </c>
      <c r="M775" s="253" t="s">
        <v>630</v>
      </c>
      <c r="N775" s="254">
        <v>21566</v>
      </c>
      <c r="O775" s="254">
        <f t="shared" si="49"/>
        <v>1229262</v>
      </c>
      <c r="P775" s="268" t="s">
        <v>1382</v>
      </c>
      <c r="Q775" s="253" t="s">
        <v>47</v>
      </c>
      <c r="R775" s="299" t="s">
        <v>1888</v>
      </c>
      <c r="S775" s="299" t="s">
        <v>1861</v>
      </c>
      <c r="T775" s="253" t="s">
        <v>1491</v>
      </c>
      <c r="U775" s="299" t="s">
        <v>1972</v>
      </c>
      <c r="V775" s="299" t="s">
        <v>2832</v>
      </c>
    </row>
    <row r="776" spans="1:22" s="299" customFormat="1" ht="15.75" thickBot="1" x14ac:dyDescent="0.3">
      <c r="A776" s="292" t="s">
        <v>4683</v>
      </c>
      <c r="B776" s="292" t="s">
        <v>4683</v>
      </c>
      <c r="C776" s="292" t="s">
        <v>4683</v>
      </c>
      <c r="D776" s="276" t="s">
        <v>629</v>
      </c>
      <c r="E776" s="279" t="s">
        <v>1853</v>
      </c>
      <c r="F776" s="428" t="s">
        <v>620</v>
      </c>
      <c r="G776" s="429">
        <v>1999</v>
      </c>
      <c r="H776" s="382" t="s">
        <v>736</v>
      </c>
      <c r="I776" s="339" t="str">
        <f t="shared" si="48"/>
        <v>Pesado de Passageiros M3: III : Gasóleo : E1</v>
      </c>
      <c r="J776" s="268">
        <v>83</v>
      </c>
      <c r="K776" s="268">
        <v>2022</v>
      </c>
      <c r="L776" s="253">
        <v>12291.969999999998</v>
      </c>
      <c r="M776" s="253" t="s">
        <v>630</v>
      </c>
      <c r="N776" s="254">
        <v>37270</v>
      </c>
      <c r="O776" s="254">
        <f t="shared" si="49"/>
        <v>3093410</v>
      </c>
      <c r="P776" s="268" t="s">
        <v>1383</v>
      </c>
      <c r="Q776" s="253" t="s">
        <v>47</v>
      </c>
      <c r="R776" s="299" t="s">
        <v>1888</v>
      </c>
      <c r="S776" s="299" t="s">
        <v>1861</v>
      </c>
      <c r="T776" s="253" t="s">
        <v>1491</v>
      </c>
      <c r="U776" s="299" t="s">
        <v>1972</v>
      </c>
      <c r="V776" s="299" t="s">
        <v>2832</v>
      </c>
    </row>
    <row r="777" spans="1:22" s="299" customFormat="1" ht="15.75" thickBot="1" x14ac:dyDescent="0.3">
      <c r="A777" s="292" t="s">
        <v>4683</v>
      </c>
      <c r="B777" s="292" t="s">
        <v>4683</v>
      </c>
      <c r="C777" s="292" t="s">
        <v>4683</v>
      </c>
      <c r="D777" s="276" t="s">
        <v>629</v>
      </c>
      <c r="E777" s="279" t="s">
        <v>1853</v>
      </c>
      <c r="F777" s="428" t="s">
        <v>620</v>
      </c>
      <c r="G777" s="429">
        <v>2000</v>
      </c>
      <c r="H777" s="382" t="s">
        <v>735</v>
      </c>
      <c r="I777" s="339" t="str">
        <f t="shared" si="48"/>
        <v>Pesado de Passageiros M3: III : Gasóleo : E2</v>
      </c>
      <c r="J777" s="268">
        <v>51</v>
      </c>
      <c r="K777" s="268">
        <v>2022</v>
      </c>
      <c r="L777" s="253">
        <v>8046.21</v>
      </c>
      <c r="M777" s="253" t="s">
        <v>630</v>
      </c>
      <c r="N777" s="254">
        <v>24305</v>
      </c>
      <c r="O777" s="254">
        <f t="shared" si="49"/>
        <v>1239555</v>
      </c>
      <c r="P777" s="268" t="s">
        <v>1384</v>
      </c>
      <c r="Q777" s="253" t="s">
        <v>47</v>
      </c>
      <c r="R777" s="299" t="s">
        <v>1888</v>
      </c>
      <c r="S777" s="299" t="s">
        <v>1861</v>
      </c>
      <c r="T777" s="253" t="s">
        <v>1491</v>
      </c>
      <c r="U777" s="299" t="s">
        <v>1972</v>
      </c>
      <c r="V777" s="299" t="s">
        <v>2832</v>
      </c>
    </row>
    <row r="778" spans="1:22" s="299" customFormat="1" ht="15.75" thickBot="1" x14ac:dyDescent="0.3">
      <c r="A778" s="292" t="s">
        <v>4683</v>
      </c>
      <c r="B778" s="292" t="s">
        <v>4683</v>
      </c>
      <c r="C778" s="292" t="s">
        <v>4683</v>
      </c>
      <c r="D778" s="276" t="s">
        <v>629</v>
      </c>
      <c r="E778" s="279" t="s">
        <v>1853</v>
      </c>
      <c r="F778" s="428" t="s">
        <v>620</v>
      </c>
      <c r="G778" s="429">
        <v>2004</v>
      </c>
      <c r="H778" s="382" t="s">
        <v>732</v>
      </c>
      <c r="I778" s="339" t="str">
        <f t="shared" si="48"/>
        <v>Pesado de Passageiros M3: III : Gasóleo : E3</v>
      </c>
      <c r="J778" s="268">
        <v>88</v>
      </c>
      <c r="K778" s="268">
        <v>2022</v>
      </c>
      <c r="L778" s="253">
        <v>23091.299999999996</v>
      </c>
      <c r="M778" s="253" t="s">
        <v>630</v>
      </c>
      <c r="N778" s="254">
        <v>56436</v>
      </c>
      <c r="O778" s="254">
        <f t="shared" si="49"/>
        <v>4966368</v>
      </c>
      <c r="P778" s="268" t="s">
        <v>1385</v>
      </c>
      <c r="Q778" s="253" t="s">
        <v>47</v>
      </c>
      <c r="R778" s="299" t="s">
        <v>1888</v>
      </c>
      <c r="S778" s="299" t="s">
        <v>1861</v>
      </c>
      <c r="T778" s="253" t="s">
        <v>1491</v>
      </c>
      <c r="U778" s="299" t="s">
        <v>1972</v>
      </c>
      <c r="V778" s="299" t="s">
        <v>2832</v>
      </c>
    </row>
    <row r="779" spans="1:22" s="299" customFormat="1" ht="15.75" thickBot="1" x14ac:dyDescent="0.3">
      <c r="A779" s="292" t="s">
        <v>4683</v>
      </c>
      <c r="B779" s="292" t="s">
        <v>4683</v>
      </c>
      <c r="C779" s="292" t="s">
        <v>4683</v>
      </c>
      <c r="D779" s="276" t="s">
        <v>629</v>
      </c>
      <c r="E779" s="279" t="s">
        <v>1853</v>
      </c>
      <c r="F779" s="428" t="s">
        <v>620</v>
      </c>
      <c r="G779" s="429">
        <v>2015</v>
      </c>
      <c r="H779" s="382" t="s">
        <v>733</v>
      </c>
      <c r="I779" s="339" t="str">
        <f t="shared" si="48"/>
        <v>Pesado de Passageiros M3: III : Gasóleo : E6</v>
      </c>
      <c r="J779" s="268">
        <v>53</v>
      </c>
      <c r="K779" s="268">
        <v>2022</v>
      </c>
      <c r="L779" s="253">
        <v>612.69000000000005</v>
      </c>
      <c r="M779" s="253" t="s">
        <v>630</v>
      </c>
      <c r="N779" s="254">
        <v>1786</v>
      </c>
      <c r="O779" s="254">
        <f t="shared" si="49"/>
        <v>94658</v>
      </c>
      <c r="P779" s="268" t="s">
        <v>1386</v>
      </c>
      <c r="Q779" s="253" t="s">
        <v>47</v>
      </c>
      <c r="R779" s="299" t="s">
        <v>1888</v>
      </c>
      <c r="S779" s="299" t="s">
        <v>1861</v>
      </c>
      <c r="T779" s="253" t="s">
        <v>1491</v>
      </c>
      <c r="U779" s="299" t="s">
        <v>1972</v>
      </c>
      <c r="V779" s="299" t="s">
        <v>2832</v>
      </c>
    </row>
    <row r="780" spans="1:22" s="299" customFormat="1" ht="15.75" thickBot="1" x14ac:dyDescent="0.3">
      <c r="A780" s="292" t="s">
        <v>4683</v>
      </c>
      <c r="B780" s="292" t="s">
        <v>4683</v>
      </c>
      <c r="C780" s="292" t="s">
        <v>4683</v>
      </c>
      <c r="D780" s="276" t="s">
        <v>629</v>
      </c>
      <c r="E780" s="279" t="s">
        <v>1853</v>
      </c>
      <c r="F780" s="428" t="s">
        <v>620</v>
      </c>
      <c r="G780" s="429">
        <v>2005</v>
      </c>
      <c r="H780" s="382" t="s">
        <v>732</v>
      </c>
      <c r="I780" s="339" t="str">
        <f t="shared" si="48"/>
        <v>Pesado de Passageiros M3: III : Gasóleo : E3</v>
      </c>
      <c r="J780" s="268">
        <v>75</v>
      </c>
      <c r="K780" s="268">
        <v>2022</v>
      </c>
      <c r="L780" s="253">
        <v>16768.46</v>
      </c>
      <c r="M780" s="253" t="s">
        <v>630</v>
      </c>
      <c r="N780" s="254">
        <v>53486</v>
      </c>
      <c r="O780" s="254">
        <f t="shared" si="49"/>
        <v>4011450</v>
      </c>
      <c r="P780" s="268" t="s">
        <v>1387</v>
      </c>
      <c r="Q780" s="253" t="s">
        <v>47</v>
      </c>
      <c r="R780" s="299" t="s">
        <v>1888</v>
      </c>
      <c r="S780" s="299" t="s">
        <v>1861</v>
      </c>
      <c r="T780" s="253" t="s">
        <v>1491</v>
      </c>
      <c r="U780" s="299" t="s">
        <v>1972</v>
      </c>
      <c r="V780" s="299" t="s">
        <v>2832</v>
      </c>
    </row>
    <row r="781" spans="1:22" s="299" customFormat="1" ht="15.75" thickBot="1" x14ac:dyDescent="0.3">
      <c r="A781" s="292" t="s">
        <v>4683</v>
      </c>
      <c r="B781" s="292" t="s">
        <v>4683</v>
      </c>
      <c r="C781" s="292" t="s">
        <v>4683</v>
      </c>
      <c r="D781" s="276" t="s">
        <v>629</v>
      </c>
      <c r="E781" s="279" t="s">
        <v>1853</v>
      </c>
      <c r="F781" s="428" t="s">
        <v>620</v>
      </c>
      <c r="G781" s="429">
        <v>2002</v>
      </c>
      <c r="H781" s="382" t="s">
        <v>732</v>
      </c>
      <c r="I781" s="339" t="str">
        <f t="shared" si="48"/>
        <v>Pesado de Passageiros M3: III : Gasóleo : E3</v>
      </c>
      <c r="J781" s="268">
        <v>97</v>
      </c>
      <c r="K781" s="268">
        <v>2022</v>
      </c>
      <c r="L781" s="253">
        <v>8320.9599999999991</v>
      </c>
      <c r="M781" s="253" t="s">
        <v>630</v>
      </c>
      <c r="N781" s="254">
        <v>20960</v>
      </c>
      <c r="O781" s="254">
        <f t="shared" si="49"/>
        <v>2033120</v>
      </c>
      <c r="P781" s="268" t="s">
        <v>1388</v>
      </c>
      <c r="Q781" s="253" t="s">
        <v>47</v>
      </c>
      <c r="R781" s="299" t="s">
        <v>1888</v>
      </c>
      <c r="S781" s="299" t="s">
        <v>1861</v>
      </c>
      <c r="T781" s="253" t="s">
        <v>1491</v>
      </c>
      <c r="U781" s="299" t="s">
        <v>1972</v>
      </c>
      <c r="V781" s="299" t="s">
        <v>2832</v>
      </c>
    </row>
    <row r="782" spans="1:22" s="299" customFormat="1" ht="15.75" thickBot="1" x14ac:dyDescent="0.3">
      <c r="A782" s="292" t="s">
        <v>4683</v>
      </c>
      <c r="B782" s="292" t="s">
        <v>4683</v>
      </c>
      <c r="C782" s="292" t="s">
        <v>4683</v>
      </c>
      <c r="D782" s="276" t="s">
        <v>629</v>
      </c>
      <c r="E782" s="279" t="s">
        <v>1853</v>
      </c>
      <c r="F782" s="428" t="s">
        <v>620</v>
      </c>
      <c r="G782" s="429">
        <v>2004</v>
      </c>
      <c r="H782" s="382" t="s">
        <v>732</v>
      </c>
      <c r="I782" s="339" t="str">
        <f t="shared" si="48"/>
        <v>Pesado de Passageiros M3: III : Gasóleo : E3</v>
      </c>
      <c r="J782" s="268">
        <v>60</v>
      </c>
      <c r="K782" s="268">
        <v>2022</v>
      </c>
      <c r="L782" s="253">
        <v>1235.43</v>
      </c>
      <c r="M782" s="253" t="s">
        <v>630</v>
      </c>
      <c r="N782" s="254">
        <v>3437</v>
      </c>
      <c r="O782" s="254">
        <f t="shared" si="49"/>
        <v>206220</v>
      </c>
      <c r="P782" s="268" t="s">
        <v>1115</v>
      </c>
      <c r="Q782" s="253" t="s">
        <v>47</v>
      </c>
      <c r="R782" s="299" t="s">
        <v>1888</v>
      </c>
      <c r="S782" s="299" t="s">
        <v>1861</v>
      </c>
      <c r="T782" s="253" t="s">
        <v>1491</v>
      </c>
      <c r="U782" s="299" t="s">
        <v>1972</v>
      </c>
      <c r="V782" s="299" t="s">
        <v>2832</v>
      </c>
    </row>
    <row r="783" spans="1:22" s="299" customFormat="1" ht="15.75" thickBot="1" x14ac:dyDescent="0.3">
      <c r="A783" s="292" t="s">
        <v>4683</v>
      </c>
      <c r="B783" s="292" t="s">
        <v>4683</v>
      </c>
      <c r="C783" s="292" t="s">
        <v>4683</v>
      </c>
      <c r="D783" s="276" t="s">
        <v>629</v>
      </c>
      <c r="E783" s="279" t="s">
        <v>1853</v>
      </c>
      <c r="F783" s="428" t="s">
        <v>620</v>
      </c>
      <c r="G783" s="429">
        <v>2015</v>
      </c>
      <c r="H783" s="382" t="s">
        <v>733</v>
      </c>
      <c r="I783" s="339" t="str">
        <f t="shared" si="48"/>
        <v>Pesado de Passageiros M3: III : Gasóleo : E6</v>
      </c>
      <c r="J783" s="268">
        <v>55</v>
      </c>
      <c r="K783" s="268">
        <v>2022</v>
      </c>
      <c r="L783" s="253">
        <v>7096.16</v>
      </c>
      <c r="M783" s="253" t="s">
        <v>630</v>
      </c>
      <c r="N783" s="254">
        <v>18428</v>
      </c>
      <c r="O783" s="254">
        <f t="shared" si="49"/>
        <v>1013540</v>
      </c>
      <c r="P783" s="268" t="s">
        <v>1389</v>
      </c>
      <c r="Q783" s="253" t="s">
        <v>47</v>
      </c>
      <c r="R783" s="299" t="s">
        <v>1888</v>
      </c>
      <c r="S783" s="299" t="s">
        <v>1861</v>
      </c>
      <c r="T783" s="253" t="s">
        <v>1491</v>
      </c>
      <c r="U783" s="299" t="s">
        <v>1972</v>
      </c>
      <c r="V783" s="299" t="s">
        <v>2832</v>
      </c>
    </row>
    <row r="784" spans="1:22" s="299" customFormat="1" ht="15.75" thickBot="1" x14ac:dyDescent="0.3">
      <c r="A784" s="292" t="s">
        <v>4683</v>
      </c>
      <c r="B784" s="292" t="s">
        <v>4683</v>
      </c>
      <c r="C784" s="292" t="s">
        <v>4683</v>
      </c>
      <c r="D784" s="276" t="s">
        <v>629</v>
      </c>
      <c r="E784" s="279" t="s">
        <v>1853</v>
      </c>
      <c r="F784" s="428" t="s">
        <v>620</v>
      </c>
      <c r="G784" s="429">
        <v>2005</v>
      </c>
      <c r="H784" s="382" t="s">
        <v>732</v>
      </c>
      <c r="I784" s="339" t="str">
        <f t="shared" si="48"/>
        <v>Pesado de Passageiros M3: III : Gasóleo : E3</v>
      </c>
      <c r="J784" s="268">
        <v>69</v>
      </c>
      <c r="K784" s="268">
        <v>2022</v>
      </c>
      <c r="L784" s="253">
        <v>6894</v>
      </c>
      <c r="M784" s="253" t="s">
        <v>630</v>
      </c>
      <c r="N784" s="254">
        <v>14981</v>
      </c>
      <c r="O784" s="254">
        <f t="shared" si="49"/>
        <v>1033689</v>
      </c>
      <c r="P784" s="268" t="s">
        <v>1116</v>
      </c>
      <c r="Q784" s="253" t="s">
        <v>47</v>
      </c>
      <c r="R784" s="299" t="s">
        <v>1888</v>
      </c>
      <c r="S784" s="299" t="s">
        <v>1861</v>
      </c>
      <c r="T784" s="253" t="s">
        <v>1491</v>
      </c>
      <c r="U784" s="299" t="s">
        <v>1972</v>
      </c>
      <c r="V784" s="299" t="s">
        <v>2832</v>
      </c>
    </row>
    <row r="785" spans="1:22" s="299" customFormat="1" ht="15.75" thickBot="1" x14ac:dyDescent="0.3">
      <c r="A785" s="292" t="s">
        <v>4683</v>
      </c>
      <c r="B785" s="292" t="s">
        <v>4683</v>
      </c>
      <c r="C785" s="292" t="s">
        <v>4683</v>
      </c>
      <c r="D785" s="276" t="s">
        <v>629</v>
      </c>
      <c r="E785" s="279" t="s">
        <v>1853</v>
      </c>
      <c r="F785" s="428" t="s">
        <v>620</v>
      </c>
      <c r="G785" s="429">
        <v>2005</v>
      </c>
      <c r="H785" s="382" t="s">
        <v>732</v>
      </c>
      <c r="I785" s="339" t="str">
        <f t="shared" si="48"/>
        <v>Pesado de Passageiros M3: III : Gasóleo : E3</v>
      </c>
      <c r="J785" s="268">
        <v>69</v>
      </c>
      <c r="K785" s="268">
        <v>2022</v>
      </c>
      <c r="L785" s="253">
        <v>9032.659999999998</v>
      </c>
      <c r="M785" s="253" t="s">
        <v>630</v>
      </c>
      <c r="N785" s="254">
        <v>18908</v>
      </c>
      <c r="O785" s="254">
        <f t="shared" si="49"/>
        <v>1304652</v>
      </c>
      <c r="P785" s="268" t="s">
        <v>1117</v>
      </c>
      <c r="Q785" s="253" t="s">
        <v>47</v>
      </c>
      <c r="R785" s="299" t="s">
        <v>1888</v>
      </c>
      <c r="S785" s="299" t="s">
        <v>1861</v>
      </c>
      <c r="T785" s="253" t="s">
        <v>1491</v>
      </c>
      <c r="U785" s="299" t="s">
        <v>1972</v>
      </c>
      <c r="V785" s="299" t="s">
        <v>2832</v>
      </c>
    </row>
    <row r="786" spans="1:22" s="299" customFormat="1" ht="15.75" thickBot="1" x14ac:dyDescent="0.3">
      <c r="A786" s="292" t="s">
        <v>4683</v>
      </c>
      <c r="B786" s="292" t="s">
        <v>4683</v>
      </c>
      <c r="C786" s="292" t="s">
        <v>4683</v>
      </c>
      <c r="D786" s="276" t="s">
        <v>629</v>
      </c>
      <c r="E786" s="279" t="s">
        <v>1853</v>
      </c>
      <c r="F786" s="428" t="s">
        <v>620</v>
      </c>
      <c r="G786" s="429">
        <v>2005</v>
      </c>
      <c r="H786" s="382" t="s">
        <v>732</v>
      </c>
      <c r="I786" s="339" t="str">
        <f t="shared" si="48"/>
        <v>Pesado de Passageiros M3: III : Gasóleo : E3</v>
      </c>
      <c r="J786" s="268">
        <v>69</v>
      </c>
      <c r="K786" s="268">
        <v>2022</v>
      </c>
      <c r="L786" s="253">
        <v>20933.16</v>
      </c>
      <c r="M786" s="253" t="s">
        <v>630</v>
      </c>
      <c r="N786" s="254">
        <v>47393</v>
      </c>
      <c r="O786" s="254">
        <f t="shared" si="49"/>
        <v>3270117</v>
      </c>
      <c r="P786" s="268" t="s">
        <v>1390</v>
      </c>
      <c r="Q786" s="253" t="s">
        <v>47</v>
      </c>
      <c r="R786" s="299" t="s">
        <v>1888</v>
      </c>
      <c r="S786" s="299" t="s">
        <v>1861</v>
      </c>
      <c r="T786" s="253" t="s">
        <v>1491</v>
      </c>
      <c r="U786" s="299" t="s">
        <v>1972</v>
      </c>
      <c r="V786" s="299" t="s">
        <v>2832</v>
      </c>
    </row>
    <row r="787" spans="1:22" s="299" customFormat="1" ht="15.75" thickBot="1" x14ac:dyDescent="0.3">
      <c r="A787" s="292" t="s">
        <v>4683</v>
      </c>
      <c r="B787" s="292" t="s">
        <v>4683</v>
      </c>
      <c r="C787" s="292" t="s">
        <v>4683</v>
      </c>
      <c r="D787" s="276" t="s">
        <v>629</v>
      </c>
      <c r="E787" s="279" t="s">
        <v>1853</v>
      </c>
      <c r="F787" s="428" t="s">
        <v>620</v>
      </c>
      <c r="G787" s="429">
        <v>2005</v>
      </c>
      <c r="H787" s="382" t="s">
        <v>732</v>
      </c>
      <c r="I787" s="339" t="str">
        <f t="shared" si="48"/>
        <v>Pesado de Passageiros M3: III : Gasóleo : E3</v>
      </c>
      <c r="J787" s="268">
        <v>69</v>
      </c>
      <c r="K787" s="268">
        <v>2022</v>
      </c>
      <c r="L787" s="253">
        <v>20458.75</v>
      </c>
      <c r="M787" s="253" t="s">
        <v>630</v>
      </c>
      <c r="N787" s="254">
        <v>44781</v>
      </c>
      <c r="O787" s="254">
        <f t="shared" si="49"/>
        <v>3089889</v>
      </c>
      <c r="P787" s="268" t="s">
        <v>1391</v>
      </c>
      <c r="Q787" s="253" t="s">
        <v>47</v>
      </c>
      <c r="R787" s="299" t="s">
        <v>1888</v>
      </c>
      <c r="S787" s="299" t="s">
        <v>1861</v>
      </c>
      <c r="T787" s="253" t="s">
        <v>1491</v>
      </c>
      <c r="U787" s="299" t="s">
        <v>1972</v>
      </c>
      <c r="V787" s="299" t="s">
        <v>2832</v>
      </c>
    </row>
    <row r="788" spans="1:22" s="299" customFormat="1" ht="15.75" thickBot="1" x14ac:dyDescent="0.3">
      <c r="A788" s="292" t="s">
        <v>4683</v>
      </c>
      <c r="B788" s="292" t="s">
        <v>4683</v>
      </c>
      <c r="C788" s="292" t="s">
        <v>4683</v>
      </c>
      <c r="D788" s="276" t="s">
        <v>629</v>
      </c>
      <c r="E788" s="279" t="s">
        <v>1853</v>
      </c>
      <c r="F788" s="428" t="s">
        <v>620</v>
      </c>
      <c r="G788" s="429">
        <v>2003</v>
      </c>
      <c r="H788" s="382" t="s">
        <v>732</v>
      </c>
      <c r="I788" s="339" t="str">
        <f t="shared" si="48"/>
        <v>Pesado de Passageiros M3: III : Gasóleo : E3</v>
      </c>
      <c r="J788" s="268">
        <v>65</v>
      </c>
      <c r="K788" s="268">
        <v>2022</v>
      </c>
      <c r="L788" s="253">
        <v>19755.523000000001</v>
      </c>
      <c r="M788" s="253" t="s">
        <v>630</v>
      </c>
      <c r="N788" s="254">
        <v>45517</v>
      </c>
      <c r="O788" s="254">
        <f t="shared" si="49"/>
        <v>2958605</v>
      </c>
      <c r="P788" s="268" t="s">
        <v>1392</v>
      </c>
      <c r="Q788" s="253" t="s">
        <v>47</v>
      </c>
      <c r="R788" s="299" t="s">
        <v>1888</v>
      </c>
      <c r="S788" s="299" t="s">
        <v>1861</v>
      </c>
      <c r="T788" s="253" t="s">
        <v>1491</v>
      </c>
      <c r="U788" s="299" t="s">
        <v>1972</v>
      </c>
      <c r="V788" s="299" t="s">
        <v>2832</v>
      </c>
    </row>
    <row r="789" spans="1:22" s="299" customFormat="1" ht="15.75" thickBot="1" x14ac:dyDescent="0.3">
      <c r="A789" s="292" t="s">
        <v>4683</v>
      </c>
      <c r="B789" s="292" t="s">
        <v>4683</v>
      </c>
      <c r="C789" s="292" t="s">
        <v>4683</v>
      </c>
      <c r="D789" s="276" t="s">
        <v>629</v>
      </c>
      <c r="E789" s="279" t="s">
        <v>1853</v>
      </c>
      <c r="F789" s="428" t="s">
        <v>620</v>
      </c>
      <c r="G789" s="429">
        <v>2007</v>
      </c>
      <c r="H789" s="382" t="s">
        <v>731</v>
      </c>
      <c r="I789" s="339" t="str">
        <f t="shared" si="48"/>
        <v>Pesado de Passageiros M3: III : Gasóleo : E4</v>
      </c>
      <c r="J789" s="268">
        <v>83</v>
      </c>
      <c r="K789" s="268">
        <v>2022</v>
      </c>
      <c r="L789" s="253">
        <v>12785.272000000001</v>
      </c>
      <c r="M789" s="253" t="s">
        <v>630</v>
      </c>
      <c r="N789" s="254">
        <v>41364</v>
      </c>
      <c r="O789" s="254">
        <f t="shared" si="49"/>
        <v>3433212</v>
      </c>
      <c r="P789" s="268" t="s">
        <v>1393</v>
      </c>
      <c r="Q789" s="253" t="s">
        <v>47</v>
      </c>
      <c r="R789" s="299" t="s">
        <v>1888</v>
      </c>
      <c r="S789" s="299" t="s">
        <v>1861</v>
      </c>
      <c r="T789" s="253" t="s">
        <v>1491</v>
      </c>
      <c r="U789" s="299" t="s">
        <v>1972</v>
      </c>
      <c r="V789" s="299" t="s">
        <v>2832</v>
      </c>
    </row>
    <row r="790" spans="1:22" s="299" customFormat="1" ht="15.75" thickBot="1" x14ac:dyDescent="0.3">
      <c r="A790" s="292" t="s">
        <v>4683</v>
      </c>
      <c r="B790" s="292" t="s">
        <v>4683</v>
      </c>
      <c r="C790" s="292" t="s">
        <v>4683</v>
      </c>
      <c r="D790" s="276" t="s">
        <v>629</v>
      </c>
      <c r="E790" s="279" t="s">
        <v>1853</v>
      </c>
      <c r="F790" s="428" t="s">
        <v>620</v>
      </c>
      <c r="G790" s="429">
        <v>2007</v>
      </c>
      <c r="H790" s="382" t="s">
        <v>731</v>
      </c>
      <c r="I790" s="339" t="str">
        <f t="shared" si="48"/>
        <v>Pesado de Passageiros M3: III : Gasóleo : E4</v>
      </c>
      <c r="J790" s="268">
        <v>83</v>
      </c>
      <c r="K790" s="268">
        <v>2022</v>
      </c>
      <c r="L790" s="253">
        <v>10119.300000000001</v>
      </c>
      <c r="M790" s="253" t="s">
        <v>630</v>
      </c>
      <c r="N790" s="254">
        <v>32187</v>
      </c>
      <c r="O790" s="254">
        <f t="shared" si="49"/>
        <v>2671521</v>
      </c>
      <c r="P790" s="268" t="s">
        <v>1394</v>
      </c>
      <c r="Q790" s="253" t="s">
        <v>47</v>
      </c>
      <c r="R790" s="299" t="s">
        <v>1888</v>
      </c>
      <c r="S790" s="299" t="s">
        <v>1861</v>
      </c>
      <c r="T790" s="253" t="s">
        <v>1491</v>
      </c>
      <c r="U790" s="299" t="s">
        <v>1972</v>
      </c>
      <c r="V790" s="299" t="s">
        <v>2832</v>
      </c>
    </row>
    <row r="791" spans="1:22" s="299" customFormat="1" ht="15.75" thickBot="1" x14ac:dyDescent="0.3">
      <c r="A791" s="292" t="s">
        <v>4683</v>
      </c>
      <c r="B791" s="292" t="s">
        <v>4683</v>
      </c>
      <c r="C791" s="292" t="s">
        <v>4683</v>
      </c>
      <c r="D791" s="276" t="s">
        <v>629</v>
      </c>
      <c r="E791" s="279" t="s">
        <v>1853</v>
      </c>
      <c r="F791" s="428" t="s">
        <v>620</v>
      </c>
      <c r="G791" s="429">
        <v>2007</v>
      </c>
      <c r="H791" s="382" t="s">
        <v>731</v>
      </c>
      <c r="I791" s="339" t="str">
        <f t="shared" si="48"/>
        <v>Pesado de Passageiros M3: III : Gasóleo : E4</v>
      </c>
      <c r="J791" s="268">
        <v>83</v>
      </c>
      <c r="K791" s="268">
        <v>2022</v>
      </c>
      <c r="L791" s="253">
        <v>15544.1</v>
      </c>
      <c r="M791" s="253" t="s">
        <v>630</v>
      </c>
      <c r="N791" s="254">
        <v>51069</v>
      </c>
      <c r="O791" s="254">
        <f t="shared" si="49"/>
        <v>4238727</v>
      </c>
      <c r="P791" s="268" t="s">
        <v>1395</v>
      </c>
      <c r="Q791" s="253" t="s">
        <v>47</v>
      </c>
      <c r="R791" s="299" t="s">
        <v>1888</v>
      </c>
      <c r="S791" s="299" t="s">
        <v>1861</v>
      </c>
      <c r="T791" s="253" t="s">
        <v>1491</v>
      </c>
      <c r="U791" s="299" t="s">
        <v>1972</v>
      </c>
      <c r="V791" s="299" t="s">
        <v>2832</v>
      </c>
    </row>
    <row r="792" spans="1:22" s="299" customFormat="1" ht="15.75" thickBot="1" x14ac:dyDescent="0.3">
      <c r="A792" s="292" t="s">
        <v>4683</v>
      </c>
      <c r="B792" s="292" t="s">
        <v>4683</v>
      </c>
      <c r="C792" s="292" t="s">
        <v>4683</v>
      </c>
      <c r="D792" s="276" t="s">
        <v>629</v>
      </c>
      <c r="E792" s="279" t="s">
        <v>1853</v>
      </c>
      <c r="F792" s="428" t="s">
        <v>620</v>
      </c>
      <c r="G792" s="429">
        <v>2007</v>
      </c>
      <c r="H792" s="382" t="s">
        <v>731</v>
      </c>
      <c r="I792" s="339" t="str">
        <f t="shared" si="48"/>
        <v>Pesado de Passageiros M3: III : Gasóleo : E4</v>
      </c>
      <c r="J792" s="268">
        <v>83</v>
      </c>
      <c r="K792" s="268">
        <v>2022</v>
      </c>
      <c r="L792" s="253">
        <v>12370.04</v>
      </c>
      <c r="M792" s="253" t="s">
        <v>630</v>
      </c>
      <c r="N792" s="254">
        <v>41081</v>
      </c>
      <c r="O792" s="254">
        <f t="shared" si="49"/>
        <v>3409723</v>
      </c>
      <c r="P792" s="268" t="s">
        <v>1396</v>
      </c>
      <c r="Q792" s="253" t="s">
        <v>47</v>
      </c>
      <c r="R792" s="299" t="s">
        <v>1888</v>
      </c>
      <c r="S792" s="299" t="s">
        <v>1861</v>
      </c>
      <c r="T792" s="253" t="s">
        <v>1491</v>
      </c>
      <c r="U792" s="299" t="s">
        <v>1972</v>
      </c>
      <c r="V792" s="299" t="s">
        <v>2832</v>
      </c>
    </row>
    <row r="793" spans="1:22" s="299" customFormat="1" ht="15.75" thickBot="1" x14ac:dyDescent="0.3">
      <c r="A793" s="292" t="s">
        <v>4683</v>
      </c>
      <c r="B793" s="292" t="s">
        <v>4683</v>
      </c>
      <c r="C793" s="292" t="s">
        <v>4683</v>
      </c>
      <c r="D793" s="276" t="s">
        <v>629</v>
      </c>
      <c r="E793" s="279" t="s">
        <v>1853</v>
      </c>
      <c r="F793" s="428" t="s">
        <v>620</v>
      </c>
      <c r="G793" s="429">
        <v>2004</v>
      </c>
      <c r="H793" s="382" t="s">
        <v>732</v>
      </c>
      <c r="I793" s="339" t="str">
        <f t="shared" si="48"/>
        <v>Pesado de Passageiros M3: III : Gasóleo : E3</v>
      </c>
      <c r="J793" s="268">
        <v>85</v>
      </c>
      <c r="K793" s="268">
        <v>2022</v>
      </c>
      <c r="L793" s="253">
        <v>21322.1</v>
      </c>
      <c r="M793" s="253" t="s">
        <v>630</v>
      </c>
      <c r="N793" s="254">
        <v>61951</v>
      </c>
      <c r="O793" s="254">
        <f t="shared" si="49"/>
        <v>5265835</v>
      </c>
      <c r="P793" s="268" t="s">
        <v>1397</v>
      </c>
      <c r="Q793" s="253" t="s">
        <v>47</v>
      </c>
      <c r="R793" s="299" t="s">
        <v>1888</v>
      </c>
      <c r="S793" s="299" t="s">
        <v>1861</v>
      </c>
      <c r="T793" s="253" t="s">
        <v>1491</v>
      </c>
      <c r="U793" s="299" t="s">
        <v>1972</v>
      </c>
      <c r="V793" s="299" t="s">
        <v>2832</v>
      </c>
    </row>
    <row r="794" spans="1:22" s="299" customFormat="1" ht="15.75" thickBot="1" x14ac:dyDescent="0.3">
      <c r="A794" s="292" t="s">
        <v>4683</v>
      </c>
      <c r="B794" s="292" t="s">
        <v>4683</v>
      </c>
      <c r="C794" s="292" t="s">
        <v>4683</v>
      </c>
      <c r="D794" s="276" t="s">
        <v>629</v>
      </c>
      <c r="E794" s="279" t="s">
        <v>1853</v>
      </c>
      <c r="F794" s="428" t="s">
        <v>620</v>
      </c>
      <c r="G794" s="429">
        <v>2008</v>
      </c>
      <c r="H794" s="382" t="s">
        <v>731</v>
      </c>
      <c r="I794" s="339" t="str">
        <f t="shared" si="48"/>
        <v>Pesado de Passageiros M3: III : Gasóleo : E4</v>
      </c>
      <c r="J794" s="268">
        <v>82</v>
      </c>
      <c r="K794" s="268">
        <v>2022</v>
      </c>
      <c r="L794" s="253">
        <v>7693.2300000000005</v>
      </c>
      <c r="M794" s="253" t="s">
        <v>630</v>
      </c>
      <c r="N794" s="254">
        <v>17614</v>
      </c>
      <c r="O794" s="254">
        <f t="shared" si="49"/>
        <v>1444348</v>
      </c>
      <c r="P794" s="268" t="s">
        <v>805</v>
      </c>
      <c r="Q794" s="253" t="s">
        <v>47</v>
      </c>
      <c r="R794" s="299" t="s">
        <v>1888</v>
      </c>
      <c r="S794" s="299" t="s">
        <v>1861</v>
      </c>
      <c r="T794" s="253" t="s">
        <v>1491</v>
      </c>
      <c r="U794" s="299" t="s">
        <v>1972</v>
      </c>
      <c r="V794" s="299" t="s">
        <v>2832</v>
      </c>
    </row>
    <row r="795" spans="1:22" s="299" customFormat="1" ht="15.75" thickBot="1" x14ac:dyDescent="0.3">
      <c r="A795" s="292" t="s">
        <v>4683</v>
      </c>
      <c r="B795" s="292" t="s">
        <v>4683</v>
      </c>
      <c r="C795" s="292" t="s">
        <v>4683</v>
      </c>
      <c r="D795" s="276" t="s">
        <v>629</v>
      </c>
      <c r="E795" s="279" t="s">
        <v>1853</v>
      </c>
      <c r="F795" s="428" t="s">
        <v>620</v>
      </c>
      <c r="G795" s="429">
        <v>2008</v>
      </c>
      <c r="H795" s="382" t="s">
        <v>731</v>
      </c>
      <c r="I795" s="339" t="str">
        <f t="shared" si="48"/>
        <v>Pesado de Passageiros M3: III : Gasóleo : E4</v>
      </c>
      <c r="J795" s="268">
        <v>27</v>
      </c>
      <c r="K795" s="268">
        <v>2022</v>
      </c>
      <c r="L795" s="253">
        <v>2598.2199999999998</v>
      </c>
      <c r="M795" s="253" t="s">
        <v>630</v>
      </c>
      <c r="N795" s="254">
        <v>13748</v>
      </c>
      <c r="O795" s="254">
        <f t="shared" si="49"/>
        <v>371196</v>
      </c>
      <c r="P795" s="268" t="s">
        <v>1398</v>
      </c>
      <c r="Q795" s="253" t="s">
        <v>47</v>
      </c>
      <c r="R795" s="299" t="s">
        <v>1888</v>
      </c>
      <c r="S795" s="299" t="s">
        <v>1861</v>
      </c>
      <c r="T795" s="253" t="s">
        <v>1491</v>
      </c>
      <c r="U795" s="299" t="s">
        <v>1972</v>
      </c>
      <c r="V795" s="299" t="s">
        <v>2832</v>
      </c>
    </row>
    <row r="796" spans="1:22" s="299" customFormat="1" ht="15.75" thickBot="1" x14ac:dyDescent="0.3">
      <c r="A796" s="292" t="s">
        <v>4683</v>
      </c>
      <c r="B796" s="292" t="s">
        <v>4683</v>
      </c>
      <c r="C796" s="292" t="s">
        <v>4683</v>
      </c>
      <c r="D796" s="276" t="s">
        <v>629</v>
      </c>
      <c r="E796" s="279" t="s">
        <v>1853</v>
      </c>
      <c r="F796" s="428" t="s">
        <v>620</v>
      </c>
      <c r="G796" s="429">
        <v>2001</v>
      </c>
      <c r="H796" s="382" t="s">
        <v>732</v>
      </c>
      <c r="I796" s="339" t="str">
        <f t="shared" si="48"/>
        <v>Pesado de Passageiros M3: III : Gasóleo : E3</v>
      </c>
      <c r="J796" s="268">
        <v>55</v>
      </c>
      <c r="K796" s="268">
        <v>2022</v>
      </c>
      <c r="L796" s="253">
        <v>6450.49</v>
      </c>
      <c r="M796" s="253" t="s">
        <v>630</v>
      </c>
      <c r="N796" s="254">
        <v>17450</v>
      </c>
      <c r="O796" s="254">
        <f t="shared" si="49"/>
        <v>959750</v>
      </c>
      <c r="P796" s="268" t="s">
        <v>1399</v>
      </c>
      <c r="Q796" s="253" t="s">
        <v>47</v>
      </c>
      <c r="R796" s="299" t="s">
        <v>1888</v>
      </c>
      <c r="S796" s="299" t="s">
        <v>1861</v>
      </c>
      <c r="T796" s="253" t="s">
        <v>1491</v>
      </c>
      <c r="U796" s="299" t="s">
        <v>1972</v>
      </c>
      <c r="V796" s="299" t="s">
        <v>2832</v>
      </c>
    </row>
    <row r="797" spans="1:22" s="299" customFormat="1" ht="15.75" thickBot="1" x14ac:dyDescent="0.3">
      <c r="A797" s="292" t="s">
        <v>4683</v>
      </c>
      <c r="B797" s="292" t="s">
        <v>4683</v>
      </c>
      <c r="C797" s="292" t="s">
        <v>4683</v>
      </c>
      <c r="D797" s="276" t="s">
        <v>629</v>
      </c>
      <c r="E797" s="279" t="s">
        <v>1853</v>
      </c>
      <c r="F797" s="428" t="s">
        <v>620</v>
      </c>
      <c r="G797" s="429">
        <v>2000</v>
      </c>
      <c r="H797" s="382" t="s">
        <v>735</v>
      </c>
      <c r="I797" s="339" t="str">
        <f t="shared" si="48"/>
        <v>Pesado de Passageiros M3: III : Gasóleo : E2</v>
      </c>
      <c r="J797" s="268">
        <v>51</v>
      </c>
      <c r="K797" s="268">
        <v>2022</v>
      </c>
      <c r="L797" s="253">
        <v>7695.35</v>
      </c>
      <c r="M797" s="253" t="s">
        <v>630</v>
      </c>
      <c r="N797" s="254">
        <v>24415</v>
      </c>
      <c r="O797" s="254">
        <f t="shared" si="49"/>
        <v>1245165</v>
      </c>
      <c r="P797" s="268" t="s">
        <v>1400</v>
      </c>
      <c r="Q797" s="253" t="s">
        <v>47</v>
      </c>
      <c r="R797" s="299" t="s">
        <v>1888</v>
      </c>
      <c r="S797" s="299" t="s">
        <v>1861</v>
      </c>
      <c r="T797" s="253" t="s">
        <v>1491</v>
      </c>
      <c r="U797" s="299" t="s">
        <v>1972</v>
      </c>
      <c r="V797" s="299" t="s">
        <v>2832</v>
      </c>
    </row>
    <row r="798" spans="1:22" s="299" customFormat="1" ht="15.75" thickBot="1" x14ac:dyDescent="0.3">
      <c r="A798" s="292" t="s">
        <v>4683</v>
      </c>
      <c r="B798" s="292" t="s">
        <v>4683</v>
      </c>
      <c r="C798" s="292" t="s">
        <v>4683</v>
      </c>
      <c r="D798" s="276" t="s">
        <v>629</v>
      </c>
      <c r="E798" s="279" t="s">
        <v>1853</v>
      </c>
      <c r="F798" s="428" t="s">
        <v>620</v>
      </c>
      <c r="G798" s="429">
        <v>2008</v>
      </c>
      <c r="H798" s="382" t="s">
        <v>731</v>
      </c>
      <c r="I798" s="339" t="str">
        <f t="shared" si="48"/>
        <v>Pesado de Passageiros M3: III : Gasóleo : E4</v>
      </c>
      <c r="J798" s="268">
        <v>75</v>
      </c>
      <c r="K798" s="268">
        <v>2022</v>
      </c>
      <c r="L798" s="253">
        <v>20023.730000000003</v>
      </c>
      <c r="M798" s="253" t="s">
        <v>630</v>
      </c>
      <c r="N798" s="254">
        <v>56165</v>
      </c>
      <c r="O798" s="254">
        <f t="shared" si="49"/>
        <v>4212375</v>
      </c>
      <c r="P798" s="268" t="s">
        <v>1401</v>
      </c>
      <c r="Q798" s="253" t="s">
        <v>47</v>
      </c>
      <c r="R798" s="299" t="s">
        <v>1888</v>
      </c>
      <c r="S798" s="299" t="s">
        <v>1861</v>
      </c>
      <c r="T798" s="253" t="s">
        <v>1491</v>
      </c>
      <c r="U798" s="299" t="s">
        <v>1972</v>
      </c>
      <c r="V798" s="299" t="s">
        <v>2832</v>
      </c>
    </row>
    <row r="799" spans="1:22" s="299" customFormat="1" ht="15.75" thickBot="1" x14ac:dyDescent="0.3">
      <c r="A799" s="292" t="s">
        <v>4683</v>
      </c>
      <c r="B799" s="292" t="s">
        <v>4683</v>
      </c>
      <c r="C799" s="292" t="s">
        <v>4683</v>
      </c>
      <c r="D799" s="276" t="s">
        <v>629</v>
      </c>
      <c r="E799" s="279" t="s">
        <v>1853</v>
      </c>
      <c r="F799" s="428" t="s">
        <v>620</v>
      </c>
      <c r="G799" s="429">
        <v>2008</v>
      </c>
      <c r="H799" s="382" t="s">
        <v>731</v>
      </c>
      <c r="I799" s="339" t="str">
        <f t="shared" si="48"/>
        <v>Pesado de Passageiros M3: III : Gasóleo : E4</v>
      </c>
      <c r="J799" s="268">
        <v>75</v>
      </c>
      <c r="K799" s="268">
        <v>2022</v>
      </c>
      <c r="L799" s="253">
        <v>16908.41</v>
      </c>
      <c r="M799" s="253" t="s">
        <v>630</v>
      </c>
      <c r="N799" s="254">
        <v>51974</v>
      </c>
      <c r="O799" s="254">
        <f t="shared" si="49"/>
        <v>3898050</v>
      </c>
      <c r="P799" s="268" t="s">
        <v>1402</v>
      </c>
      <c r="Q799" s="253" t="s">
        <v>47</v>
      </c>
      <c r="R799" s="299" t="s">
        <v>1888</v>
      </c>
      <c r="S799" s="299" t="s">
        <v>1861</v>
      </c>
      <c r="T799" s="253" t="s">
        <v>1491</v>
      </c>
      <c r="U799" s="299" t="s">
        <v>1972</v>
      </c>
      <c r="V799" s="299" t="s">
        <v>2832</v>
      </c>
    </row>
    <row r="800" spans="1:22" s="299" customFormat="1" ht="15.75" thickBot="1" x14ac:dyDescent="0.3">
      <c r="A800" s="292" t="s">
        <v>4683</v>
      </c>
      <c r="B800" s="292" t="s">
        <v>4683</v>
      </c>
      <c r="C800" s="292" t="s">
        <v>4683</v>
      </c>
      <c r="D800" s="276" t="s">
        <v>629</v>
      </c>
      <c r="E800" s="279" t="s">
        <v>1853</v>
      </c>
      <c r="F800" s="428" t="s">
        <v>620</v>
      </c>
      <c r="G800" s="429">
        <v>2011</v>
      </c>
      <c r="H800" s="382" t="s">
        <v>734</v>
      </c>
      <c r="I800" s="339" t="str">
        <f t="shared" si="48"/>
        <v>Pesado de Passageiros M3: III : Gasóleo : E5</v>
      </c>
      <c r="J800" s="268">
        <v>53</v>
      </c>
      <c r="K800" s="268">
        <v>2022</v>
      </c>
      <c r="L800" s="253">
        <v>18907.649999999998</v>
      </c>
      <c r="M800" s="253" t="s">
        <v>630</v>
      </c>
      <c r="N800" s="254">
        <v>57416</v>
      </c>
      <c r="O800" s="254">
        <f t="shared" si="49"/>
        <v>3043048</v>
      </c>
      <c r="P800" s="268" t="s">
        <v>1403</v>
      </c>
      <c r="Q800" s="253" t="s">
        <v>47</v>
      </c>
      <c r="R800" s="299" t="s">
        <v>1888</v>
      </c>
      <c r="S800" s="299" t="s">
        <v>1861</v>
      </c>
      <c r="T800" s="253" t="s">
        <v>1491</v>
      </c>
      <c r="U800" s="299" t="s">
        <v>1972</v>
      </c>
      <c r="V800" s="299" t="s">
        <v>2832</v>
      </c>
    </row>
    <row r="801" spans="1:22" s="299" customFormat="1" ht="15.75" thickBot="1" x14ac:dyDescent="0.3">
      <c r="A801" s="292" t="s">
        <v>4683</v>
      </c>
      <c r="B801" s="292" t="s">
        <v>4683</v>
      </c>
      <c r="C801" s="292" t="s">
        <v>4683</v>
      </c>
      <c r="D801" s="276" t="s">
        <v>629</v>
      </c>
      <c r="E801" s="279" t="s">
        <v>1853</v>
      </c>
      <c r="F801" s="428" t="s">
        <v>620</v>
      </c>
      <c r="G801" s="429">
        <v>1996</v>
      </c>
      <c r="H801" s="382" t="s">
        <v>736</v>
      </c>
      <c r="I801" s="339" t="str">
        <f t="shared" si="48"/>
        <v>Pesado de Passageiros M3: III : Gasóleo : E1</v>
      </c>
      <c r="J801" s="268">
        <v>52</v>
      </c>
      <c r="K801" s="268">
        <v>2022</v>
      </c>
      <c r="L801" s="253">
        <v>3438.91</v>
      </c>
      <c r="M801" s="253" t="s">
        <v>630</v>
      </c>
      <c r="N801" s="254">
        <v>10758</v>
      </c>
      <c r="O801" s="254">
        <f t="shared" si="49"/>
        <v>559416</v>
      </c>
      <c r="P801" s="268" t="s">
        <v>1404</v>
      </c>
      <c r="Q801" s="253" t="s">
        <v>47</v>
      </c>
      <c r="R801" s="299" t="s">
        <v>1888</v>
      </c>
      <c r="S801" s="299" t="s">
        <v>1861</v>
      </c>
      <c r="T801" s="253" t="s">
        <v>1491</v>
      </c>
      <c r="U801" s="299" t="s">
        <v>1972</v>
      </c>
      <c r="V801" s="299" t="s">
        <v>2832</v>
      </c>
    </row>
    <row r="802" spans="1:22" s="299" customFormat="1" ht="15.75" thickBot="1" x14ac:dyDescent="0.3">
      <c r="A802" s="292" t="s">
        <v>4683</v>
      </c>
      <c r="B802" s="292" t="s">
        <v>4683</v>
      </c>
      <c r="C802" s="292" t="s">
        <v>4683</v>
      </c>
      <c r="D802" s="276" t="s">
        <v>629</v>
      </c>
      <c r="E802" s="279" t="s">
        <v>1853</v>
      </c>
      <c r="F802" s="428" t="s">
        <v>620</v>
      </c>
      <c r="G802" s="429">
        <v>1996</v>
      </c>
      <c r="H802" s="382" t="s">
        <v>736</v>
      </c>
      <c r="I802" s="339" t="str">
        <f t="shared" si="48"/>
        <v>Pesado de Passageiros M3: III : Gasóleo : E1</v>
      </c>
      <c r="J802" s="268">
        <v>52</v>
      </c>
      <c r="K802" s="268">
        <v>2022</v>
      </c>
      <c r="L802" s="253">
        <v>6014.0800000000008</v>
      </c>
      <c r="M802" s="253" t="s">
        <v>630</v>
      </c>
      <c r="N802" s="254">
        <v>19024</v>
      </c>
      <c r="O802" s="254">
        <f t="shared" si="49"/>
        <v>989248</v>
      </c>
      <c r="P802" s="268" t="s">
        <v>1405</v>
      </c>
      <c r="Q802" s="253" t="s">
        <v>47</v>
      </c>
      <c r="R802" s="299" t="s">
        <v>1888</v>
      </c>
      <c r="S802" s="299" t="s">
        <v>1861</v>
      </c>
      <c r="T802" s="253" t="s">
        <v>1491</v>
      </c>
      <c r="U802" s="299" t="s">
        <v>1972</v>
      </c>
      <c r="V802" s="299" t="s">
        <v>2832</v>
      </c>
    </row>
    <row r="803" spans="1:22" s="299" customFormat="1" ht="15.75" thickBot="1" x14ac:dyDescent="0.3">
      <c r="A803" s="292" t="s">
        <v>4683</v>
      </c>
      <c r="B803" s="292" t="s">
        <v>4683</v>
      </c>
      <c r="C803" s="292" t="s">
        <v>4683</v>
      </c>
      <c r="D803" s="276" t="s">
        <v>629</v>
      </c>
      <c r="E803" s="279" t="s">
        <v>1853</v>
      </c>
      <c r="F803" s="428" t="s">
        <v>620</v>
      </c>
      <c r="G803" s="429">
        <v>1998</v>
      </c>
      <c r="H803" s="382" t="s">
        <v>736</v>
      </c>
      <c r="I803" s="339" t="str">
        <f t="shared" si="48"/>
        <v>Pesado de Passageiros M3: III : Gasóleo : E1</v>
      </c>
      <c r="J803" s="268">
        <v>70</v>
      </c>
      <c r="K803" s="268">
        <v>2022</v>
      </c>
      <c r="L803" s="253">
        <v>11912.08</v>
      </c>
      <c r="M803" s="253" t="s">
        <v>630</v>
      </c>
      <c r="N803" s="254">
        <v>33918</v>
      </c>
      <c r="O803" s="254">
        <f t="shared" si="49"/>
        <v>2374260</v>
      </c>
      <c r="P803" s="268" t="s">
        <v>1406</v>
      </c>
      <c r="Q803" s="253" t="s">
        <v>47</v>
      </c>
      <c r="R803" s="299" t="s">
        <v>1888</v>
      </c>
      <c r="S803" s="299" t="s">
        <v>1861</v>
      </c>
      <c r="T803" s="253" t="s">
        <v>1491</v>
      </c>
      <c r="U803" s="299" t="s">
        <v>1972</v>
      </c>
      <c r="V803" s="299" t="s">
        <v>2832</v>
      </c>
    </row>
    <row r="804" spans="1:22" s="299" customFormat="1" ht="15.75" thickBot="1" x14ac:dyDescent="0.3">
      <c r="A804" s="292" t="s">
        <v>4683</v>
      </c>
      <c r="B804" s="292" t="s">
        <v>4683</v>
      </c>
      <c r="C804" s="292" t="s">
        <v>4683</v>
      </c>
      <c r="D804" s="276" t="s">
        <v>629</v>
      </c>
      <c r="E804" s="279" t="s">
        <v>1853</v>
      </c>
      <c r="F804" s="428" t="s">
        <v>620</v>
      </c>
      <c r="G804" s="429">
        <v>1998</v>
      </c>
      <c r="H804" s="382" t="s">
        <v>736</v>
      </c>
      <c r="I804" s="339" t="str">
        <f t="shared" si="48"/>
        <v>Pesado de Passageiros M3: III : Gasóleo : E1</v>
      </c>
      <c r="J804" s="268">
        <v>70</v>
      </c>
      <c r="K804" s="268">
        <v>2022</v>
      </c>
      <c r="L804" s="253">
        <v>5763.39</v>
      </c>
      <c r="M804" s="253" t="s">
        <v>630</v>
      </c>
      <c r="N804" s="254">
        <v>16062</v>
      </c>
      <c r="O804" s="254">
        <f t="shared" si="49"/>
        <v>1124340</v>
      </c>
      <c r="P804" s="268" t="s">
        <v>1407</v>
      </c>
      <c r="Q804" s="253" t="s">
        <v>47</v>
      </c>
      <c r="R804" s="299" t="s">
        <v>1888</v>
      </c>
      <c r="S804" s="299" t="s">
        <v>1861</v>
      </c>
      <c r="T804" s="253" t="s">
        <v>1491</v>
      </c>
      <c r="U804" s="299" t="s">
        <v>1972</v>
      </c>
      <c r="V804" s="299" t="s">
        <v>2832</v>
      </c>
    </row>
    <row r="805" spans="1:22" s="299" customFormat="1" ht="15.75" thickBot="1" x14ac:dyDescent="0.3">
      <c r="A805" s="292" t="s">
        <v>4683</v>
      </c>
      <c r="B805" s="292" t="s">
        <v>4683</v>
      </c>
      <c r="C805" s="292" t="s">
        <v>4683</v>
      </c>
      <c r="D805" s="276" t="s">
        <v>629</v>
      </c>
      <c r="E805" s="279" t="s">
        <v>1853</v>
      </c>
      <c r="F805" s="428" t="s">
        <v>620</v>
      </c>
      <c r="G805" s="429">
        <v>2008</v>
      </c>
      <c r="H805" s="382" t="s">
        <v>731</v>
      </c>
      <c r="I805" s="339" t="str">
        <f t="shared" si="48"/>
        <v>Pesado de Passageiros M3: III : Gasóleo : E4</v>
      </c>
      <c r="J805" s="268">
        <v>82</v>
      </c>
      <c r="K805" s="268">
        <v>2022</v>
      </c>
      <c r="L805" s="253">
        <v>16987.819999999996</v>
      </c>
      <c r="M805" s="253" t="s">
        <v>630</v>
      </c>
      <c r="N805" s="254">
        <v>46687</v>
      </c>
      <c r="O805" s="254">
        <f t="shared" si="49"/>
        <v>3828334</v>
      </c>
      <c r="P805" s="268" t="s">
        <v>1408</v>
      </c>
      <c r="Q805" s="253" t="s">
        <v>47</v>
      </c>
      <c r="R805" s="299" t="s">
        <v>1888</v>
      </c>
      <c r="S805" s="299" t="s">
        <v>1861</v>
      </c>
      <c r="T805" s="253" t="s">
        <v>1491</v>
      </c>
      <c r="U805" s="299" t="s">
        <v>1972</v>
      </c>
      <c r="V805" s="299" t="s">
        <v>2832</v>
      </c>
    </row>
    <row r="806" spans="1:22" s="299" customFormat="1" ht="15.75" thickBot="1" x14ac:dyDescent="0.3">
      <c r="A806" s="292" t="s">
        <v>4683</v>
      </c>
      <c r="B806" s="292" t="s">
        <v>4683</v>
      </c>
      <c r="C806" s="292" t="s">
        <v>4683</v>
      </c>
      <c r="D806" s="276" t="s">
        <v>629</v>
      </c>
      <c r="E806" s="279" t="s">
        <v>1853</v>
      </c>
      <c r="F806" s="428" t="s">
        <v>620</v>
      </c>
      <c r="G806" s="429">
        <v>2005</v>
      </c>
      <c r="H806" s="382" t="s">
        <v>732</v>
      </c>
      <c r="I806" s="339" t="str">
        <f t="shared" si="48"/>
        <v>Pesado de Passageiros M3: III : Gasóleo : E3</v>
      </c>
      <c r="J806" s="268">
        <v>86</v>
      </c>
      <c r="K806" s="268">
        <v>2022</v>
      </c>
      <c r="L806" s="253">
        <v>12880.411999999998</v>
      </c>
      <c r="M806" s="253" t="s">
        <v>630</v>
      </c>
      <c r="N806" s="254">
        <v>33670</v>
      </c>
      <c r="O806" s="254">
        <f t="shared" si="49"/>
        <v>2895620</v>
      </c>
      <c r="P806" s="268" t="s">
        <v>1409</v>
      </c>
      <c r="Q806" s="253" t="s">
        <v>47</v>
      </c>
      <c r="R806" s="299" t="s">
        <v>1888</v>
      </c>
      <c r="S806" s="299" t="s">
        <v>1861</v>
      </c>
      <c r="T806" s="253" t="s">
        <v>1491</v>
      </c>
      <c r="U806" s="299" t="s">
        <v>1972</v>
      </c>
      <c r="V806" s="299" t="s">
        <v>2832</v>
      </c>
    </row>
    <row r="807" spans="1:22" s="299" customFormat="1" ht="15.75" thickBot="1" x14ac:dyDescent="0.3">
      <c r="A807" s="292" t="s">
        <v>4683</v>
      </c>
      <c r="B807" s="292" t="s">
        <v>4683</v>
      </c>
      <c r="C807" s="292" t="s">
        <v>4683</v>
      </c>
      <c r="D807" s="276" t="s">
        <v>629</v>
      </c>
      <c r="E807" s="279" t="s">
        <v>1853</v>
      </c>
      <c r="F807" s="428" t="s">
        <v>620</v>
      </c>
      <c r="G807" s="429">
        <v>2005</v>
      </c>
      <c r="H807" s="382" t="s">
        <v>732</v>
      </c>
      <c r="I807" s="339" t="str">
        <f t="shared" si="48"/>
        <v>Pesado de Passageiros M3: III : Gasóleo : E3</v>
      </c>
      <c r="J807" s="268">
        <v>86</v>
      </c>
      <c r="K807" s="268">
        <v>2022</v>
      </c>
      <c r="L807" s="253">
        <v>11282.920000000002</v>
      </c>
      <c r="M807" s="253" t="s">
        <v>630</v>
      </c>
      <c r="N807" s="254">
        <v>30611</v>
      </c>
      <c r="O807" s="254">
        <f t="shared" si="49"/>
        <v>2632546</v>
      </c>
      <c r="P807" s="268" t="s">
        <v>1410</v>
      </c>
      <c r="Q807" s="253" t="s">
        <v>47</v>
      </c>
      <c r="R807" s="299" t="s">
        <v>1888</v>
      </c>
      <c r="S807" s="299" t="s">
        <v>1861</v>
      </c>
      <c r="T807" s="253" t="s">
        <v>1491</v>
      </c>
      <c r="U807" s="299" t="s">
        <v>1972</v>
      </c>
      <c r="V807" s="299" t="s">
        <v>2832</v>
      </c>
    </row>
    <row r="808" spans="1:22" s="299" customFormat="1" ht="15.75" thickBot="1" x14ac:dyDescent="0.3">
      <c r="A808" s="292" t="s">
        <v>4683</v>
      </c>
      <c r="B808" s="292" t="s">
        <v>4683</v>
      </c>
      <c r="C808" s="292" t="s">
        <v>4683</v>
      </c>
      <c r="D808" s="276" t="s">
        <v>629</v>
      </c>
      <c r="E808" s="279" t="s">
        <v>1853</v>
      </c>
      <c r="F808" s="428" t="s">
        <v>620</v>
      </c>
      <c r="G808" s="429">
        <v>2005</v>
      </c>
      <c r="H808" s="382" t="s">
        <v>732</v>
      </c>
      <c r="I808" s="339" t="str">
        <f t="shared" si="48"/>
        <v>Pesado de Passageiros M3: III : Gasóleo : E3</v>
      </c>
      <c r="J808" s="268">
        <v>34</v>
      </c>
      <c r="K808" s="268">
        <v>2022</v>
      </c>
      <c r="L808" s="253">
        <v>6447.1900000000005</v>
      </c>
      <c r="M808" s="253" t="s">
        <v>630</v>
      </c>
      <c r="N808" s="254">
        <v>23130</v>
      </c>
      <c r="O808" s="254">
        <f t="shared" si="49"/>
        <v>786420</v>
      </c>
      <c r="P808" s="268" t="s">
        <v>1411</v>
      </c>
      <c r="Q808" s="253" t="s">
        <v>47</v>
      </c>
      <c r="R808" s="299" t="s">
        <v>1888</v>
      </c>
      <c r="S808" s="299" t="s">
        <v>1861</v>
      </c>
      <c r="T808" s="253" t="s">
        <v>1491</v>
      </c>
      <c r="U808" s="299" t="s">
        <v>1972</v>
      </c>
      <c r="V808" s="299" t="s">
        <v>2832</v>
      </c>
    </row>
    <row r="809" spans="1:22" s="299" customFormat="1" ht="15.75" thickBot="1" x14ac:dyDescent="0.3">
      <c r="A809" s="292" t="s">
        <v>4683</v>
      </c>
      <c r="B809" s="292" t="s">
        <v>4683</v>
      </c>
      <c r="C809" s="292" t="s">
        <v>4683</v>
      </c>
      <c r="D809" s="276" t="s">
        <v>629</v>
      </c>
      <c r="E809" s="279" t="s">
        <v>1853</v>
      </c>
      <c r="F809" s="428" t="s">
        <v>620</v>
      </c>
      <c r="G809" s="429">
        <v>2005</v>
      </c>
      <c r="H809" s="382" t="s">
        <v>732</v>
      </c>
      <c r="I809" s="339" t="str">
        <f t="shared" si="48"/>
        <v>Pesado de Passageiros M3: III : Gasóleo : E3</v>
      </c>
      <c r="J809" s="268">
        <v>34</v>
      </c>
      <c r="K809" s="268">
        <v>2022</v>
      </c>
      <c r="L809" s="253">
        <v>9673.51</v>
      </c>
      <c r="M809" s="253" t="s">
        <v>630</v>
      </c>
      <c r="N809" s="254">
        <v>33303</v>
      </c>
      <c r="O809" s="254">
        <f t="shared" si="49"/>
        <v>1132302</v>
      </c>
      <c r="P809" s="268" t="s">
        <v>1412</v>
      </c>
      <c r="Q809" s="253" t="s">
        <v>47</v>
      </c>
      <c r="R809" s="299" t="s">
        <v>1888</v>
      </c>
      <c r="S809" s="299" t="s">
        <v>1861</v>
      </c>
      <c r="T809" s="253" t="s">
        <v>1491</v>
      </c>
      <c r="U809" s="299" t="s">
        <v>1972</v>
      </c>
      <c r="V809" s="299" t="s">
        <v>2832</v>
      </c>
    </row>
    <row r="810" spans="1:22" s="299" customFormat="1" ht="15.75" thickBot="1" x14ac:dyDescent="0.3">
      <c r="A810" s="292" t="s">
        <v>4683</v>
      </c>
      <c r="B810" s="292" t="s">
        <v>4683</v>
      </c>
      <c r="C810" s="292" t="s">
        <v>4683</v>
      </c>
      <c r="D810" s="276" t="s">
        <v>629</v>
      </c>
      <c r="E810" s="279" t="s">
        <v>1853</v>
      </c>
      <c r="F810" s="428" t="s">
        <v>620</v>
      </c>
      <c r="G810" s="429">
        <v>2001</v>
      </c>
      <c r="H810" s="382" t="s">
        <v>732</v>
      </c>
      <c r="I810" s="339" t="str">
        <f t="shared" si="48"/>
        <v>Pesado de Passageiros M3: III : Gasóleo : E3</v>
      </c>
      <c r="J810" s="268">
        <v>55</v>
      </c>
      <c r="K810" s="268">
        <v>2022</v>
      </c>
      <c r="L810" s="253">
        <v>7827.4400000000005</v>
      </c>
      <c r="M810" s="253" t="s">
        <v>630</v>
      </c>
      <c r="N810" s="254">
        <v>20528</v>
      </c>
      <c r="O810" s="254">
        <f t="shared" si="49"/>
        <v>1129040</v>
      </c>
      <c r="P810" s="268" t="s">
        <v>1413</v>
      </c>
      <c r="Q810" s="253" t="s">
        <v>47</v>
      </c>
      <c r="R810" s="299" t="s">
        <v>1888</v>
      </c>
      <c r="S810" s="299" t="s">
        <v>1861</v>
      </c>
      <c r="T810" s="253" t="s">
        <v>1491</v>
      </c>
      <c r="U810" s="299" t="s">
        <v>1972</v>
      </c>
      <c r="V810" s="299" t="s">
        <v>2832</v>
      </c>
    </row>
    <row r="811" spans="1:22" s="299" customFormat="1" ht="15.75" thickBot="1" x14ac:dyDescent="0.3">
      <c r="A811" s="292" t="s">
        <v>4683</v>
      </c>
      <c r="B811" s="292" t="s">
        <v>4683</v>
      </c>
      <c r="C811" s="292" t="s">
        <v>4683</v>
      </c>
      <c r="D811" s="276" t="s">
        <v>629</v>
      </c>
      <c r="E811" s="279" t="s">
        <v>1853</v>
      </c>
      <c r="F811" s="428" t="s">
        <v>620</v>
      </c>
      <c r="G811" s="429">
        <v>1999</v>
      </c>
      <c r="H811" s="382" t="s">
        <v>736</v>
      </c>
      <c r="I811" s="339" t="str">
        <f t="shared" si="48"/>
        <v>Pesado de Passageiros M3: III : Gasóleo : E1</v>
      </c>
      <c r="J811" s="268">
        <v>51</v>
      </c>
      <c r="K811" s="268">
        <v>2022</v>
      </c>
      <c r="L811" s="253">
        <v>7366.5700000000015</v>
      </c>
      <c r="M811" s="253" t="s">
        <v>630</v>
      </c>
      <c r="N811" s="254">
        <v>19297</v>
      </c>
      <c r="O811" s="254">
        <f t="shared" si="49"/>
        <v>984147</v>
      </c>
      <c r="P811" s="268" t="s">
        <v>1414</v>
      </c>
      <c r="Q811" s="253" t="s">
        <v>47</v>
      </c>
      <c r="R811" s="299" t="s">
        <v>1888</v>
      </c>
      <c r="S811" s="299" t="s">
        <v>1861</v>
      </c>
      <c r="T811" s="253" t="s">
        <v>1491</v>
      </c>
      <c r="U811" s="299" t="s">
        <v>1972</v>
      </c>
      <c r="V811" s="299" t="s">
        <v>2832</v>
      </c>
    </row>
    <row r="812" spans="1:22" s="299" customFormat="1" ht="15.75" thickBot="1" x14ac:dyDescent="0.3">
      <c r="A812" s="292" t="s">
        <v>4683</v>
      </c>
      <c r="B812" s="292" t="s">
        <v>4683</v>
      </c>
      <c r="C812" s="292" t="s">
        <v>4683</v>
      </c>
      <c r="D812" s="276" t="s">
        <v>629</v>
      </c>
      <c r="E812" s="279" t="s">
        <v>1853</v>
      </c>
      <c r="F812" s="428" t="s">
        <v>620</v>
      </c>
      <c r="G812" s="429">
        <v>2000</v>
      </c>
      <c r="H812" s="382" t="s">
        <v>735</v>
      </c>
      <c r="I812" s="339" t="str">
        <f t="shared" si="48"/>
        <v>Pesado de Passageiros M3: III : Gasóleo : E2</v>
      </c>
      <c r="J812" s="268">
        <v>49</v>
      </c>
      <c r="K812" s="268">
        <v>2022</v>
      </c>
      <c r="L812" s="253">
        <v>11768.87</v>
      </c>
      <c r="M812" s="253" t="s">
        <v>630</v>
      </c>
      <c r="N812" s="254">
        <v>32247</v>
      </c>
      <c r="O812" s="254">
        <f t="shared" si="49"/>
        <v>1580103</v>
      </c>
      <c r="P812" s="268" t="s">
        <v>1415</v>
      </c>
      <c r="Q812" s="253" t="s">
        <v>47</v>
      </c>
      <c r="R812" s="299" t="s">
        <v>1888</v>
      </c>
      <c r="S812" s="299" t="s">
        <v>1861</v>
      </c>
      <c r="T812" s="253" t="s">
        <v>1491</v>
      </c>
      <c r="U812" s="299" t="s">
        <v>1972</v>
      </c>
      <c r="V812" s="299" t="s">
        <v>2832</v>
      </c>
    </row>
    <row r="813" spans="1:22" s="299" customFormat="1" ht="15.75" thickBot="1" x14ac:dyDescent="0.3">
      <c r="A813" s="292" t="s">
        <v>4683</v>
      </c>
      <c r="B813" s="292" t="s">
        <v>4683</v>
      </c>
      <c r="C813" s="292" t="s">
        <v>4683</v>
      </c>
      <c r="D813" s="276" t="s">
        <v>629</v>
      </c>
      <c r="E813" s="279" t="s">
        <v>1853</v>
      </c>
      <c r="F813" s="428" t="s">
        <v>620</v>
      </c>
      <c r="G813" s="429">
        <v>2004</v>
      </c>
      <c r="H813" s="382" t="s">
        <v>732</v>
      </c>
      <c r="I813" s="339" t="str">
        <f t="shared" si="48"/>
        <v>Pesado de Passageiros M3: III : Gasóleo : E3</v>
      </c>
      <c r="J813" s="268">
        <v>53</v>
      </c>
      <c r="K813" s="268">
        <v>2022</v>
      </c>
      <c r="L813" s="253">
        <v>17773.616000000002</v>
      </c>
      <c r="M813" s="253" t="s">
        <v>630</v>
      </c>
      <c r="N813" s="254">
        <v>52908</v>
      </c>
      <c r="O813" s="254">
        <f t="shared" si="49"/>
        <v>2804124</v>
      </c>
      <c r="P813" s="268" t="s">
        <v>1416</v>
      </c>
      <c r="Q813" s="253" t="s">
        <v>47</v>
      </c>
      <c r="R813" s="299" t="s">
        <v>1888</v>
      </c>
      <c r="S813" s="299" t="s">
        <v>1861</v>
      </c>
      <c r="T813" s="253" t="s">
        <v>1491</v>
      </c>
      <c r="U813" s="299" t="s">
        <v>1972</v>
      </c>
      <c r="V813" s="299" t="s">
        <v>2832</v>
      </c>
    </row>
    <row r="814" spans="1:22" s="299" customFormat="1" ht="15.75" thickBot="1" x14ac:dyDescent="0.3">
      <c r="A814" s="292" t="s">
        <v>4683</v>
      </c>
      <c r="B814" s="292" t="s">
        <v>4683</v>
      </c>
      <c r="C814" s="292" t="s">
        <v>4683</v>
      </c>
      <c r="D814" s="276" t="s">
        <v>629</v>
      </c>
      <c r="E814" s="279" t="s">
        <v>1853</v>
      </c>
      <c r="F814" s="428" t="s">
        <v>620</v>
      </c>
      <c r="G814" s="429">
        <v>2004</v>
      </c>
      <c r="H814" s="382" t="s">
        <v>732</v>
      </c>
      <c r="I814" s="339" t="str">
        <f t="shared" si="48"/>
        <v>Pesado de Passageiros M3: III : Gasóleo : E3</v>
      </c>
      <c r="J814" s="268">
        <v>53</v>
      </c>
      <c r="K814" s="268">
        <v>2022</v>
      </c>
      <c r="L814" s="253">
        <v>13931.394</v>
      </c>
      <c r="M814" s="253" t="s">
        <v>630</v>
      </c>
      <c r="N814" s="254">
        <v>40879</v>
      </c>
      <c r="O814" s="254">
        <f t="shared" si="49"/>
        <v>2166587</v>
      </c>
      <c r="P814" s="268" t="s">
        <v>1417</v>
      </c>
      <c r="Q814" s="253" t="s">
        <v>47</v>
      </c>
      <c r="R814" s="299" t="s">
        <v>1888</v>
      </c>
      <c r="S814" s="299" t="s">
        <v>1861</v>
      </c>
      <c r="T814" s="253" t="s">
        <v>1491</v>
      </c>
      <c r="U814" s="299" t="s">
        <v>1972</v>
      </c>
      <c r="V814" s="299" t="s">
        <v>2832</v>
      </c>
    </row>
    <row r="815" spans="1:22" s="299" customFormat="1" ht="15.75" thickBot="1" x14ac:dyDescent="0.3">
      <c r="A815" s="292" t="s">
        <v>4683</v>
      </c>
      <c r="B815" s="292" t="s">
        <v>4683</v>
      </c>
      <c r="C815" s="292" t="s">
        <v>4683</v>
      </c>
      <c r="D815" s="276" t="s">
        <v>629</v>
      </c>
      <c r="E815" s="279" t="s">
        <v>1853</v>
      </c>
      <c r="F815" s="428" t="s">
        <v>620</v>
      </c>
      <c r="G815" s="429">
        <v>2004</v>
      </c>
      <c r="H815" s="382" t="s">
        <v>732</v>
      </c>
      <c r="I815" s="339" t="str">
        <f t="shared" si="48"/>
        <v>Pesado de Passageiros M3: III : Gasóleo : E3</v>
      </c>
      <c r="J815" s="268">
        <v>55</v>
      </c>
      <c r="K815" s="268">
        <v>2022</v>
      </c>
      <c r="L815" s="253">
        <v>20623.939999999999</v>
      </c>
      <c r="M815" s="253" t="s">
        <v>630</v>
      </c>
      <c r="N815" s="254">
        <v>55444</v>
      </c>
      <c r="O815" s="254">
        <f t="shared" si="49"/>
        <v>3049420</v>
      </c>
      <c r="P815" s="268" t="s">
        <v>1418</v>
      </c>
      <c r="Q815" s="253" t="s">
        <v>47</v>
      </c>
      <c r="R815" s="299" t="s">
        <v>1888</v>
      </c>
      <c r="S815" s="299" t="s">
        <v>1861</v>
      </c>
      <c r="T815" s="253" t="s">
        <v>1491</v>
      </c>
      <c r="U815" s="299" t="s">
        <v>1972</v>
      </c>
      <c r="V815" s="299" t="s">
        <v>2832</v>
      </c>
    </row>
    <row r="816" spans="1:22" s="299" customFormat="1" ht="15.75" thickBot="1" x14ac:dyDescent="0.3">
      <c r="A816" s="292" t="s">
        <v>4683</v>
      </c>
      <c r="B816" s="292" t="s">
        <v>4683</v>
      </c>
      <c r="C816" s="292" t="s">
        <v>4683</v>
      </c>
      <c r="D816" s="276" t="s">
        <v>629</v>
      </c>
      <c r="E816" s="279" t="s">
        <v>1853</v>
      </c>
      <c r="F816" s="428" t="s">
        <v>620</v>
      </c>
      <c r="G816" s="429">
        <v>2005</v>
      </c>
      <c r="H816" s="382" t="s">
        <v>732</v>
      </c>
      <c r="I816" s="339" t="str">
        <f t="shared" si="48"/>
        <v>Pesado de Passageiros M3: III : Gasóleo : E3</v>
      </c>
      <c r="J816" s="268">
        <v>37</v>
      </c>
      <c r="K816" s="268">
        <v>2022</v>
      </c>
      <c r="L816" s="253">
        <v>9046.1310000000012</v>
      </c>
      <c r="M816" s="253" t="s">
        <v>630</v>
      </c>
      <c r="N816" s="254">
        <v>26063</v>
      </c>
      <c r="O816" s="254">
        <f t="shared" si="49"/>
        <v>964331</v>
      </c>
      <c r="P816" s="268" t="s">
        <v>852</v>
      </c>
      <c r="Q816" s="253" t="s">
        <v>47</v>
      </c>
      <c r="R816" s="299" t="s">
        <v>1888</v>
      </c>
      <c r="S816" s="299" t="s">
        <v>1861</v>
      </c>
      <c r="T816" s="253" t="s">
        <v>1491</v>
      </c>
      <c r="U816" s="299" t="s">
        <v>1972</v>
      </c>
      <c r="V816" s="299" t="s">
        <v>2832</v>
      </c>
    </row>
    <row r="817" spans="1:22" s="299" customFormat="1" ht="15.75" thickBot="1" x14ac:dyDescent="0.3">
      <c r="A817" s="292" t="s">
        <v>4683</v>
      </c>
      <c r="B817" s="292" t="s">
        <v>4683</v>
      </c>
      <c r="C817" s="292" t="s">
        <v>4683</v>
      </c>
      <c r="D817" s="276" t="s">
        <v>629</v>
      </c>
      <c r="E817" s="279" t="s">
        <v>1853</v>
      </c>
      <c r="F817" s="428" t="s">
        <v>620</v>
      </c>
      <c r="G817" s="429">
        <v>2005</v>
      </c>
      <c r="H817" s="382" t="s">
        <v>732</v>
      </c>
      <c r="I817" s="339" t="str">
        <f t="shared" si="48"/>
        <v>Pesado de Passageiros M3: III : Gasóleo : E3</v>
      </c>
      <c r="J817" s="268">
        <v>37</v>
      </c>
      <c r="K817" s="268">
        <v>2022</v>
      </c>
      <c r="L817" s="253">
        <v>9857.1099999999988</v>
      </c>
      <c r="M817" s="253" t="s">
        <v>630</v>
      </c>
      <c r="N817" s="254">
        <v>28079</v>
      </c>
      <c r="O817" s="254">
        <f t="shared" si="49"/>
        <v>1038923</v>
      </c>
      <c r="P817" s="268" t="s">
        <v>854</v>
      </c>
      <c r="Q817" s="253" t="s">
        <v>47</v>
      </c>
      <c r="R817" s="299" t="s">
        <v>1888</v>
      </c>
      <c r="S817" s="299" t="s">
        <v>1861</v>
      </c>
      <c r="T817" s="253" t="s">
        <v>1491</v>
      </c>
      <c r="U817" s="299" t="s">
        <v>1972</v>
      </c>
      <c r="V817" s="299" t="s">
        <v>2832</v>
      </c>
    </row>
    <row r="818" spans="1:22" s="299" customFormat="1" ht="15.75" thickBot="1" x14ac:dyDescent="0.3">
      <c r="A818" s="292" t="s">
        <v>4685</v>
      </c>
      <c r="B818" s="292" t="s">
        <v>4685</v>
      </c>
      <c r="C818" s="292" t="s">
        <v>4685</v>
      </c>
      <c r="D818" s="276" t="s">
        <v>629</v>
      </c>
      <c r="E818" s="279" t="s">
        <v>1853</v>
      </c>
      <c r="F818" s="428" t="s">
        <v>620</v>
      </c>
      <c r="G818" s="429">
        <v>2002</v>
      </c>
      <c r="H818" s="382" t="s">
        <v>732</v>
      </c>
      <c r="I818" s="339" t="str">
        <f t="shared" si="48"/>
        <v>Pesado de Passageiros M3: III : Gasóleo : E3</v>
      </c>
      <c r="J818" s="268">
        <v>55</v>
      </c>
      <c r="K818" s="268">
        <v>2022</v>
      </c>
      <c r="L818" s="253">
        <v>4626.12</v>
      </c>
      <c r="M818" s="253" t="s">
        <v>630</v>
      </c>
      <c r="N818" s="254">
        <v>15896</v>
      </c>
      <c r="O818" s="254">
        <f t="shared" si="49"/>
        <v>874280</v>
      </c>
      <c r="P818" s="268" t="s">
        <v>1419</v>
      </c>
      <c r="Q818" s="253" t="s">
        <v>47</v>
      </c>
      <c r="R818" s="299" t="s">
        <v>1888</v>
      </c>
      <c r="S818" s="299" t="s">
        <v>1861</v>
      </c>
      <c r="T818" s="253" t="s">
        <v>1491</v>
      </c>
      <c r="U818" s="299" t="s">
        <v>1972</v>
      </c>
      <c r="V818" s="299" t="s">
        <v>2832</v>
      </c>
    </row>
    <row r="819" spans="1:22" s="299" customFormat="1" ht="15.75" thickBot="1" x14ac:dyDescent="0.3">
      <c r="A819" s="292" t="s">
        <v>4685</v>
      </c>
      <c r="B819" s="292" t="s">
        <v>4685</v>
      </c>
      <c r="C819" s="292" t="s">
        <v>4685</v>
      </c>
      <c r="D819" s="276" t="s">
        <v>629</v>
      </c>
      <c r="E819" s="279" t="s">
        <v>1853</v>
      </c>
      <c r="F819" s="428" t="s">
        <v>620</v>
      </c>
      <c r="G819" s="429">
        <v>2004</v>
      </c>
      <c r="H819" s="382" t="s">
        <v>732</v>
      </c>
      <c r="I819" s="339" t="str">
        <f t="shared" si="48"/>
        <v>Pesado de Passageiros M3: III : Gasóleo : E3</v>
      </c>
      <c r="J819" s="268">
        <v>53</v>
      </c>
      <c r="K819" s="268">
        <v>2022</v>
      </c>
      <c r="L819" s="253">
        <v>9057.39</v>
      </c>
      <c r="M819" s="253" t="s">
        <v>630</v>
      </c>
      <c r="N819" s="254">
        <v>25654</v>
      </c>
      <c r="O819" s="254">
        <f t="shared" si="49"/>
        <v>1359662</v>
      </c>
      <c r="P819" s="268" t="s">
        <v>1420</v>
      </c>
      <c r="Q819" s="253" t="s">
        <v>47</v>
      </c>
      <c r="R819" s="299" t="s">
        <v>1888</v>
      </c>
      <c r="S819" s="299" t="s">
        <v>1861</v>
      </c>
      <c r="T819" s="253" t="s">
        <v>1491</v>
      </c>
      <c r="U819" s="299" t="s">
        <v>1972</v>
      </c>
      <c r="V819" s="299" t="s">
        <v>2832</v>
      </c>
    </row>
    <row r="820" spans="1:22" s="299" customFormat="1" ht="15.75" thickBot="1" x14ac:dyDescent="0.3">
      <c r="A820" s="292" t="s">
        <v>4685</v>
      </c>
      <c r="B820" s="292" t="s">
        <v>4685</v>
      </c>
      <c r="C820" s="292" t="s">
        <v>4685</v>
      </c>
      <c r="D820" s="276" t="s">
        <v>629</v>
      </c>
      <c r="E820" s="279" t="s">
        <v>1853</v>
      </c>
      <c r="F820" s="428" t="s">
        <v>620</v>
      </c>
      <c r="G820" s="429">
        <v>2006</v>
      </c>
      <c r="H820" s="382" t="s">
        <v>731</v>
      </c>
      <c r="I820" s="339" t="str">
        <f t="shared" si="48"/>
        <v>Pesado de Passageiros M3: III : Gasóleo : E4</v>
      </c>
      <c r="J820" s="268">
        <v>55</v>
      </c>
      <c r="K820" s="268">
        <v>2022</v>
      </c>
      <c r="L820" s="253">
        <v>0</v>
      </c>
      <c r="M820" s="253" t="s">
        <v>630</v>
      </c>
      <c r="N820" s="254">
        <v>0</v>
      </c>
      <c r="O820" s="254">
        <f t="shared" si="49"/>
        <v>0</v>
      </c>
      <c r="P820" s="268" t="s">
        <v>1421</v>
      </c>
      <c r="Q820" s="253" t="s">
        <v>47</v>
      </c>
      <c r="R820" s="299" t="s">
        <v>1888</v>
      </c>
      <c r="S820" s="299" t="s">
        <v>1861</v>
      </c>
      <c r="T820" s="253" t="s">
        <v>1491</v>
      </c>
      <c r="U820" s="299" t="s">
        <v>1972</v>
      </c>
      <c r="V820" s="299" t="s">
        <v>2832</v>
      </c>
    </row>
    <row r="821" spans="1:22" s="299" customFormat="1" ht="15.75" thickBot="1" x14ac:dyDescent="0.3">
      <c r="A821" s="292" t="s">
        <v>4685</v>
      </c>
      <c r="B821" s="292" t="s">
        <v>4685</v>
      </c>
      <c r="C821" s="292" t="s">
        <v>4685</v>
      </c>
      <c r="D821" s="276" t="s">
        <v>629</v>
      </c>
      <c r="E821" s="279" t="s">
        <v>1853</v>
      </c>
      <c r="F821" s="428" t="s">
        <v>620</v>
      </c>
      <c r="G821" s="429">
        <v>2007</v>
      </c>
      <c r="H821" s="382" t="s">
        <v>731</v>
      </c>
      <c r="I821" s="339" t="str">
        <f t="shared" si="48"/>
        <v>Pesado de Passageiros M3: III : Gasóleo : E4</v>
      </c>
      <c r="J821" s="268">
        <v>36</v>
      </c>
      <c r="K821" s="268">
        <v>2022</v>
      </c>
      <c r="L821" s="253">
        <v>3062.1779999999999</v>
      </c>
      <c r="M821" s="253" t="s">
        <v>630</v>
      </c>
      <c r="N821" s="254">
        <v>10069</v>
      </c>
      <c r="O821" s="254">
        <f t="shared" si="49"/>
        <v>362484</v>
      </c>
      <c r="P821" s="268" t="s">
        <v>1422</v>
      </c>
      <c r="Q821" s="253" t="s">
        <v>47</v>
      </c>
      <c r="R821" s="299" t="s">
        <v>1888</v>
      </c>
      <c r="S821" s="299" t="s">
        <v>1861</v>
      </c>
      <c r="T821" s="253" t="s">
        <v>1491</v>
      </c>
      <c r="U821" s="299" t="s">
        <v>1972</v>
      </c>
      <c r="V821" s="299" t="s">
        <v>2832</v>
      </c>
    </row>
    <row r="822" spans="1:22" s="299" customFormat="1" ht="15.75" thickBot="1" x14ac:dyDescent="0.3">
      <c r="A822" s="292" t="s">
        <v>4685</v>
      </c>
      <c r="B822" s="292" t="s">
        <v>4685</v>
      </c>
      <c r="C822" s="292" t="s">
        <v>4685</v>
      </c>
      <c r="D822" s="276" t="s">
        <v>629</v>
      </c>
      <c r="E822" s="279" t="s">
        <v>1853</v>
      </c>
      <c r="F822" s="428" t="s">
        <v>620</v>
      </c>
      <c r="G822" s="429">
        <v>2008</v>
      </c>
      <c r="H822" s="382" t="s">
        <v>731</v>
      </c>
      <c r="I822" s="339" t="str">
        <f t="shared" si="48"/>
        <v>Pesado de Passageiros M3: III : Gasóleo : E4</v>
      </c>
      <c r="J822" s="268">
        <v>21</v>
      </c>
      <c r="K822" s="268">
        <v>2022</v>
      </c>
      <c r="L822" s="253">
        <v>51</v>
      </c>
      <c r="M822" s="253" t="s">
        <v>630</v>
      </c>
      <c r="N822" s="254">
        <v>188</v>
      </c>
      <c r="O822" s="254">
        <f t="shared" si="49"/>
        <v>3948</v>
      </c>
      <c r="P822" s="268" t="s">
        <v>1423</v>
      </c>
      <c r="Q822" s="253" t="s">
        <v>47</v>
      </c>
      <c r="R822" s="299" t="s">
        <v>1888</v>
      </c>
      <c r="S822" s="299" t="s">
        <v>1861</v>
      </c>
      <c r="T822" s="253" t="s">
        <v>1491</v>
      </c>
      <c r="U822" s="299" t="s">
        <v>1972</v>
      </c>
      <c r="V822" s="299" t="s">
        <v>2832</v>
      </c>
    </row>
    <row r="823" spans="1:22" s="299" customFormat="1" ht="15.75" thickBot="1" x14ac:dyDescent="0.3">
      <c r="A823" s="292" t="s">
        <v>4685</v>
      </c>
      <c r="B823" s="292" t="s">
        <v>4685</v>
      </c>
      <c r="C823" s="292" t="s">
        <v>4685</v>
      </c>
      <c r="D823" s="276" t="s">
        <v>629</v>
      </c>
      <c r="E823" s="279" t="s">
        <v>1853</v>
      </c>
      <c r="F823" s="428" t="s">
        <v>620</v>
      </c>
      <c r="G823" s="429">
        <v>2011</v>
      </c>
      <c r="H823" s="382" t="s">
        <v>734</v>
      </c>
      <c r="I823" s="339" t="str">
        <f t="shared" si="48"/>
        <v>Pesado de Passageiros M3: III : Gasóleo : E5</v>
      </c>
      <c r="J823" s="268">
        <v>53</v>
      </c>
      <c r="K823" s="268">
        <v>2022</v>
      </c>
      <c r="L823" s="253">
        <v>9566.42</v>
      </c>
      <c r="M823" s="253" t="s">
        <v>630</v>
      </c>
      <c r="N823" s="254">
        <v>29387</v>
      </c>
      <c r="O823" s="254">
        <f t="shared" si="49"/>
        <v>1557511</v>
      </c>
      <c r="P823" s="268" t="s">
        <v>1424</v>
      </c>
      <c r="Q823" s="253" t="s">
        <v>47</v>
      </c>
      <c r="R823" s="299" t="s">
        <v>1888</v>
      </c>
      <c r="S823" s="299" t="s">
        <v>1861</v>
      </c>
      <c r="T823" s="253" t="s">
        <v>1491</v>
      </c>
      <c r="U823" s="299" t="s">
        <v>1972</v>
      </c>
      <c r="V823" s="299" t="s">
        <v>2832</v>
      </c>
    </row>
    <row r="824" spans="1:22" s="299" customFormat="1" ht="15.75" thickBot="1" x14ac:dyDescent="0.3">
      <c r="A824" s="292" t="s">
        <v>4685</v>
      </c>
      <c r="B824" s="292" t="s">
        <v>4685</v>
      </c>
      <c r="C824" s="292" t="s">
        <v>4685</v>
      </c>
      <c r="D824" s="276" t="s">
        <v>629</v>
      </c>
      <c r="E824" s="279" t="s">
        <v>1853</v>
      </c>
      <c r="F824" s="428" t="s">
        <v>620</v>
      </c>
      <c r="G824" s="429">
        <v>2011</v>
      </c>
      <c r="H824" s="382" t="s">
        <v>734</v>
      </c>
      <c r="I824" s="339" t="str">
        <f t="shared" si="48"/>
        <v>Pesado de Passageiros M3: III : Gasóleo : E5</v>
      </c>
      <c r="J824" s="268">
        <v>53</v>
      </c>
      <c r="K824" s="268">
        <v>2022</v>
      </c>
      <c r="L824" s="253">
        <v>10759.15</v>
      </c>
      <c r="M824" s="253" t="s">
        <v>630</v>
      </c>
      <c r="N824" s="254">
        <v>32554</v>
      </c>
      <c r="O824" s="254">
        <f t="shared" si="49"/>
        <v>1725362</v>
      </c>
      <c r="P824" s="268" t="s">
        <v>1425</v>
      </c>
      <c r="Q824" s="253" t="s">
        <v>47</v>
      </c>
      <c r="R824" s="299" t="s">
        <v>1888</v>
      </c>
      <c r="S824" s="299" t="s">
        <v>1861</v>
      </c>
      <c r="T824" s="253" t="s">
        <v>1491</v>
      </c>
      <c r="U824" s="299" t="s">
        <v>1972</v>
      </c>
      <c r="V824" s="299" t="s">
        <v>2832</v>
      </c>
    </row>
    <row r="825" spans="1:22" s="299" customFormat="1" ht="15.75" thickBot="1" x14ac:dyDescent="0.3">
      <c r="A825" s="292" t="s">
        <v>4685</v>
      </c>
      <c r="B825" s="292" t="s">
        <v>4685</v>
      </c>
      <c r="C825" s="292" t="s">
        <v>4685</v>
      </c>
      <c r="D825" s="276" t="s">
        <v>629</v>
      </c>
      <c r="E825" s="279" t="s">
        <v>1853</v>
      </c>
      <c r="F825" s="428" t="s">
        <v>620</v>
      </c>
      <c r="G825" s="429">
        <v>2011</v>
      </c>
      <c r="H825" s="382" t="s">
        <v>734</v>
      </c>
      <c r="I825" s="339" t="str">
        <f t="shared" si="48"/>
        <v>Pesado de Passageiros M3: III : Gasóleo : E5</v>
      </c>
      <c r="J825" s="268">
        <v>53</v>
      </c>
      <c r="K825" s="268">
        <v>2022</v>
      </c>
      <c r="L825" s="253">
        <v>11748.06</v>
      </c>
      <c r="M825" s="253" t="s">
        <v>630</v>
      </c>
      <c r="N825" s="254">
        <v>36329</v>
      </c>
      <c r="O825" s="254">
        <f t="shared" si="49"/>
        <v>1925437</v>
      </c>
      <c r="P825" s="268" t="s">
        <v>1426</v>
      </c>
      <c r="Q825" s="253" t="s">
        <v>47</v>
      </c>
      <c r="R825" s="299" t="s">
        <v>1888</v>
      </c>
      <c r="S825" s="299" t="s">
        <v>1861</v>
      </c>
      <c r="T825" s="253" t="s">
        <v>1491</v>
      </c>
      <c r="U825" s="299" t="s">
        <v>1972</v>
      </c>
      <c r="V825" s="299" t="s">
        <v>2832</v>
      </c>
    </row>
    <row r="826" spans="1:22" s="299" customFormat="1" ht="15.75" thickBot="1" x14ac:dyDescent="0.3">
      <c r="A826" s="292" t="s">
        <v>4685</v>
      </c>
      <c r="B826" s="292" t="s">
        <v>4685</v>
      </c>
      <c r="C826" s="292" t="s">
        <v>4685</v>
      </c>
      <c r="D826" s="276" t="s">
        <v>629</v>
      </c>
      <c r="E826" s="279" t="s">
        <v>1853</v>
      </c>
      <c r="F826" s="428" t="s">
        <v>620</v>
      </c>
      <c r="G826" s="429">
        <v>2011</v>
      </c>
      <c r="H826" s="382" t="s">
        <v>734</v>
      </c>
      <c r="I826" s="339" t="str">
        <f t="shared" si="48"/>
        <v>Pesado de Passageiros M3: III : Gasóleo : E5</v>
      </c>
      <c r="J826" s="268">
        <v>53</v>
      </c>
      <c r="K826" s="268">
        <v>2022</v>
      </c>
      <c r="L826" s="253">
        <v>9661.5000000000018</v>
      </c>
      <c r="M826" s="253" t="s">
        <v>630</v>
      </c>
      <c r="N826" s="254">
        <v>29129</v>
      </c>
      <c r="O826" s="254">
        <f t="shared" si="49"/>
        <v>1543837</v>
      </c>
      <c r="P826" s="268" t="s">
        <v>1427</v>
      </c>
      <c r="Q826" s="253" t="s">
        <v>47</v>
      </c>
      <c r="R826" s="299" t="s">
        <v>1888</v>
      </c>
      <c r="S826" s="299" t="s">
        <v>1861</v>
      </c>
      <c r="T826" s="253" t="s">
        <v>1491</v>
      </c>
      <c r="U826" s="299" t="s">
        <v>1972</v>
      </c>
      <c r="V826" s="299" t="s">
        <v>2832</v>
      </c>
    </row>
    <row r="827" spans="1:22" s="299" customFormat="1" ht="15.75" thickBot="1" x14ac:dyDescent="0.3">
      <c r="A827" s="292" t="s">
        <v>4685</v>
      </c>
      <c r="B827" s="292" t="s">
        <v>4685</v>
      </c>
      <c r="C827" s="292" t="s">
        <v>4685</v>
      </c>
      <c r="D827" s="276" t="s">
        <v>629</v>
      </c>
      <c r="E827" s="279" t="s">
        <v>1853</v>
      </c>
      <c r="F827" s="428" t="s">
        <v>620</v>
      </c>
      <c r="G827" s="429">
        <v>2011</v>
      </c>
      <c r="H827" s="382" t="s">
        <v>734</v>
      </c>
      <c r="I827" s="339" t="str">
        <f t="shared" si="48"/>
        <v>Pesado de Passageiros M3: III : Gasóleo : E5</v>
      </c>
      <c r="J827" s="268">
        <v>53</v>
      </c>
      <c r="K827" s="268">
        <v>2022</v>
      </c>
      <c r="L827" s="253">
        <v>13771.939000000002</v>
      </c>
      <c r="M827" s="253" t="s">
        <v>630</v>
      </c>
      <c r="N827" s="254">
        <v>42376</v>
      </c>
      <c r="O827" s="254">
        <f t="shared" si="49"/>
        <v>2245928</v>
      </c>
      <c r="P827" s="268" t="s">
        <v>1428</v>
      </c>
      <c r="Q827" s="253" t="s">
        <v>47</v>
      </c>
      <c r="R827" s="299" t="s">
        <v>1888</v>
      </c>
      <c r="S827" s="299" t="s">
        <v>1861</v>
      </c>
      <c r="T827" s="253" t="s">
        <v>1491</v>
      </c>
      <c r="U827" s="299" t="s">
        <v>1972</v>
      </c>
      <c r="V827" s="299" t="s">
        <v>2832</v>
      </c>
    </row>
    <row r="828" spans="1:22" s="299" customFormat="1" ht="15.75" thickBot="1" x14ac:dyDescent="0.3">
      <c r="A828" s="292" t="s">
        <v>4685</v>
      </c>
      <c r="B828" s="292" t="s">
        <v>4685</v>
      </c>
      <c r="C828" s="292" t="s">
        <v>4685</v>
      </c>
      <c r="D828" s="276" t="s">
        <v>629</v>
      </c>
      <c r="E828" s="279" t="s">
        <v>1853</v>
      </c>
      <c r="F828" s="428" t="s">
        <v>620</v>
      </c>
      <c r="G828" s="429">
        <v>2011</v>
      </c>
      <c r="H828" s="382" t="s">
        <v>734</v>
      </c>
      <c r="I828" s="339" t="str">
        <f t="shared" si="48"/>
        <v>Pesado de Passageiros M3: III : Gasóleo : E5</v>
      </c>
      <c r="J828" s="268">
        <v>53</v>
      </c>
      <c r="K828" s="268">
        <v>2022</v>
      </c>
      <c r="L828" s="253">
        <v>9847.08</v>
      </c>
      <c r="M828" s="253" t="s">
        <v>630</v>
      </c>
      <c r="N828" s="254">
        <v>29941</v>
      </c>
      <c r="O828" s="254">
        <f t="shared" si="49"/>
        <v>1586873</v>
      </c>
      <c r="P828" s="268" t="s">
        <v>1429</v>
      </c>
      <c r="Q828" s="253" t="s">
        <v>47</v>
      </c>
      <c r="R828" s="299" t="s">
        <v>1888</v>
      </c>
      <c r="S828" s="299" t="s">
        <v>1861</v>
      </c>
      <c r="T828" s="253" t="s">
        <v>1491</v>
      </c>
      <c r="U828" s="299" t="s">
        <v>1972</v>
      </c>
      <c r="V828" s="299" t="s">
        <v>2832</v>
      </c>
    </row>
    <row r="829" spans="1:22" s="299" customFormat="1" ht="15.75" thickBot="1" x14ac:dyDescent="0.3">
      <c r="A829" s="292" t="s">
        <v>4685</v>
      </c>
      <c r="B829" s="292" t="s">
        <v>4685</v>
      </c>
      <c r="C829" s="292" t="s">
        <v>4685</v>
      </c>
      <c r="D829" s="276" t="s">
        <v>629</v>
      </c>
      <c r="E829" s="279" t="s">
        <v>1853</v>
      </c>
      <c r="F829" s="428" t="s">
        <v>620</v>
      </c>
      <c r="G829" s="429">
        <v>2011</v>
      </c>
      <c r="H829" s="382" t="s">
        <v>734</v>
      </c>
      <c r="I829" s="339" t="str">
        <f t="shared" si="48"/>
        <v>Pesado de Passageiros M3: III : Gasóleo : E5</v>
      </c>
      <c r="J829" s="268">
        <v>19</v>
      </c>
      <c r="K829" s="268">
        <v>2022</v>
      </c>
      <c r="L829" s="253">
        <v>0</v>
      </c>
      <c r="M829" s="253" t="s">
        <v>630</v>
      </c>
      <c r="N829" s="254">
        <v>0</v>
      </c>
      <c r="O829" s="254">
        <f t="shared" si="49"/>
        <v>0</v>
      </c>
      <c r="P829" s="268" t="s">
        <v>1430</v>
      </c>
      <c r="Q829" s="253" t="s">
        <v>47</v>
      </c>
      <c r="R829" s="299" t="s">
        <v>1888</v>
      </c>
      <c r="S829" s="299" t="s">
        <v>1861</v>
      </c>
      <c r="T829" s="253" t="s">
        <v>1491</v>
      </c>
      <c r="U829" s="299" t="s">
        <v>1972</v>
      </c>
      <c r="V829" s="299" t="s">
        <v>2832</v>
      </c>
    </row>
    <row r="830" spans="1:22" s="299" customFormat="1" ht="15.75" thickBot="1" x14ac:dyDescent="0.3">
      <c r="A830" s="292" t="s">
        <v>4685</v>
      </c>
      <c r="B830" s="292" t="s">
        <v>4685</v>
      </c>
      <c r="C830" s="292" t="s">
        <v>4685</v>
      </c>
      <c r="D830" s="276" t="s">
        <v>629</v>
      </c>
      <c r="E830" s="279" t="s">
        <v>1853</v>
      </c>
      <c r="F830" s="428" t="s">
        <v>620</v>
      </c>
      <c r="G830" s="429">
        <v>2013</v>
      </c>
      <c r="H830" s="382" t="s">
        <v>733</v>
      </c>
      <c r="I830" s="339" t="str">
        <f t="shared" si="48"/>
        <v>Pesado de Passageiros M3: III : Gasóleo : E6</v>
      </c>
      <c r="J830" s="268">
        <v>21</v>
      </c>
      <c r="K830" s="268">
        <v>2022</v>
      </c>
      <c r="L830" s="253">
        <v>359.09000000000003</v>
      </c>
      <c r="M830" s="253" t="s">
        <v>630</v>
      </c>
      <c r="N830" s="254">
        <v>2085</v>
      </c>
      <c r="O830" s="254">
        <f t="shared" si="49"/>
        <v>43785</v>
      </c>
      <c r="P830" s="268" t="s">
        <v>1431</v>
      </c>
      <c r="Q830" s="253" t="s">
        <v>47</v>
      </c>
      <c r="R830" s="299" t="s">
        <v>1888</v>
      </c>
      <c r="S830" s="299" t="s">
        <v>1861</v>
      </c>
      <c r="T830" s="253" t="s">
        <v>1491</v>
      </c>
      <c r="U830" s="299" t="s">
        <v>1972</v>
      </c>
      <c r="V830" s="299" t="s">
        <v>2832</v>
      </c>
    </row>
    <row r="831" spans="1:22" s="299" customFormat="1" ht="15.75" thickBot="1" x14ac:dyDescent="0.3">
      <c r="A831" s="292" t="s">
        <v>4685</v>
      </c>
      <c r="B831" s="292" t="s">
        <v>4685</v>
      </c>
      <c r="C831" s="292" t="s">
        <v>4685</v>
      </c>
      <c r="D831" s="276" t="s">
        <v>629</v>
      </c>
      <c r="E831" s="279" t="s">
        <v>1853</v>
      </c>
      <c r="F831" s="428" t="s">
        <v>620</v>
      </c>
      <c r="G831" s="429">
        <v>2015</v>
      </c>
      <c r="H831" s="382" t="s">
        <v>733</v>
      </c>
      <c r="I831" s="339" t="str">
        <f t="shared" si="48"/>
        <v>Pesado de Passageiros M3: III : Gasóleo : E6</v>
      </c>
      <c r="J831" s="268">
        <v>53</v>
      </c>
      <c r="K831" s="268">
        <v>2022</v>
      </c>
      <c r="L831" s="253">
        <v>13159.81</v>
      </c>
      <c r="M831" s="253" t="s">
        <v>630</v>
      </c>
      <c r="N831" s="254">
        <v>45164</v>
      </c>
      <c r="O831" s="254">
        <f t="shared" si="49"/>
        <v>2393692</v>
      </c>
      <c r="P831" s="268" t="s">
        <v>1432</v>
      </c>
      <c r="Q831" s="253" t="s">
        <v>47</v>
      </c>
      <c r="R831" s="299" t="s">
        <v>1888</v>
      </c>
      <c r="S831" s="299" t="s">
        <v>1861</v>
      </c>
      <c r="T831" s="253" t="s">
        <v>1491</v>
      </c>
      <c r="U831" s="299" t="s">
        <v>1972</v>
      </c>
      <c r="V831" s="299" t="s">
        <v>2832</v>
      </c>
    </row>
    <row r="832" spans="1:22" s="299" customFormat="1" ht="15.75" thickBot="1" x14ac:dyDescent="0.3">
      <c r="A832" s="292" t="s">
        <v>4685</v>
      </c>
      <c r="B832" s="292" t="s">
        <v>4685</v>
      </c>
      <c r="C832" s="292" t="s">
        <v>4685</v>
      </c>
      <c r="D832" s="276" t="s">
        <v>629</v>
      </c>
      <c r="E832" s="279" t="s">
        <v>1853</v>
      </c>
      <c r="F832" s="428" t="s">
        <v>620</v>
      </c>
      <c r="G832" s="429">
        <v>2015</v>
      </c>
      <c r="H832" s="382" t="s">
        <v>733</v>
      </c>
      <c r="I832" s="339" t="str">
        <f t="shared" si="48"/>
        <v>Pesado de Passageiros M3: III : Gasóleo : E6</v>
      </c>
      <c r="J832" s="268">
        <v>53</v>
      </c>
      <c r="K832" s="268">
        <v>2022</v>
      </c>
      <c r="L832" s="253">
        <v>14262.480000000001</v>
      </c>
      <c r="M832" s="253" t="s">
        <v>630</v>
      </c>
      <c r="N832" s="254">
        <v>47352</v>
      </c>
      <c r="O832" s="254">
        <f t="shared" si="49"/>
        <v>2509656</v>
      </c>
      <c r="P832" s="268" t="s">
        <v>1433</v>
      </c>
      <c r="Q832" s="253" t="s">
        <v>47</v>
      </c>
      <c r="R832" s="299" t="s">
        <v>1888</v>
      </c>
      <c r="S832" s="299" t="s">
        <v>1861</v>
      </c>
      <c r="T832" s="253" t="s">
        <v>1491</v>
      </c>
      <c r="U832" s="299" t="s">
        <v>1972</v>
      </c>
      <c r="V832" s="299" t="s">
        <v>2832</v>
      </c>
    </row>
    <row r="833" spans="1:22" s="299" customFormat="1" ht="15.75" thickBot="1" x14ac:dyDescent="0.3">
      <c r="A833" s="292" t="s">
        <v>4685</v>
      </c>
      <c r="B833" s="292" t="s">
        <v>4685</v>
      </c>
      <c r="C833" s="292" t="s">
        <v>4685</v>
      </c>
      <c r="D833" s="276" t="s">
        <v>629</v>
      </c>
      <c r="E833" s="279" t="s">
        <v>1853</v>
      </c>
      <c r="F833" s="428" t="s">
        <v>620</v>
      </c>
      <c r="G833" s="429">
        <v>2015</v>
      </c>
      <c r="H833" s="382" t="s">
        <v>733</v>
      </c>
      <c r="I833" s="339" t="str">
        <f t="shared" si="48"/>
        <v>Pesado de Passageiros M3: III : Gasóleo : E6</v>
      </c>
      <c r="J833" s="268">
        <v>53</v>
      </c>
      <c r="K833" s="268">
        <v>2022</v>
      </c>
      <c r="L833" s="253">
        <v>13601.14</v>
      </c>
      <c r="M833" s="253" t="s">
        <v>630</v>
      </c>
      <c r="N833" s="254">
        <v>46797</v>
      </c>
      <c r="O833" s="254">
        <f t="shared" si="49"/>
        <v>2480241</v>
      </c>
      <c r="P833" s="268" t="s">
        <v>1434</v>
      </c>
      <c r="Q833" s="253" t="s">
        <v>47</v>
      </c>
      <c r="R833" s="299" t="s">
        <v>1888</v>
      </c>
      <c r="S833" s="299" t="s">
        <v>1861</v>
      </c>
      <c r="T833" s="253" t="s">
        <v>1491</v>
      </c>
      <c r="U833" s="299" t="s">
        <v>1972</v>
      </c>
      <c r="V833" s="299" t="s">
        <v>2832</v>
      </c>
    </row>
    <row r="834" spans="1:22" s="299" customFormat="1" ht="15.75" thickBot="1" x14ac:dyDescent="0.3">
      <c r="A834" s="292" t="s">
        <v>4685</v>
      </c>
      <c r="B834" s="292" t="s">
        <v>4685</v>
      </c>
      <c r="C834" s="292" t="s">
        <v>4685</v>
      </c>
      <c r="D834" s="276" t="s">
        <v>629</v>
      </c>
      <c r="E834" s="279" t="s">
        <v>1853</v>
      </c>
      <c r="F834" s="428" t="s">
        <v>620</v>
      </c>
      <c r="G834" s="429">
        <v>2015</v>
      </c>
      <c r="H834" s="382" t="s">
        <v>733</v>
      </c>
      <c r="I834" s="339" t="str">
        <f t="shared" si="48"/>
        <v>Pesado de Passageiros M3: III : Gasóleo : E6</v>
      </c>
      <c r="J834" s="268">
        <v>59</v>
      </c>
      <c r="K834" s="268">
        <v>2022</v>
      </c>
      <c r="L834" s="253">
        <v>12887.129000000001</v>
      </c>
      <c r="M834" s="253" t="s">
        <v>630</v>
      </c>
      <c r="N834" s="254">
        <v>37771</v>
      </c>
      <c r="O834" s="254">
        <f t="shared" si="49"/>
        <v>2228489</v>
      </c>
      <c r="P834" s="268" t="s">
        <v>1435</v>
      </c>
      <c r="Q834" s="253" t="s">
        <v>47</v>
      </c>
      <c r="R834" s="299" t="s">
        <v>1888</v>
      </c>
      <c r="S834" s="299" t="s">
        <v>1861</v>
      </c>
      <c r="T834" s="253" t="s">
        <v>1491</v>
      </c>
      <c r="U834" s="299" t="s">
        <v>1972</v>
      </c>
      <c r="V834" s="299" t="s">
        <v>2832</v>
      </c>
    </row>
    <row r="835" spans="1:22" s="299" customFormat="1" ht="15.75" thickBot="1" x14ac:dyDescent="0.3">
      <c r="A835" s="292" t="s">
        <v>4685</v>
      </c>
      <c r="B835" s="292" t="s">
        <v>4685</v>
      </c>
      <c r="C835" s="292" t="s">
        <v>4685</v>
      </c>
      <c r="D835" s="276" t="s">
        <v>629</v>
      </c>
      <c r="E835" s="279" t="s">
        <v>1853</v>
      </c>
      <c r="F835" s="428" t="s">
        <v>620</v>
      </c>
      <c r="G835" s="429">
        <v>2016</v>
      </c>
      <c r="H835" s="382" t="s">
        <v>733</v>
      </c>
      <c r="I835" s="339" t="str">
        <f t="shared" si="48"/>
        <v>Pesado de Passageiros M3: III : Gasóleo : E6</v>
      </c>
      <c r="J835" s="268">
        <v>19</v>
      </c>
      <c r="K835" s="268">
        <v>2022</v>
      </c>
      <c r="L835" s="253">
        <v>873.28</v>
      </c>
      <c r="M835" s="253" t="s">
        <v>630</v>
      </c>
      <c r="N835" s="254">
        <v>4997</v>
      </c>
      <c r="O835" s="254">
        <f t="shared" si="49"/>
        <v>94943</v>
      </c>
      <c r="P835" s="268" t="s">
        <v>1436</v>
      </c>
      <c r="Q835" s="253" t="s">
        <v>47</v>
      </c>
      <c r="R835" s="299" t="s">
        <v>1888</v>
      </c>
      <c r="S835" s="299" t="s">
        <v>1861</v>
      </c>
      <c r="T835" s="253" t="s">
        <v>1491</v>
      </c>
      <c r="U835" s="299" t="s">
        <v>1972</v>
      </c>
      <c r="V835" s="299" t="s">
        <v>2832</v>
      </c>
    </row>
    <row r="836" spans="1:22" s="299" customFormat="1" ht="15.75" thickBot="1" x14ac:dyDescent="0.3">
      <c r="A836" s="292" t="s">
        <v>4685</v>
      </c>
      <c r="B836" s="292" t="s">
        <v>4685</v>
      </c>
      <c r="C836" s="292" t="s">
        <v>4685</v>
      </c>
      <c r="D836" s="276" t="s">
        <v>629</v>
      </c>
      <c r="E836" s="279" t="s">
        <v>1853</v>
      </c>
      <c r="F836" s="428" t="s">
        <v>620</v>
      </c>
      <c r="G836" s="429">
        <v>2016</v>
      </c>
      <c r="H836" s="382" t="s">
        <v>733</v>
      </c>
      <c r="I836" s="339" t="str">
        <f t="shared" ref="I836:I889" si="50">D836&amp;": "&amp;E836&amp;" : "&amp;F836&amp;" : "&amp;H836</f>
        <v>Pesado de Passageiros M3: III : Gasóleo : E6</v>
      </c>
      <c r="J836" s="268">
        <v>57</v>
      </c>
      <c r="K836" s="268">
        <v>2022</v>
      </c>
      <c r="L836" s="253">
        <v>12078.029999999999</v>
      </c>
      <c r="M836" s="253" t="s">
        <v>630</v>
      </c>
      <c r="N836" s="254">
        <v>36692</v>
      </c>
      <c r="O836" s="254">
        <f t="shared" ref="O836:O889" si="51">N836*J836</f>
        <v>2091444</v>
      </c>
      <c r="P836" s="268" t="s">
        <v>1437</v>
      </c>
      <c r="Q836" s="253" t="s">
        <v>47</v>
      </c>
      <c r="R836" s="299" t="s">
        <v>1888</v>
      </c>
      <c r="S836" s="299" t="s">
        <v>1861</v>
      </c>
      <c r="T836" s="253" t="s">
        <v>1491</v>
      </c>
      <c r="U836" s="299" t="s">
        <v>1972</v>
      </c>
      <c r="V836" s="299" t="s">
        <v>2832</v>
      </c>
    </row>
    <row r="837" spans="1:22" s="299" customFormat="1" ht="15.75" thickBot="1" x14ac:dyDescent="0.3">
      <c r="A837" s="292" t="s">
        <v>4685</v>
      </c>
      <c r="B837" s="292" t="s">
        <v>4685</v>
      </c>
      <c r="C837" s="292" t="s">
        <v>4685</v>
      </c>
      <c r="D837" s="276" t="s">
        <v>629</v>
      </c>
      <c r="E837" s="279" t="s">
        <v>1853</v>
      </c>
      <c r="F837" s="428" t="s">
        <v>620</v>
      </c>
      <c r="G837" s="429">
        <v>2016</v>
      </c>
      <c r="H837" s="382" t="s">
        <v>733</v>
      </c>
      <c r="I837" s="339" t="str">
        <f t="shared" si="50"/>
        <v>Pesado de Passageiros M3: III : Gasóleo : E6</v>
      </c>
      <c r="J837" s="268">
        <v>57</v>
      </c>
      <c r="K837" s="268">
        <v>2022</v>
      </c>
      <c r="L837" s="253">
        <v>12786.09</v>
      </c>
      <c r="M837" s="253" t="s">
        <v>630</v>
      </c>
      <c r="N837" s="254">
        <v>43958</v>
      </c>
      <c r="O837" s="254">
        <f t="shared" si="51"/>
        <v>2505606</v>
      </c>
      <c r="P837" s="268" t="s">
        <v>1438</v>
      </c>
      <c r="Q837" s="253" t="s">
        <v>47</v>
      </c>
      <c r="R837" s="299" t="s">
        <v>1888</v>
      </c>
      <c r="S837" s="299" t="s">
        <v>1861</v>
      </c>
      <c r="T837" s="253" t="s">
        <v>1491</v>
      </c>
      <c r="U837" s="299" t="s">
        <v>1972</v>
      </c>
      <c r="V837" s="299" t="s">
        <v>2832</v>
      </c>
    </row>
    <row r="838" spans="1:22" s="299" customFormat="1" ht="15.75" thickBot="1" x14ac:dyDescent="0.3">
      <c r="A838" s="292" t="s">
        <v>4685</v>
      </c>
      <c r="B838" s="292" t="s">
        <v>4685</v>
      </c>
      <c r="C838" s="292" t="s">
        <v>4685</v>
      </c>
      <c r="D838" s="276" t="s">
        <v>629</v>
      </c>
      <c r="E838" s="279" t="s">
        <v>1853</v>
      </c>
      <c r="F838" s="428" t="s">
        <v>620</v>
      </c>
      <c r="G838" s="429">
        <v>2017</v>
      </c>
      <c r="H838" s="382" t="s">
        <v>733</v>
      </c>
      <c r="I838" s="339" t="str">
        <f t="shared" si="50"/>
        <v>Pesado de Passageiros M3: III : Gasóleo : E6</v>
      </c>
      <c r="J838" s="268">
        <v>27</v>
      </c>
      <c r="K838" s="268">
        <v>2022</v>
      </c>
      <c r="L838" s="253">
        <v>3946.6199999999994</v>
      </c>
      <c r="M838" s="253" t="s">
        <v>630</v>
      </c>
      <c r="N838" s="254">
        <v>19234</v>
      </c>
      <c r="O838" s="254">
        <f t="shared" si="51"/>
        <v>519318</v>
      </c>
      <c r="P838" s="268" t="s">
        <v>1439</v>
      </c>
      <c r="Q838" s="253" t="s">
        <v>47</v>
      </c>
      <c r="R838" s="299" t="s">
        <v>1888</v>
      </c>
      <c r="S838" s="299" t="s">
        <v>1861</v>
      </c>
      <c r="T838" s="253" t="s">
        <v>1491</v>
      </c>
      <c r="U838" s="299" t="s">
        <v>1972</v>
      </c>
      <c r="V838" s="299" t="s">
        <v>2832</v>
      </c>
    </row>
    <row r="839" spans="1:22" s="299" customFormat="1" ht="15.75" thickBot="1" x14ac:dyDescent="0.3">
      <c r="A839" s="292" t="s">
        <v>4685</v>
      </c>
      <c r="B839" s="292" t="s">
        <v>4685</v>
      </c>
      <c r="C839" s="292" t="s">
        <v>4685</v>
      </c>
      <c r="D839" s="276" t="s">
        <v>629</v>
      </c>
      <c r="E839" s="279" t="s">
        <v>1853</v>
      </c>
      <c r="F839" s="428" t="s">
        <v>620</v>
      </c>
      <c r="G839" s="429">
        <v>2019</v>
      </c>
      <c r="H839" s="382" t="s">
        <v>733</v>
      </c>
      <c r="I839" s="339" t="str">
        <f t="shared" si="50"/>
        <v>Pesado de Passageiros M3: III : Gasóleo : E6</v>
      </c>
      <c r="J839" s="268">
        <v>19</v>
      </c>
      <c r="K839" s="268">
        <v>2022</v>
      </c>
      <c r="L839" s="253">
        <v>3503.5499999999997</v>
      </c>
      <c r="M839" s="253" t="s">
        <v>630</v>
      </c>
      <c r="N839" s="254">
        <v>23733</v>
      </c>
      <c r="O839" s="254">
        <f t="shared" si="51"/>
        <v>450927</v>
      </c>
      <c r="P839" s="268" t="s">
        <v>1440</v>
      </c>
      <c r="Q839" s="253" t="s">
        <v>47</v>
      </c>
      <c r="R839" s="299" t="s">
        <v>1888</v>
      </c>
      <c r="S839" s="299" t="s">
        <v>1861</v>
      </c>
      <c r="T839" s="253" t="s">
        <v>1491</v>
      </c>
      <c r="U839" s="299" t="s">
        <v>1972</v>
      </c>
      <c r="V839" s="299" t="s">
        <v>2832</v>
      </c>
    </row>
    <row r="840" spans="1:22" s="299" customFormat="1" ht="15.75" thickBot="1" x14ac:dyDescent="0.3">
      <c r="A840" s="292" t="s">
        <v>4685</v>
      </c>
      <c r="B840" s="292" t="s">
        <v>4685</v>
      </c>
      <c r="C840" s="292" t="s">
        <v>4685</v>
      </c>
      <c r="D840" s="276" t="s">
        <v>629</v>
      </c>
      <c r="E840" s="279" t="s">
        <v>1853</v>
      </c>
      <c r="F840" s="428" t="s">
        <v>620</v>
      </c>
      <c r="G840" s="429">
        <v>2019</v>
      </c>
      <c r="H840" s="382" t="s">
        <v>733</v>
      </c>
      <c r="I840" s="339" t="str">
        <f t="shared" si="50"/>
        <v>Pesado de Passageiros M3: III : Gasóleo : E6</v>
      </c>
      <c r="J840" s="268">
        <v>19</v>
      </c>
      <c r="K840" s="268">
        <v>2022</v>
      </c>
      <c r="L840" s="253">
        <v>2837.73</v>
      </c>
      <c r="M840" s="253" t="s">
        <v>630</v>
      </c>
      <c r="N840" s="254">
        <v>21133</v>
      </c>
      <c r="O840" s="254">
        <f t="shared" si="51"/>
        <v>401527</v>
      </c>
      <c r="P840" s="268" t="s">
        <v>1441</v>
      </c>
      <c r="Q840" s="253" t="s">
        <v>47</v>
      </c>
      <c r="R840" s="299" t="s">
        <v>1888</v>
      </c>
      <c r="S840" s="299" t="s">
        <v>1861</v>
      </c>
      <c r="T840" s="253" t="s">
        <v>1491</v>
      </c>
      <c r="U840" s="299" t="s">
        <v>1972</v>
      </c>
      <c r="V840" s="299" t="s">
        <v>2832</v>
      </c>
    </row>
    <row r="841" spans="1:22" s="299" customFormat="1" ht="15.75" thickBot="1" x14ac:dyDescent="0.3">
      <c r="A841" s="292" t="s">
        <v>4685</v>
      </c>
      <c r="B841" s="292" t="s">
        <v>4685</v>
      </c>
      <c r="C841" s="292" t="s">
        <v>4685</v>
      </c>
      <c r="D841" s="276" t="s">
        <v>629</v>
      </c>
      <c r="E841" s="279" t="s">
        <v>1853</v>
      </c>
      <c r="F841" s="428" t="s">
        <v>620</v>
      </c>
      <c r="G841" s="429">
        <v>2019</v>
      </c>
      <c r="H841" s="382" t="s">
        <v>733</v>
      </c>
      <c r="I841" s="339" t="str">
        <f t="shared" si="50"/>
        <v>Pesado de Passageiros M3: III : Gasóleo : E6</v>
      </c>
      <c r="J841" s="268">
        <v>53</v>
      </c>
      <c r="K841" s="268">
        <v>2022</v>
      </c>
      <c r="L841" s="253">
        <v>11244.230000000001</v>
      </c>
      <c r="M841" s="253" t="s">
        <v>630</v>
      </c>
      <c r="N841" s="254">
        <v>43739</v>
      </c>
      <c r="O841" s="254">
        <f t="shared" si="51"/>
        <v>2318167</v>
      </c>
      <c r="P841" s="268" t="s">
        <v>1442</v>
      </c>
      <c r="Q841" s="253" t="s">
        <v>47</v>
      </c>
      <c r="R841" s="299" t="s">
        <v>1888</v>
      </c>
      <c r="S841" s="299" t="s">
        <v>1861</v>
      </c>
      <c r="T841" s="253" t="s">
        <v>1491</v>
      </c>
      <c r="U841" s="299" t="s">
        <v>1972</v>
      </c>
      <c r="V841" s="299" t="s">
        <v>2832</v>
      </c>
    </row>
    <row r="842" spans="1:22" s="299" customFormat="1" ht="15.75" thickBot="1" x14ac:dyDescent="0.3">
      <c r="A842" s="292" t="s">
        <v>4685</v>
      </c>
      <c r="B842" s="292" t="s">
        <v>4685</v>
      </c>
      <c r="C842" s="292" t="s">
        <v>4685</v>
      </c>
      <c r="D842" s="276" t="s">
        <v>629</v>
      </c>
      <c r="E842" s="279" t="s">
        <v>1853</v>
      </c>
      <c r="F842" s="428" t="s">
        <v>620</v>
      </c>
      <c r="G842" s="429">
        <v>2019</v>
      </c>
      <c r="H842" s="382" t="s">
        <v>733</v>
      </c>
      <c r="I842" s="339" t="str">
        <f t="shared" si="50"/>
        <v>Pesado de Passageiros M3: III : Gasóleo : E6</v>
      </c>
      <c r="J842" s="268">
        <v>53</v>
      </c>
      <c r="K842" s="268">
        <v>2022</v>
      </c>
      <c r="L842" s="253">
        <v>12311.795000000002</v>
      </c>
      <c r="M842" s="253" t="s">
        <v>630</v>
      </c>
      <c r="N842" s="254">
        <v>48184</v>
      </c>
      <c r="O842" s="254">
        <f t="shared" si="51"/>
        <v>2553752</v>
      </c>
      <c r="P842" s="268" t="s">
        <v>1443</v>
      </c>
      <c r="Q842" s="253" t="s">
        <v>47</v>
      </c>
      <c r="R842" s="299" t="s">
        <v>1888</v>
      </c>
      <c r="S842" s="299" t="s">
        <v>1861</v>
      </c>
      <c r="T842" s="253" t="s">
        <v>1491</v>
      </c>
      <c r="U842" s="299" t="s">
        <v>1972</v>
      </c>
      <c r="V842" s="299" t="s">
        <v>2832</v>
      </c>
    </row>
    <row r="843" spans="1:22" s="299" customFormat="1" ht="15.75" thickBot="1" x14ac:dyDescent="0.3">
      <c r="A843" s="292" t="s">
        <v>4685</v>
      </c>
      <c r="B843" s="292" t="s">
        <v>4685</v>
      </c>
      <c r="C843" s="292" t="s">
        <v>4685</v>
      </c>
      <c r="D843" s="276" t="s">
        <v>629</v>
      </c>
      <c r="E843" s="279" t="s">
        <v>1853</v>
      </c>
      <c r="F843" s="428" t="s">
        <v>620</v>
      </c>
      <c r="G843" s="429">
        <v>2019</v>
      </c>
      <c r="H843" s="382" t="s">
        <v>733</v>
      </c>
      <c r="I843" s="339" t="str">
        <f t="shared" si="50"/>
        <v>Pesado de Passageiros M3: III : Gasóleo : E6</v>
      </c>
      <c r="J843" s="268">
        <v>53</v>
      </c>
      <c r="K843" s="268">
        <v>2022</v>
      </c>
      <c r="L843" s="253">
        <v>12666.49</v>
      </c>
      <c r="M843" s="253" t="s">
        <v>630</v>
      </c>
      <c r="N843" s="254">
        <v>51353</v>
      </c>
      <c r="O843" s="254">
        <f t="shared" si="51"/>
        <v>2721709</v>
      </c>
      <c r="P843" s="268" t="s">
        <v>1444</v>
      </c>
      <c r="Q843" s="253" t="s">
        <v>47</v>
      </c>
      <c r="R843" s="299" t="s">
        <v>1888</v>
      </c>
      <c r="S843" s="299" t="s">
        <v>1861</v>
      </c>
      <c r="T843" s="253" t="s">
        <v>1491</v>
      </c>
      <c r="U843" s="299" t="s">
        <v>1972</v>
      </c>
      <c r="V843" s="299" t="s">
        <v>2832</v>
      </c>
    </row>
    <row r="844" spans="1:22" s="299" customFormat="1" ht="15.75" thickBot="1" x14ac:dyDescent="0.3">
      <c r="A844" s="292" t="s">
        <v>4685</v>
      </c>
      <c r="B844" s="292" t="s">
        <v>4685</v>
      </c>
      <c r="C844" s="292" t="s">
        <v>4685</v>
      </c>
      <c r="D844" s="276" t="s">
        <v>629</v>
      </c>
      <c r="E844" s="279" t="s">
        <v>1853</v>
      </c>
      <c r="F844" s="428" t="s">
        <v>620</v>
      </c>
      <c r="G844" s="429">
        <v>2019</v>
      </c>
      <c r="H844" s="382" t="s">
        <v>733</v>
      </c>
      <c r="I844" s="339" t="str">
        <f t="shared" si="50"/>
        <v>Pesado de Passageiros M3: III : Gasóleo : E6</v>
      </c>
      <c r="J844" s="268">
        <v>53</v>
      </c>
      <c r="K844" s="268">
        <v>2022</v>
      </c>
      <c r="L844" s="253">
        <v>13616.699999999997</v>
      </c>
      <c r="M844" s="253" t="s">
        <v>630</v>
      </c>
      <c r="N844" s="254">
        <v>52946</v>
      </c>
      <c r="O844" s="254">
        <f t="shared" si="51"/>
        <v>2806138</v>
      </c>
      <c r="P844" s="268" t="s">
        <v>1445</v>
      </c>
      <c r="Q844" s="253" t="s">
        <v>47</v>
      </c>
      <c r="R844" s="299" t="s">
        <v>1888</v>
      </c>
      <c r="S844" s="299" t="s">
        <v>1861</v>
      </c>
      <c r="T844" s="253" t="s">
        <v>1491</v>
      </c>
      <c r="U844" s="299" t="s">
        <v>1972</v>
      </c>
      <c r="V844" s="299" t="s">
        <v>2832</v>
      </c>
    </row>
    <row r="845" spans="1:22" s="299" customFormat="1" ht="15.75" thickBot="1" x14ac:dyDescent="0.3">
      <c r="A845" s="292" t="s">
        <v>4685</v>
      </c>
      <c r="B845" s="292" t="s">
        <v>4685</v>
      </c>
      <c r="C845" s="292" t="s">
        <v>4685</v>
      </c>
      <c r="D845" s="276" t="s">
        <v>629</v>
      </c>
      <c r="E845" s="279" t="s">
        <v>1853</v>
      </c>
      <c r="F845" s="428" t="s">
        <v>620</v>
      </c>
      <c r="G845" s="429">
        <v>2019</v>
      </c>
      <c r="H845" s="382" t="s">
        <v>733</v>
      </c>
      <c r="I845" s="339" t="str">
        <f t="shared" si="50"/>
        <v>Pesado de Passageiros M3: III : Gasóleo : E6</v>
      </c>
      <c r="J845" s="268">
        <v>39</v>
      </c>
      <c r="K845" s="268">
        <v>2022</v>
      </c>
      <c r="L845" s="253">
        <v>8903.8000000000011</v>
      </c>
      <c r="M845" s="253" t="s">
        <v>630</v>
      </c>
      <c r="N845" s="254">
        <v>30965</v>
      </c>
      <c r="O845" s="254">
        <f t="shared" si="51"/>
        <v>1207635</v>
      </c>
      <c r="P845" s="268" t="s">
        <v>1446</v>
      </c>
      <c r="Q845" s="253" t="s">
        <v>47</v>
      </c>
      <c r="R845" s="299" t="s">
        <v>1888</v>
      </c>
      <c r="S845" s="299" t="s">
        <v>1861</v>
      </c>
      <c r="T845" s="253" t="s">
        <v>1491</v>
      </c>
      <c r="U845" s="299" t="s">
        <v>1972</v>
      </c>
      <c r="V845" s="299" t="s">
        <v>2832</v>
      </c>
    </row>
    <row r="846" spans="1:22" s="299" customFormat="1" ht="15.75" thickBot="1" x14ac:dyDescent="0.3">
      <c r="A846" s="292" t="s">
        <v>4685</v>
      </c>
      <c r="B846" s="292" t="s">
        <v>4685</v>
      </c>
      <c r="C846" s="292" t="s">
        <v>4685</v>
      </c>
      <c r="D846" s="276" t="s">
        <v>629</v>
      </c>
      <c r="E846" s="279" t="s">
        <v>1853</v>
      </c>
      <c r="F846" s="428" t="s">
        <v>620</v>
      </c>
      <c r="G846" s="429">
        <v>2019</v>
      </c>
      <c r="H846" s="382" t="s">
        <v>733</v>
      </c>
      <c r="I846" s="339" t="str">
        <f t="shared" si="50"/>
        <v>Pesado de Passageiros M3: III : Gasóleo : E6</v>
      </c>
      <c r="J846" s="268">
        <v>39</v>
      </c>
      <c r="K846" s="268">
        <v>2022</v>
      </c>
      <c r="L846" s="253">
        <v>10223.376</v>
      </c>
      <c r="M846" s="253" t="s">
        <v>630</v>
      </c>
      <c r="N846" s="254">
        <v>36034</v>
      </c>
      <c r="O846" s="254">
        <f t="shared" si="51"/>
        <v>1405326</v>
      </c>
      <c r="P846" s="268" t="s">
        <v>1447</v>
      </c>
      <c r="Q846" s="253" t="s">
        <v>47</v>
      </c>
      <c r="R846" s="299" t="s">
        <v>1888</v>
      </c>
      <c r="S846" s="299" t="s">
        <v>1861</v>
      </c>
      <c r="T846" s="253" t="s">
        <v>1491</v>
      </c>
      <c r="U846" s="299" t="s">
        <v>1972</v>
      </c>
      <c r="V846" s="299" t="s">
        <v>2832</v>
      </c>
    </row>
    <row r="847" spans="1:22" s="299" customFormat="1" ht="15.75" thickBot="1" x14ac:dyDescent="0.3">
      <c r="A847" s="292" t="s">
        <v>4685</v>
      </c>
      <c r="B847" s="292" t="s">
        <v>4685</v>
      </c>
      <c r="C847" s="292" t="s">
        <v>4685</v>
      </c>
      <c r="D847" s="276" t="s">
        <v>629</v>
      </c>
      <c r="E847" s="279" t="s">
        <v>1853</v>
      </c>
      <c r="F847" s="428" t="s">
        <v>620</v>
      </c>
      <c r="G847" s="429">
        <v>2020</v>
      </c>
      <c r="H847" s="382" t="s">
        <v>733</v>
      </c>
      <c r="I847" s="339" t="str">
        <f t="shared" si="50"/>
        <v>Pesado de Passageiros M3: III : Gasóleo : E6</v>
      </c>
      <c r="J847" s="268">
        <v>53</v>
      </c>
      <c r="K847" s="268">
        <v>2022</v>
      </c>
      <c r="L847" s="253">
        <v>10571.279999999999</v>
      </c>
      <c r="M847" s="253" t="s">
        <v>630</v>
      </c>
      <c r="N847" s="254">
        <v>38707</v>
      </c>
      <c r="O847" s="254">
        <f t="shared" si="51"/>
        <v>2051471</v>
      </c>
      <c r="P847" s="268" t="s">
        <v>1448</v>
      </c>
      <c r="Q847" s="253" t="s">
        <v>47</v>
      </c>
      <c r="R847" s="299" t="s">
        <v>1888</v>
      </c>
      <c r="S847" s="299" t="s">
        <v>1861</v>
      </c>
      <c r="T847" s="253" t="s">
        <v>1491</v>
      </c>
      <c r="U847" s="299" t="s">
        <v>1972</v>
      </c>
      <c r="V847" s="299" t="s">
        <v>2832</v>
      </c>
    </row>
    <row r="848" spans="1:22" s="299" customFormat="1" ht="15.75" thickBot="1" x14ac:dyDescent="0.3">
      <c r="A848" s="292" t="s">
        <v>4684</v>
      </c>
      <c r="B848" s="292" t="s">
        <v>4684</v>
      </c>
      <c r="C848" s="292" t="s">
        <v>4684</v>
      </c>
      <c r="D848" s="276" t="s">
        <v>629</v>
      </c>
      <c r="E848" s="279" t="s">
        <v>1970</v>
      </c>
      <c r="F848" s="428" t="s">
        <v>620</v>
      </c>
      <c r="G848" s="429">
        <v>2005</v>
      </c>
      <c r="H848" s="382" t="s">
        <v>732</v>
      </c>
      <c r="I848" s="339" t="str">
        <f t="shared" si="50"/>
        <v>Pesado de Passageiros M3: I : Gasóleo : E3</v>
      </c>
      <c r="J848" s="268">
        <v>21</v>
      </c>
      <c r="K848" s="268">
        <v>2022</v>
      </c>
      <c r="L848" s="253">
        <v>279.16999999999996</v>
      </c>
      <c r="M848" s="253" t="s">
        <v>630</v>
      </c>
      <c r="N848" s="254">
        <v>1480</v>
      </c>
      <c r="O848" s="254">
        <f t="shared" si="51"/>
        <v>31080</v>
      </c>
      <c r="P848" s="268" t="s">
        <v>1449</v>
      </c>
      <c r="Q848" s="253" t="s">
        <v>47</v>
      </c>
      <c r="R848" s="299" t="s">
        <v>1888</v>
      </c>
      <c r="S848" s="299" t="s">
        <v>1861</v>
      </c>
      <c r="T848" s="253" t="s">
        <v>1491</v>
      </c>
      <c r="U848" s="299" t="s">
        <v>1972</v>
      </c>
      <c r="V848" s="299" t="s">
        <v>2832</v>
      </c>
    </row>
    <row r="849" spans="1:22" s="299" customFormat="1" ht="15.75" thickBot="1" x14ac:dyDescent="0.3">
      <c r="A849" s="292" t="s">
        <v>4684</v>
      </c>
      <c r="B849" s="292" t="s">
        <v>4684</v>
      </c>
      <c r="C849" s="292" t="s">
        <v>4684</v>
      </c>
      <c r="D849" s="276" t="s">
        <v>629</v>
      </c>
      <c r="E849" s="279" t="s">
        <v>1970</v>
      </c>
      <c r="F849" s="428" t="s">
        <v>620</v>
      </c>
      <c r="G849" s="429">
        <v>2006</v>
      </c>
      <c r="H849" s="382" t="s">
        <v>731</v>
      </c>
      <c r="I849" s="339" t="str">
        <f t="shared" si="50"/>
        <v>Pesado de Passageiros M3: I : Gasóleo : E4</v>
      </c>
      <c r="J849" s="268">
        <v>19</v>
      </c>
      <c r="K849" s="268">
        <v>2022</v>
      </c>
      <c r="L849" s="253">
        <v>2315.7400000000002</v>
      </c>
      <c r="M849" s="253" t="s">
        <v>630</v>
      </c>
      <c r="N849" s="254">
        <v>13424</v>
      </c>
      <c r="O849" s="254">
        <f t="shared" si="51"/>
        <v>255056</v>
      </c>
      <c r="P849" s="268" t="s">
        <v>1450</v>
      </c>
      <c r="Q849" s="253" t="s">
        <v>47</v>
      </c>
      <c r="R849" s="299" t="s">
        <v>1888</v>
      </c>
      <c r="S849" s="299" t="s">
        <v>1861</v>
      </c>
      <c r="T849" s="253" t="s">
        <v>1491</v>
      </c>
      <c r="U849" s="299" t="s">
        <v>1972</v>
      </c>
      <c r="V849" s="299" t="s">
        <v>2832</v>
      </c>
    </row>
    <row r="850" spans="1:22" s="299" customFormat="1" ht="15.75" thickBot="1" x14ac:dyDescent="0.3">
      <c r="A850" s="292" t="s">
        <v>4684</v>
      </c>
      <c r="B850" s="292" t="s">
        <v>4684</v>
      </c>
      <c r="C850" s="292" t="s">
        <v>4684</v>
      </c>
      <c r="D850" s="276" t="s">
        <v>629</v>
      </c>
      <c r="E850" s="279" t="s">
        <v>1970</v>
      </c>
      <c r="F850" s="428" t="s">
        <v>620</v>
      </c>
      <c r="G850" s="429">
        <v>2007</v>
      </c>
      <c r="H850" s="382" t="s">
        <v>731</v>
      </c>
      <c r="I850" s="339" t="str">
        <f t="shared" si="50"/>
        <v>Pesado de Passageiros M3: I : Gasóleo : E4</v>
      </c>
      <c r="J850" s="268">
        <v>55</v>
      </c>
      <c r="K850" s="268">
        <v>2022</v>
      </c>
      <c r="L850" s="253">
        <v>14595.17</v>
      </c>
      <c r="M850" s="253" t="s">
        <v>630</v>
      </c>
      <c r="N850" s="254">
        <v>40997</v>
      </c>
      <c r="O850" s="254">
        <f t="shared" si="51"/>
        <v>2254835</v>
      </c>
      <c r="P850" s="268" t="s">
        <v>1451</v>
      </c>
      <c r="Q850" s="253" t="s">
        <v>47</v>
      </c>
      <c r="R850" s="299" t="s">
        <v>1888</v>
      </c>
      <c r="S850" s="299" t="s">
        <v>1861</v>
      </c>
      <c r="T850" s="253" t="s">
        <v>1491</v>
      </c>
      <c r="U850" s="299" t="s">
        <v>1972</v>
      </c>
      <c r="V850" s="299" t="s">
        <v>2832</v>
      </c>
    </row>
    <row r="851" spans="1:22" s="299" customFormat="1" ht="15.75" thickBot="1" x14ac:dyDescent="0.3">
      <c r="A851" s="292" t="s">
        <v>4684</v>
      </c>
      <c r="B851" s="292" t="s">
        <v>4684</v>
      </c>
      <c r="C851" s="292" t="s">
        <v>4684</v>
      </c>
      <c r="D851" s="276" t="s">
        <v>629</v>
      </c>
      <c r="E851" s="279" t="s">
        <v>1970</v>
      </c>
      <c r="F851" s="428" t="s">
        <v>620</v>
      </c>
      <c r="G851" s="429">
        <v>2008</v>
      </c>
      <c r="H851" s="382" t="s">
        <v>731</v>
      </c>
      <c r="I851" s="339" t="str">
        <f t="shared" si="50"/>
        <v>Pesado de Passageiros M3: I : Gasóleo : E4</v>
      </c>
      <c r="J851" s="268">
        <v>34</v>
      </c>
      <c r="K851" s="268">
        <v>2022</v>
      </c>
      <c r="L851" s="253">
        <v>11122.499999999998</v>
      </c>
      <c r="M851" s="253" t="s">
        <v>630</v>
      </c>
      <c r="N851" s="254">
        <v>31866</v>
      </c>
      <c r="O851" s="254">
        <f t="shared" si="51"/>
        <v>1083444</v>
      </c>
      <c r="P851" s="268" t="s">
        <v>1452</v>
      </c>
      <c r="Q851" s="253" t="s">
        <v>47</v>
      </c>
      <c r="R851" s="299" t="s">
        <v>1888</v>
      </c>
      <c r="S851" s="299" t="s">
        <v>1861</v>
      </c>
      <c r="T851" s="253" t="s">
        <v>1491</v>
      </c>
      <c r="U851" s="299" t="s">
        <v>1972</v>
      </c>
      <c r="V851" s="299" t="s">
        <v>2832</v>
      </c>
    </row>
    <row r="852" spans="1:22" s="299" customFormat="1" ht="15.75" thickBot="1" x14ac:dyDescent="0.3">
      <c r="A852" s="292" t="s">
        <v>4684</v>
      </c>
      <c r="B852" s="292" t="s">
        <v>4684</v>
      </c>
      <c r="C852" s="292" t="s">
        <v>4684</v>
      </c>
      <c r="D852" s="276" t="s">
        <v>629</v>
      </c>
      <c r="E852" s="279" t="s">
        <v>1970</v>
      </c>
      <c r="F852" s="428" t="s">
        <v>620</v>
      </c>
      <c r="G852" s="429">
        <v>2008</v>
      </c>
      <c r="H852" s="382" t="s">
        <v>731</v>
      </c>
      <c r="I852" s="339" t="str">
        <f t="shared" si="50"/>
        <v>Pesado de Passageiros M3: I : Gasóleo : E4</v>
      </c>
      <c r="J852" s="268">
        <v>34</v>
      </c>
      <c r="K852" s="268">
        <v>2022</v>
      </c>
      <c r="L852" s="253">
        <v>13420.04</v>
      </c>
      <c r="M852" s="253" t="s">
        <v>630</v>
      </c>
      <c r="N852" s="254">
        <v>38922</v>
      </c>
      <c r="O852" s="254">
        <f t="shared" si="51"/>
        <v>1323348</v>
      </c>
      <c r="P852" s="268" t="s">
        <v>1453</v>
      </c>
      <c r="Q852" s="253" t="s">
        <v>47</v>
      </c>
      <c r="R852" s="299" t="s">
        <v>1888</v>
      </c>
      <c r="S852" s="299" t="s">
        <v>1861</v>
      </c>
      <c r="T852" s="253" t="s">
        <v>1491</v>
      </c>
      <c r="U852" s="299" t="s">
        <v>1972</v>
      </c>
      <c r="V852" s="299" t="s">
        <v>2832</v>
      </c>
    </row>
    <row r="853" spans="1:22" s="299" customFormat="1" ht="15.75" thickBot="1" x14ac:dyDescent="0.3">
      <c r="A853" s="292" t="s">
        <v>4684</v>
      </c>
      <c r="B853" s="292" t="s">
        <v>4684</v>
      </c>
      <c r="C853" s="292" t="s">
        <v>4684</v>
      </c>
      <c r="D853" s="276" t="s">
        <v>629</v>
      </c>
      <c r="E853" s="279" t="s">
        <v>1970</v>
      </c>
      <c r="F853" s="428" t="s">
        <v>620</v>
      </c>
      <c r="G853" s="429">
        <v>2008</v>
      </c>
      <c r="H853" s="382" t="s">
        <v>731</v>
      </c>
      <c r="I853" s="339" t="str">
        <f t="shared" si="50"/>
        <v>Pesado de Passageiros M3: I : Gasóleo : E4</v>
      </c>
      <c r="J853" s="268">
        <v>72</v>
      </c>
      <c r="K853" s="268">
        <v>2022</v>
      </c>
      <c r="L853" s="253">
        <v>1422.17</v>
      </c>
      <c r="M853" s="253" t="s">
        <v>630</v>
      </c>
      <c r="N853" s="254">
        <v>3316</v>
      </c>
      <c r="O853" s="254">
        <f t="shared" si="51"/>
        <v>238752</v>
      </c>
      <c r="P853" s="268" t="s">
        <v>1454</v>
      </c>
      <c r="Q853" s="253" t="s">
        <v>47</v>
      </c>
      <c r="R853" s="299" t="s">
        <v>1888</v>
      </c>
      <c r="S853" s="299" t="s">
        <v>1861</v>
      </c>
      <c r="T853" s="253" t="s">
        <v>1491</v>
      </c>
      <c r="U853" s="299" t="s">
        <v>1972</v>
      </c>
      <c r="V853" s="299" t="s">
        <v>2832</v>
      </c>
    </row>
    <row r="854" spans="1:22" s="299" customFormat="1" ht="15.75" thickBot="1" x14ac:dyDescent="0.3">
      <c r="A854" s="292" t="s">
        <v>4684</v>
      </c>
      <c r="B854" s="292" t="s">
        <v>4684</v>
      </c>
      <c r="C854" s="292" t="s">
        <v>4684</v>
      </c>
      <c r="D854" s="276" t="s">
        <v>629</v>
      </c>
      <c r="E854" s="279" t="s">
        <v>1970</v>
      </c>
      <c r="F854" s="428" t="s">
        <v>620</v>
      </c>
      <c r="G854" s="429">
        <v>2009</v>
      </c>
      <c r="H854" s="382" t="s">
        <v>734</v>
      </c>
      <c r="I854" s="339" t="str">
        <f t="shared" si="50"/>
        <v>Pesado de Passageiros M3: I : Gasóleo : E5</v>
      </c>
      <c r="J854" s="268">
        <v>34</v>
      </c>
      <c r="K854" s="268">
        <v>2022</v>
      </c>
      <c r="L854" s="253">
        <v>1130.6500000000001</v>
      </c>
      <c r="M854" s="253" t="s">
        <v>630</v>
      </c>
      <c r="N854" s="254">
        <v>3497</v>
      </c>
      <c r="O854" s="254">
        <f t="shared" si="51"/>
        <v>118898</v>
      </c>
      <c r="P854" s="268" t="s">
        <v>1455</v>
      </c>
      <c r="Q854" s="253" t="s">
        <v>47</v>
      </c>
      <c r="R854" s="299" t="s">
        <v>1888</v>
      </c>
      <c r="S854" s="299" t="s">
        <v>1861</v>
      </c>
      <c r="T854" s="253" t="s">
        <v>1491</v>
      </c>
      <c r="U854" s="299" t="s">
        <v>1972</v>
      </c>
      <c r="V854" s="299" t="s">
        <v>2832</v>
      </c>
    </row>
    <row r="855" spans="1:22" s="299" customFormat="1" ht="15.75" thickBot="1" x14ac:dyDescent="0.3">
      <c r="A855" s="292" t="s">
        <v>4684</v>
      </c>
      <c r="B855" s="292" t="s">
        <v>4684</v>
      </c>
      <c r="C855" s="292" t="s">
        <v>4684</v>
      </c>
      <c r="D855" s="276" t="s">
        <v>629</v>
      </c>
      <c r="E855" s="279" t="s">
        <v>1970</v>
      </c>
      <c r="F855" s="428" t="s">
        <v>620</v>
      </c>
      <c r="G855" s="429">
        <v>2010</v>
      </c>
      <c r="H855" s="382" t="s">
        <v>734</v>
      </c>
      <c r="I855" s="339" t="str">
        <f t="shared" si="50"/>
        <v>Pesado de Passageiros M3: I : Gasóleo : E5</v>
      </c>
      <c r="J855" s="268">
        <v>72</v>
      </c>
      <c r="K855" s="268">
        <v>2022</v>
      </c>
      <c r="L855" s="253">
        <v>6844.5300000000007</v>
      </c>
      <c r="M855" s="253" t="s">
        <v>630</v>
      </c>
      <c r="N855" s="254">
        <v>18484</v>
      </c>
      <c r="O855" s="254">
        <f t="shared" si="51"/>
        <v>1330848</v>
      </c>
      <c r="P855" s="268" t="s">
        <v>1456</v>
      </c>
      <c r="Q855" s="253" t="s">
        <v>47</v>
      </c>
      <c r="R855" s="299" t="s">
        <v>1888</v>
      </c>
      <c r="S855" s="299" t="s">
        <v>1861</v>
      </c>
      <c r="T855" s="253" t="s">
        <v>1491</v>
      </c>
      <c r="U855" s="299" t="s">
        <v>1972</v>
      </c>
      <c r="V855" s="299" t="s">
        <v>2832</v>
      </c>
    </row>
    <row r="856" spans="1:22" s="299" customFormat="1" ht="15.75" thickBot="1" x14ac:dyDescent="0.3">
      <c r="A856" s="292" t="s">
        <v>4684</v>
      </c>
      <c r="B856" s="292" t="s">
        <v>4684</v>
      </c>
      <c r="C856" s="292" t="s">
        <v>4684</v>
      </c>
      <c r="D856" s="276" t="s">
        <v>629</v>
      </c>
      <c r="E856" s="279" t="s">
        <v>1970</v>
      </c>
      <c r="F856" s="428" t="s">
        <v>620</v>
      </c>
      <c r="G856" s="429">
        <v>2010</v>
      </c>
      <c r="H856" s="382" t="s">
        <v>734</v>
      </c>
      <c r="I856" s="339" t="str">
        <f t="shared" si="50"/>
        <v>Pesado de Passageiros M3: I : Gasóleo : E5</v>
      </c>
      <c r="J856" s="268">
        <v>72</v>
      </c>
      <c r="K856" s="268">
        <v>2022</v>
      </c>
      <c r="L856" s="253">
        <v>7057.6600000000008</v>
      </c>
      <c r="M856" s="253" t="s">
        <v>630</v>
      </c>
      <c r="N856" s="254">
        <v>19088</v>
      </c>
      <c r="O856" s="254">
        <f t="shared" si="51"/>
        <v>1374336</v>
      </c>
      <c r="P856" s="268" t="s">
        <v>1457</v>
      </c>
      <c r="Q856" s="253" t="s">
        <v>47</v>
      </c>
      <c r="R856" s="299" t="s">
        <v>1888</v>
      </c>
      <c r="S856" s="299" t="s">
        <v>1861</v>
      </c>
      <c r="T856" s="253" t="s">
        <v>1491</v>
      </c>
      <c r="U856" s="299" t="s">
        <v>1972</v>
      </c>
      <c r="V856" s="299" t="s">
        <v>2832</v>
      </c>
    </row>
    <row r="857" spans="1:22" s="299" customFormat="1" ht="15.75" thickBot="1" x14ac:dyDescent="0.3">
      <c r="A857" s="292" t="s">
        <v>4684</v>
      </c>
      <c r="B857" s="292" t="s">
        <v>4684</v>
      </c>
      <c r="C857" s="292" t="s">
        <v>4684</v>
      </c>
      <c r="D857" s="276" t="s">
        <v>629</v>
      </c>
      <c r="E857" s="279" t="s">
        <v>1970</v>
      </c>
      <c r="F857" s="428" t="s">
        <v>620</v>
      </c>
      <c r="G857" s="429">
        <v>2010</v>
      </c>
      <c r="H857" s="382" t="s">
        <v>734</v>
      </c>
      <c r="I857" s="339" t="str">
        <f t="shared" si="50"/>
        <v>Pesado de Passageiros M3: I : Gasóleo : E5</v>
      </c>
      <c r="J857" s="268">
        <v>72</v>
      </c>
      <c r="K857" s="268">
        <v>2022</v>
      </c>
      <c r="L857" s="253">
        <v>5769.0599999999995</v>
      </c>
      <c r="M857" s="253" t="s">
        <v>630</v>
      </c>
      <c r="N857" s="254">
        <v>15995</v>
      </c>
      <c r="O857" s="254">
        <f t="shared" si="51"/>
        <v>1151640</v>
      </c>
      <c r="P857" s="268" t="s">
        <v>1458</v>
      </c>
      <c r="Q857" s="253" t="s">
        <v>47</v>
      </c>
      <c r="R857" s="299" t="s">
        <v>1888</v>
      </c>
      <c r="S857" s="299" t="s">
        <v>1861</v>
      </c>
      <c r="T857" s="253" t="s">
        <v>1491</v>
      </c>
      <c r="U857" s="299" t="s">
        <v>1972</v>
      </c>
      <c r="V857" s="299" t="s">
        <v>2832</v>
      </c>
    </row>
    <row r="858" spans="1:22" s="299" customFormat="1" ht="15.75" thickBot="1" x14ac:dyDescent="0.3">
      <c r="A858" s="292" t="s">
        <v>4684</v>
      </c>
      <c r="B858" s="292" t="s">
        <v>4684</v>
      </c>
      <c r="C858" s="292" t="s">
        <v>4684</v>
      </c>
      <c r="D858" s="276" t="s">
        <v>629</v>
      </c>
      <c r="E858" s="279" t="s">
        <v>1970</v>
      </c>
      <c r="F858" s="428" t="s">
        <v>620</v>
      </c>
      <c r="G858" s="429">
        <v>2010</v>
      </c>
      <c r="H858" s="382" t="s">
        <v>734</v>
      </c>
      <c r="I858" s="339" t="str">
        <f t="shared" si="50"/>
        <v>Pesado de Passageiros M3: I : Gasóleo : E5</v>
      </c>
      <c r="J858" s="268">
        <v>72</v>
      </c>
      <c r="K858" s="268">
        <v>2022</v>
      </c>
      <c r="L858" s="253">
        <v>2778.95</v>
      </c>
      <c r="M858" s="253" t="s">
        <v>630</v>
      </c>
      <c r="N858" s="254">
        <v>6286</v>
      </c>
      <c r="O858" s="254">
        <f t="shared" si="51"/>
        <v>452592</v>
      </c>
      <c r="P858" s="268" t="s">
        <v>1459</v>
      </c>
      <c r="Q858" s="253" t="s">
        <v>47</v>
      </c>
      <c r="R858" s="299" t="s">
        <v>1888</v>
      </c>
      <c r="S858" s="299" t="s">
        <v>1861</v>
      </c>
      <c r="T858" s="253" t="s">
        <v>1491</v>
      </c>
      <c r="U858" s="299" t="s">
        <v>1972</v>
      </c>
      <c r="V858" s="299" t="s">
        <v>2832</v>
      </c>
    </row>
    <row r="859" spans="1:22" s="299" customFormat="1" ht="15.75" thickBot="1" x14ac:dyDescent="0.3">
      <c r="A859" s="292" t="s">
        <v>4684</v>
      </c>
      <c r="B859" s="292" t="s">
        <v>4684</v>
      </c>
      <c r="C859" s="292" t="s">
        <v>4684</v>
      </c>
      <c r="D859" s="276" t="s">
        <v>629</v>
      </c>
      <c r="E859" s="279" t="s">
        <v>1970</v>
      </c>
      <c r="F859" s="428" t="s">
        <v>620</v>
      </c>
      <c r="G859" s="429">
        <v>2011</v>
      </c>
      <c r="H859" s="382" t="s">
        <v>734</v>
      </c>
      <c r="I859" s="339" t="str">
        <f t="shared" si="50"/>
        <v>Pesado de Passageiros M3: I : Gasóleo : E5</v>
      </c>
      <c r="J859" s="268">
        <v>22</v>
      </c>
      <c r="K859" s="268">
        <v>2022</v>
      </c>
      <c r="L859" s="253">
        <v>1157.6500000000001</v>
      </c>
      <c r="M859" s="253" t="s">
        <v>630</v>
      </c>
      <c r="N859" s="254">
        <v>6630</v>
      </c>
      <c r="O859" s="254">
        <f t="shared" si="51"/>
        <v>145860</v>
      </c>
      <c r="P859" s="268" t="s">
        <v>1460</v>
      </c>
      <c r="Q859" s="253" t="s">
        <v>47</v>
      </c>
      <c r="R859" s="299" t="s">
        <v>1888</v>
      </c>
      <c r="S859" s="299" t="s">
        <v>1861</v>
      </c>
      <c r="T859" s="253" t="s">
        <v>1491</v>
      </c>
      <c r="U859" s="299" t="s">
        <v>1972</v>
      </c>
      <c r="V859" s="299" t="s">
        <v>2832</v>
      </c>
    </row>
    <row r="860" spans="1:22" s="299" customFormat="1" ht="15.75" thickBot="1" x14ac:dyDescent="0.3">
      <c r="A860" s="292" t="s">
        <v>4684</v>
      </c>
      <c r="B860" s="292" t="s">
        <v>4684</v>
      </c>
      <c r="C860" s="292" t="s">
        <v>4684</v>
      </c>
      <c r="D860" s="276" t="s">
        <v>629</v>
      </c>
      <c r="E860" s="279" t="s">
        <v>1970</v>
      </c>
      <c r="F860" s="428" t="s">
        <v>620</v>
      </c>
      <c r="G860" s="429">
        <v>2012</v>
      </c>
      <c r="H860" s="382" t="s">
        <v>734</v>
      </c>
      <c r="I860" s="339" t="str">
        <f t="shared" si="50"/>
        <v>Pesado de Passageiros M3: I : Gasóleo : E5</v>
      </c>
      <c r="J860" s="268">
        <v>72</v>
      </c>
      <c r="K860" s="268">
        <v>2022</v>
      </c>
      <c r="L860" s="253">
        <v>4410.6900000000005</v>
      </c>
      <c r="M860" s="253" t="s">
        <v>630</v>
      </c>
      <c r="N860" s="254">
        <v>12539</v>
      </c>
      <c r="O860" s="254">
        <f t="shared" si="51"/>
        <v>902808</v>
      </c>
      <c r="P860" s="268" t="s">
        <v>1461</v>
      </c>
      <c r="Q860" s="253" t="s">
        <v>47</v>
      </c>
      <c r="R860" s="299" t="s">
        <v>1888</v>
      </c>
      <c r="S860" s="299" t="s">
        <v>1861</v>
      </c>
      <c r="T860" s="253" t="s">
        <v>1491</v>
      </c>
      <c r="U860" s="299" t="s">
        <v>1972</v>
      </c>
      <c r="V860" s="299" t="s">
        <v>2832</v>
      </c>
    </row>
    <row r="861" spans="1:22" s="299" customFormat="1" ht="15.75" thickBot="1" x14ac:dyDescent="0.3">
      <c r="A861" s="292" t="s">
        <v>4684</v>
      </c>
      <c r="B861" s="292" t="s">
        <v>4684</v>
      </c>
      <c r="C861" s="292" t="s">
        <v>4684</v>
      </c>
      <c r="D861" s="276" t="s">
        <v>629</v>
      </c>
      <c r="E861" s="279" t="s">
        <v>1970</v>
      </c>
      <c r="F861" s="428" t="s">
        <v>620</v>
      </c>
      <c r="G861" s="429">
        <v>2012</v>
      </c>
      <c r="H861" s="382" t="s">
        <v>734</v>
      </c>
      <c r="I861" s="339" t="str">
        <f t="shared" si="50"/>
        <v>Pesado de Passageiros M3: I : Gasóleo : E5</v>
      </c>
      <c r="J861" s="268">
        <v>72</v>
      </c>
      <c r="K861" s="268">
        <v>2022</v>
      </c>
      <c r="L861" s="253">
        <v>5006.46</v>
      </c>
      <c r="M861" s="253" t="s">
        <v>630</v>
      </c>
      <c r="N861" s="254">
        <v>14427</v>
      </c>
      <c r="O861" s="254">
        <f t="shared" si="51"/>
        <v>1038744</v>
      </c>
      <c r="P861" s="268" t="s">
        <v>1462</v>
      </c>
      <c r="Q861" s="253" t="s">
        <v>47</v>
      </c>
      <c r="R861" s="299" t="s">
        <v>1888</v>
      </c>
      <c r="S861" s="299" t="s">
        <v>1861</v>
      </c>
      <c r="T861" s="253" t="s">
        <v>1491</v>
      </c>
      <c r="U861" s="299" t="s">
        <v>1972</v>
      </c>
      <c r="V861" s="299" t="s">
        <v>2832</v>
      </c>
    </row>
    <row r="862" spans="1:22" s="299" customFormat="1" ht="15.75" thickBot="1" x14ac:dyDescent="0.3">
      <c r="A862" s="292" t="s">
        <v>4684</v>
      </c>
      <c r="B862" s="292" t="s">
        <v>4684</v>
      </c>
      <c r="C862" s="292" t="s">
        <v>4684</v>
      </c>
      <c r="D862" s="276" t="s">
        <v>629</v>
      </c>
      <c r="E862" s="279" t="s">
        <v>1970</v>
      </c>
      <c r="F862" s="428" t="s">
        <v>620</v>
      </c>
      <c r="G862" s="429">
        <v>2014</v>
      </c>
      <c r="H862" s="382" t="s">
        <v>733</v>
      </c>
      <c r="I862" s="339" t="str">
        <f t="shared" si="50"/>
        <v>Pesado de Passageiros M3: I : Gasóleo : E6</v>
      </c>
      <c r="J862" s="268">
        <v>16</v>
      </c>
      <c r="K862" s="268">
        <v>2022</v>
      </c>
      <c r="L862" s="253">
        <v>4038.5</v>
      </c>
      <c r="M862" s="253" t="s">
        <v>630</v>
      </c>
      <c r="N862" s="254">
        <v>24546</v>
      </c>
      <c r="O862" s="254">
        <f t="shared" si="51"/>
        <v>392736</v>
      </c>
      <c r="P862" s="268" t="s">
        <v>1463</v>
      </c>
      <c r="Q862" s="253" t="s">
        <v>47</v>
      </c>
      <c r="R862" s="299" t="s">
        <v>1888</v>
      </c>
      <c r="S862" s="299" t="s">
        <v>1861</v>
      </c>
      <c r="T862" s="253" t="s">
        <v>1491</v>
      </c>
      <c r="U862" s="299" t="s">
        <v>1972</v>
      </c>
      <c r="V862" s="299" t="s">
        <v>2832</v>
      </c>
    </row>
    <row r="863" spans="1:22" s="299" customFormat="1" ht="15.75" thickBot="1" x14ac:dyDescent="0.3">
      <c r="A863" s="292" t="s">
        <v>4684</v>
      </c>
      <c r="B863" s="292" t="s">
        <v>4684</v>
      </c>
      <c r="C863" s="292" t="s">
        <v>4684</v>
      </c>
      <c r="D863" s="276" t="s">
        <v>629</v>
      </c>
      <c r="E863" s="279" t="s">
        <v>1970</v>
      </c>
      <c r="F863" s="428" t="s">
        <v>620</v>
      </c>
      <c r="G863" s="429">
        <v>2014</v>
      </c>
      <c r="H863" s="382" t="s">
        <v>733</v>
      </c>
      <c r="I863" s="339" t="str">
        <f t="shared" si="50"/>
        <v>Pesado de Passageiros M3: I : Gasóleo : E6</v>
      </c>
      <c r="J863" s="268">
        <v>16</v>
      </c>
      <c r="K863" s="268">
        <v>2022</v>
      </c>
      <c r="L863" s="253">
        <v>3807.1</v>
      </c>
      <c r="M863" s="253" t="s">
        <v>630</v>
      </c>
      <c r="N863" s="254">
        <v>24629</v>
      </c>
      <c r="O863" s="254">
        <f t="shared" si="51"/>
        <v>394064</v>
      </c>
      <c r="P863" s="268" t="s">
        <v>1464</v>
      </c>
      <c r="Q863" s="253" t="s">
        <v>47</v>
      </c>
      <c r="R863" s="299" t="s">
        <v>1888</v>
      </c>
      <c r="S863" s="299" t="s">
        <v>1861</v>
      </c>
      <c r="T863" s="253" t="s">
        <v>1491</v>
      </c>
      <c r="U863" s="299" t="s">
        <v>1972</v>
      </c>
      <c r="V863" s="299" t="s">
        <v>2832</v>
      </c>
    </row>
    <row r="864" spans="1:22" s="299" customFormat="1" ht="15.75" thickBot="1" x14ac:dyDescent="0.3">
      <c r="A864" s="292" t="s">
        <v>4684</v>
      </c>
      <c r="B864" s="292" t="s">
        <v>4684</v>
      </c>
      <c r="C864" s="292" t="s">
        <v>4684</v>
      </c>
      <c r="D864" s="276" t="s">
        <v>629</v>
      </c>
      <c r="E864" s="279" t="s">
        <v>1970</v>
      </c>
      <c r="F864" s="428" t="s">
        <v>620</v>
      </c>
      <c r="G864" s="429">
        <v>2014</v>
      </c>
      <c r="H864" s="382" t="s">
        <v>733</v>
      </c>
      <c r="I864" s="339" t="str">
        <f t="shared" si="50"/>
        <v>Pesado de Passageiros M3: I : Gasóleo : E6</v>
      </c>
      <c r="J864" s="268">
        <v>73</v>
      </c>
      <c r="K864" s="268">
        <v>2022</v>
      </c>
      <c r="L864" s="253">
        <v>13846.400000000001</v>
      </c>
      <c r="M864" s="253" t="s">
        <v>630</v>
      </c>
      <c r="N864" s="254">
        <v>41356</v>
      </c>
      <c r="O864" s="254">
        <f t="shared" si="51"/>
        <v>3018988</v>
      </c>
      <c r="P864" s="268" t="s">
        <v>1465</v>
      </c>
      <c r="Q864" s="253" t="s">
        <v>47</v>
      </c>
      <c r="R864" s="299" t="s">
        <v>1888</v>
      </c>
      <c r="S864" s="299" t="s">
        <v>1861</v>
      </c>
      <c r="T864" s="253" t="s">
        <v>1491</v>
      </c>
      <c r="U864" s="299" t="s">
        <v>1972</v>
      </c>
      <c r="V864" s="299" t="s">
        <v>2832</v>
      </c>
    </row>
    <row r="865" spans="1:22" s="299" customFormat="1" ht="15.75" thickBot="1" x14ac:dyDescent="0.3">
      <c r="A865" s="292" t="s">
        <v>4684</v>
      </c>
      <c r="B865" s="292" t="s">
        <v>4684</v>
      </c>
      <c r="C865" s="292" t="s">
        <v>4684</v>
      </c>
      <c r="D865" s="276" t="s">
        <v>629</v>
      </c>
      <c r="E865" s="279" t="s">
        <v>1970</v>
      </c>
      <c r="F865" s="428" t="s">
        <v>620</v>
      </c>
      <c r="G865" s="429">
        <v>2015</v>
      </c>
      <c r="H865" s="382" t="s">
        <v>733</v>
      </c>
      <c r="I865" s="339" t="str">
        <f t="shared" si="50"/>
        <v>Pesado de Passageiros M3: I : Gasóleo : E6</v>
      </c>
      <c r="J865" s="268">
        <v>22</v>
      </c>
      <c r="K865" s="268">
        <v>2022</v>
      </c>
      <c r="L865" s="253">
        <v>3402.9</v>
      </c>
      <c r="M865" s="253" t="s">
        <v>630</v>
      </c>
      <c r="N865" s="254">
        <v>18691</v>
      </c>
      <c r="O865" s="254">
        <f t="shared" si="51"/>
        <v>411202</v>
      </c>
      <c r="P865" s="268" t="s">
        <v>1466</v>
      </c>
      <c r="Q865" s="253" t="s">
        <v>47</v>
      </c>
      <c r="R865" s="299" t="s">
        <v>1888</v>
      </c>
      <c r="S865" s="299" t="s">
        <v>1861</v>
      </c>
      <c r="T865" s="253" t="s">
        <v>1491</v>
      </c>
      <c r="U865" s="299" t="s">
        <v>1972</v>
      </c>
      <c r="V865" s="299" t="s">
        <v>2832</v>
      </c>
    </row>
    <row r="866" spans="1:22" s="299" customFormat="1" ht="15.75" thickBot="1" x14ac:dyDescent="0.3">
      <c r="A866" s="292" t="s">
        <v>4684</v>
      </c>
      <c r="B866" s="292" t="s">
        <v>4684</v>
      </c>
      <c r="C866" s="292" t="s">
        <v>4684</v>
      </c>
      <c r="D866" s="276" t="s">
        <v>629</v>
      </c>
      <c r="E866" s="279" t="s">
        <v>1970</v>
      </c>
      <c r="F866" s="428" t="s">
        <v>620</v>
      </c>
      <c r="G866" s="429">
        <v>2015</v>
      </c>
      <c r="H866" s="382" t="s">
        <v>733</v>
      </c>
      <c r="I866" s="339" t="str">
        <f t="shared" si="50"/>
        <v>Pesado de Passageiros M3: I : Gasóleo : E6</v>
      </c>
      <c r="J866" s="268">
        <v>73</v>
      </c>
      <c r="K866" s="268">
        <v>2022</v>
      </c>
      <c r="L866" s="253">
        <v>12750.990000000002</v>
      </c>
      <c r="M866" s="253" t="s">
        <v>630</v>
      </c>
      <c r="N866" s="254">
        <v>28559</v>
      </c>
      <c r="O866" s="254">
        <f t="shared" si="51"/>
        <v>2084807</v>
      </c>
      <c r="P866" s="268" t="s">
        <v>1467</v>
      </c>
      <c r="Q866" s="253" t="s">
        <v>47</v>
      </c>
      <c r="R866" s="299" t="s">
        <v>1888</v>
      </c>
      <c r="S866" s="299" t="s">
        <v>1861</v>
      </c>
      <c r="T866" s="253" t="s">
        <v>1491</v>
      </c>
      <c r="U866" s="299" t="s">
        <v>1972</v>
      </c>
      <c r="V866" s="299" t="s">
        <v>2832</v>
      </c>
    </row>
    <row r="867" spans="1:22" s="299" customFormat="1" ht="15.75" thickBot="1" x14ac:dyDescent="0.3">
      <c r="A867" s="292" t="s">
        <v>4684</v>
      </c>
      <c r="B867" s="292" t="s">
        <v>4684</v>
      </c>
      <c r="C867" s="292" t="s">
        <v>4684</v>
      </c>
      <c r="D867" s="276" t="s">
        <v>629</v>
      </c>
      <c r="E867" s="279" t="s">
        <v>1970</v>
      </c>
      <c r="F867" s="428" t="s">
        <v>620</v>
      </c>
      <c r="G867" s="429">
        <v>2015</v>
      </c>
      <c r="H867" s="382" t="s">
        <v>733</v>
      </c>
      <c r="I867" s="339" t="str">
        <f t="shared" si="50"/>
        <v>Pesado de Passageiros M3: I : Gasóleo : E6</v>
      </c>
      <c r="J867" s="268">
        <v>73</v>
      </c>
      <c r="K867" s="268">
        <v>2022</v>
      </c>
      <c r="L867" s="253">
        <v>13227.36</v>
      </c>
      <c r="M867" s="253" t="s">
        <v>630</v>
      </c>
      <c r="N867" s="254">
        <v>30812</v>
      </c>
      <c r="O867" s="254">
        <f t="shared" si="51"/>
        <v>2249276</v>
      </c>
      <c r="P867" s="268" t="s">
        <v>1468</v>
      </c>
      <c r="Q867" s="253" t="s">
        <v>47</v>
      </c>
      <c r="R867" s="299" t="s">
        <v>1888</v>
      </c>
      <c r="S867" s="299" t="s">
        <v>1861</v>
      </c>
      <c r="T867" s="253" t="s">
        <v>1491</v>
      </c>
      <c r="U867" s="299" t="s">
        <v>1972</v>
      </c>
      <c r="V867" s="299" t="s">
        <v>2832</v>
      </c>
    </row>
    <row r="868" spans="1:22" s="299" customFormat="1" ht="15.75" thickBot="1" x14ac:dyDescent="0.3">
      <c r="A868" s="292" t="s">
        <v>4684</v>
      </c>
      <c r="B868" s="292" t="s">
        <v>4684</v>
      </c>
      <c r="C868" s="292" t="s">
        <v>4684</v>
      </c>
      <c r="D868" s="276" t="s">
        <v>629</v>
      </c>
      <c r="E868" s="279" t="s">
        <v>1970</v>
      </c>
      <c r="F868" s="428" t="s">
        <v>620</v>
      </c>
      <c r="G868" s="429">
        <v>2016</v>
      </c>
      <c r="H868" s="382" t="s">
        <v>733</v>
      </c>
      <c r="I868" s="339" t="str">
        <f t="shared" si="50"/>
        <v>Pesado de Passageiros M3: I : Gasóleo : E6</v>
      </c>
      <c r="J868" s="268">
        <v>22</v>
      </c>
      <c r="K868" s="268">
        <v>2022</v>
      </c>
      <c r="L868" s="253">
        <v>2463.62</v>
      </c>
      <c r="M868" s="253" t="s">
        <v>630</v>
      </c>
      <c r="N868" s="254">
        <v>12009</v>
      </c>
      <c r="O868" s="254">
        <f t="shared" si="51"/>
        <v>264198</v>
      </c>
      <c r="P868" s="268" t="s">
        <v>1469</v>
      </c>
      <c r="Q868" s="253" t="s">
        <v>47</v>
      </c>
      <c r="R868" s="299" t="s">
        <v>1888</v>
      </c>
      <c r="S868" s="299" t="s">
        <v>1861</v>
      </c>
      <c r="T868" s="253" t="s">
        <v>1491</v>
      </c>
      <c r="U868" s="299" t="s">
        <v>1972</v>
      </c>
      <c r="V868" s="299" t="s">
        <v>2832</v>
      </c>
    </row>
    <row r="869" spans="1:22" s="299" customFormat="1" ht="15.75" thickBot="1" x14ac:dyDescent="0.3">
      <c r="A869" s="292" t="s">
        <v>4684</v>
      </c>
      <c r="B869" s="292" t="s">
        <v>4684</v>
      </c>
      <c r="C869" s="292" t="s">
        <v>4684</v>
      </c>
      <c r="D869" s="276" t="s">
        <v>629</v>
      </c>
      <c r="E869" s="279" t="s">
        <v>1970</v>
      </c>
      <c r="F869" s="428" t="s">
        <v>620</v>
      </c>
      <c r="G869" s="429">
        <v>2016</v>
      </c>
      <c r="H869" s="382" t="s">
        <v>733</v>
      </c>
      <c r="I869" s="339" t="str">
        <f t="shared" si="50"/>
        <v>Pesado de Passageiros M3: I : Gasóleo : E6</v>
      </c>
      <c r="J869" s="268">
        <v>22</v>
      </c>
      <c r="K869" s="268">
        <v>2022</v>
      </c>
      <c r="L869" s="253">
        <v>2096.29</v>
      </c>
      <c r="M869" s="253" t="s">
        <v>630</v>
      </c>
      <c r="N869" s="254">
        <v>10979</v>
      </c>
      <c r="O869" s="254">
        <f t="shared" si="51"/>
        <v>241538</v>
      </c>
      <c r="P869" s="268" t="s">
        <v>1470</v>
      </c>
      <c r="Q869" s="253" t="s">
        <v>47</v>
      </c>
      <c r="R869" s="299" t="s">
        <v>1888</v>
      </c>
      <c r="S869" s="299" t="s">
        <v>1861</v>
      </c>
      <c r="T869" s="253" t="s">
        <v>1491</v>
      </c>
      <c r="U869" s="299" t="s">
        <v>1972</v>
      </c>
      <c r="V869" s="299" t="s">
        <v>2832</v>
      </c>
    </row>
    <row r="870" spans="1:22" s="299" customFormat="1" ht="15.75" thickBot="1" x14ac:dyDescent="0.3">
      <c r="A870" s="292" t="s">
        <v>4684</v>
      </c>
      <c r="B870" s="292" t="s">
        <v>4684</v>
      </c>
      <c r="C870" s="292" t="s">
        <v>4684</v>
      </c>
      <c r="D870" s="276" t="s">
        <v>629</v>
      </c>
      <c r="E870" s="279" t="s">
        <v>1970</v>
      </c>
      <c r="F870" s="428" t="s">
        <v>620</v>
      </c>
      <c r="G870" s="429">
        <v>2016</v>
      </c>
      <c r="H870" s="382" t="s">
        <v>733</v>
      </c>
      <c r="I870" s="339" t="str">
        <f t="shared" si="50"/>
        <v>Pesado de Passageiros M3: I : Gasóleo : E6</v>
      </c>
      <c r="J870" s="268">
        <v>73</v>
      </c>
      <c r="K870" s="268">
        <v>2022</v>
      </c>
      <c r="L870" s="253">
        <v>12814.020000000002</v>
      </c>
      <c r="M870" s="253" t="s">
        <v>630</v>
      </c>
      <c r="N870" s="254">
        <v>29826</v>
      </c>
      <c r="O870" s="254">
        <f t="shared" si="51"/>
        <v>2177298</v>
      </c>
      <c r="P870" s="268" t="s">
        <v>1471</v>
      </c>
      <c r="Q870" s="253" t="s">
        <v>47</v>
      </c>
      <c r="R870" s="299" t="s">
        <v>1888</v>
      </c>
      <c r="S870" s="299" t="s">
        <v>1861</v>
      </c>
      <c r="T870" s="253" t="s">
        <v>1491</v>
      </c>
      <c r="U870" s="299" t="s">
        <v>1972</v>
      </c>
      <c r="V870" s="299" t="s">
        <v>2832</v>
      </c>
    </row>
    <row r="871" spans="1:22" s="299" customFormat="1" ht="15.75" thickBot="1" x14ac:dyDescent="0.3">
      <c r="A871" s="292" t="s">
        <v>4684</v>
      </c>
      <c r="B871" s="292" t="s">
        <v>4684</v>
      </c>
      <c r="C871" s="292" t="s">
        <v>4684</v>
      </c>
      <c r="D871" s="276" t="s">
        <v>629</v>
      </c>
      <c r="E871" s="279" t="s">
        <v>1970</v>
      </c>
      <c r="F871" s="428" t="s">
        <v>620</v>
      </c>
      <c r="G871" s="429">
        <v>2016</v>
      </c>
      <c r="H871" s="382" t="s">
        <v>733</v>
      </c>
      <c r="I871" s="339" t="str">
        <f t="shared" si="50"/>
        <v>Pesado de Passageiros M3: I : Gasóleo : E6</v>
      </c>
      <c r="J871" s="268">
        <v>73</v>
      </c>
      <c r="K871" s="268">
        <v>2022</v>
      </c>
      <c r="L871" s="253">
        <v>10853.829999999998</v>
      </c>
      <c r="M871" s="253" t="s">
        <v>630</v>
      </c>
      <c r="N871" s="254">
        <v>26351</v>
      </c>
      <c r="O871" s="254">
        <f t="shared" si="51"/>
        <v>1923623</v>
      </c>
      <c r="P871" s="268" t="s">
        <v>1472</v>
      </c>
      <c r="Q871" s="253" t="s">
        <v>47</v>
      </c>
      <c r="R871" s="299" t="s">
        <v>1888</v>
      </c>
      <c r="S871" s="299" t="s">
        <v>1861</v>
      </c>
      <c r="T871" s="253" t="s">
        <v>1491</v>
      </c>
      <c r="U871" s="299" t="s">
        <v>1972</v>
      </c>
      <c r="V871" s="299" t="s">
        <v>2832</v>
      </c>
    </row>
    <row r="872" spans="1:22" s="299" customFormat="1" ht="15.75" thickBot="1" x14ac:dyDescent="0.3">
      <c r="A872" s="292" t="s">
        <v>4684</v>
      </c>
      <c r="B872" s="292" t="s">
        <v>4684</v>
      </c>
      <c r="C872" s="292" t="s">
        <v>4684</v>
      </c>
      <c r="D872" s="276" t="s">
        <v>629</v>
      </c>
      <c r="E872" s="279" t="s">
        <v>1970</v>
      </c>
      <c r="F872" s="428" t="s">
        <v>620</v>
      </c>
      <c r="G872" s="429">
        <v>2017</v>
      </c>
      <c r="H872" s="382" t="s">
        <v>733</v>
      </c>
      <c r="I872" s="339" t="str">
        <f t="shared" si="50"/>
        <v>Pesado de Passageiros M3: I : Gasóleo : E6</v>
      </c>
      <c r="J872" s="268">
        <v>19</v>
      </c>
      <c r="K872" s="268">
        <v>2022</v>
      </c>
      <c r="L872" s="253">
        <v>6720.94</v>
      </c>
      <c r="M872" s="253" t="s">
        <v>630</v>
      </c>
      <c r="N872" s="254">
        <v>45001</v>
      </c>
      <c r="O872" s="254">
        <f t="shared" si="51"/>
        <v>855019</v>
      </c>
      <c r="P872" s="268" t="s">
        <v>1473</v>
      </c>
      <c r="Q872" s="253" t="s">
        <v>47</v>
      </c>
      <c r="R872" s="299" t="s">
        <v>1888</v>
      </c>
      <c r="S872" s="299" t="s">
        <v>1861</v>
      </c>
      <c r="T872" s="253" t="s">
        <v>1491</v>
      </c>
      <c r="U872" s="299" t="s">
        <v>1972</v>
      </c>
      <c r="V872" s="299" t="s">
        <v>2832</v>
      </c>
    </row>
    <row r="873" spans="1:22" s="299" customFormat="1" ht="15.75" thickBot="1" x14ac:dyDescent="0.3">
      <c r="A873" s="292" t="s">
        <v>4684</v>
      </c>
      <c r="B873" s="292" t="s">
        <v>4684</v>
      </c>
      <c r="C873" s="292" t="s">
        <v>4684</v>
      </c>
      <c r="D873" s="276" t="s">
        <v>629</v>
      </c>
      <c r="E873" s="279" t="s">
        <v>1970</v>
      </c>
      <c r="F873" s="428" t="s">
        <v>620</v>
      </c>
      <c r="G873" s="429">
        <v>2017</v>
      </c>
      <c r="H873" s="382" t="s">
        <v>733</v>
      </c>
      <c r="I873" s="339" t="str">
        <f t="shared" si="50"/>
        <v>Pesado de Passageiros M3: I : Gasóleo : E6</v>
      </c>
      <c r="J873" s="268">
        <v>22</v>
      </c>
      <c r="K873" s="268">
        <v>2022</v>
      </c>
      <c r="L873" s="253">
        <v>3964.03</v>
      </c>
      <c r="M873" s="253" t="s">
        <v>630</v>
      </c>
      <c r="N873" s="254">
        <v>16966</v>
      </c>
      <c r="O873" s="254">
        <f t="shared" si="51"/>
        <v>373252</v>
      </c>
      <c r="P873" s="268" t="s">
        <v>1474</v>
      </c>
      <c r="Q873" s="253" t="s">
        <v>47</v>
      </c>
      <c r="R873" s="299" t="s">
        <v>1888</v>
      </c>
      <c r="S873" s="299" t="s">
        <v>1861</v>
      </c>
      <c r="T873" s="253" t="s">
        <v>1491</v>
      </c>
      <c r="U873" s="299" t="s">
        <v>1972</v>
      </c>
      <c r="V873" s="299" t="s">
        <v>2832</v>
      </c>
    </row>
    <row r="874" spans="1:22" s="299" customFormat="1" ht="15.75" thickBot="1" x14ac:dyDescent="0.3">
      <c r="A874" s="292" t="s">
        <v>4684</v>
      </c>
      <c r="B874" s="292" t="s">
        <v>4684</v>
      </c>
      <c r="C874" s="292" t="s">
        <v>4684</v>
      </c>
      <c r="D874" s="276" t="s">
        <v>629</v>
      </c>
      <c r="E874" s="279" t="s">
        <v>1970</v>
      </c>
      <c r="F874" s="428" t="s">
        <v>620</v>
      </c>
      <c r="G874" s="429">
        <v>2017</v>
      </c>
      <c r="H874" s="382" t="s">
        <v>733</v>
      </c>
      <c r="I874" s="339" t="str">
        <f t="shared" si="50"/>
        <v>Pesado de Passageiros M3: I : Gasóleo : E6</v>
      </c>
      <c r="J874" s="268">
        <v>22</v>
      </c>
      <c r="K874" s="268">
        <v>2022</v>
      </c>
      <c r="L874" s="253">
        <v>3391.1000000000004</v>
      </c>
      <c r="M874" s="253" t="s">
        <v>630</v>
      </c>
      <c r="N874" s="254">
        <v>15608</v>
      </c>
      <c r="O874" s="254">
        <f t="shared" si="51"/>
        <v>343376</v>
      </c>
      <c r="P874" s="268" t="s">
        <v>1475</v>
      </c>
      <c r="Q874" s="253" t="s">
        <v>47</v>
      </c>
      <c r="R874" s="299" t="s">
        <v>1888</v>
      </c>
      <c r="S874" s="299" t="s">
        <v>1861</v>
      </c>
      <c r="T874" s="253" t="s">
        <v>1491</v>
      </c>
      <c r="U874" s="299" t="s">
        <v>1972</v>
      </c>
      <c r="V874" s="299" t="s">
        <v>2832</v>
      </c>
    </row>
    <row r="875" spans="1:22" s="299" customFormat="1" ht="15.75" thickBot="1" x14ac:dyDescent="0.3">
      <c r="A875" s="292" t="s">
        <v>4684</v>
      </c>
      <c r="B875" s="292" t="s">
        <v>4684</v>
      </c>
      <c r="C875" s="292" t="s">
        <v>4684</v>
      </c>
      <c r="D875" s="276" t="s">
        <v>629</v>
      </c>
      <c r="E875" s="279" t="s">
        <v>1970</v>
      </c>
      <c r="F875" s="428" t="s">
        <v>620</v>
      </c>
      <c r="G875" s="429">
        <v>2017</v>
      </c>
      <c r="H875" s="382" t="s">
        <v>733</v>
      </c>
      <c r="I875" s="339" t="str">
        <f t="shared" si="50"/>
        <v>Pesado de Passageiros M3: I : Gasóleo : E6</v>
      </c>
      <c r="J875" s="268">
        <v>57</v>
      </c>
      <c r="K875" s="268">
        <v>2022</v>
      </c>
      <c r="L875" s="253">
        <v>20112.010000000002</v>
      </c>
      <c r="M875" s="253" t="s">
        <v>630</v>
      </c>
      <c r="N875" s="254">
        <v>69240</v>
      </c>
      <c r="O875" s="254">
        <f t="shared" si="51"/>
        <v>3946680</v>
      </c>
      <c r="P875" s="268" t="s">
        <v>1476</v>
      </c>
      <c r="Q875" s="253" t="s">
        <v>47</v>
      </c>
      <c r="R875" s="299" t="s">
        <v>1888</v>
      </c>
      <c r="S875" s="299" t="s">
        <v>1861</v>
      </c>
      <c r="T875" s="253" t="s">
        <v>1491</v>
      </c>
      <c r="U875" s="299" t="s">
        <v>1972</v>
      </c>
      <c r="V875" s="299" t="s">
        <v>2832</v>
      </c>
    </row>
    <row r="876" spans="1:22" s="299" customFormat="1" ht="15.75" thickBot="1" x14ac:dyDescent="0.3">
      <c r="A876" s="292" t="s">
        <v>4684</v>
      </c>
      <c r="B876" s="292" t="s">
        <v>4684</v>
      </c>
      <c r="C876" s="292" t="s">
        <v>4684</v>
      </c>
      <c r="D876" s="276" t="s">
        <v>629</v>
      </c>
      <c r="E876" s="279" t="s">
        <v>1970</v>
      </c>
      <c r="F876" s="428" t="s">
        <v>620</v>
      </c>
      <c r="G876" s="429">
        <v>2017</v>
      </c>
      <c r="H876" s="382" t="s">
        <v>733</v>
      </c>
      <c r="I876" s="339" t="str">
        <f t="shared" si="50"/>
        <v>Pesado de Passageiros M3: I : Gasóleo : E6</v>
      </c>
      <c r="J876" s="268">
        <v>73</v>
      </c>
      <c r="K876" s="268">
        <v>2022</v>
      </c>
      <c r="L876" s="253">
        <v>17971.37</v>
      </c>
      <c r="M876" s="253" t="s">
        <v>630</v>
      </c>
      <c r="N876" s="254">
        <v>43952</v>
      </c>
      <c r="O876" s="254">
        <f t="shared" si="51"/>
        <v>3208496</v>
      </c>
      <c r="P876" s="268" t="s">
        <v>1477</v>
      </c>
      <c r="Q876" s="253" t="s">
        <v>47</v>
      </c>
      <c r="R876" s="299" t="s">
        <v>1888</v>
      </c>
      <c r="S876" s="299" t="s">
        <v>1861</v>
      </c>
      <c r="T876" s="253" t="s">
        <v>1491</v>
      </c>
      <c r="U876" s="299" t="s">
        <v>1972</v>
      </c>
      <c r="V876" s="299" t="s">
        <v>2832</v>
      </c>
    </row>
    <row r="877" spans="1:22" s="299" customFormat="1" ht="15.75" thickBot="1" x14ac:dyDescent="0.3">
      <c r="A877" s="292" t="s">
        <v>4684</v>
      </c>
      <c r="B877" s="292" t="s">
        <v>4684</v>
      </c>
      <c r="C877" s="292" t="s">
        <v>4684</v>
      </c>
      <c r="D877" s="276" t="s">
        <v>629</v>
      </c>
      <c r="E877" s="279" t="s">
        <v>1970</v>
      </c>
      <c r="F877" s="428" t="s">
        <v>620</v>
      </c>
      <c r="G877" s="429">
        <v>2017</v>
      </c>
      <c r="H877" s="382" t="s">
        <v>733</v>
      </c>
      <c r="I877" s="339" t="str">
        <f t="shared" si="50"/>
        <v>Pesado de Passageiros M3: I : Gasóleo : E6</v>
      </c>
      <c r="J877" s="268">
        <v>73</v>
      </c>
      <c r="K877" s="268">
        <v>2022</v>
      </c>
      <c r="L877" s="253">
        <v>13943.19</v>
      </c>
      <c r="M877" s="253" t="s">
        <v>630</v>
      </c>
      <c r="N877" s="254">
        <v>33606</v>
      </c>
      <c r="O877" s="254">
        <f t="shared" si="51"/>
        <v>2453238</v>
      </c>
      <c r="P877" s="268" t="s">
        <v>1478</v>
      </c>
      <c r="Q877" s="253" t="s">
        <v>47</v>
      </c>
      <c r="R877" s="299" t="s">
        <v>1888</v>
      </c>
      <c r="S877" s="299" t="s">
        <v>1861</v>
      </c>
      <c r="T877" s="253" t="s">
        <v>1491</v>
      </c>
      <c r="U877" s="299" t="s">
        <v>1972</v>
      </c>
      <c r="V877" s="299" t="s">
        <v>2832</v>
      </c>
    </row>
    <row r="878" spans="1:22" s="299" customFormat="1" ht="15.75" thickBot="1" x14ac:dyDescent="0.3">
      <c r="A878" s="292" t="s">
        <v>4684</v>
      </c>
      <c r="B878" s="292" t="s">
        <v>4684</v>
      </c>
      <c r="C878" s="292" t="s">
        <v>4684</v>
      </c>
      <c r="D878" s="276" t="s">
        <v>629</v>
      </c>
      <c r="E878" s="279" t="s">
        <v>1970</v>
      </c>
      <c r="F878" s="428" t="s">
        <v>620</v>
      </c>
      <c r="G878" s="429">
        <v>2018</v>
      </c>
      <c r="H878" s="382" t="s">
        <v>733</v>
      </c>
      <c r="I878" s="339" t="str">
        <f t="shared" si="50"/>
        <v>Pesado de Passageiros M3: I : Gasóleo : E6</v>
      </c>
      <c r="J878" s="268">
        <v>19</v>
      </c>
      <c r="K878" s="268">
        <v>2022</v>
      </c>
      <c r="L878" s="253">
        <v>6714.15</v>
      </c>
      <c r="M878" s="253" t="s">
        <v>630</v>
      </c>
      <c r="N878" s="254">
        <v>44399</v>
      </c>
      <c r="O878" s="254">
        <f t="shared" si="51"/>
        <v>843581</v>
      </c>
      <c r="P878" s="268" t="s">
        <v>1479</v>
      </c>
      <c r="Q878" s="253" t="s">
        <v>47</v>
      </c>
      <c r="R878" s="299" t="s">
        <v>1888</v>
      </c>
      <c r="S878" s="299" t="s">
        <v>1861</v>
      </c>
      <c r="T878" s="253" t="s">
        <v>1491</v>
      </c>
      <c r="U878" s="299" t="s">
        <v>1972</v>
      </c>
      <c r="V878" s="299" t="s">
        <v>2832</v>
      </c>
    </row>
    <row r="879" spans="1:22" s="299" customFormat="1" ht="15.75" thickBot="1" x14ac:dyDescent="0.3">
      <c r="A879" s="292" t="s">
        <v>4684</v>
      </c>
      <c r="B879" s="292" t="s">
        <v>4684</v>
      </c>
      <c r="C879" s="292" t="s">
        <v>4684</v>
      </c>
      <c r="D879" s="276" t="s">
        <v>629</v>
      </c>
      <c r="E879" s="279" t="s">
        <v>1970</v>
      </c>
      <c r="F879" s="428" t="s">
        <v>620</v>
      </c>
      <c r="G879" s="429">
        <v>2018</v>
      </c>
      <c r="H879" s="382" t="s">
        <v>733</v>
      </c>
      <c r="I879" s="339" t="str">
        <f t="shared" si="50"/>
        <v>Pesado de Passageiros M3: I : Gasóleo : E6</v>
      </c>
      <c r="J879" s="268">
        <v>22</v>
      </c>
      <c r="K879" s="268">
        <v>2022</v>
      </c>
      <c r="L879" s="253">
        <v>5344.23</v>
      </c>
      <c r="M879" s="253" t="s">
        <v>630</v>
      </c>
      <c r="N879" s="254">
        <v>21708</v>
      </c>
      <c r="O879" s="254">
        <f t="shared" si="51"/>
        <v>477576</v>
      </c>
      <c r="P879" s="268" t="s">
        <v>1480</v>
      </c>
      <c r="Q879" s="253" t="s">
        <v>47</v>
      </c>
      <c r="R879" s="299" t="s">
        <v>1888</v>
      </c>
      <c r="S879" s="299" t="s">
        <v>1861</v>
      </c>
      <c r="T879" s="253" t="s">
        <v>1491</v>
      </c>
      <c r="U879" s="299" t="s">
        <v>1972</v>
      </c>
      <c r="V879" s="299" t="s">
        <v>2832</v>
      </c>
    </row>
    <row r="880" spans="1:22" s="299" customFormat="1" ht="15.75" thickBot="1" x14ac:dyDescent="0.3">
      <c r="A880" s="292" t="s">
        <v>4684</v>
      </c>
      <c r="B880" s="292" t="s">
        <v>4684</v>
      </c>
      <c r="C880" s="292" t="s">
        <v>4684</v>
      </c>
      <c r="D880" s="276" t="s">
        <v>629</v>
      </c>
      <c r="E880" s="279" t="s">
        <v>1970</v>
      </c>
      <c r="F880" s="428" t="s">
        <v>620</v>
      </c>
      <c r="G880" s="429">
        <v>2018</v>
      </c>
      <c r="H880" s="382" t="s">
        <v>733</v>
      </c>
      <c r="I880" s="339" t="str">
        <f t="shared" si="50"/>
        <v>Pesado de Passageiros M3: I : Gasóleo : E6</v>
      </c>
      <c r="J880" s="268">
        <v>39</v>
      </c>
      <c r="K880" s="268">
        <v>2022</v>
      </c>
      <c r="L880" s="253">
        <v>16082.58</v>
      </c>
      <c r="M880" s="253" t="s">
        <v>630</v>
      </c>
      <c r="N880" s="254">
        <v>57332</v>
      </c>
      <c r="O880" s="254">
        <f t="shared" si="51"/>
        <v>2235948</v>
      </c>
      <c r="P880" s="268" t="s">
        <v>1481</v>
      </c>
      <c r="Q880" s="253" t="s">
        <v>47</v>
      </c>
      <c r="R880" s="299" t="s">
        <v>1888</v>
      </c>
      <c r="S880" s="299" t="s">
        <v>1861</v>
      </c>
      <c r="T880" s="253" t="s">
        <v>1491</v>
      </c>
      <c r="U880" s="299" t="s">
        <v>1972</v>
      </c>
      <c r="V880" s="299" t="s">
        <v>2832</v>
      </c>
    </row>
    <row r="881" spans="1:22" s="299" customFormat="1" ht="15.75" thickBot="1" x14ac:dyDescent="0.3">
      <c r="A881" s="292" t="s">
        <v>4684</v>
      </c>
      <c r="B881" s="292" t="s">
        <v>4684</v>
      </c>
      <c r="C881" s="292" t="s">
        <v>4684</v>
      </c>
      <c r="D881" s="276" t="s">
        <v>629</v>
      </c>
      <c r="E881" s="279" t="s">
        <v>1970</v>
      </c>
      <c r="F881" s="428" t="s">
        <v>620</v>
      </c>
      <c r="G881" s="429">
        <v>2018</v>
      </c>
      <c r="H881" s="382" t="s">
        <v>733</v>
      </c>
      <c r="I881" s="339" t="str">
        <f t="shared" si="50"/>
        <v>Pesado de Passageiros M3: I : Gasóleo : E6</v>
      </c>
      <c r="J881" s="268">
        <v>73</v>
      </c>
      <c r="K881" s="268">
        <v>2022</v>
      </c>
      <c r="L881" s="253">
        <v>14765.65</v>
      </c>
      <c r="M881" s="253" t="s">
        <v>630</v>
      </c>
      <c r="N881" s="254">
        <v>35680</v>
      </c>
      <c r="O881" s="254">
        <f t="shared" si="51"/>
        <v>2604640</v>
      </c>
      <c r="P881" s="268" t="s">
        <v>1482</v>
      </c>
      <c r="Q881" s="253" t="s">
        <v>47</v>
      </c>
      <c r="R881" s="299" t="s">
        <v>1888</v>
      </c>
      <c r="S881" s="299" t="s">
        <v>1861</v>
      </c>
      <c r="T881" s="253" t="s">
        <v>1491</v>
      </c>
      <c r="U881" s="299" t="s">
        <v>1972</v>
      </c>
      <c r="V881" s="299" t="s">
        <v>2832</v>
      </c>
    </row>
    <row r="882" spans="1:22" s="299" customFormat="1" ht="15.75" thickBot="1" x14ac:dyDescent="0.3">
      <c r="A882" s="292" t="s">
        <v>4684</v>
      </c>
      <c r="B882" s="292" t="s">
        <v>4684</v>
      </c>
      <c r="C882" s="292" t="s">
        <v>4684</v>
      </c>
      <c r="D882" s="276" t="s">
        <v>629</v>
      </c>
      <c r="E882" s="279" t="s">
        <v>1970</v>
      </c>
      <c r="F882" s="428" t="s">
        <v>620</v>
      </c>
      <c r="G882" s="429">
        <v>2018</v>
      </c>
      <c r="H882" s="382" t="s">
        <v>733</v>
      </c>
      <c r="I882" s="339" t="str">
        <f t="shared" si="50"/>
        <v>Pesado de Passageiros M3: I : Gasóleo : E6</v>
      </c>
      <c r="J882" s="268">
        <v>73</v>
      </c>
      <c r="K882" s="268">
        <v>2022</v>
      </c>
      <c r="L882" s="253">
        <v>12547.949999999999</v>
      </c>
      <c r="M882" s="253" t="s">
        <v>630</v>
      </c>
      <c r="N882" s="254">
        <v>29648</v>
      </c>
      <c r="O882" s="254">
        <f t="shared" si="51"/>
        <v>2164304</v>
      </c>
      <c r="P882" s="268" t="s">
        <v>1483</v>
      </c>
      <c r="Q882" s="253" t="s">
        <v>47</v>
      </c>
      <c r="R882" s="299" t="s">
        <v>1888</v>
      </c>
      <c r="S882" s="299" t="s">
        <v>1861</v>
      </c>
      <c r="T882" s="253" t="s">
        <v>1491</v>
      </c>
      <c r="U882" s="299" t="s">
        <v>1972</v>
      </c>
      <c r="V882" s="299" t="s">
        <v>2832</v>
      </c>
    </row>
    <row r="883" spans="1:22" s="299" customFormat="1" ht="15.75" thickBot="1" x14ac:dyDescent="0.3">
      <c r="A883" s="292" t="s">
        <v>4684</v>
      </c>
      <c r="B883" s="292" t="s">
        <v>4684</v>
      </c>
      <c r="C883" s="292" t="s">
        <v>4684</v>
      </c>
      <c r="D883" s="276" t="s">
        <v>629</v>
      </c>
      <c r="E883" s="279" t="s">
        <v>1970</v>
      </c>
      <c r="F883" s="428" t="s">
        <v>620</v>
      </c>
      <c r="G883" s="429">
        <v>2019</v>
      </c>
      <c r="H883" s="382" t="s">
        <v>733</v>
      </c>
      <c r="I883" s="339" t="str">
        <f t="shared" si="50"/>
        <v>Pesado de Passageiros M3: I : Gasóleo : E6</v>
      </c>
      <c r="J883" s="268">
        <v>22</v>
      </c>
      <c r="K883" s="268">
        <v>2022</v>
      </c>
      <c r="L883" s="253">
        <v>6958.7699999999986</v>
      </c>
      <c r="M883" s="253" t="s">
        <v>630</v>
      </c>
      <c r="N883" s="254">
        <v>29309</v>
      </c>
      <c r="O883" s="254">
        <f t="shared" si="51"/>
        <v>644798</v>
      </c>
      <c r="P883" s="268" t="s">
        <v>1484</v>
      </c>
      <c r="Q883" s="253" t="s">
        <v>47</v>
      </c>
      <c r="R883" s="299" t="s">
        <v>1888</v>
      </c>
      <c r="S883" s="299" t="s">
        <v>1861</v>
      </c>
      <c r="T883" s="253" t="s">
        <v>1491</v>
      </c>
      <c r="U883" s="299" t="s">
        <v>1972</v>
      </c>
      <c r="V883" s="299" t="s">
        <v>2832</v>
      </c>
    </row>
    <row r="884" spans="1:22" s="299" customFormat="1" ht="15.75" thickBot="1" x14ac:dyDescent="0.3">
      <c r="A884" s="292" t="s">
        <v>4684</v>
      </c>
      <c r="B884" s="292" t="s">
        <v>4684</v>
      </c>
      <c r="C884" s="292" t="s">
        <v>4684</v>
      </c>
      <c r="D884" s="276" t="s">
        <v>629</v>
      </c>
      <c r="E884" s="279" t="s">
        <v>1970</v>
      </c>
      <c r="F884" s="428" t="s">
        <v>620</v>
      </c>
      <c r="G884" s="429">
        <v>2019</v>
      </c>
      <c r="H884" s="382" t="s">
        <v>733</v>
      </c>
      <c r="I884" s="339" t="str">
        <f t="shared" si="50"/>
        <v>Pesado de Passageiros M3: I : Gasóleo : E6</v>
      </c>
      <c r="J884" s="268">
        <v>22</v>
      </c>
      <c r="K884" s="268">
        <v>2022</v>
      </c>
      <c r="L884" s="253">
        <v>5295.93</v>
      </c>
      <c r="M884" s="253" t="s">
        <v>630</v>
      </c>
      <c r="N884" s="254">
        <v>22723</v>
      </c>
      <c r="O884" s="254">
        <f t="shared" si="51"/>
        <v>499906</v>
      </c>
      <c r="P884" s="268" t="s">
        <v>1485</v>
      </c>
      <c r="Q884" s="253" t="s">
        <v>47</v>
      </c>
      <c r="R884" s="299" t="s">
        <v>1888</v>
      </c>
      <c r="S884" s="299" t="s">
        <v>1861</v>
      </c>
      <c r="T884" s="253" t="s">
        <v>1491</v>
      </c>
      <c r="U884" s="299" t="s">
        <v>1972</v>
      </c>
      <c r="V884" s="299" t="s">
        <v>2832</v>
      </c>
    </row>
    <row r="885" spans="1:22" s="299" customFormat="1" ht="15.75" thickBot="1" x14ac:dyDescent="0.3">
      <c r="A885" s="292" t="s">
        <v>4684</v>
      </c>
      <c r="B885" s="292" t="s">
        <v>4684</v>
      </c>
      <c r="C885" s="292" t="s">
        <v>4684</v>
      </c>
      <c r="D885" s="276" t="s">
        <v>629</v>
      </c>
      <c r="E885" s="279" t="s">
        <v>1970</v>
      </c>
      <c r="F885" s="428" t="s">
        <v>620</v>
      </c>
      <c r="G885" s="429">
        <v>2019</v>
      </c>
      <c r="H885" s="382" t="s">
        <v>733</v>
      </c>
      <c r="I885" s="339" t="str">
        <f t="shared" si="50"/>
        <v>Pesado de Passageiros M3: I : Gasóleo : E6</v>
      </c>
      <c r="J885" s="268">
        <v>73</v>
      </c>
      <c r="K885" s="268">
        <v>2022</v>
      </c>
      <c r="L885" s="253">
        <v>15434.279999999999</v>
      </c>
      <c r="M885" s="253" t="s">
        <v>630</v>
      </c>
      <c r="N885" s="254">
        <v>38573</v>
      </c>
      <c r="O885" s="254">
        <f t="shared" si="51"/>
        <v>2815829</v>
      </c>
      <c r="P885" s="268" t="s">
        <v>1486</v>
      </c>
      <c r="Q885" s="253" t="s">
        <v>47</v>
      </c>
      <c r="R885" s="299" t="s">
        <v>1888</v>
      </c>
      <c r="S885" s="299" t="s">
        <v>1861</v>
      </c>
      <c r="T885" s="253" t="s">
        <v>1491</v>
      </c>
      <c r="U885" s="299" t="s">
        <v>1972</v>
      </c>
      <c r="V885" s="299" t="s">
        <v>2832</v>
      </c>
    </row>
    <row r="886" spans="1:22" s="299" customFormat="1" ht="15.75" thickBot="1" x14ac:dyDescent="0.3">
      <c r="A886" s="292" t="s">
        <v>4684</v>
      </c>
      <c r="B886" s="292" t="s">
        <v>4684</v>
      </c>
      <c r="C886" s="292" t="s">
        <v>4684</v>
      </c>
      <c r="D886" s="276" t="s">
        <v>629</v>
      </c>
      <c r="E886" s="279" t="s">
        <v>1970</v>
      </c>
      <c r="F886" s="428" t="s">
        <v>620</v>
      </c>
      <c r="G886" s="429">
        <v>2019</v>
      </c>
      <c r="H886" s="382" t="s">
        <v>733</v>
      </c>
      <c r="I886" s="339" t="str">
        <f t="shared" si="50"/>
        <v>Pesado de Passageiros M3: I : Gasóleo : E6</v>
      </c>
      <c r="J886" s="268">
        <v>73</v>
      </c>
      <c r="K886" s="268">
        <v>2022</v>
      </c>
      <c r="L886" s="253">
        <v>14751.61</v>
      </c>
      <c r="M886" s="253" t="s">
        <v>630</v>
      </c>
      <c r="N886" s="254">
        <v>37349</v>
      </c>
      <c r="O886" s="254">
        <f t="shared" si="51"/>
        <v>2726477</v>
      </c>
      <c r="P886" s="268" t="s">
        <v>1487</v>
      </c>
      <c r="Q886" s="253" t="s">
        <v>47</v>
      </c>
      <c r="R886" s="299" t="s">
        <v>1888</v>
      </c>
      <c r="S886" s="299" t="s">
        <v>1861</v>
      </c>
      <c r="T886" s="253" t="s">
        <v>1491</v>
      </c>
      <c r="U886" s="299" t="s">
        <v>1972</v>
      </c>
      <c r="V886" s="299" t="s">
        <v>2832</v>
      </c>
    </row>
    <row r="887" spans="1:22" s="299" customFormat="1" ht="15.75" thickBot="1" x14ac:dyDescent="0.3">
      <c r="A887" s="292" t="s">
        <v>4684</v>
      </c>
      <c r="B887" s="292" t="s">
        <v>4684</v>
      </c>
      <c r="C887" s="292" t="s">
        <v>4684</v>
      </c>
      <c r="D887" s="276" t="s">
        <v>629</v>
      </c>
      <c r="E887" s="279" t="s">
        <v>1970</v>
      </c>
      <c r="F887" s="428" t="s">
        <v>620</v>
      </c>
      <c r="G887" s="429">
        <v>1995</v>
      </c>
      <c r="H887" s="382" t="s">
        <v>736</v>
      </c>
      <c r="I887" s="339" t="str">
        <f t="shared" si="50"/>
        <v>Pesado de Passageiros M3: I : Gasóleo : E1</v>
      </c>
      <c r="J887" s="268">
        <v>73</v>
      </c>
      <c r="K887" s="268">
        <v>2022</v>
      </c>
      <c r="L887" s="253">
        <v>0</v>
      </c>
      <c r="M887" s="253" t="s">
        <v>630</v>
      </c>
      <c r="N887" s="254">
        <v>0</v>
      </c>
      <c r="O887" s="254">
        <f t="shared" si="51"/>
        <v>0</v>
      </c>
      <c r="P887" s="268" t="s">
        <v>1488</v>
      </c>
      <c r="Q887" s="253" t="s">
        <v>47</v>
      </c>
      <c r="R887" s="299" t="s">
        <v>1888</v>
      </c>
      <c r="S887" s="299" t="s">
        <v>1861</v>
      </c>
      <c r="T887" s="253" t="s">
        <v>1491</v>
      </c>
      <c r="U887" s="299" t="s">
        <v>1972</v>
      </c>
      <c r="V887" s="299" t="s">
        <v>2832</v>
      </c>
    </row>
    <row r="888" spans="1:22" s="299" customFormat="1" ht="15.75" thickBot="1" x14ac:dyDescent="0.3">
      <c r="A888" s="292" t="s">
        <v>4684</v>
      </c>
      <c r="B888" s="292" t="s">
        <v>4684</v>
      </c>
      <c r="C888" s="292" t="s">
        <v>4684</v>
      </c>
      <c r="D888" s="276" t="s">
        <v>629</v>
      </c>
      <c r="E888" s="279" t="s">
        <v>1970</v>
      </c>
      <c r="F888" s="428" t="s">
        <v>620</v>
      </c>
      <c r="G888" s="429">
        <v>1995</v>
      </c>
      <c r="H888" s="382" t="s">
        <v>736</v>
      </c>
      <c r="I888" s="339" t="str">
        <f t="shared" si="50"/>
        <v>Pesado de Passageiros M3: I : Gasóleo : E1</v>
      </c>
      <c r="J888" s="268">
        <v>73</v>
      </c>
      <c r="K888" s="268">
        <v>2022</v>
      </c>
      <c r="L888" s="253">
        <v>0</v>
      </c>
      <c r="M888" s="253" t="s">
        <v>630</v>
      </c>
      <c r="N888" s="254">
        <v>0</v>
      </c>
      <c r="O888" s="254">
        <f t="shared" si="51"/>
        <v>0</v>
      </c>
      <c r="P888" s="268" t="s">
        <v>1489</v>
      </c>
      <c r="Q888" s="253" t="s">
        <v>47</v>
      </c>
      <c r="R888" s="299" t="s">
        <v>1888</v>
      </c>
      <c r="S888" s="299" t="s">
        <v>1861</v>
      </c>
      <c r="T888" s="253" t="s">
        <v>1491</v>
      </c>
      <c r="U888" s="299" t="s">
        <v>1972</v>
      </c>
      <c r="V888" s="299" t="s">
        <v>2832</v>
      </c>
    </row>
    <row r="889" spans="1:22" s="299" customFormat="1" ht="15.75" thickBot="1" x14ac:dyDescent="0.3">
      <c r="A889" s="292" t="s">
        <v>4684</v>
      </c>
      <c r="B889" s="292" t="s">
        <v>4684</v>
      </c>
      <c r="C889" s="292" t="s">
        <v>4684</v>
      </c>
      <c r="D889" s="276" t="s">
        <v>629</v>
      </c>
      <c r="E889" s="279" t="s">
        <v>1970</v>
      </c>
      <c r="F889" s="428" t="s">
        <v>620</v>
      </c>
      <c r="G889" s="429">
        <v>1996</v>
      </c>
      <c r="H889" s="382" t="s">
        <v>736</v>
      </c>
      <c r="I889" s="339" t="str">
        <f t="shared" si="50"/>
        <v>Pesado de Passageiros M3: I : Gasóleo : E1</v>
      </c>
      <c r="J889" s="268">
        <v>63</v>
      </c>
      <c r="K889" s="268">
        <v>2022</v>
      </c>
      <c r="L889" s="253">
        <v>164.04</v>
      </c>
      <c r="M889" s="253" t="s">
        <v>630</v>
      </c>
      <c r="N889" s="254">
        <v>410</v>
      </c>
      <c r="O889" s="254">
        <f t="shared" si="51"/>
        <v>25830</v>
      </c>
      <c r="P889" s="268" t="s">
        <v>1490</v>
      </c>
      <c r="Q889" s="253" t="s">
        <v>47</v>
      </c>
      <c r="R889" s="299" t="s">
        <v>1888</v>
      </c>
      <c r="S889" s="299" t="s">
        <v>1861</v>
      </c>
      <c r="T889" s="253" t="s">
        <v>1491</v>
      </c>
      <c r="U889" s="299" t="s">
        <v>1972</v>
      </c>
      <c r="V889" s="299" t="s">
        <v>2832</v>
      </c>
    </row>
    <row r="890" spans="1:22" ht="15.75" thickBot="1" x14ac:dyDescent="0.3">
      <c r="A890" s="234" t="s">
        <v>1931</v>
      </c>
      <c r="B890" s="234" t="s">
        <v>1931</v>
      </c>
      <c r="C890" s="234" t="s">
        <v>1931</v>
      </c>
      <c r="D890" s="234" t="s">
        <v>629</v>
      </c>
      <c r="E890" s="259" t="s">
        <v>1853</v>
      </c>
      <c r="F890" s="234" t="s">
        <v>620</v>
      </c>
      <c r="G890" s="261">
        <v>1999</v>
      </c>
      <c r="H890" s="342" t="s">
        <v>735</v>
      </c>
      <c r="I890" s="337" t="str">
        <f t="shared" ref="I890:I899" si="52">D890&amp;": "&amp;E890&amp;" : "&amp;F890&amp;" : "&amp;H890</f>
        <v>Pesado de Passageiros M3: III : Gasóleo : E2</v>
      </c>
      <c r="J890" s="234">
        <v>75</v>
      </c>
      <c r="K890" s="260">
        <v>2022</v>
      </c>
      <c r="L890" s="234">
        <v>8791.668113593767</v>
      </c>
      <c r="M890" s="234" t="s">
        <v>630</v>
      </c>
      <c r="N890" s="234">
        <v>23714</v>
      </c>
      <c r="O890" s="128">
        <f t="shared" ref="O890:O899" si="53">N890*J890</f>
        <v>1778550</v>
      </c>
      <c r="P890" s="261">
        <v>133</v>
      </c>
      <c r="Q890" s="234" t="s">
        <v>47</v>
      </c>
      <c r="R890" s="220" t="s">
        <v>1888</v>
      </c>
      <c r="S890" s="220" t="s">
        <v>1861</v>
      </c>
      <c r="T890" s="234"/>
      <c r="U890" t="s">
        <v>1972</v>
      </c>
      <c r="V890" t="s">
        <v>2832</v>
      </c>
    </row>
    <row r="891" spans="1:22" ht="15.75" thickBot="1" x14ac:dyDescent="0.3">
      <c r="A891" s="234" t="s">
        <v>1931</v>
      </c>
      <c r="B891" s="234" t="s">
        <v>1931</v>
      </c>
      <c r="C891" s="234" t="s">
        <v>1931</v>
      </c>
      <c r="D891" s="234" t="s">
        <v>629</v>
      </c>
      <c r="E891" s="259" t="s">
        <v>1853</v>
      </c>
      <c r="F891" s="234" t="s">
        <v>620</v>
      </c>
      <c r="G891" s="261">
        <v>2000</v>
      </c>
      <c r="H891" s="342" t="s">
        <v>732</v>
      </c>
      <c r="I891" s="337" t="str">
        <f t="shared" si="52"/>
        <v>Pesado de Passageiros M3: III : Gasóleo : E3</v>
      </c>
      <c r="J891" s="234">
        <v>87</v>
      </c>
      <c r="K891" s="260">
        <v>2022</v>
      </c>
      <c r="L891" s="234">
        <v>9870.431485938394</v>
      </c>
      <c r="M891" s="234" t="s">
        <v>630</v>
      </c>
      <c r="N891" s="234">
        <v>23629</v>
      </c>
      <c r="O891" s="128">
        <f t="shared" si="53"/>
        <v>2055723</v>
      </c>
      <c r="P891" s="261">
        <v>154</v>
      </c>
      <c r="Q891" s="234" t="s">
        <v>47</v>
      </c>
      <c r="R891" s="220" t="s">
        <v>1888</v>
      </c>
      <c r="S891" s="220" t="s">
        <v>1861</v>
      </c>
      <c r="T891" s="234"/>
      <c r="U891" t="s">
        <v>1972</v>
      </c>
      <c r="V891" t="s">
        <v>2832</v>
      </c>
    </row>
    <row r="892" spans="1:22" ht="15.75" thickBot="1" x14ac:dyDescent="0.3">
      <c r="A892" s="234" t="s">
        <v>1931</v>
      </c>
      <c r="B892" s="234" t="s">
        <v>1931</v>
      </c>
      <c r="C892" s="234" t="s">
        <v>1931</v>
      </c>
      <c r="D892" s="234" t="s">
        <v>629</v>
      </c>
      <c r="E892" s="259" t="s">
        <v>1853</v>
      </c>
      <c r="F892" s="234" t="s">
        <v>620</v>
      </c>
      <c r="G892" s="261">
        <v>2002</v>
      </c>
      <c r="H892" s="342" t="s">
        <v>732</v>
      </c>
      <c r="I892" s="337" t="str">
        <f t="shared" si="52"/>
        <v>Pesado de Passageiros M3: III : Gasóleo : E3</v>
      </c>
      <c r="J892" s="234">
        <v>50</v>
      </c>
      <c r="K892" s="260">
        <v>2022</v>
      </c>
      <c r="L892" s="234">
        <v>11210.991482690293</v>
      </c>
      <c r="M892" s="234" t="s">
        <v>630</v>
      </c>
      <c r="N892" s="234">
        <v>27255</v>
      </c>
      <c r="O892" s="128">
        <f t="shared" si="53"/>
        <v>1362750</v>
      </c>
      <c r="P892" s="261">
        <v>155</v>
      </c>
      <c r="Q892" s="234" t="s">
        <v>47</v>
      </c>
      <c r="R892" s="220" t="s">
        <v>1888</v>
      </c>
      <c r="S892" s="220" t="s">
        <v>1861</v>
      </c>
      <c r="T892" s="234"/>
      <c r="U892" t="s">
        <v>1972</v>
      </c>
      <c r="V892" t="s">
        <v>2832</v>
      </c>
    </row>
    <row r="893" spans="1:22" ht="15.75" thickBot="1" x14ac:dyDescent="0.3">
      <c r="A893" s="234" t="s">
        <v>1931</v>
      </c>
      <c r="B893" s="234" t="s">
        <v>1931</v>
      </c>
      <c r="C893" s="234" t="s">
        <v>1931</v>
      </c>
      <c r="D893" s="234" t="s">
        <v>629</v>
      </c>
      <c r="E893" s="259" t="s">
        <v>1853</v>
      </c>
      <c r="F893" s="234" t="s">
        <v>620</v>
      </c>
      <c r="G893" s="261">
        <v>2002</v>
      </c>
      <c r="H893" s="342" t="s">
        <v>732</v>
      </c>
      <c r="I893" s="337" t="str">
        <f t="shared" si="52"/>
        <v>Pesado de Passageiros M3: III : Gasóleo : E3</v>
      </c>
      <c r="J893" s="234">
        <v>55</v>
      </c>
      <c r="K893" s="260">
        <v>2022</v>
      </c>
      <c r="L893" s="234">
        <v>9555.5689309192367</v>
      </c>
      <c r="M893" s="234" t="s">
        <v>630</v>
      </c>
      <c r="N893" s="234">
        <v>21800</v>
      </c>
      <c r="O893" s="128">
        <f t="shared" si="53"/>
        <v>1199000</v>
      </c>
      <c r="P893" s="261">
        <v>156</v>
      </c>
      <c r="Q893" s="234" t="s">
        <v>47</v>
      </c>
      <c r="R893" s="220" t="s">
        <v>1888</v>
      </c>
      <c r="S893" s="220" t="s">
        <v>1861</v>
      </c>
      <c r="T893" s="234"/>
      <c r="U893" t="s">
        <v>1972</v>
      </c>
      <c r="V893" t="s">
        <v>2832</v>
      </c>
    </row>
    <row r="894" spans="1:22" ht="15.75" thickBot="1" x14ac:dyDescent="0.3">
      <c r="A894" s="234" t="s">
        <v>1931</v>
      </c>
      <c r="B894" s="234" t="s">
        <v>1931</v>
      </c>
      <c r="C894" s="234" t="s">
        <v>1931</v>
      </c>
      <c r="D894" s="234" t="s">
        <v>1938</v>
      </c>
      <c r="E894" s="259" t="s">
        <v>1853</v>
      </c>
      <c r="F894" s="234" t="s">
        <v>620</v>
      </c>
      <c r="G894" s="261">
        <v>2002</v>
      </c>
      <c r="H894" s="342" t="s">
        <v>732</v>
      </c>
      <c r="I894" s="338" t="s">
        <v>2839</v>
      </c>
      <c r="J894" s="234">
        <v>19</v>
      </c>
      <c r="K894" s="260">
        <v>2022</v>
      </c>
      <c r="L894" s="234">
        <v>1966.0764406262269</v>
      </c>
      <c r="M894" s="234" t="s">
        <v>630</v>
      </c>
      <c r="N894" s="234">
        <v>11981</v>
      </c>
      <c r="O894" s="128">
        <f t="shared" si="53"/>
        <v>227639</v>
      </c>
      <c r="P894" s="261">
        <v>157</v>
      </c>
      <c r="Q894" s="234" t="s">
        <v>47</v>
      </c>
      <c r="R894" s="220" t="s">
        <v>1888</v>
      </c>
      <c r="S894" s="220" t="s">
        <v>1861</v>
      </c>
      <c r="T894" s="234"/>
      <c r="U894" t="s">
        <v>1972</v>
      </c>
      <c r="V894" t="s">
        <v>2832</v>
      </c>
    </row>
    <row r="895" spans="1:22" ht="15.75" thickBot="1" x14ac:dyDescent="0.3">
      <c r="A895" s="234" t="s">
        <v>1931</v>
      </c>
      <c r="B895" s="234" t="s">
        <v>1931</v>
      </c>
      <c r="C895" s="234" t="s">
        <v>1931</v>
      </c>
      <c r="D895" s="234" t="s">
        <v>629</v>
      </c>
      <c r="E895" s="259" t="s">
        <v>1853</v>
      </c>
      <c r="F895" s="234" t="s">
        <v>620</v>
      </c>
      <c r="G895" s="261">
        <v>2003</v>
      </c>
      <c r="H895" s="342" t="s">
        <v>732</v>
      </c>
      <c r="I895" s="337" t="str">
        <f t="shared" si="52"/>
        <v>Pesado de Passageiros M3: III : Gasóleo : E3</v>
      </c>
      <c r="J895" s="234">
        <v>81</v>
      </c>
      <c r="K895" s="260">
        <v>2022</v>
      </c>
      <c r="L895" s="234">
        <v>11266.569211057997</v>
      </c>
      <c r="M895" s="234" t="s">
        <v>630</v>
      </c>
      <c r="N895" s="234">
        <v>26301</v>
      </c>
      <c r="O895" s="128">
        <f t="shared" si="53"/>
        <v>2130381</v>
      </c>
      <c r="P895" s="261">
        <v>159</v>
      </c>
      <c r="Q895" s="234" t="s">
        <v>47</v>
      </c>
      <c r="R895" s="220" t="s">
        <v>1888</v>
      </c>
      <c r="S895" s="220" t="s">
        <v>1861</v>
      </c>
      <c r="T895" s="234"/>
      <c r="U895" t="s">
        <v>1972</v>
      </c>
      <c r="V895" t="s">
        <v>2832</v>
      </c>
    </row>
    <row r="896" spans="1:22" ht="15.75" thickBot="1" x14ac:dyDescent="0.3">
      <c r="A896" s="234" t="s">
        <v>1931</v>
      </c>
      <c r="B896" s="234" t="s">
        <v>1931</v>
      </c>
      <c r="C896" s="234" t="s">
        <v>1931</v>
      </c>
      <c r="D896" s="234" t="s">
        <v>629</v>
      </c>
      <c r="E896" s="259" t="s">
        <v>1853</v>
      </c>
      <c r="F896" s="234" t="s">
        <v>620</v>
      </c>
      <c r="G896" s="261">
        <v>2008</v>
      </c>
      <c r="H896" s="342" t="s">
        <v>734</v>
      </c>
      <c r="I896" s="337" t="str">
        <f t="shared" si="52"/>
        <v>Pesado de Passageiros M3: III : Gasóleo : E5</v>
      </c>
      <c r="J896" s="234">
        <v>27</v>
      </c>
      <c r="K896" s="260">
        <v>2022</v>
      </c>
      <c r="L896" s="234">
        <v>4531.2326990285992</v>
      </c>
      <c r="M896" s="234" t="s">
        <v>630</v>
      </c>
      <c r="N896" s="234">
        <v>25407</v>
      </c>
      <c r="O896" s="128">
        <f t="shared" si="53"/>
        <v>685989</v>
      </c>
      <c r="P896" s="261">
        <v>160</v>
      </c>
      <c r="Q896" s="234" t="s">
        <v>47</v>
      </c>
      <c r="R896" s="220" t="s">
        <v>1888</v>
      </c>
      <c r="S896" s="220" t="s">
        <v>1861</v>
      </c>
      <c r="T896" s="234"/>
      <c r="U896" t="s">
        <v>1972</v>
      </c>
      <c r="V896" t="s">
        <v>2832</v>
      </c>
    </row>
    <row r="897" spans="1:22" ht="15.75" thickBot="1" x14ac:dyDescent="0.3">
      <c r="A897" s="234" t="s">
        <v>1931</v>
      </c>
      <c r="B897" s="234" t="s">
        <v>1931</v>
      </c>
      <c r="C897" s="234" t="s">
        <v>1931</v>
      </c>
      <c r="D897" s="234" t="s">
        <v>629</v>
      </c>
      <c r="E897" s="259" t="s">
        <v>1853</v>
      </c>
      <c r="F897" s="234" t="s">
        <v>620</v>
      </c>
      <c r="G897" s="261">
        <v>2000</v>
      </c>
      <c r="H897" s="342" t="s">
        <v>732</v>
      </c>
      <c r="I897" s="337" t="str">
        <f t="shared" si="52"/>
        <v>Pesado de Passageiros M3: III : Gasóleo : E3</v>
      </c>
      <c r="J897" s="234">
        <v>51</v>
      </c>
      <c r="K897" s="260">
        <v>2022</v>
      </c>
      <c r="L897" s="234">
        <v>7090.1794378271979</v>
      </c>
      <c r="M897" s="234" t="s">
        <v>630</v>
      </c>
      <c r="N897" s="234">
        <v>14293</v>
      </c>
      <c r="O897" s="128">
        <f t="shared" si="53"/>
        <v>728943</v>
      </c>
      <c r="P897" s="261">
        <v>168</v>
      </c>
      <c r="Q897" s="234" t="s">
        <v>47</v>
      </c>
      <c r="R897" s="220" t="s">
        <v>1888</v>
      </c>
      <c r="S897" s="220" t="s">
        <v>1861</v>
      </c>
      <c r="T897" s="234"/>
      <c r="U897" t="s">
        <v>1972</v>
      </c>
      <c r="V897" t="s">
        <v>2832</v>
      </c>
    </row>
    <row r="898" spans="1:22" ht="15.75" thickBot="1" x14ac:dyDescent="0.3">
      <c r="A898" s="234" t="s">
        <v>1931</v>
      </c>
      <c r="B898" s="234" t="s">
        <v>1931</v>
      </c>
      <c r="C898" s="234" t="s">
        <v>1931</v>
      </c>
      <c r="D898" s="234" t="s">
        <v>629</v>
      </c>
      <c r="E898" s="259" t="s">
        <v>1853</v>
      </c>
      <c r="F898" s="234" t="s">
        <v>620</v>
      </c>
      <c r="G898" s="261">
        <v>2007</v>
      </c>
      <c r="H898" s="342" t="s">
        <v>731</v>
      </c>
      <c r="I898" s="337" t="str">
        <f t="shared" si="52"/>
        <v>Pesado de Passageiros M3: III : Gasóleo : E4</v>
      </c>
      <c r="J898" s="234">
        <v>84</v>
      </c>
      <c r="K898" s="260">
        <v>2022</v>
      </c>
      <c r="L898" s="234">
        <v>12252.087734069548</v>
      </c>
      <c r="M898" s="234" t="s">
        <v>630</v>
      </c>
      <c r="N898" s="234">
        <v>35674</v>
      </c>
      <c r="O898" s="128">
        <f t="shared" si="53"/>
        <v>2996616</v>
      </c>
      <c r="P898" s="261">
        <v>171</v>
      </c>
      <c r="Q898" s="234" t="s">
        <v>47</v>
      </c>
      <c r="R898" s="220" t="s">
        <v>1888</v>
      </c>
      <c r="S898" s="220" t="s">
        <v>1861</v>
      </c>
      <c r="T898" s="234"/>
      <c r="U898" t="s">
        <v>1972</v>
      </c>
      <c r="V898" t="s">
        <v>2832</v>
      </c>
    </row>
    <row r="899" spans="1:22" ht="15.75" thickBot="1" x14ac:dyDescent="0.3">
      <c r="A899" s="234" t="s">
        <v>1931</v>
      </c>
      <c r="B899" s="234" t="s">
        <v>1931</v>
      </c>
      <c r="C899" s="234" t="s">
        <v>1931</v>
      </c>
      <c r="D899" s="234" t="s">
        <v>629</v>
      </c>
      <c r="E899" s="259" t="s">
        <v>1853</v>
      </c>
      <c r="F899" s="234" t="s">
        <v>620</v>
      </c>
      <c r="G899" s="261">
        <v>2005</v>
      </c>
      <c r="H899" s="342" t="s">
        <v>731</v>
      </c>
      <c r="I899" s="337" t="str">
        <f t="shared" si="52"/>
        <v>Pesado de Passageiros M3: III : Gasóleo : E4</v>
      </c>
      <c r="J899" s="234">
        <v>81</v>
      </c>
      <c r="K899" s="260">
        <v>2022</v>
      </c>
      <c r="L899" s="234">
        <v>10182.130641566278</v>
      </c>
      <c r="M899" s="234" t="s">
        <v>630</v>
      </c>
      <c r="N899" s="234">
        <v>26514</v>
      </c>
      <c r="O899" s="128">
        <f t="shared" si="53"/>
        <v>2147634</v>
      </c>
      <c r="P899" s="261">
        <v>172</v>
      </c>
      <c r="Q899" s="234" t="s">
        <v>47</v>
      </c>
      <c r="R899" s="220" t="s">
        <v>1888</v>
      </c>
      <c r="S899" s="220" t="s">
        <v>1861</v>
      </c>
      <c r="T899" s="234"/>
      <c r="U899" t="s">
        <v>1972</v>
      </c>
      <c r="V899" t="s">
        <v>2832</v>
      </c>
    </row>
    <row r="900" spans="1:22" ht="15.75" thickBot="1" x14ac:dyDescent="0.3">
      <c r="A900" s="234" t="s">
        <v>1931</v>
      </c>
      <c r="B900" s="234" t="s">
        <v>1931</v>
      </c>
      <c r="C900" s="234" t="s">
        <v>1931</v>
      </c>
      <c r="D900" s="234" t="s">
        <v>629</v>
      </c>
      <c r="E900" s="259" t="s">
        <v>1853</v>
      </c>
      <c r="F900" s="234" t="s">
        <v>620</v>
      </c>
      <c r="G900" s="261">
        <v>2005</v>
      </c>
      <c r="H900" s="342" t="s">
        <v>731</v>
      </c>
      <c r="I900" s="337" t="str">
        <f t="shared" ref="I900:I963" si="54">D900&amp;": "&amp;E900&amp;" : "&amp;F900&amp;" : "&amp;H900</f>
        <v>Pesado de Passageiros M3: III : Gasóleo : E4</v>
      </c>
      <c r="J900" s="234">
        <v>82</v>
      </c>
      <c r="K900" s="260">
        <v>2022</v>
      </c>
      <c r="L900" s="234">
        <v>3351.5910270913369</v>
      </c>
      <c r="M900" s="234" t="s">
        <v>630</v>
      </c>
      <c r="N900" s="234">
        <v>7359</v>
      </c>
      <c r="O900" s="128">
        <f t="shared" ref="O900:O963" si="55">N900*J900</f>
        <v>603438</v>
      </c>
      <c r="P900" s="261">
        <v>173</v>
      </c>
      <c r="Q900" s="234" t="s">
        <v>47</v>
      </c>
      <c r="R900" s="220" t="s">
        <v>1888</v>
      </c>
      <c r="S900" s="220" t="s">
        <v>1861</v>
      </c>
      <c r="T900" s="234"/>
      <c r="U900" t="s">
        <v>1972</v>
      </c>
      <c r="V900" t="s">
        <v>2832</v>
      </c>
    </row>
    <row r="901" spans="1:22" ht="15.75" thickBot="1" x14ac:dyDescent="0.3">
      <c r="A901" s="234" t="s">
        <v>1931</v>
      </c>
      <c r="B901" s="234" t="s">
        <v>1931</v>
      </c>
      <c r="C901" s="234" t="s">
        <v>1931</v>
      </c>
      <c r="D901" s="234" t="s">
        <v>629</v>
      </c>
      <c r="E901" s="259" t="s">
        <v>1853</v>
      </c>
      <c r="F901" s="234" t="s">
        <v>620</v>
      </c>
      <c r="G901" s="261">
        <v>2006</v>
      </c>
      <c r="H901" s="342" t="s">
        <v>731</v>
      </c>
      <c r="I901" s="337" t="str">
        <f t="shared" si="54"/>
        <v>Pesado de Passageiros M3: III : Gasóleo : E4</v>
      </c>
      <c r="J901" s="234">
        <v>82</v>
      </c>
      <c r="K901" s="260">
        <v>2022</v>
      </c>
      <c r="L901" s="234">
        <v>8324.3565413094184</v>
      </c>
      <c r="M901" s="234" t="s">
        <v>630</v>
      </c>
      <c r="N901" s="234">
        <v>25701</v>
      </c>
      <c r="O901" s="128">
        <f t="shared" si="55"/>
        <v>2107482</v>
      </c>
      <c r="P901" s="261">
        <v>174</v>
      </c>
      <c r="Q901" s="234" t="s">
        <v>47</v>
      </c>
      <c r="R901" s="220" t="s">
        <v>1888</v>
      </c>
      <c r="S901" s="220" t="s">
        <v>1861</v>
      </c>
      <c r="T901" s="234"/>
      <c r="U901" t="s">
        <v>1972</v>
      </c>
      <c r="V901" t="s">
        <v>2832</v>
      </c>
    </row>
    <row r="902" spans="1:22" ht="15.75" thickBot="1" x14ac:dyDescent="0.3">
      <c r="A902" s="234" t="s">
        <v>1931</v>
      </c>
      <c r="B902" s="234" t="s">
        <v>1931</v>
      </c>
      <c r="C902" s="234" t="s">
        <v>1931</v>
      </c>
      <c r="D902" s="234" t="s">
        <v>629</v>
      </c>
      <c r="E902" s="259" t="s">
        <v>1853</v>
      </c>
      <c r="F902" s="234" t="s">
        <v>620</v>
      </c>
      <c r="G902" s="261">
        <v>2001</v>
      </c>
      <c r="H902" s="342" t="s">
        <v>732</v>
      </c>
      <c r="I902" s="337" t="str">
        <f t="shared" si="54"/>
        <v>Pesado de Passageiros M3: III : Gasóleo : E3</v>
      </c>
      <c r="J902" s="234">
        <v>51</v>
      </c>
      <c r="K902" s="260">
        <v>2022</v>
      </c>
      <c r="L902" s="234">
        <v>8520.8495351836482</v>
      </c>
      <c r="M902" s="234" t="s">
        <v>630</v>
      </c>
      <c r="N902" s="234">
        <v>21235</v>
      </c>
      <c r="O902" s="128">
        <f t="shared" si="55"/>
        <v>1082985</v>
      </c>
      <c r="P902" s="261">
        <v>175</v>
      </c>
      <c r="Q902" s="234" t="s">
        <v>47</v>
      </c>
      <c r="R902" s="220" t="s">
        <v>1888</v>
      </c>
      <c r="S902" s="220" t="s">
        <v>1861</v>
      </c>
      <c r="T902" s="234"/>
      <c r="U902" t="s">
        <v>1972</v>
      </c>
      <c r="V902" t="s">
        <v>2832</v>
      </c>
    </row>
    <row r="903" spans="1:22" ht="15.75" thickBot="1" x14ac:dyDescent="0.3">
      <c r="A903" s="234" t="s">
        <v>1931</v>
      </c>
      <c r="B903" s="234" t="s">
        <v>1931</v>
      </c>
      <c r="C903" s="234" t="s">
        <v>1931</v>
      </c>
      <c r="D903" s="234" t="s">
        <v>629</v>
      </c>
      <c r="E903" s="259" t="s">
        <v>1853</v>
      </c>
      <c r="F903" s="234" t="s">
        <v>620</v>
      </c>
      <c r="G903" s="261">
        <v>2007</v>
      </c>
      <c r="H903" s="342" t="s">
        <v>731</v>
      </c>
      <c r="I903" s="337" t="str">
        <f t="shared" si="54"/>
        <v>Pesado de Passageiros M3: III : Gasóleo : E4</v>
      </c>
      <c r="J903" s="234">
        <v>81</v>
      </c>
      <c r="K903" s="260">
        <v>2022</v>
      </c>
      <c r="L903" s="234">
        <v>11206.471348456256</v>
      </c>
      <c r="M903" s="234" t="s">
        <v>630</v>
      </c>
      <c r="N903" s="234">
        <v>28926</v>
      </c>
      <c r="O903" s="128">
        <f t="shared" si="55"/>
        <v>2343006</v>
      </c>
      <c r="P903" s="261">
        <v>176</v>
      </c>
      <c r="Q903" s="234" t="s">
        <v>47</v>
      </c>
      <c r="R903" s="220" t="s">
        <v>1888</v>
      </c>
      <c r="S903" s="220" t="s">
        <v>1861</v>
      </c>
      <c r="T903" s="234"/>
      <c r="U903" t="s">
        <v>1972</v>
      </c>
      <c r="V903" t="s">
        <v>2832</v>
      </c>
    </row>
    <row r="904" spans="1:22" ht="15.75" thickBot="1" x14ac:dyDescent="0.3">
      <c r="A904" s="234" t="s">
        <v>1931</v>
      </c>
      <c r="B904" s="234" t="s">
        <v>1931</v>
      </c>
      <c r="C904" s="234" t="s">
        <v>1931</v>
      </c>
      <c r="D904" s="234" t="s">
        <v>629</v>
      </c>
      <c r="E904" s="259" t="s">
        <v>1853</v>
      </c>
      <c r="F904" s="234" t="s">
        <v>620</v>
      </c>
      <c r="G904" s="261">
        <v>2008</v>
      </c>
      <c r="H904" s="342" t="s">
        <v>734</v>
      </c>
      <c r="I904" s="337" t="str">
        <f t="shared" si="54"/>
        <v>Pesado de Passageiros M3: III : Gasóleo : E5</v>
      </c>
      <c r="J904" s="234">
        <v>81</v>
      </c>
      <c r="K904" s="260">
        <v>2022</v>
      </c>
      <c r="L904" s="234">
        <v>12137.443245409164</v>
      </c>
      <c r="M904" s="234" t="s">
        <v>630</v>
      </c>
      <c r="N904" s="234">
        <v>28900</v>
      </c>
      <c r="O904" s="128">
        <f t="shared" si="55"/>
        <v>2340900</v>
      </c>
      <c r="P904" s="261">
        <v>183</v>
      </c>
      <c r="Q904" s="234" t="s">
        <v>47</v>
      </c>
      <c r="R904" s="220" t="s">
        <v>1888</v>
      </c>
      <c r="S904" s="220" t="s">
        <v>1861</v>
      </c>
      <c r="T904" s="234"/>
      <c r="U904" t="s">
        <v>1972</v>
      </c>
      <c r="V904" t="s">
        <v>2832</v>
      </c>
    </row>
    <row r="905" spans="1:22" ht="15.75" thickBot="1" x14ac:dyDescent="0.3">
      <c r="A905" s="234" t="s">
        <v>1931</v>
      </c>
      <c r="B905" s="234" t="s">
        <v>1931</v>
      </c>
      <c r="C905" s="234" t="s">
        <v>1931</v>
      </c>
      <c r="D905" s="234" t="s">
        <v>629</v>
      </c>
      <c r="E905" s="259" t="s">
        <v>1853</v>
      </c>
      <c r="F905" s="234" t="s">
        <v>620</v>
      </c>
      <c r="G905" s="261">
        <v>2009</v>
      </c>
      <c r="H905" s="342" t="s">
        <v>734</v>
      </c>
      <c r="I905" s="337" t="str">
        <f t="shared" si="54"/>
        <v>Pesado de Passageiros M3: III : Gasóleo : E5</v>
      </c>
      <c r="J905" s="234">
        <v>71</v>
      </c>
      <c r="K905" s="260">
        <v>2022</v>
      </c>
      <c r="L905" s="234">
        <v>17486.394806627923</v>
      </c>
      <c r="M905" s="234" t="s">
        <v>630</v>
      </c>
      <c r="N905" s="234">
        <v>45360</v>
      </c>
      <c r="O905" s="128">
        <f t="shared" si="55"/>
        <v>3220560</v>
      </c>
      <c r="P905" s="261">
        <v>184</v>
      </c>
      <c r="Q905" s="234" t="s">
        <v>47</v>
      </c>
      <c r="R905" s="220" t="s">
        <v>1888</v>
      </c>
      <c r="S905" s="220" t="s">
        <v>1861</v>
      </c>
      <c r="T905" s="234"/>
      <c r="U905" t="s">
        <v>1972</v>
      </c>
      <c r="V905" t="s">
        <v>2832</v>
      </c>
    </row>
    <row r="906" spans="1:22" ht="15.75" thickBot="1" x14ac:dyDescent="0.3">
      <c r="A906" s="234" t="s">
        <v>1931</v>
      </c>
      <c r="B906" s="234" t="s">
        <v>1931</v>
      </c>
      <c r="C906" s="234" t="s">
        <v>1931</v>
      </c>
      <c r="D906" s="234" t="s">
        <v>629</v>
      </c>
      <c r="E906" s="259" t="s">
        <v>1853</v>
      </c>
      <c r="F906" s="234" t="s">
        <v>620</v>
      </c>
      <c r="G906" s="261">
        <v>2009</v>
      </c>
      <c r="H906" s="342" t="s">
        <v>734</v>
      </c>
      <c r="I906" s="337" t="str">
        <f t="shared" si="54"/>
        <v>Pesado de Passageiros M3: III : Gasóleo : E5</v>
      </c>
      <c r="J906" s="234">
        <v>50</v>
      </c>
      <c r="K906" s="260">
        <v>2022</v>
      </c>
      <c r="L906" s="234">
        <v>16743.627730026637</v>
      </c>
      <c r="M906" s="234" t="s">
        <v>630</v>
      </c>
      <c r="N906" s="234">
        <v>48881</v>
      </c>
      <c r="O906" s="128">
        <f t="shared" si="55"/>
        <v>2444050</v>
      </c>
      <c r="P906" s="261">
        <v>185</v>
      </c>
      <c r="Q906" s="234" t="s">
        <v>47</v>
      </c>
      <c r="R906" s="220" t="s">
        <v>1888</v>
      </c>
      <c r="S906" s="220" t="s">
        <v>1861</v>
      </c>
      <c r="T906" s="234"/>
      <c r="U906" t="s">
        <v>1972</v>
      </c>
      <c r="V906" t="s">
        <v>2832</v>
      </c>
    </row>
    <row r="907" spans="1:22" ht="15.75" thickBot="1" x14ac:dyDescent="0.3">
      <c r="A907" s="234" t="s">
        <v>1931</v>
      </c>
      <c r="B907" s="234" t="s">
        <v>1931</v>
      </c>
      <c r="C907" s="234" t="s">
        <v>1931</v>
      </c>
      <c r="D907" s="234" t="s">
        <v>629</v>
      </c>
      <c r="E907" s="259" t="s">
        <v>1853</v>
      </c>
      <c r="F907" s="234" t="s">
        <v>620</v>
      </c>
      <c r="G907" s="261">
        <v>1997</v>
      </c>
      <c r="H907" s="342" t="s">
        <v>735</v>
      </c>
      <c r="I907" s="337" t="str">
        <f t="shared" si="54"/>
        <v>Pesado de Passageiros M3: III : Gasóleo : E2</v>
      </c>
      <c r="J907" s="234">
        <v>85</v>
      </c>
      <c r="K907" s="260">
        <v>2022</v>
      </c>
      <c r="L907" s="234">
        <v>8301.5842798697067</v>
      </c>
      <c r="M907" s="234" t="s">
        <v>630</v>
      </c>
      <c r="N907" s="234">
        <v>23319</v>
      </c>
      <c r="O907" s="128">
        <f t="shared" si="55"/>
        <v>1982115</v>
      </c>
      <c r="P907" s="261">
        <v>186</v>
      </c>
      <c r="Q907" s="234" t="s">
        <v>47</v>
      </c>
      <c r="R907" s="220" t="s">
        <v>1888</v>
      </c>
      <c r="S907" s="220" t="s">
        <v>1861</v>
      </c>
      <c r="T907" s="234"/>
      <c r="U907" t="s">
        <v>1972</v>
      </c>
      <c r="V907" t="s">
        <v>2832</v>
      </c>
    </row>
    <row r="908" spans="1:22" ht="15.75" thickBot="1" x14ac:dyDescent="0.3">
      <c r="A908" s="234" t="s">
        <v>1931</v>
      </c>
      <c r="B908" s="234" t="s">
        <v>1931</v>
      </c>
      <c r="C908" s="234" t="s">
        <v>1931</v>
      </c>
      <c r="D908" s="234" t="s">
        <v>629</v>
      </c>
      <c r="E908" s="259" t="s">
        <v>1853</v>
      </c>
      <c r="F908" s="234" t="s">
        <v>620</v>
      </c>
      <c r="G908" s="261">
        <v>2012</v>
      </c>
      <c r="H908" s="342" t="s">
        <v>734</v>
      </c>
      <c r="I908" s="337" t="str">
        <f t="shared" si="54"/>
        <v>Pesado de Passageiros M3: III : Gasóleo : E5</v>
      </c>
      <c r="J908" s="234">
        <v>73</v>
      </c>
      <c r="K908" s="260">
        <v>2022</v>
      </c>
      <c r="L908" s="234">
        <v>6190.4127439671311</v>
      </c>
      <c r="M908" s="234" t="s">
        <v>630</v>
      </c>
      <c r="N908" s="234">
        <v>15343</v>
      </c>
      <c r="O908" s="128">
        <f t="shared" si="55"/>
        <v>1120039</v>
      </c>
      <c r="P908" s="261">
        <v>189</v>
      </c>
      <c r="Q908" s="234" t="s">
        <v>47</v>
      </c>
      <c r="R908" s="220" t="s">
        <v>1888</v>
      </c>
      <c r="S908" s="220" t="s">
        <v>1861</v>
      </c>
      <c r="T908" s="234"/>
      <c r="U908" t="s">
        <v>1972</v>
      </c>
      <c r="V908" t="s">
        <v>2832</v>
      </c>
    </row>
    <row r="909" spans="1:22" ht="15.75" thickBot="1" x14ac:dyDescent="0.3">
      <c r="A909" s="234" t="s">
        <v>1931</v>
      </c>
      <c r="B909" s="234" t="s">
        <v>1931</v>
      </c>
      <c r="C909" s="234" t="s">
        <v>1931</v>
      </c>
      <c r="D909" s="234" t="s">
        <v>629</v>
      </c>
      <c r="E909" s="259" t="s">
        <v>1853</v>
      </c>
      <c r="F909" s="234" t="s">
        <v>620</v>
      </c>
      <c r="G909" s="261">
        <v>1999</v>
      </c>
      <c r="H909" s="342" t="s">
        <v>735</v>
      </c>
      <c r="I909" s="337" t="str">
        <f t="shared" si="54"/>
        <v>Pesado de Passageiros M3: III : Gasóleo : E2</v>
      </c>
      <c r="J909" s="234">
        <v>73</v>
      </c>
      <c r="K909" s="260">
        <v>2022</v>
      </c>
      <c r="L909" s="234">
        <v>11377.328933719067</v>
      </c>
      <c r="M909" s="234" t="s">
        <v>630</v>
      </c>
      <c r="N909" s="234">
        <v>35034</v>
      </c>
      <c r="O909" s="128">
        <f t="shared" si="55"/>
        <v>2557482</v>
      </c>
      <c r="P909" s="261">
        <v>190</v>
      </c>
      <c r="Q909" s="234" t="s">
        <v>47</v>
      </c>
      <c r="R909" s="220" t="s">
        <v>1888</v>
      </c>
      <c r="S909" s="220" t="s">
        <v>1861</v>
      </c>
      <c r="T909" s="234"/>
      <c r="U909" t="s">
        <v>1972</v>
      </c>
      <c r="V909" t="s">
        <v>2832</v>
      </c>
    </row>
    <row r="910" spans="1:22" ht="15.75" thickBot="1" x14ac:dyDescent="0.3">
      <c r="A910" s="234" t="s">
        <v>1931</v>
      </c>
      <c r="B910" s="234" t="s">
        <v>1931</v>
      </c>
      <c r="C910" s="234" t="s">
        <v>1931</v>
      </c>
      <c r="D910" s="234" t="s">
        <v>629</v>
      </c>
      <c r="E910" s="259" t="s">
        <v>1853</v>
      </c>
      <c r="F910" s="234" t="s">
        <v>620</v>
      </c>
      <c r="G910" s="261">
        <v>2001</v>
      </c>
      <c r="H910" s="342" t="s">
        <v>732</v>
      </c>
      <c r="I910" s="337" t="str">
        <f t="shared" si="54"/>
        <v>Pesado de Passageiros M3: III : Gasóleo : E3</v>
      </c>
      <c r="J910" s="234">
        <v>76</v>
      </c>
      <c r="K910" s="260">
        <v>2022</v>
      </c>
      <c r="L910" s="234">
        <v>7621.0533995640944</v>
      </c>
      <c r="M910" s="234" t="s">
        <v>630</v>
      </c>
      <c r="N910" s="234">
        <v>19881</v>
      </c>
      <c r="O910" s="128">
        <f t="shared" si="55"/>
        <v>1510956</v>
      </c>
      <c r="P910" s="261">
        <v>191</v>
      </c>
      <c r="Q910" s="234" t="s">
        <v>47</v>
      </c>
      <c r="R910" s="220" t="s">
        <v>1888</v>
      </c>
      <c r="S910" s="220" t="s">
        <v>1861</v>
      </c>
      <c r="T910" s="234"/>
      <c r="U910" t="s">
        <v>1972</v>
      </c>
      <c r="V910" t="s">
        <v>2832</v>
      </c>
    </row>
    <row r="911" spans="1:22" ht="15.75" thickBot="1" x14ac:dyDescent="0.3">
      <c r="A911" s="234" t="s">
        <v>1931</v>
      </c>
      <c r="B911" s="234" t="s">
        <v>1931</v>
      </c>
      <c r="C911" s="234" t="s">
        <v>1931</v>
      </c>
      <c r="D911" s="234" t="s">
        <v>629</v>
      </c>
      <c r="E911" s="259" t="s">
        <v>1853</v>
      </c>
      <c r="F911" s="234" t="s">
        <v>620</v>
      </c>
      <c r="G911" s="261">
        <v>2012</v>
      </c>
      <c r="H911" s="342" t="s">
        <v>734</v>
      </c>
      <c r="I911" s="337" t="str">
        <f t="shared" si="54"/>
        <v>Pesado de Passageiros M3: III : Gasóleo : E5</v>
      </c>
      <c r="J911" s="234">
        <v>32</v>
      </c>
      <c r="K911" s="260">
        <v>2022</v>
      </c>
      <c r="L911" s="234">
        <v>5167.4350462793573</v>
      </c>
      <c r="M911" s="234" t="s">
        <v>630</v>
      </c>
      <c r="N911" s="234">
        <v>28349</v>
      </c>
      <c r="O911" s="128">
        <f t="shared" si="55"/>
        <v>907168</v>
      </c>
      <c r="P911" s="261">
        <v>192</v>
      </c>
      <c r="Q911" s="234" t="s">
        <v>47</v>
      </c>
      <c r="R911" s="220" t="s">
        <v>1888</v>
      </c>
      <c r="S911" s="220" t="s">
        <v>1861</v>
      </c>
      <c r="T911" s="234"/>
      <c r="U911" t="s">
        <v>1972</v>
      </c>
      <c r="V911" t="s">
        <v>2832</v>
      </c>
    </row>
    <row r="912" spans="1:22" ht="15.75" thickBot="1" x14ac:dyDescent="0.3">
      <c r="A912" s="234" t="s">
        <v>1931</v>
      </c>
      <c r="B912" s="234" t="s">
        <v>1931</v>
      </c>
      <c r="C912" s="234" t="s">
        <v>1931</v>
      </c>
      <c r="D912" s="234" t="s">
        <v>629</v>
      </c>
      <c r="E912" s="259" t="s">
        <v>1853</v>
      </c>
      <c r="F912" s="234" t="s">
        <v>620</v>
      </c>
      <c r="G912" s="261">
        <v>2004</v>
      </c>
      <c r="H912" s="342" t="s">
        <v>732</v>
      </c>
      <c r="I912" s="337" t="str">
        <f t="shared" si="54"/>
        <v>Pesado de Passageiros M3: III : Gasóleo : E3</v>
      </c>
      <c r="J912" s="234">
        <v>19</v>
      </c>
      <c r="K912" s="260">
        <v>2022</v>
      </c>
      <c r="L912" s="234">
        <v>2742.95769403849</v>
      </c>
      <c r="M912" s="234" t="s">
        <v>630</v>
      </c>
      <c r="N912" s="234">
        <v>15512</v>
      </c>
      <c r="O912" s="128">
        <f t="shared" si="55"/>
        <v>294728</v>
      </c>
      <c r="P912" s="261">
        <v>193</v>
      </c>
      <c r="Q912" s="234" t="s">
        <v>47</v>
      </c>
      <c r="R912" s="220" t="s">
        <v>1888</v>
      </c>
      <c r="S912" s="220" t="s">
        <v>1861</v>
      </c>
      <c r="T912" s="234"/>
      <c r="U912" t="s">
        <v>1972</v>
      </c>
      <c r="V912" t="s">
        <v>2832</v>
      </c>
    </row>
    <row r="913" spans="1:22" ht="15.75" thickBot="1" x14ac:dyDescent="0.3">
      <c r="A913" s="234" t="s">
        <v>1931</v>
      </c>
      <c r="B913" s="234" t="s">
        <v>1931</v>
      </c>
      <c r="C913" s="234" t="s">
        <v>1931</v>
      </c>
      <c r="D913" s="234" t="s">
        <v>1938</v>
      </c>
      <c r="E913" s="259" t="s">
        <v>1853</v>
      </c>
      <c r="F913" s="234" t="s">
        <v>620</v>
      </c>
      <c r="G913" s="261">
        <v>2002</v>
      </c>
      <c r="H913" s="342" t="s">
        <v>732</v>
      </c>
      <c r="I913" s="338" t="s">
        <v>2839</v>
      </c>
      <c r="J913" s="234">
        <v>20</v>
      </c>
      <c r="K913" s="260">
        <v>2022</v>
      </c>
      <c r="L913" s="234">
        <v>1205.4305230382943</v>
      </c>
      <c r="M913" s="234" t="s">
        <v>630</v>
      </c>
      <c r="N913" s="234">
        <v>7727</v>
      </c>
      <c r="O913" s="128">
        <f t="shared" si="55"/>
        <v>154540</v>
      </c>
      <c r="P913" s="261">
        <v>194</v>
      </c>
      <c r="Q913" s="234" t="s">
        <v>47</v>
      </c>
      <c r="R913" s="220" t="s">
        <v>1888</v>
      </c>
      <c r="S913" s="220" t="s">
        <v>1861</v>
      </c>
      <c r="T913" s="234"/>
      <c r="U913" t="s">
        <v>1972</v>
      </c>
      <c r="V913" t="s">
        <v>2832</v>
      </c>
    </row>
    <row r="914" spans="1:22" ht="15.75" thickBot="1" x14ac:dyDescent="0.3">
      <c r="A914" s="234" t="s">
        <v>1931</v>
      </c>
      <c r="B914" s="234" t="s">
        <v>1931</v>
      </c>
      <c r="C914" s="234" t="s">
        <v>1931</v>
      </c>
      <c r="D914" s="234" t="s">
        <v>629</v>
      </c>
      <c r="E914" s="259" t="s">
        <v>1853</v>
      </c>
      <c r="F914" s="234" t="s">
        <v>620</v>
      </c>
      <c r="G914" s="261">
        <v>2004</v>
      </c>
      <c r="H914" s="342" t="s">
        <v>732</v>
      </c>
      <c r="I914" s="337" t="str">
        <f t="shared" si="54"/>
        <v>Pesado de Passageiros M3: III : Gasóleo : E3</v>
      </c>
      <c r="J914" s="234">
        <v>54</v>
      </c>
      <c r="K914" s="260">
        <v>2022</v>
      </c>
      <c r="L914" s="234">
        <v>9342.5068001033742</v>
      </c>
      <c r="M914" s="234" t="s">
        <v>630</v>
      </c>
      <c r="N914" s="234">
        <v>23544</v>
      </c>
      <c r="O914" s="128">
        <f t="shared" si="55"/>
        <v>1271376</v>
      </c>
      <c r="P914" s="261">
        <v>195</v>
      </c>
      <c r="Q914" s="234" t="s">
        <v>47</v>
      </c>
      <c r="R914" s="220" t="s">
        <v>1888</v>
      </c>
      <c r="S914" s="220" t="s">
        <v>1861</v>
      </c>
      <c r="T914" s="234"/>
      <c r="U914" t="s">
        <v>1972</v>
      </c>
      <c r="V914" t="s">
        <v>2832</v>
      </c>
    </row>
    <row r="915" spans="1:22" ht="15.75" thickBot="1" x14ac:dyDescent="0.3">
      <c r="A915" s="234" t="s">
        <v>1931</v>
      </c>
      <c r="B915" s="234" t="s">
        <v>1931</v>
      </c>
      <c r="C915" s="234" t="s">
        <v>1931</v>
      </c>
      <c r="D915" s="234" t="s">
        <v>629</v>
      </c>
      <c r="E915" s="259" t="s">
        <v>1853</v>
      </c>
      <c r="F915" s="234" t="s">
        <v>620</v>
      </c>
      <c r="G915" s="261">
        <v>2004</v>
      </c>
      <c r="H915" s="342" t="s">
        <v>732</v>
      </c>
      <c r="I915" s="337" t="str">
        <f t="shared" si="54"/>
        <v>Pesado de Passageiros M3: III : Gasóleo : E3</v>
      </c>
      <c r="J915" s="234">
        <v>54</v>
      </c>
      <c r="K915" s="260">
        <v>2022</v>
      </c>
      <c r="L915" s="234"/>
      <c r="M915" s="234" t="s">
        <v>630</v>
      </c>
      <c r="N915" s="234">
        <v>0</v>
      </c>
      <c r="O915" s="128">
        <f t="shared" si="55"/>
        <v>0</v>
      </c>
      <c r="P915" s="261">
        <v>196</v>
      </c>
      <c r="Q915" s="234" t="s">
        <v>47</v>
      </c>
      <c r="R915" s="220" t="s">
        <v>1888</v>
      </c>
      <c r="S915" s="220" t="s">
        <v>1861</v>
      </c>
      <c r="T915" s="234"/>
      <c r="U915" t="s">
        <v>1972</v>
      </c>
      <c r="V915" t="s">
        <v>2832</v>
      </c>
    </row>
    <row r="916" spans="1:22" ht="15.75" thickBot="1" x14ac:dyDescent="0.3">
      <c r="A916" s="234" t="s">
        <v>1931</v>
      </c>
      <c r="B916" s="234" t="s">
        <v>1931</v>
      </c>
      <c r="C916" s="234" t="s">
        <v>1931</v>
      </c>
      <c r="D916" s="234" t="s">
        <v>629</v>
      </c>
      <c r="E916" s="259" t="s">
        <v>1853</v>
      </c>
      <c r="F916" s="234" t="s">
        <v>620</v>
      </c>
      <c r="G916" s="261">
        <v>1999</v>
      </c>
      <c r="H916" s="342" t="s">
        <v>735</v>
      </c>
      <c r="I916" s="337" t="str">
        <f t="shared" si="54"/>
        <v>Pesado de Passageiros M3: III : Gasóleo : E2</v>
      </c>
      <c r="J916" s="234">
        <v>50</v>
      </c>
      <c r="K916" s="260">
        <v>2022</v>
      </c>
      <c r="L916" s="234">
        <v>13269.095412079887</v>
      </c>
      <c r="M916" s="234" t="s">
        <v>630</v>
      </c>
      <c r="N916" s="234">
        <v>30689</v>
      </c>
      <c r="O916" s="128">
        <f t="shared" si="55"/>
        <v>1534450</v>
      </c>
      <c r="P916" s="261">
        <v>199</v>
      </c>
      <c r="Q916" s="234" t="s">
        <v>47</v>
      </c>
      <c r="R916" s="220" t="s">
        <v>1888</v>
      </c>
      <c r="S916" s="220" t="s">
        <v>1861</v>
      </c>
      <c r="T916" s="234"/>
      <c r="U916" t="s">
        <v>1972</v>
      </c>
      <c r="V916" t="s">
        <v>2832</v>
      </c>
    </row>
    <row r="917" spans="1:22" ht="15.75" thickBot="1" x14ac:dyDescent="0.3">
      <c r="A917" s="234" t="s">
        <v>1931</v>
      </c>
      <c r="B917" s="234" t="s">
        <v>1931</v>
      </c>
      <c r="C917" s="234" t="s">
        <v>1931</v>
      </c>
      <c r="D917" s="234" t="s">
        <v>629</v>
      </c>
      <c r="E917" s="259" t="s">
        <v>1853</v>
      </c>
      <c r="F917" s="234" t="s">
        <v>620</v>
      </c>
      <c r="G917" s="261">
        <v>1999</v>
      </c>
      <c r="H917" s="342" t="s">
        <v>735</v>
      </c>
      <c r="I917" s="337" t="str">
        <f t="shared" si="54"/>
        <v>Pesado de Passageiros M3: III : Gasóleo : E2</v>
      </c>
      <c r="J917" s="234">
        <v>50</v>
      </c>
      <c r="K917" s="260">
        <v>2022</v>
      </c>
      <c r="L917" s="234">
        <v>11720.047031748509</v>
      </c>
      <c r="M917" s="234" t="s">
        <v>630</v>
      </c>
      <c r="N917" s="234">
        <v>31488</v>
      </c>
      <c r="O917" s="128">
        <f t="shared" si="55"/>
        <v>1574400</v>
      </c>
      <c r="P917" s="261">
        <v>200</v>
      </c>
      <c r="Q917" s="234" t="s">
        <v>47</v>
      </c>
      <c r="R917" s="220" t="s">
        <v>1888</v>
      </c>
      <c r="S917" s="220" t="s">
        <v>1861</v>
      </c>
      <c r="T917" s="234"/>
      <c r="U917" t="s">
        <v>1972</v>
      </c>
      <c r="V917" t="s">
        <v>2832</v>
      </c>
    </row>
    <row r="918" spans="1:22" ht="15.75" thickBot="1" x14ac:dyDescent="0.3">
      <c r="A918" s="234" t="s">
        <v>1931</v>
      </c>
      <c r="B918" s="234" t="s">
        <v>1931</v>
      </c>
      <c r="C918" s="234" t="s">
        <v>1931</v>
      </c>
      <c r="D918" s="234" t="s">
        <v>629</v>
      </c>
      <c r="E918" s="259" t="s">
        <v>1853</v>
      </c>
      <c r="F918" s="234" t="s">
        <v>620</v>
      </c>
      <c r="G918" s="261">
        <v>2004</v>
      </c>
      <c r="H918" s="342" t="s">
        <v>732</v>
      </c>
      <c r="I918" s="337" t="str">
        <f t="shared" si="54"/>
        <v>Pesado de Passageiros M3: III : Gasóleo : E3</v>
      </c>
      <c r="J918" s="234">
        <v>54</v>
      </c>
      <c r="K918" s="260">
        <v>2022</v>
      </c>
      <c r="L918" s="234">
        <v>9369.0450648478782</v>
      </c>
      <c r="M918" s="234" t="s">
        <v>630</v>
      </c>
      <c r="N918" s="234">
        <v>23873</v>
      </c>
      <c r="O918" s="128">
        <f t="shared" si="55"/>
        <v>1289142</v>
      </c>
      <c r="P918" s="261">
        <v>201</v>
      </c>
      <c r="Q918" s="234" t="s">
        <v>47</v>
      </c>
      <c r="R918" s="220" t="s">
        <v>1888</v>
      </c>
      <c r="S918" s="220" t="s">
        <v>1861</v>
      </c>
      <c r="T918" s="234"/>
      <c r="U918" t="s">
        <v>1972</v>
      </c>
      <c r="V918" t="s">
        <v>2832</v>
      </c>
    </row>
    <row r="919" spans="1:22" ht="15.75" thickBot="1" x14ac:dyDescent="0.3">
      <c r="A919" s="234" t="s">
        <v>1931</v>
      </c>
      <c r="B919" s="234" t="s">
        <v>1931</v>
      </c>
      <c r="C919" s="234" t="s">
        <v>1931</v>
      </c>
      <c r="D919" s="234" t="s">
        <v>629</v>
      </c>
      <c r="E919" s="259" t="s">
        <v>1853</v>
      </c>
      <c r="F919" s="234" t="s">
        <v>620</v>
      </c>
      <c r="G919" s="261">
        <v>2009</v>
      </c>
      <c r="H919" s="342" t="s">
        <v>734</v>
      </c>
      <c r="I919" s="337" t="str">
        <f t="shared" si="54"/>
        <v>Pesado de Passageiros M3: III : Gasóleo : E5</v>
      </c>
      <c r="J919" s="234">
        <v>36</v>
      </c>
      <c r="K919" s="260">
        <v>2022</v>
      </c>
      <c r="L919" s="234">
        <v>11002.322327958515</v>
      </c>
      <c r="M919" s="234" t="s">
        <v>630</v>
      </c>
      <c r="N919" s="234">
        <v>36632</v>
      </c>
      <c r="O919" s="128">
        <f t="shared" si="55"/>
        <v>1318752</v>
      </c>
      <c r="P919" s="261">
        <v>202</v>
      </c>
      <c r="Q919" s="234" t="s">
        <v>47</v>
      </c>
      <c r="R919" s="220" t="s">
        <v>1888</v>
      </c>
      <c r="S919" s="220" t="s">
        <v>1861</v>
      </c>
      <c r="T919" s="234"/>
      <c r="U919" t="s">
        <v>1972</v>
      </c>
      <c r="V919" t="s">
        <v>2832</v>
      </c>
    </row>
    <row r="920" spans="1:22" ht="15.75" thickBot="1" x14ac:dyDescent="0.3">
      <c r="A920" s="234" t="s">
        <v>1931</v>
      </c>
      <c r="B920" s="234" t="s">
        <v>1931</v>
      </c>
      <c r="C920" s="234" t="s">
        <v>1931</v>
      </c>
      <c r="D920" s="234" t="s">
        <v>629</v>
      </c>
      <c r="E920" s="259" t="s">
        <v>1853</v>
      </c>
      <c r="F920" s="234" t="s">
        <v>620</v>
      </c>
      <c r="G920" s="261">
        <v>2005</v>
      </c>
      <c r="H920" s="342" t="s">
        <v>732</v>
      </c>
      <c r="I920" s="337" t="str">
        <f t="shared" si="54"/>
        <v>Pesado de Passageiros M3: III : Gasóleo : E3</v>
      </c>
      <c r="J920" s="234">
        <v>68</v>
      </c>
      <c r="K920" s="260">
        <v>2022</v>
      </c>
      <c r="L920" s="234">
        <v>16881.343804537792</v>
      </c>
      <c r="M920" s="234" t="s">
        <v>630</v>
      </c>
      <c r="N920" s="234">
        <v>52515</v>
      </c>
      <c r="O920" s="128">
        <f t="shared" si="55"/>
        <v>3571020</v>
      </c>
      <c r="P920" s="261">
        <v>203</v>
      </c>
      <c r="Q920" s="234" t="s">
        <v>47</v>
      </c>
      <c r="R920" s="220" t="s">
        <v>1888</v>
      </c>
      <c r="S920" s="220" t="s">
        <v>1861</v>
      </c>
      <c r="T920" s="234"/>
      <c r="U920" t="s">
        <v>1972</v>
      </c>
      <c r="V920" t="s">
        <v>2832</v>
      </c>
    </row>
    <row r="921" spans="1:22" ht="15.75" thickBot="1" x14ac:dyDescent="0.3">
      <c r="A921" s="234" t="s">
        <v>1931</v>
      </c>
      <c r="B921" s="234" t="s">
        <v>1931</v>
      </c>
      <c r="C921" s="234" t="s">
        <v>1931</v>
      </c>
      <c r="D921" s="234" t="s">
        <v>629</v>
      </c>
      <c r="E921" s="259" t="s">
        <v>1853</v>
      </c>
      <c r="F921" s="234" t="s">
        <v>620</v>
      </c>
      <c r="G921" s="261">
        <v>2003</v>
      </c>
      <c r="H921" s="342" t="s">
        <v>732</v>
      </c>
      <c r="I921" s="337" t="str">
        <f t="shared" si="54"/>
        <v>Pesado de Passageiros M3: III : Gasóleo : E3</v>
      </c>
      <c r="J921" s="234">
        <v>50</v>
      </c>
      <c r="K921" s="260">
        <v>2022</v>
      </c>
      <c r="L921" s="234">
        <v>12301.193174265449</v>
      </c>
      <c r="M921" s="234" t="s">
        <v>630</v>
      </c>
      <c r="N921" s="234">
        <v>31043</v>
      </c>
      <c r="O921" s="128">
        <f t="shared" si="55"/>
        <v>1552150</v>
      </c>
      <c r="P921" s="261">
        <v>204</v>
      </c>
      <c r="Q921" s="234" t="s">
        <v>47</v>
      </c>
      <c r="R921" s="220" t="s">
        <v>1888</v>
      </c>
      <c r="S921" s="220" t="s">
        <v>1861</v>
      </c>
      <c r="T921" s="234"/>
      <c r="U921" t="s">
        <v>1972</v>
      </c>
      <c r="V921" t="s">
        <v>2832</v>
      </c>
    </row>
    <row r="922" spans="1:22" ht="15.75" thickBot="1" x14ac:dyDescent="0.3">
      <c r="A922" s="234" t="s">
        <v>1931</v>
      </c>
      <c r="B922" s="234" t="s">
        <v>1931</v>
      </c>
      <c r="C922" s="234" t="s">
        <v>1931</v>
      </c>
      <c r="D922" s="234" t="s">
        <v>629</v>
      </c>
      <c r="E922" s="259" t="s">
        <v>1853</v>
      </c>
      <c r="F922" s="234" t="s">
        <v>620</v>
      </c>
      <c r="G922" s="261">
        <v>2006</v>
      </c>
      <c r="H922" s="342" t="s">
        <v>731</v>
      </c>
      <c r="I922" s="337" t="str">
        <f t="shared" si="54"/>
        <v>Pesado de Passageiros M3: III : Gasóleo : E4</v>
      </c>
      <c r="J922" s="234">
        <v>50</v>
      </c>
      <c r="K922" s="260">
        <v>2022</v>
      </c>
      <c r="L922" s="234">
        <v>14478.961492434159</v>
      </c>
      <c r="M922" s="234" t="s">
        <v>630</v>
      </c>
      <c r="N922" s="234">
        <v>39738</v>
      </c>
      <c r="O922" s="128">
        <f t="shared" si="55"/>
        <v>1986900</v>
      </c>
      <c r="P922" s="261">
        <v>205</v>
      </c>
      <c r="Q922" s="234" t="s">
        <v>47</v>
      </c>
      <c r="R922" s="220" t="s">
        <v>1888</v>
      </c>
      <c r="S922" s="220" t="s">
        <v>1861</v>
      </c>
      <c r="T922" s="234"/>
      <c r="U922" t="s">
        <v>1972</v>
      </c>
      <c r="V922" t="s">
        <v>2832</v>
      </c>
    </row>
    <row r="923" spans="1:22" ht="15.75" thickBot="1" x14ac:dyDescent="0.3">
      <c r="A923" s="234" t="s">
        <v>1931</v>
      </c>
      <c r="B923" s="234" t="s">
        <v>1931</v>
      </c>
      <c r="C923" s="234" t="s">
        <v>1931</v>
      </c>
      <c r="D923" s="234" t="s">
        <v>629</v>
      </c>
      <c r="E923" s="259" t="s">
        <v>1853</v>
      </c>
      <c r="F923" s="234" t="s">
        <v>620</v>
      </c>
      <c r="G923" s="261">
        <v>2007</v>
      </c>
      <c r="H923" s="342" t="s">
        <v>731</v>
      </c>
      <c r="I923" s="337" t="str">
        <f t="shared" si="54"/>
        <v>Pesado de Passageiros M3: III : Gasóleo : E4</v>
      </c>
      <c r="J923" s="234">
        <v>81</v>
      </c>
      <c r="K923" s="260">
        <v>2022</v>
      </c>
      <c r="L923" s="234">
        <v>10925.232544299221</v>
      </c>
      <c r="M923" s="234" t="s">
        <v>630</v>
      </c>
      <c r="N923" s="234">
        <v>26523</v>
      </c>
      <c r="O923" s="128">
        <f t="shared" si="55"/>
        <v>2148363</v>
      </c>
      <c r="P923" s="261">
        <v>206</v>
      </c>
      <c r="Q923" s="234" t="s">
        <v>47</v>
      </c>
      <c r="R923" s="220" t="s">
        <v>1888</v>
      </c>
      <c r="S923" s="220" t="s">
        <v>1861</v>
      </c>
      <c r="T923" s="234"/>
      <c r="U923" t="s">
        <v>1972</v>
      </c>
      <c r="V923" t="s">
        <v>2832</v>
      </c>
    </row>
    <row r="924" spans="1:22" ht="15.75" thickBot="1" x14ac:dyDescent="0.3">
      <c r="A924" s="234" t="s">
        <v>1931</v>
      </c>
      <c r="B924" s="234" t="s">
        <v>1931</v>
      </c>
      <c r="C924" s="234" t="s">
        <v>1931</v>
      </c>
      <c r="D924" s="234" t="s">
        <v>629</v>
      </c>
      <c r="E924" s="259" t="s">
        <v>1853</v>
      </c>
      <c r="F924" s="234" t="s">
        <v>620</v>
      </c>
      <c r="G924" s="261">
        <v>2009</v>
      </c>
      <c r="H924" s="342" t="s">
        <v>734</v>
      </c>
      <c r="I924" s="337" t="str">
        <f t="shared" si="54"/>
        <v>Pesado de Passageiros M3: III : Gasóleo : E5</v>
      </c>
      <c r="J924" s="234">
        <v>71</v>
      </c>
      <c r="K924" s="260">
        <v>2022</v>
      </c>
      <c r="L924" s="234">
        <v>12448.632083619967</v>
      </c>
      <c r="M924" s="234" t="s">
        <v>630</v>
      </c>
      <c r="N924" s="234">
        <v>32637</v>
      </c>
      <c r="O924" s="128">
        <f t="shared" si="55"/>
        <v>2317227</v>
      </c>
      <c r="P924" s="261">
        <v>207</v>
      </c>
      <c r="Q924" s="234" t="s">
        <v>47</v>
      </c>
      <c r="R924" s="220" t="s">
        <v>1888</v>
      </c>
      <c r="S924" s="220" t="s">
        <v>1861</v>
      </c>
      <c r="T924" s="234"/>
      <c r="U924" t="s">
        <v>1972</v>
      </c>
      <c r="V924" t="s">
        <v>2832</v>
      </c>
    </row>
    <row r="925" spans="1:22" ht="15.75" thickBot="1" x14ac:dyDescent="0.3">
      <c r="A925" s="234" t="s">
        <v>1931</v>
      </c>
      <c r="B925" s="234" t="s">
        <v>1931</v>
      </c>
      <c r="C925" s="234" t="s">
        <v>1931</v>
      </c>
      <c r="D925" s="234" t="s">
        <v>629</v>
      </c>
      <c r="E925" s="259" t="s">
        <v>1853</v>
      </c>
      <c r="F925" s="234" t="s">
        <v>620</v>
      </c>
      <c r="G925" s="261">
        <v>2009</v>
      </c>
      <c r="H925" s="342" t="s">
        <v>734</v>
      </c>
      <c r="I925" s="337" t="str">
        <f t="shared" si="54"/>
        <v>Pesado de Passageiros M3: III : Gasóleo : E5</v>
      </c>
      <c r="J925" s="234">
        <v>50</v>
      </c>
      <c r="K925" s="260">
        <v>2022</v>
      </c>
      <c r="L925" s="234">
        <v>18757.574002325968</v>
      </c>
      <c r="M925" s="234" t="s">
        <v>630</v>
      </c>
      <c r="N925" s="234">
        <v>52286</v>
      </c>
      <c r="O925" s="128">
        <f t="shared" si="55"/>
        <v>2614300</v>
      </c>
      <c r="P925" s="261">
        <v>208</v>
      </c>
      <c r="Q925" s="234" t="s">
        <v>47</v>
      </c>
      <c r="R925" s="220" t="s">
        <v>1888</v>
      </c>
      <c r="S925" s="220" t="s">
        <v>1861</v>
      </c>
      <c r="T925" s="234"/>
      <c r="U925" t="s">
        <v>1972</v>
      </c>
      <c r="V925" t="s">
        <v>2832</v>
      </c>
    </row>
    <row r="926" spans="1:22" ht="15.75" thickBot="1" x14ac:dyDescent="0.3">
      <c r="A926" s="234" t="s">
        <v>1931</v>
      </c>
      <c r="B926" s="234" t="s">
        <v>1931</v>
      </c>
      <c r="C926" s="234" t="s">
        <v>1931</v>
      </c>
      <c r="D926" s="234" t="s">
        <v>629</v>
      </c>
      <c r="E926" s="259" t="s">
        <v>1853</v>
      </c>
      <c r="F926" s="234" t="s">
        <v>620</v>
      </c>
      <c r="G926" s="261">
        <v>2011</v>
      </c>
      <c r="H926" s="342" t="s">
        <v>734</v>
      </c>
      <c r="I926" s="337" t="str">
        <f t="shared" si="54"/>
        <v>Pesado de Passageiros M3: III : Gasóleo : E5</v>
      </c>
      <c r="J926" s="234">
        <v>55</v>
      </c>
      <c r="K926" s="260">
        <v>2022</v>
      </c>
      <c r="L926" s="234">
        <v>22430.735461642449</v>
      </c>
      <c r="M926" s="234" t="s">
        <v>630</v>
      </c>
      <c r="N926" s="234">
        <v>56916</v>
      </c>
      <c r="O926" s="128">
        <f t="shared" si="55"/>
        <v>3130380</v>
      </c>
      <c r="P926" s="261">
        <v>209</v>
      </c>
      <c r="Q926" s="234" t="s">
        <v>47</v>
      </c>
      <c r="R926" s="220" t="s">
        <v>1888</v>
      </c>
      <c r="S926" s="220" t="s">
        <v>1861</v>
      </c>
      <c r="T926" s="234"/>
      <c r="U926" t="s">
        <v>1972</v>
      </c>
      <c r="V926" t="s">
        <v>2832</v>
      </c>
    </row>
    <row r="927" spans="1:22" ht="15.75" thickBot="1" x14ac:dyDescent="0.3">
      <c r="A927" s="234" t="s">
        <v>1931</v>
      </c>
      <c r="B927" s="234" t="s">
        <v>1931</v>
      </c>
      <c r="C927" s="234" t="s">
        <v>1931</v>
      </c>
      <c r="D927" s="234" t="s">
        <v>629</v>
      </c>
      <c r="E927" s="259" t="s">
        <v>1853</v>
      </c>
      <c r="F927" s="234" t="s">
        <v>620</v>
      </c>
      <c r="G927" s="261">
        <v>2012</v>
      </c>
      <c r="H927" s="342" t="s">
        <v>734</v>
      </c>
      <c r="I927" s="337" t="str">
        <f t="shared" si="54"/>
        <v>Pesado de Passageiros M3: III : Gasóleo : E5</v>
      </c>
      <c r="J927" s="234">
        <v>73</v>
      </c>
      <c r="K927" s="260">
        <v>2022</v>
      </c>
      <c r="L927" s="234">
        <v>19147.112391606846</v>
      </c>
      <c r="M927" s="234" t="s">
        <v>630</v>
      </c>
      <c r="N927" s="234">
        <v>46873</v>
      </c>
      <c r="O927" s="128">
        <f t="shared" si="55"/>
        <v>3421729</v>
      </c>
      <c r="P927" s="261">
        <v>211</v>
      </c>
      <c r="Q927" s="234" t="s">
        <v>47</v>
      </c>
      <c r="R927" s="220" t="s">
        <v>1888</v>
      </c>
      <c r="S927" s="220" t="s">
        <v>1861</v>
      </c>
      <c r="T927" s="234"/>
      <c r="U927" t="s">
        <v>1972</v>
      </c>
      <c r="V927" t="s">
        <v>2832</v>
      </c>
    </row>
    <row r="928" spans="1:22" ht="15.75" thickBot="1" x14ac:dyDescent="0.3">
      <c r="A928" s="234" t="s">
        <v>1931</v>
      </c>
      <c r="B928" s="234" t="s">
        <v>1931</v>
      </c>
      <c r="C928" s="234" t="s">
        <v>1931</v>
      </c>
      <c r="D928" s="234" t="s">
        <v>623</v>
      </c>
      <c r="E928" s="262" t="s">
        <v>2250</v>
      </c>
      <c r="F928" s="234" t="s">
        <v>620</v>
      </c>
      <c r="G928" s="261">
        <v>1905</v>
      </c>
      <c r="H928" s="342" t="s">
        <v>731</v>
      </c>
      <c r="I928" s="339" t="s">
        <v>2838</v>
      </c>
      <c r="J928" s="234">
        <v>9</v>
      </c>
      <c r="K928" s="260">
        <v>2022</v>
      </c>
      <c r="L928" s="234">
        <v>1836.7502968195522</v>
      </c>
      <c r="M928" s="234" t="s">
        <v>630</v>
      </c>
      <c r="N928" s="234">
        <v>20354</v>
      </c>
      <c r="O928" s="128">
        <f t="shared" si="55"/>
        <v>183186</v>
      </c>
      <c r="P928" s="261">
        <v>212</v>
      </c>
      <c r="Q928" s="234" t="s">
        <v>47</v>
      </c>
      <c r="R928" s="220" t="s">
        <v>1888</v>
      </c>
      <c r="S928" s="220" t="s">
        <v>1861</v>
      </c>
      <c r="T928" s="234"/>
      <c r="U928" t="s">
        <v>1972</v>
      </c>
      <c r="V928" t="s">
        <v>2832</v>
      </c>
    </row>
    <row r="929" spans="1:22" ht="15.75" thickBot="1" x14ac:dyDescent="0.3">
      <c r="A929" s="234" t="s">
        <v>1931</v>
      </c>
      <c r="B929" s="234" t="s">
        <v>1931</v>
      </c>
      <c r="C929" s="234" t="s">
        <v>1931</v>
      </c>
      <c r="D929" s="234" t="s">
        <v>629</v>
      </c>
      <c r="E929" s="259" t="s">
        <v>1853</v>
      </c>
      <c r="F929" s="234" t="s">
        <v>620</v>
      </c>
      <c r="G929" s="261">
        <v>2011</v>
      </c>
      <c r="H929" s="342" t="s">
        <v>734</v>
      </c>
      <c r="I929" s="337" t="str">
        <f t="shared" si="54"/>
        <v>Pesado de Passageiros M3: III : Gasóleo : E5</v>
      </c>
      <c r="J929" s="234">
        <v>55</v>
      </c>
      <c r="K929" s="260">
        <v>2022</v>
      </c>
      <c r="L929" s="234">
        <v>22304.693227626572</v>
      </c>
      <c r="M929" s="234" t="s">
        <v>630</v>
      </c>
      <c r="N929" s="234">
        <v>63510</v>
      </c>
      <c r="O929" s="128">
        <f t="shared" si="55"/>
        <v>3493050</v>
      </c>
      <c r="P929" s="261">
        <v>213</v>
      </c>
      <c r="Q929" s="234" t="s">
        <v>47</v>
      </c>
      <c r="R929" s="220" t="s">
        <v>1888</v>
      </c>
      <c r="S929" s="220" t="s">
        <v>1861</v>
      </c>
      <c r="T929" s="234"/>
      <c r="U929" t="s">
        <v>1972</v>
      </c>
      <c r="V929" t="s">
        <v>2832</v>
      </c>
    </row>
    <row r="930" spans="1:22" ht="15.75" thickBot="1" x14ac:dyDescent="0.3">
      <c r="A930" s="234" t="s">
        <v>1931</v>
      </c>
      <c r="B930" s="234" t="s">
        <v>1931</v>
      </c>
      <c r="C930" s="234" t="s">
        <v>1931</v>
      </c>
      <c r="D930" s="234" t="s">
        <v>629</v>
      </c>
      <c r="E930" s="259" t="s">
        <v>1853</v>
      </c>
      <c r="F930" s="234" t="s">
        <v>620</v>
      </c>
      <c r="G930" s="261">
        <v>2011</v>
      </c>
      <c r="H930" s="342" t="s">
        <v>734</v>
      </c>
      <c r="I930" s="337" t="str">
        <f t="shared" si="54"/>
        <v>Pesado de Passageiros M3: III : Gasóleo : E5</v>
      </c>
      <c r="J930" s="234">
        <v>55</v>
      </c>
      <c r="K930" s="260">
        <v>2022</v>
      </c>
      <c r="L930" s="234">
        <v>23169.578998609599</v>
      </c>
      <c r="M930" s="234" t="s">
        <v>630</v>
      </c>
      <c r="N930" s="234">
        <v>68412</v>
      </c>
      <c r="O930" s="128">
        <f t="shared" si="55"/>
        <v>3762660</v>
      </c>
      <c r="P930" s="261">
        <v>214</v>
      </c>
      <c r="Q930" s="234" t="s">
        <v>47</v>
      </c>
      <c r="R930" s="220" t="s">
        <v>1888</v>
      </c>
      <c r="S930" s="220" t="s">
        <v>1861</v>
      </c>
      <c r="T930" s="234"/>
      <c r="U930" t="s">
        <v>1972</v>
      </c>
      <c r="V930" t="s">
        <v>2832</v>
      </c>
    </row>
    <row r="931" spans="1:22" ht="15.75" thickBot="1" x14ac:dyDescent="0.3">
      <c r="A931" s="234" t="s">
        <v>1931</v>
      </c>
      <c r="B931" s="234" t="s">
        <v>1931</v>
      </c>
      <c r="C931" s="234" t="s">
        <v>1931</v>
      </c>
      <c r="D931" s="234" t="s">
        <v>629</v>
      </c>
      <c r="E931" s="259" t="s">
        <v>1853</v>
      </c>
      <c r="F931" s="234" t="s">
        <v>620</v>
      </c>
      <c r="G931" s="261">
        <v>2005</v>
      </c>
      <c r="H931" s="342" t="s">
        <v>731</v>
      </c>
      <c r="I931" s="337" t="str">
        <f t="shared" si="54"/>
        <v>Pesado de Passageiros M3: III : Gasóleo : E4</v>
      </c>
      <c r="J931" s="234">
        <v>35</v>
      </c>
      <c r="K931" s="260">
        <v>2022</v>
      </c>
      <c r="L931" s="234">
        <v>13326.929166087923</v>
      </c>
      <c r="M931" s="234" t="s">
        <v>630</v>
      </c>
      <c r="N931" s="234">
        <v>43307</v>
      </c>
      <c r="O931" s="128">
        <f t="shared" si="55"/>
        <v>1515745</v>
      </c>
      <c r="P931" s="261">
        <v>215</v>
      </c>
      <c r="Q931" s="234" t="s">
        <v>47</v>
      </c>
      <c r="R931" s="220" t="s">
        <v>1888</v>
      </c>
      <c r="S931" s="220" t="s">
        <v>1861</v>
      </c>
      <c r="T931" s="234"/>
      <c r="U931" t="s">
        <v>1972</v>
      </c>
      <c r="V931" t="s">
        <v>2832</v>
      </c>
    </row>
    <row r="932" spans="1:22" ht="15.75" thickBot="1" x14ac:dyDescent="0.3">
      <c r="A932" s="234" t="s">
        <v>1931</v>
      </c>
      <c r="B932" s="234" t="s">
        <v>1931</v>
      </c>
      <c r="C932" s="234" t="s">
        <v>1931</v>
      </c>
      <c r="D932" s="234" t="s">
        <v>629</v>
      </c>
      <c r="E932" s="259" t="s">
        <v>1853</v>
      </c>
      <c r="F932" s="234" t="s">
        <v>620</v>
      </c>
      <c r="G932" s="261">
        <v>2010</v>
      </c>
      <c r="H932" s="342" t="s">
        <v>734</v>
      </c>
      <c r="I932" s="337" t="str">
        <f t="shared" si="54"/>
        <v>Pesado de Passageiros M3: III : Gasóleo : E5</v>
      </c>
      <c r="J932" s="234">
        <v>55</v>
      </c>
      <c r="K932" s="260">
        <v>2022</v>
      </c>
      <c r="L932" s="234">
        <v>20841.313578437221</v>
      </c>
      <c r="M932" s="234" t="s">
        <v>630</v>
      </c>
      <c r="N932" s="234">
        <v>56932</v>
      </c>
      <c r="O932" s="128">
        <f t="shared" si="55"/>
        <v>3131260</v>
      </c>
      <c r="P932" s="261">
        <v>216</v>
      </c>
      <c r="Q932" s="234" t="s">
        <v>47</v>
      </c>
      <c r="R932" s="220" t="s">
        <v>1888</v>
      </c>
      <c r="S932" s="220" t="s">
        <v>1861</v>
      </c>
      <c r="T932" s="234"/>
      <c r="U932" t="s">
        <v>1972</v>
      </c>
      <c r="V932" t="s">
        <v>2832</v>
      </c>
    </row>
    <row r="933" spans="1:22" ht="15.75" thickBot="1" x14ac:dyDescent="0.3">
      <c r="A933" s="234" t="s">
        <v>1931</v>
      </c>
      <c r="B933" s="234" t="s">
        <v>1931</v>
      </c>
      <c r="C933" s="234" t="s">
        <v>1931</v>
      </c>
      <c r="D933" s="234" t="s">
        <v>629</v>
      </c>
      <c r="E933" s="259" t="s">
        <v>1853</v>
      </c>
      <c r="F933" s="234" t="s">
        <v>620</v>
      </c>
      <c r="G933" s="261">
        <v>2010</v>
      </c>
      <c r="H933" s="342" t="s">
        <v>734</v>
      </c>
      <c r="I933" s="337" t="str">
        <f t="shared" si="54"/>
        <v>Pesado de Passageiros M3: III : Gasóleo : E5</v>
      </c>
      <c r="J933" s="234">
        <v>55</v>
      </c>
      <c r="K933" s="260">
        <v>2022</v>
      </c>
      <c r="L933" s="234">
        <v>20823.181973113387</v>
      </c>
      <c r="M933" s="234" t="s">
        <v>630</v>
      </c>
      <c r="N933" s="234">
        <v>55257</v>
      </c>
      <c r="O933" s="128">
        <f t="shared" si="55"/>
        <v>3039135</v>
      </c>
      <c r="P933" s="261">
        <v>217</v>
      </c>
      <c r="Q933" s="234" t="s">
        <v>47</v>
      </c>
      <c r="R933" s="220" t="s">
        <v>1888</v>
      </c>
      <c r="S933" s="220" t="s">
        <v>1861</v>
      </c>
      <c r="T933" s="234"/>
      <c r="U933" t="s">
        <v>1972</v>
      </c>
      <c r="V933" t="s">
        <v>2832</v>
      </c>
    </row>
    <row r="934" spans="1:22" ht="15.75" thickBot="1" x14ac:dyDescent="0.3">
      <c r="A934" s="234" t="s">
        <v>1931</v>
      </c>
      <c r="B934" s="234" t="s">
        <v>1931</v>
      </c>
      <c r="C934" s="234" t="s">
        <v>1931</v>
      </c>
      <c r="D934" s="234" t="s">
        <v>629</v>
      </c>
      <c r="E934" s="259" t="s">
        <v>1853</v>
      </c>
      <c r="F934" s="234" t="s">
        <v>620</v>
      </c>
      <c r="G934" s="261">
        <v>2007</v>
      </c>
      <c r="H934" s="342" t="s">
        <v>731</v>
      </c>
      <c r="I934" s="337" t="str">
        <f t="shared" si="54"/>
        <v>Pesado de Passageiros M3: III : Gasóleo : E4</v>
      </c>
      <c r="J934" s="234">
        <v>60</v>
      </c>
      <c r="K934" s="260">
        <v>2022</v>
      </c>
      <c r="L934" s="234">
        <v>9501.1264331232906</v>
      </c>
      <c r="M934" s="234" t="s">
        <v>630</v>
      </c>
      <c r="N934" s="234">
        <v>27577</v>
      </c>
      <c r="O934" s="128">
        <f t="shared" si="55"/>
        <v>1654620</v>
      </c>
      <c r="P934" s="261">
        <v>218</v>
      </c>
      <c r="Q934" s="234" t="s">
        <v>47</v>
      </c>
      <c r="R934" s="220" t="s">
        <v>1888</v>
      </c>
      <c r="S934" s="220" t="s">
        <v>1861</v>
      </c>
      <c r="T934" s="234"/>
      <c r="U934" t="s">
        <v>1972</v>
      </c>
      <c r="V934" t="s">
        <v>2832</v>
      </c>
    </row>
    <row r="935" spans="1:22" ht="15.75" thickBot="1" x14ac:dyDescent="0.3">
      <c r="A935" s="234" t="s">
        <v>1931</v>
      </c>
      <c r="B935" s="234" t="s">
        <v>1931</v>
      </c>
      <c r="C935" s="234" t="s">
        <v>1931</v>
      </c>
      <c r="D935" s="234" t="s">
        <v>629</v>
      </c>
      <c r="E935" s="259" t="s">
        <v>1853</v>
      </c>
      <c r="F935" s="234" t="s">
        <v>620</v>
      </c>
      <c r="G935" s="261">
        <v>2009</v>
      </c>
      <c r="H935" s="342" t="s">
        <v>734</v>
      </c>
      <c r="I935" s="337" t="str">
        <f t="shared" si="54"/>
        <v>Pesado de Passageiros M3: III : Gasóleo : E5</v>
      </c>
      <c r="J935" s="234">
        <v>72</v>
      </c>
      <c r="K935" s="260">
        <v>2022</v>
      </c>
      <c r="L935" s="234">
        <v>13451.920454458501</v>
      </c>
      <c r="M935" s="234" t="s">
        <v>630</v>
      </c>
      <c r="N935" s="234">
        <v>29925</v>
      </c>
      <c r="O935" s="128">
        <f t="shared" si="55"/>
        <v>2154600</v>
      </c>
      <c r="P935" s="261">
        <v>219</v>
      </c>
      <c r="Q935" s="234" t="s">
        <v>47</v>
      </c>
      <c r="R935" s="220" t="s">
        <v>1888</v>
      </c>
      <c r="S935" s="220" t="s">
        <v>1861</v>
      </c>
      <c r="T935" s="234"/>
      <c r="U935" t="s">
        <v>1972</v>
      </c>
      <c r="V935" t="s">
        <v>2832</v>
      </c>
    </row>
    <row r="936" spans="1:22" ht="15.75" thickBot="1" x14ac:dyDescent="0.3">
      <c r="A936" s="234" t="s">
        <v>1931</v>
      </c>
      <c r="B936" s="234" t="s">
        <v>1931</v>
      </c>
      <c r="C936" s="234" t="s">
        <v>1931</v>
      </c>
      <c r="D936" s="234" t="s">
        <v>629</v>
      </c>
      <c r="E936" s="259" t="s">
        <v>1853</v>
      </c>
      <c r="F936" s="234" t="s">
        <v>620</v>
      </c>
      <c r="G936" s="261">
        <v>2013</v>
      </c>
      <c r="H936" s="342" t="s">
        <v>734</v>
      </c>
      <c r="I936" s="337" t="str">
        <f t="shared" si="54"/>
        <v>Pesado de Passageiros M3: III : Gasóleo : E5</v>
      </c>
      <c r="J936" s="234">
        <v>55</v>
      </c>
      <c r="K936" s="260">
        <v>2022</v>
      </c>
      <c r="L936" s="234">
        <v>16795.12874439302</v>
      </c>
      <c r="M936" s="234" t="s">
        <v>630</v>
      </c>
      <c r="N936" s="234">
        <v>50359</v>
      </c>
      <c r="O936" s="128">
        <f t="shared" si="55"/>
        <v>2769745</v>
      </c>
      <c r="P936" s="261">
        <v>220</v>
      </c>
      <c r="Q936" s="234" t="s">
        <v>47</v>
      </c>
      <c r="R936" s="220" t="s">
        <v>1888</v>
      </c>
      <c r="S936" s="220" t="s">
        <v>1861</v>
      </c>
      <c r="T936" s="234"/>
      <c r="U936" t="s">
        <v>1972</v>
      </c>
      <c r="V936" t="s">
        <v>2832</v>
      </c>
    </row>
    <row r="937" spans="1:22" ht="15.75" thickBot="1" x14ac:dyDescent="0.3">
      <c r="A937" s="234" t="s">
        <v>1931</v>
      </c>
      <c r="B937" s="234" t="s">
        <v>1931</v>
      </c>
      <c r="C937" s="234" t="s">
        <v>1931</v>
      </c>
      <c r="D937" s="234" t="s">
        <v>629</v>
      </c>
      <c r="E937" s="259" t="s">
        <v>1853</v>
      </c>
      <c r="F937" s="234" t="s">
        <v>620</v>
      </c>
      <c r="G937" s="261">
        <v>2008</v>
      </c>
      <c r="H937" s="342" t="s">
        <v>734</v>
      </c>
      <c r="I937" s="337" t="str">
        <f t="shared" si="54"/>
        <v>Pesado de Passageiros M3: III : Gasóleo : E5</v>
      </c>
      <c r="J937" s="234">
        <v>26</v>
      </c>
      <c r="K937" s="260">
        <v>2022</v>
      </c>
      <c r="L937" s="234">
        <v>1205.0102265568371</v>
      </c>
      <c r="M937" s="234" t="s">
        <v>630</v>
      </c>
      <c r="N937" s="234">
        <v>5494</v>
      </c>
      <c r="O937" s="128">
        <f t="shared" si="55"/>
        <v>142844</v>
      </c>
      <c r="P937" s="261">
        <v>221</v>
      </c>
      <c r="Q937" s="234" t="s">
        <v>47</v>
      </c>
      <c r="R937" s="220" t="s">
        <v>1888</v>
      </c>
      <c r="S937" s="220" t="s">
        <v>1861</v>
      </c>
      <c r="T937" s="234"/>
      <c r="U937" t="s">
        <v>1972</v>
      </c>
      <c r="V937" t="s">
        <v>2832</v>
      </c>
    </row>
    <row r="938" spans="1:22" ht="15.75" thickBot="1" x14ac:dyDescent="0.3">
      <c r="A938" s="234" t="s">
        <v>1931</v>
      </c>
      <c r="B938" s="234" t="s">
        <v>1931</v>
      </c>
      <c r="C938" s="234" t="s">
        <v>1931</v>
      </c>
      <c r="D938" s="234" t="s">
        <v>629</v>
      </c>
      <c r="E938" s="259" t="s">
        <v>1853</v>
      </c>
      <c r="F938" s="234" t="s">
        <v>620</v>
      </c>
      <c r="G938" s="261">
        <v>2017</v>
      </c>
      <c r="H938" s="342" t="s">
        <v>733</v>
      </c>
      <c r="I938" s="337" t="str">
        <f t="shared" si="54"/>
        <v>Pesado de Passageiros M3: III : Gasóleo : E6</v>
      </c>
      <c r="J938" s="234">
        <v>55</v>
      </c>
      <c r="K938" s="260">
        <v>2022</v>
      </c>
      <c r="L938" s="234">
        <v>43910.761364396902</v>
      </c>
      <c r="M938" s="234" t="s">
        <v>630</v>
      </c>
      <c r="N938" s="234">
        <v>146826</v>
      </c>
      <c r="O938" s="128">
        <f t="shared" si="55"/>
        <v>8075430</v>
      </c>
      <c r="P938" s="261">
        <v>222</v>
      </c>
      <c r="Q938" s="234" t="s">
        <v>47</v>
      </c>
      <c r="R938" s="220" t="s">
        <v>1888</v>
      </c>
      <c r="S938" s="220" t="s">
        <v>1861</v>
      </c>
      <c r="T938" s="234"/>
      <c r="U938" t="s">
        <v>1972</v>
      </c>
      <c r="V938" t="s">
        <v>2832</v>
      </c>
    </row>
    <row r="939" spans="1:22" ht="15.75" thickBot="1" x14ac:dyDescent="0.3">
      <c r="A939" s="234" t="s">
        <v>1931</v>
      </c>
      <c r="B939" s="234" t="s">
        <v>1931</v>
      </c>
      <c r="C939" s="234" t="s">
        <v>1931</v>
      </c>
      <c r="D939" s="234" t="s">
        <v>629</v>
      </c>
      <c r="E939" s="259" t="s">
        <v>1853</v>
      </c>
      <c r="F939" s="234" t="s">
        <v>620</v>
      </c>
      <c r="G939" s="261">
        <v>2017</v>
      </c>
      <c r="H939" s="342" t="s">
        <v>733</v>
      </c>
      <c r="I939" s="337" t="str">
        <f t="shared" si="54"/>
        <v>Pesado de Passageiros M3: III : Gasóleo : E6</v>
      </c>
      <c r="J939" s="234">
        <v>55</v>
      </c>
      <c r="K939" s="260">
        <v>2022</v>
      </c>
      <c r="L939" s="234">
        <v>52057.855443663051</v>
      </c>
      <c r="M939" s="234" t="s">
        <v>630</v>
      </c>
      <c r="N939" s="234">
        <v>172747</v>
      </c>
      <c r="O939" s="128">
        <f t="shared" si="55"/>
        <v>9501085</v>
      </c>
      <c r="P939" s="261">
        <v>223</v>
      </c>
      <c r="Q939" s="234" t="s">
        <v>47</v>
      </c>
      <c r="R939" s="220" t="s">
        <v>1888</v>
      </c>
      <c r="S939" s="220" t="s">
        <v>1861</v>
      </c>
      <c r="T939" s="234"/>
      <c r="U939" t="s">
        <v>1972</v>
      </c>
      <c r="V939" t="s">
        <v>2832</v>
      </c>
    </row>
    <row r="940" spans="1:22" ht="15.75" thickBot="1" x14ac:dyDescent="0.3">
      <c r="A940" s="234" t="s">
        <v>1931</v>
      </c>
      <c r="B940" s="234" t="s">
        <v>1931</v>
      </c>
      <c r="C940" s="234" t="s">
        <v>1931</v>
      </c>
      <c r="D940" s="234" t="s">
        <v>629</v>
      </c>
      <c r="E940" s="259" t="s">
        <v>1853</v>
      </c>
      <c r="F940" s="234" t="s">
        <v>620</v>
      </c>
      <c r="G940" s="261">
        <v>2011</v>
      </c>
      <c r="H940" s="342" t="s">
        <v>734</v>
      </c>
      <c r="I940" s="337" t="str">
        <f t="shared" si="54"/>
        <v>Pesado de Passageiros M3: III : Gasóleo : E5</v>
      </c>
      <c r="J940" s="234">
        <v>55</v>
      </c>
      <c r="K940" s="260">
        <v>2022</v>
      </c>
      <c r="L940" s="234">
        <v>21703.815643709026</v>
      </c>
      <c r="M940" s="234" t="s">
        <v>630</v>
      </c>
      <c r="N940" s="234">
        <v>64377</v>
      </c>
      <c r="O940" s="128">
        <f t="shared" si="55"/>
        <v>3540735</v>
      </c>
      <c r="P940" s="261">
        <v>224</v>
      </c>
      <c r="Q940" s="234" t="s">
        <v>47</v>
      </c>
      <c r="R940" s="220" t="s">
        <v>1888</v>
      </c>
      <c r="S940" s="220" t="s">
        <v>1861</v>
      </c>
      <c r="T940" s="234"/>
      <c r="U940" t="s">
        <v>1972</v>
      </c>
      <c r="V940" t="s">
        <v>2832</v>
      </c>
    </row>
    <row r="941" spans="1:22" ht="15.75" thickBot="1" x14ac:dyDescent="0.3">
      <c r="A941" s="234" t="s">
        <v>1931</v>
      </c>
      <c r="B941" s="234" t="s">
        <v>1931</v>
      </c>
      <c r="C941" s="234" t="s">
        <v>1931</v>
      </c>
      <c r="D941" s="234" t="s">
        <v>629</v>
      </c>
      <c r="E941" s="259" t="s">
        <v>1853</v>
      </c>
      <c r="F941" s="234" t="s">
        <v>620</v>
      </c>
      <c r="G941" s="261">
        <v>2012</v>
      </c>
      <c r="H941" s="342" t="s">
        <v>734</v>
      </c>
      <c r="I941" s="337" t="str">
        <f t="shared" si="54"/>
        <v>Pesado de Passageiros M3: III : Gasóleo : E5</v>
      </c>
      <c r="J941" s="234">
        <v>55</v>
      </c>
      <c r="K941" s="260">
        <v>2022</v>
      </c>
      <c r="L941" s="234">
        <v>21188.442753396448</v>
      </c>
      <c r="M941" s="234" t="s">
        <v>630</v>
      </c>
      <c r="N941" s="234">
        <v>64113</v>
      </c>
      <c r="O941" s="128">
        <f t="shared" si="55"/>
        <v>3526215</v>
      </c>
      <c r="P941" s="261">
        <v>225</v>
      </c>
      <c r="Q941" s="234" t="s">
        <v>47</v>
      </c>
      <c r="R941" s="220" t="s">
        <v>1888</v>
      </c>
      <c r="S941" s="220" t="s">
        <v>1861</v>
      </c>
      <c r="T941" s="234"/>
      <c r="U941" t="s">
        <v>1972</v>
      </c>
      <c r="V941" t="s">
        <v>2832</v>
      </c>
    </row>
    <row r="942" spans="1:22" ht="15.75" thickBot="1" x14ac:dyDescent="0.3">
      <c r="A942" s="234" t="s">
        <v>1931</v>
      </c>
      <c r="B942" s="234" t="s">
        <v>1931</v>
      </c>
      <c r="C942" s="234" t="s">
        <v>1931</v>
      </c>
      <c r="D942" s="234" t="s">
        <v>629</v>
      </c>
      <c r="E942" s="259" t="s">
        <v>1853</v>
      </c>
      <c r="F942" s="234" t="s">
        <v>620</v>
      </c>
      <c r="G942" s="261">
        <v>2018</v>
      </c>
      <c r="H942" s="342" t="s">
        <v>733</v>
      </c>
      <c r="I942" s="337" t="str">
        <f t="shared" si="54"/>
        <v>Pesado de Passageiros M3: III : Gasóleo : E6</v>
      </c>
      <c r="J942" s="234">
        <v>55</v>
      </c>
      <c r="K942" s="260">
        <v>2022</v>
      </c>
      <c r="L942" s="234">
        <v>39915.327980035036</v>
      </c>
      <c r="M942" s="234" t="s">
        <v>630</v>
      </c>
      <c r="N942" s="234">
        <v>139448</v>
      </c>
      <c r="O942" s="128">
        <f t="shared" si="55"/>
        <v>7669640</v>
      </c>
      <c r="P942" s="261">
        <v>226</v>
      </c>
      <c r="Q942" s="234" t="s">
        <v>47</v>
      </c>
      <c r="R942" s="220" t="s">
        <v>1888</v>
      </c>
      <c r="S942" s="220" t="s">
        <v>1861</v>
      </c>
      <c r="T942" s="234"/>
      <c r="U942" t="s">
        <v>1972</v>
      </c>
      <c r="V942" t="s">
        <v>2832</v>
      </c>
    </row>
    <row r="943" spans="1:22" ht="15.75" thickBot="1" x14ac:dyDescent="0.3">
      <c r="A943" s="234" t="s">
        <v>1931</v>
      </c>
      <c r="B943" s="234" t="s">
        <v>1931</v>
      </c>
      <c r="C943" s="234" t="s">
        <v>1931</v>
      </c>
      <c r="D943" s="234" t="s">
        <v>629</v>
      </c>
      <c r="E943" s="259" t="s">
        <v>1853</v>
      </c>
      <c r="F943" s="234" t="s">
        <v>620</v>
      </c>
      <c r="G943" s="261">
        <v>2008</v>
      </c>
      <c r="H943" s="342" t="s">
        <v>734</v>
      </c>
      <c r="I943" s="337" t="str">
        <f t="shared" si="54"/>
        <v>Pesado de Passageiros M3: III : Gasóleo : E5</v>
      </c>
      <c r="J943" s="234">
        <v>92</v>
      </c>
      <c r="K943" s="260">
        <v>2022</v>
      </c>
      <c r="L943" s="234">
        <v>4944.5438425087341</v>
      </c>
      <c r="M943" s="234" t="s">
        <v>630</v>
      </c>
      <c r="N943" s="234">
        <v>10965</v>
      </c>
      <c r="O943" s="128">
        <f t="shared" si="55"/>
        <v>1008780</v>
      </c>
      <c r="P943" s="261">
        <v>227</v>
      </c>
      <c r="Q943" s="234" t="s">
        <v>47</v>
      </c>
      <c r="R943" s="220" t="s">
        <v>1888</v>
      </c>
      <c r="S943" s="220" t="s">
        <v>1861</v>
      </c>
      <c r="T943" s="234"/>
      <c r="U943" t="s">
        <v>1972</v>
      </c>
      <c r="V943" t="s">
        <v>2832</v>
      </c>
    </row>
    <row r="944" spans="1:22" ht="15.75" thickBot="1" x14ac:dyDescent="0.3">
      <c r="A944" s="234" t="s">
        <v>1931</v>
      </c>
      <c r="B944" s="234" t="s">
        <v>1931</v>
      </c>
      <c r="C944" s="234" t="s">
        <v>1931</v>
      </c>
      <c r="D944" s="234" t="s">
        <v>629</v>
      </c>
      <c r="E944" s="259" t="s">
        <v>1853</v>
      </c>
      <c r="F944" s="234" t="s">
        <v>620</v>
      </c>
      <c r="G944" s="261">
        <v>2014</v>
      </c>
      <c r="H944" s="342" t="s">
        <v>734</v>
      </c>
      <c r="I944" s="337" t="str">
        <f t="shared" si="54"/>
        <v>Pesado de Passageiros M3: III : Gasóleo : E5</v>
      </c>
      <c r="J944" s="234">
        <v>55</v>
      </c>
      <c r="K944" s="260">
        <v>2022</v>
      </c>
      <c r="L944" s="234">
        <v>37401.175123564302</v>
      </c>
      <c r="M944" s="234" t="s">
        <v>630</v>
      </c>
      <c r="N944" s="234">
        <v>110418</v>
      </c>
      <c r="O944" s="128">
        <f t="shared" si="55"/>
        <v>6072990</v>
      </c>
      <c r="P944" s="261">
        <v>228</v>
      </c>
      <c r="Q944" s="234" t="s">
        <v>47</v>
      </c>
      <c r="R944" s="220" t="s">
        <v>1888</v>
      </c>
      <c r="S944" s="220" t="s">
        <v>1861</v>
      </c>
      <c r="T944" s="234"/>
      <c r="U944" t="s">
        <v>1972</v>
      </c>
      <c r="V944" t="s">
        <v>2832</v>
      </c>
    </row>
    <row r="945" spans="1:22" ht="15.75" thickBot="1" x14ac:dyDescent="0.3">
      <c r="A945" s="234" t="s">
        <v>1931</v>
      </c>
      <c r="B945" s="234" t="s">
        <v>1931</v>
      </c>
      <c r="C945" s="234" t="s">
        <v>1931</v>
      </c>
      <c r="D945" s="234" t="s">
        <v>629</v>
      </c>
      <c r="E945" s="259" t="s">
        <v>1853</v>
      </c>
      <c r="F945" s="234" t="s">
        <v>620</v>
      </c>
      <c r="G945" s="261">
        <v>2014</v>
      </c>
      <c r="H945" s="342" t="s">
        <v>734</v>
      </c>
      <c r="I945" s="337" t="str">
        <f t="shared" si="54"/>
        <v>Pesado de Passageiros M3: III : Gasóleo : E5</v>
      </c>
      <c r="J945" s="234">
        <v>55</v>
      </c>
      <c r="K945" s="260">
        <v>2022</v>
      </c>
      <c r="L945" s="234">
        <v>44781.997080327448</v>
      </c>
      <c r="M945" s="234" t="s">
        <v>630</v>
      </c>
      <c r="N945" s="234">
        <v>147687</v>
      </c>
      <c r="O945" s="128">
        <f t="shared" si="55"/>
        <v>8122785</v>
      </c>
      <c r="P945" s="261">
        <v>229</v>
      </c>
      <c r="Q945" s="234" t="s">
        <v>47</v>
      </c>
      <c r="R945" s="220" t="s">
        <v>1888</v>
      </c>
      <c r="S945" s="220" t="s">
        <v>1861</v>
      </c>
      <c r="T945" s="234"/>
      <c r="U945" t="s">
        <v>1972</v>
      </c>
      <c r="V945" t="s">
        <v>2832</v>
      </c>
    </row>
    <row r="946" spans="1:22" ht="15.75" thickBot="1" x14ac:dyDescent="0.3">
      <c r="A946" s="234" t="s">
        <v>1931</v>
      </c>
      <c r="B946" s="234" t="s">
        <v>1931</v>
      </c>
      <c r="C946" s="234" t="s">
        <v>1931</v>
      </c>
      <c r="D946" s="234" t="s">
        <v>629</v>
      </c>
      <c r="E946" s="259" t="s">
        <v>1853</v>
      </c>
      <c r="F946" s="234" t="s">
        <v>620</v>
      </c>
      <c r="G946" s="261">
        <v>2014</v>
      </c>
      <c r="H946" s="342" t="s">
        <v>734</v>
      </c>
      <c r="I946" s="337" t="str">
        <f t="shared" si="54"/>
        <v>Pesado de Passageiros M3: III : Gasóleo : E5</v>
      </c>
      <c r="J946" s="234">
        <v>55</v>
      </c>
      <c r="K946" s="260">
        <v>2022</v>
      </c>
      <c r="L946" s="234">
        <v>34226.412159457905</v>
      </c>
      <c r="M946" s="234" t="s">
        <v>630</v>
      </c>
      <c r="N946" s="234">
        <v>109682</v>
      </c>
      <c r="O946" s="128">
        <f t="shared" si="55"/>
        <v>6032510</v>
      </c>
      <c r="P946" s="261">
        <v>230</v>
      </c>
      <c r="Q946" s="234" t="s">
        <v>47</v>
      </c>
      <c r="R946" s="220" t="s">
        <v>1888</v>
      </c>
      <c r="S946" s="220" t="s">
        <v>1861</v>
      </c>
      <c r="T946" s="234"/>
      <c r="U946" t="s">
        <v>1972</v>
      </c>
      <c r="V946" t="s">
        <v>2832</v>
      </c>
    </row>
    <row r="947" spans="1:22" ht="15.75" thickBot="1" x14ac:dyDescent="0.3">
      <c r="A947" s="234" t="s">
        <v>1931</v>
      </c>
      <c r="B947" s="234" t="s">
        <v>1931</v>
      </c>
      <c r="C947" s="234" t="s">
        <v>1931</v>
      </c>
      <c r="D947" s="234" t="s">
        <v>629</v>
      </c>
      <c r="E947" s="259" t="s">
        <v>1853</v>
      </c>
      <c r="F947" s="234" t="s">
        <v>620</v>
      </c>
      <c r="G947" s="261">
        <v>2009</v>
      </c>
      <c r="H947" s="342" t="s">
        <v>734</v>
      </c>
      <c r="I947" s="337" t="str">
        <f t="shared" si="54"/>
        <v>Pesado de Passageiros M3: III : Gasóleo : E5</v>
      </c>
      <c r="J947" s="234">
        <v>25</v>
      </c>
      <c r="K947" s="260">
        <v>2022</v>
      </c>
      <c r="L947" s="234">
        <v>692.26048744289085</v>
      </c>
      <c r="M947" s="234" t="s">
        <v>630</v>
      </c>
      <c r="N947" s="234">
        <v>3545</v>
      </c>
      <c r="O947" s="128">
        <f t="shared" si="55"/>
        <v>88625</v>
      </c>
      <c r="P947" s="261">
        <v>231</v>
      </c>
      <c r="Q947" s="234" t="s">
        <v>47</v>
      </c>
      <c r="R947" s="220" t="s">
        <v>1888</v>
      </c>
      <c r="S947" s="220" t="s">
        <v>1861</v>
      </c>
      <c r="T947" s="234"/>
      <c r="U947" t="s">
        <v>1972</v>
      </c>
      <c r="V947" t="s">
        <v>2832</v>
      </c>
    </row>
    <row r="948" spans="1:22" ht="15.75" thickBot="1" x14ac:dyDescent="0.3">
      <c r="A948" s="234" t="s">
        <v>1931</v>
      </c>
      <c r="B948" s="234" t="s">
        <v>1931</v>
      </c>
      <c r="C948" s="234" t="s">
        <v>1931</v>
      </c>
      <c r="D948" s="234" t="s">
        <v>629</v>
      </c>
      <c r="E948" s="259" t="s">
        <v>1853</v>
      </c>
      <c r="F948" s="234" t="s">
        <v>620</v>
      </c>
      <c r="G948" s="261">
        <v>2008</v>
      </c>
      <c r="H948" s="342" t="s">
        <v>734</v>
      </c>
      <c r="I948" s="337" t="str">
        <f t="shared" si="54"/>
        <v>Pesado de Passageiros M3: III : Gasóleo : E5</v>
      </c>
      <c r="J948" s="234">
        <v>20</v>
      </c>
      <c r="K948" s="260">
        <v>2022</v>
      </c>
      <c r="L948" s="234">
        <v>4385.4459912324783</v>
      </c>
      <c r="M948" s="234" t="s">
        <v>630</v>
      </c>
      <c r="N948" s="234">
        <v>23894</v>
      </c>
      <c r="O948" s="128">
        <f t="shared" si="55"/>
        <v>477880</v>
      </c>
      <c r="P948" s="261">
        <v>232</v>
      </c>
      <c r="Q948" s="234" t="s">
        <v>47</v>
      </c>
      <c r="R948" s="220" t="s">
        <v>1888</v>
      </c>
      <c r="S948" s="220" t="s">
        <v>1861</v>
      </c>
      <c r="T948" s="234"/>
      <c r="U948" t="s">
        <v>1972</v>
      </c>
      <c r="V948" t="s">
        <v>2832</v>
      </c>
    </row>
    <row r="949" spans="1:22" ht="15.75" thickBot="1" x14ac:dyDescent="0.3">
      <c r="A949" s="234" t="s">
        <v>1931</v>
      </c>
      <c r="B949" s="234" t="s">
        <v>1931</v>
      </c>
      <c r="C949" s="234" t="s">
        <v>1931</v>
      </c>
      <c r="D949" s="234" t="s">
        <v>629</v>
      </c>
      <c r="E949" s="259" t="s">
        <v>1853</v>
      </c>
      <c r="F949" s="234" t="s">
        <v>620</v>
      </c>
      <c r="G949" s="261">
        <v>2012</v>
      </c>
      <c r="H949" s="342" t="s">
        <v>734</v>
      </c>
      <c r="I949" s="337" t="str">
        <f t="shared" si="54"/>
        <v>Pesado de Passageiros M3: III : Gasóleo : E5</v>
      </c>
      <c r="J949" s="234">
        <v>35</v>
      </c>
      <c r="K949" s="260">
        <v>2022</v>
      </c>
      <c r="L949" s="234">
        <v>10140.883647418199</v>
      </c>
      <c r="M949" s="234" t="s">
        <v>630</v>
      </c>
      <c r="N949" s="234">
        <v>37959</v>
      </c>
      <c r="O949" s="128">
        <f t="shared" si="55"/>
        <v>1328565</v>
      </c>
      <c r="P949" s="261">
        <v>233</v>
      </c>
      <c r="Q949" s="234" t="s">
        <v>47</v>
      </c>
      <c r="R949" s="220" t="s">
        <v>1888</v>
      </c>
      <c r="S949" s="220" t="s">
        <v>1861</v>
      </c>
      <c r="T949" s="234"/>
      <c r="U949" t="s">
        <v>1972</v>
      </c>
      <c r="V949" t="s">
        <v>2832</v>
      </c>
    </row>
    <row r="950" spans="1:22" ht="15.75" thickBot="1" x14ac:dyDescent="0.3">
      <c r="A950" s="234" t="s">
        <v>1931</v>
      </c>
      <c r="B950" s="234" t="s">
        <v>1931</v>
      </c>
      <c r="C950" s="234" t="s">
        <v>1931</v>
      </c>
      <c r="D950" s="234" t="s">
        <v>629</v>
      </c>
      <c r="E950" s="259" t="s">
        <v>1853</v>
      </c>
      <c r="F950" s="234" t="s">
        <v>620</v>
      </c>
      <c r="G950" s="261">
        <v>2015</v>
      </c>
      <c r="H950" s="342" t="s">
        <v>733</v>
      </c>
      <c r="I950" s="337" t="str">
        <f t="shared" si="54"/>
        <v>Pesado de Passageiros M3: III : Gasóleo : E6</v>
      </c>
      <c r="J950" s="234">
        <v>54</v>
      </c>
      <c r="K950" s="260">
        <v>2022</v>
      </c>
      <c r="L950" s="234">
        <v>20262.691199067074</v>
      </c>
      <c r="M950" s="234" t="s">
        <v>630</v>
      </c>
      <c r="N950" s="234">
        <v>63277</v>
      </c>
      <c r="O950" s="128">
        <f t="shared" si="55"/>
        <v>3416958</v>
      </c>
      <c r="P950" s="261">
        <v>234</v>
      </c>
      <c r="Q950" s="234" t="s">
        <v>47</v>
      </c>
      <c r="R950" s="220" t="s">
        <v>1888</v>
      </c>
      <c r="S950" s="220" t="s">
        <v>1861</v>
      </c>
      <c r="T950" s="234"/>
      <c r="U950" t="s">
        <v>1972</v>
      </c>
      <c r="V950" t="s">
        <v>2832</v>
      </c>
    </row>
    <row r="951" spans="1:22" ht="15.75" thickBot="1" x14ac:dyDescent="0.3">
      <c r="A951" s="234" t="s">
        <v>1931</v>
      </c>
      <c r="B951" s="234" t="s">
        <v>1931</v>
      </c>
      <c r="C951" s="234" t="s">
        <v>1931</v>
      </c>
      <c r="D951" s="234" t="s">
        <v>629</v>
      </c>
      <c r="E951" s="259" t="s">
        <v>1853</v>
      </c>
      <c r="F951" s="234" t="s">
        <v>620</v>
      </c>
      <c r="G951" s="261">
        <v>2015</v>
      </c>
      <c r="H951" s="342" t="s">
        <v>733</v>
      </c>
      <c r="I951" s="337" t="str">
        <f t="shared" si="54"/>
        <v>Pesado de Passageiros M3: III : Gasóleo : E6</v>
      </c>
      <c r="J951" s="234">
        <v>54</v>
      </c>
      <c r="K951" s="260">
        <v>2022</v>
      </c>
      <c r="L951" s="234">
        <v>42458.749983789712</v>
      </c>
      <c r="M951" s="234" t="s">
        <v>630</v>
      </c>
      <c r="N951" s="234">
        <v>149057</v>
      </c>
      <c r="O951" s="128">
        <f t="shared" si="55"/>
        <v>8049078</v>
      </c>
      <c r="P951" s="261">
        <v>235</v>
      </c>
      <c r="Q951" s="234" t="s">
        <v>47</v>
      </c>
      <c r="R951" s="220" t="s">
        <v>1888</v>
      </c>
      <c r="S951" s="220" t="s">
        <v>1861</v>
      </c>
      <c r="T951" s="234"/>
      <c r="U951" t="s">
        <v>1972</v>
      </c>
      <c r="V951" t="s">
        <v>2832</v>
      </c>
    </row>
    <row r="952" spans="1:22" ht="15.75" thickBot="1" x14ac:dyDescent="0.3">
      <c r="A952" s="234" t="s">
        <v>1931</v>
      </c>
      <c r="B952" s="234" t="s">
        <v>1931</v>
      </c>
      <c r="C952" s="234" t="s">
        <v>1931</v>
      </c>
      <c r="D952" s="234" t="s">
        <v>629</v>
      </c>
      <c r="E952" s="259" t="s">
        <v>1853</v>
      </c>
      <c r="F952" s="234" t="s">
        <v>620</v>
      </c>
      <c r="G952" s="261">
        <v>2005</v>
      </c>
      <c r="H952" s="342" t="s">
        <v>731</v>
      </c>
      <c r="I952" s="337" t="str">
        <f t="shared" si="54"/>
        <v>Pesado de Passageiros M3: III : Gasóleo : E4</v>
      </c>
      <c r="J952" s="234">
        <v>35</v>
      </c>
      <c r="K952" s="260">
        <v>2022</v>
      </c>
      <c r="L952" s="234">
        <v>12234.305505401426</v>
      </c>
      <c r="M952" s="234" t="s">
        <v>630</v>
      </c>
      <c r="N952" s="234">
        <v>39756</v>
      </c>
      <c r="O952" s="128">
        <f t="shared" si="55"/>
        <v>1391460</v>
      </c>
      <c r="P952" s="261">
        <v>236</v>
      </c>
      <c r="Q952" s="234" t="s">
        <v>47</v>
      </c>
      <c r="R952" s="220" t="s">
        <v>1888</v>
      </c>
      <c r="S952" s="220" t="s">
        <v>1861</v>
      </c>
      <c r="T952" s="234"/>
      <c r="U952" t="s">
        <v>1972</v>
      </c>
      <c r="V952" t="s">
        <v>2832</v>
      </c>
    </row>
    <row r="953" spans="1:22" ht="15.75" thickBot="1" x14ac:dyDescent="0.3">
      <c r="A953" s="234" t="s">
        <v>1931</v>
      </c>
      <c r="B953" s="234" t="s">
        <v>1931</v>
      </c>
      <c r="C953" s="234" t="s">
        <v>1931</v>
      </c>
      <c r="D953" s="234" t="s">
        <v>629</v>
      </c>
      <c r="E953" s="259" t="s">
        <v>1853</v>
      </c>
      <c r="F953" s="234" t="s">
        <v>620</v>
      </c>
      <c r="G953" s="261">
        <v>2009</v>
      </c>
      <c r="H953" s="342" t="s">
        <v>734</v>
      </c>
      <c r="I953" s="337" t="str">
        <f t="shared" si="54"/>
        <v>Pesado de Passageiros M3: III : Gasóleo : E5</v>
      </c>
      <c r="J953" s="234">
        <v>24</v>
      </c>
      <c r="K953" s="260">
        <v>2022</v>
      </c>
      <c r="L953" s="234">
        <v>5097.8715265199089</v>
      </c>
      <c r="M953" s="234" t="s">
        <v>630</v>
      </c>
      <c r="N953" s="234">
        <v>28845</v>
      </c>
      <c r="O953" s="128">
        <f t="shared" si="55"/>
        <v>692280</v>
      </c>
      <c r="P953" s="261">
        <v>237</v>
      </c>
      <c r="Q953" s="234" t="s">
        <v>47</v>
      </c>
      <c r="R953" s="220" t="s">
        <v>1888</v>
      </c>
      <c r="S953" s="220" t="s">
        <v>1861</v>
      </c>
      <c r="T953" s="234"/>
      <c r="U953" t="s">
        <v>1972</v>
      </c>
      <c r="V953" t="s">
        <v>2832</v>
      </c>
    </row>
    <row r="954" spans="1:22" ht="15.75" thickBot="1" x14ac:dyDescent="0.3">
      <c r="A954" s="234" t="s">
        <v>1931</v>
      </c>
      <c r="B954" s="234" t="s">
        <v>1931</v>
      </c>
      <c r="C954" s="234" t="s">
        <v>1931</v>
      </c>
      <c r="D954" s="234" t="s">
        <v>629</v>
      </c>
      <c r="E954" s="259" t="s">
        <v>1853</v>
      </c>
      <c r="F954" s="234" t="s">
        <v>620</v>
      </c>
      <c r="G954" s="261">
        <v>2009</v>
      </c>
      <c r="H954" s="342" t="s">
        <v>734</v>
      </c>
      <c r="I954" s="337" t="str">
        <f t="shared" si="54"/>
        <v>Pesado de Passageiros M3: III : Gasóleo : E5</v>
      </c>
      <c r="J954" s="234">
        <v>24</v>
      </c>
      <c r="K954" s="260">
        <v>2022</v>
      </c>
      <c r="L954" s="234">
        <v>3762.5285538723033</v>
      </c>
      <c r="M954" s="234" t="s">
        <v>630</v>
      </c>
      <c r="N954" s="234">
        <v>19916</v>
      </c>
      <c r="O954" s="128">
        <f t="shared" si="55"/>
        <v>477984</v>
      </c>
      <c r="P954" s="261">
        <v>238</v>
      </c>
      <c r="Q954" s="234" t="s">
        <v>47</v>
      </c>
      <c r="R954" s="220" t="s">
        <v>1888</v>
      </c>
      <c r="S954" s="220" t="s">
        <v>1861</v>
      </c>
      <c r="T954" s="234"/>
      <c r="U954" t="s">
        <v>1972</v>
      </c>
      <c r="V954" t="s">
        <v>2832</v>
      </c>
    </row>
    <row r="955" spans="1:22" ht="15.75" thickBot="1" x14ac:dyDescent="0.3">
      <c r="A955" s="234" t="s">
        <v>1931</v>
      </c>
      <c r="B955" s="234" t="s">
        <v>1931</v>
      </c>
      <c r="C955" s="234" t="s">
        <v>1931</v>
      </c>
      <c r="D955" s="234" t="s">
        <v>629</v>
      </c>
      <c r="E955" s="259" t="s">
        <v>1853</v>
      </c>
      <c r="F955" s="234" t="s">
        <v>620</v>
      </c>
      <c r="G955" s="261">
        <v>2017</v>
      </c>
      <c r="H955" s="342" t="s">
        <v>733</v>
      </c>
      <c r="I955" s="337" t="str">
        <f t="shared" si="54"/>
        <v>Pesado de Passageiros M3: III : Gasóleo : E6</v>
      </c>
      <c r="J955" s="234">
        <v>53</v>
      </c>
      <c r="K955" s="260">
        <v>2022</v>
      </c>
      <c r="L955" s="234">
        <v>52385.880259666956</v>
      </c>
      <c r="M955" s="234" t="s">
        <v>630</v>
      </c>
      <c r="N955" s="234">
        <v>196765</v>
      </c>
      <c r="O955" s="128">
        <f t="shared" si="55"/>
        <v>10428545</v>
      </c>
      <c r="P955" s="261">
        <v>239</v>
      </c>
      <c r="Q955" s="234" t="s">
        <v>47</v>
      </c>
      <c r="R955" s="220" t="s">
        <v>1888</v>
      </c>
      <c r="S955" s="220" t="s">
        <v>1861</v>
      </c>
      <c r="T955" s="234"/>
      <c r="U955" t="s">
        <v>1972</v>
      </c>
      <c r="V955" t="s">
        <v>2832</v>
      </c>
    </row>
    <row r="956" spans="1:22" ht="15.75" thickBot="1" x14ac:dyDescent="0.3">
      <c r="A956" s="234" t="s">
        <v>1931</v>
      </c>
      <c r="B956" s="234" t="s">
        <v>1931</v>
      </c>
      <c r="C956" s="234" t="s">
        <v>1931</v>
      </c>
      <c r="D956" s="234" t="s">
        <v>629</v>
      </c>
      <c r="E956" s="259" t="s">
        <v>1853</v>
      </c>
      <c r="F956" s="234" t="s">
        <v>620</v>
      </c>
      <c r="G956" s="261">
        <v>2017</v>
      </c>
      <c r="H956" s="342" t="s">
        <v>733</v>
      </c>
      <c r="I956" s="337" t="str">
        <f t="shared" si="54"/>
        <v>Pesado de Passageiros M3: III : Gasóleo : E6</v>
      </c>
      <c r="J956" s="234">
        <v>53</v>
      </c>
      <c r="K956" s="260">
        <v>2022</v>
      </c>
      <c r="L956" s="234">
        <v>42537.173103026667</v>
      </c>
      <c r="M956" s="234" t="s">
        <v>630</v>
      </c>
      <c r="N956" s="234">
        <v>139986</v>
      </c>
      <c r="O956" s="128">
        <f t="shared" si="55"/>
        <v>7419258</v>
      </c>
      <c r="P956" s="261">
        <v>240</v>
      </c>
      <c r="Q956" s="234" t="s">
        <v>47</v>
      </c>
      <c r="R956" s="220" t="s">
        <v>1888</v>
      </c>
      <c r="S956" s="220" t="s">
        <v>1861</v>
      </c>
      <c r="T956" s="234"/>
      <c r="U956" t="s">
        <v>1972</v>
      </c>
      <c r="V956" t="s">
        <v>2832</v>
      </c>
    </row>
    <row r="957" spans="1:22" ht="15.75" thickBot="1" x14ac:dyDescent="0.3">
      <c r="A957" s="234" t="s">
        <v>1931</v>
      </c>
      <c r="B957" s="234" t="s">
        <v>1931</v>
      </c>
      <c r="C957" s="234" t="s">
        <v>1931</v>
      </c>
      <c r="D957" s="234" t="s">
        <v>629</v>
      </c>
      <c r="E957" s="259" t="s">
        <v>1853</v>
      </c>
      <c r="F957" s="234" t="s">
        <v>620</v>
      </c>
      <c r="G957" s="261">
        <v>2007</v>
      </c>
      <c r="H957" s="342" t="s">
        <v>732</v>
      </c>
      <c r="I957" s="337" t="str">
        <f t="shared" si="54"/>
        <v>Pesado de Passageiros M3: III : Gasóleo : E3</v>
      </c>
      <c r="J957" s="234">
        <v>55</v>
      </c>
      <c r="K957" s="260">
        <v>2022</v>
      </c>
      <c r="L957" s="234">
        <v>6609.2757311643363</v>
      </c>
      <c r="M957" s="234" t="s">
        <v>630</v>
      </c>
      <c r="N957" s="234">
        <v>18815</v>
      </c>
      <c r="O957" s="128">
        <f t="shared" si="55"/>
        <v>1034825</v>
      </c>
      <c r="P957" s="261">
        <v>241</v>
      </c>
      <c r="Q957" s="234" t="s">
        <v>47</v>
      </c>
      <c r="R957" s="220" t="s">
        <v>1888</v>
      </c>
      <c r="S957" s="220" t="s">
        <v>1861</v>
      </c>
      <c r="T957" s="234"/>
      <c r="U957" t="s">
        <v>1972</v>
      </c>
      <c r="V957" t="s">
        <v>2832</v>
      </c>
    </row>
    <row r="958" spans="1:22" ht="15.75" thickBot="1" x14ac:dyDescent="0.3">
      <c r="A958" s="234" t="s">
        <v>1931</v>
      </c>
      <c r="B958" s="234" t="s">
        <v>1931</v>
      </c>
      <c r="C958" s="234" t="s">
        <v>1931</v>
      </c>
      <c r="D958" s="234" t="s">
        <v>629</v>
      </c>
      <c r="E958" s="259" t="s">
        <v>1853</v>
      </c>
      <c r="F958" s="234" t="s">
        <v>620</v>
      </c>
      <c r="G958" s="261">
        <v>2004</v>
      </c>
      <c r="H958" s="342" t="s">
        <v>731</v>
      </c>
      <c r="I958" s="337" t="str">
        <f t="shared" si="54"/>
        <v>Pesado de Passageiros M3: III : Gasóleo : E4</v>
      </c>
      <c r="J958" s="234">
        <v>72</v>
      </c>
      <c r="K958" s="260">
        <v>2022</v>
      </c>
      <c r="L958" s="234">
        <v>5630.6041857062692</v>
      </c>
      <c r="M958" s="234" t="s">
        <v>630</v>
      </c>
      <c r="N958" s="234">
        <v>11936</v>
      </c>
      <c r="O958" s="128">
        <f t="shared" si="55"/>
        <v>859392</v>
      </c>
      <c r="P958" s="261">
        <v>5598</v>
      </c>
      <c r="Q958" s="234" t="s">
        <v>47</v>
      </c>
      <c r="R958" s="220" t="s">
        <v>1888</v>
      </c>
      <c r="S958" s="220" t="s">
        <v>1861</v>
      </c>
      <c r="T958" s="234"/>
      <c r="U958" t="s">
        <v>1972</v>
      </c>
      <c r="V958" t="s">
        <v>2832</v>
      </c>
    </row>
    <row r="959" spans="1:22" ht="15.75" thickBot="1" x14ac:dyDescent="0.3">
      <c r="A959" s="234" t="s">
        <v>1931</v>
      </c>
      <c r="B959" s="234" t="s">
        <v>1931</v>
      </c>
      <c r="C959" s="234" t="s">
        <v>1931</v>
      </c>
      <c r="D959" s="234" t="s">
        <v>629</v>
      </c>
      <c r="E959" s="259" t="s">
        <v>1853</v>
      </c>
      <c r="F959" s="234" t="s">
        <v>620</v>
      </c>
      <c r="G959" s="261">
        <v>2018</v>
      </c>
      <c r="H959" s="342" t="s">
        <v>733</v>
      </c>
      <c r="I959" s="337" t="str">
        <f t="shared" si="54"/>
        <v>Pesado de Passageiros M3: III : Gasóleo : E6</v>
      </c>
      <c r="J959" s="234">
        <v>22</v>
      </c>
      <c r="K959" s="260">
        <v>2022</v>
      </c>
      <c r="L959" s="234">
        <v>6439</v>
      </c>
      <c r="M959" s="234" t="s">
        <v>630</v>
      </c>
      <c r="N959" s="234">
        <v>39573</v>
      </c>
      <c r="O959" s="128">
        <f t="shared" si="55"/>
        <v>870606</v>
      </c>
      <c r="P959" s="261">
        <v>402</v>
      </c>
      <c r="Q959" s="234" t="s">
        <v>47</v>
      </c>
      <c r="R959" s="220" t="s">
        <v>1888</v>
      </c>
      <c r="S959" s="220" t="s">
        <v>1861</v>
      </c>
      <c r="T959" s="234"/>
      <c r="U959" t="s">
        <v>1972</v>
      </c>
      <c r="V959" t="s">
        <v>2832</v>
      </c>
    </row>
    <row r="960" spans="1:22" ht="15.75" thickBot="1" x14ac:dyDescent="0.3">
      <c r="A960" s="234" t="s">
        <v>1934</v>
      </c>
      <c r="B960" s="234" t="s">
        <v>1934</v>
      </c>
      <c r="C960" s="234" t="s">
        <v>1934</v>
      </c>
      <c r="D960" s="249" t="s">
        <v>1939</v>
      </c>
      <c r="E960" s="267" t="s">
        <v>2250</v>
      </c>
      <c r="F960" s="234" t="s">
        <v>620</v>
      </c>
      <c r="G960" s="261">
        <v>2006</v>
      </c>
      <c r="H960" s="342" t="s">
        <v>734</v>
      </c>
      <c r="I960" s="337" t="str">
        <f t="shared" si="54"/>
        <v>Pesado de Mercadorias N3: Geral : Gasóleo : E5</v>
      </c>
      <c r="J960" s="234"/>
      <c r="K960" s="260">
        <v>2022</v>
      </c>
      <c r="L960" s="234">
        <v>23556.31</v>
      </c>
      <c r="M960" s="234" t="s">
        <v>630</v>
      </c>
      <c r="N960" s="234">
        <v>58690</v>
      </c>
      <c r="O960" s="128">
        <f t="shared" si="55"/>
        <v>0</v>
      </c>
      <c r="P960" s="261"/>
      <c r="Q960" s="234" t="s">
        <v>2220</v>
      </c>
      <c r="R960" s="220" t="s">
        <v>1888</v>
      </c>
      <c r="S960" s="220" t="s">
        <v>1861</v>
      </c>
      <c r="T960" s="234" t="s">
        <v>1945</v>
      </c>
      <c r="U960" t="s">
        <v>1972</v>
      </c>
      <c r="V960" t="s">
        <v>2832</v>
      </c>
    </row>
    <row r="961" spans="1:22" ht="15.75" thickBot="1" x14ac:dyDescent="0.3">
      <c r="A961" s="234" t="s">
        <v>1934</v>
      </c>
      <c r="B961" s="234" t="s">
        <v>1934</v>
      </c>
      <c r="C961" s="234" t="s">
        <v>1934</v>
      </c>
      <c r="D961" s="249" t="s">
        <v>1939</v>
      </c>
      <c r="E961" s="267" t="s">
        <v>2250</v>
      </c>
      <c r="F961" s="234" t="s">
        <v>620</v>
      </c>
      <c r="G961" s="261">
        <v>2006</v>
      </c>
      <c r="H961" s="342" t="s">
        <v>734</v>
      </c>
      <c r="I961" s="337" t="str">
        <f t="shared" si="54"/>
        <v>Pesado de Mercadorias N3: Geral : Gasóleo : E5</v>
      </c>
      <c r="J961" s="234"/>
      <c r="K961" s="260">
        <v>2022</v>
      </c>
      <c r="L961" s="234">
        <v>32616.01</v>
      </c>
      <c r="M961" s="234" t="s">
        <v>630</v>
      </c>
      <c r="N961" s="234">
        <v>85378</v>
      </c>
      <c r="O961" s="128">
        <f t="shared" si="55"/>
        <v>0</v>
      </c>
      <c r="P961" s="261"/>
      <c r="Q961" s="234" t="s">
        <v>2220</v>
      </c>
      <c r="R961" s="220" t="s">
        <v>1888</v>
      </c>
      <c r="S961" s="220" t="s">
        <v>1861</v>
      </c>
      <c r="T961" s="234" t="s">
        <v>1945</v>
      </c>
      <c r="U961" t="s">
        <v>1972</v>
      </c>
      <c r="V961" t="s">
        <v>2832</v>
      </c>
    </row>
    <row r="962" spans="1:22" ht="15.75" thickBot="1" x14ac:dyDescent="0.3">
      <c r="A962" s="234" t="s">
        <v>1934</v>
      </c>
      <c r="B962" s="234" t="s">
        <v>1934</v>
      </c>
      <c r="C962" s="234" t="s">
        <v>1934</v>
      </c>
      <c r="D962" s="249" t="s">
        <v>1939</v>
      </c>
      <c r="E962" s="267" t="s">
        <v>2250</v>
      </c>
      <c r="F962" s="234" t="s">
        <v>620</v>
      </c>
      <c r="G962" s="261">
        <v>2006</v>
      </c>
      <c r="H962" s="342" t="s">
        <v>734</v>
      </c>
      <c r="I962" s="337" t="str">
        <f t="shared" si="54"/>
        <v>Pesado de Mercadorias N3: Geral : Gasóleo : E5</v>
      </c>
      <c r="J962" s="234"/>
      <c r="K962" s="260">
        <v>2022</v>
      </c>
      <c r="L962" s="234">
        <v>30134.25</v>
      </c>
      <c r="M962" s="234" t="s">
        <v>630</v>
      </c>
      <c r="N962" s="234">
        <v>88844</v>
      </c>
      <c r="O962" s="128">
        <f t="shared" si="55"/>
        <v>0</v>
      </c>
      <c r="P962" s="261"/>
      <c r="Q962" s="234" t="s">
        <v>2220</v>
      </c>
      <c r="R962" s="220" t="s">
        <v>1888</v>
      </c>
      <c r="S962" s="220" t="s">
        <v>1861</v>
      </c>
      <c r="T962" s="234" t="s">
        <v>1945</v>
      </c>
      <c r="U962" t="s">
        <v>1972</v>
      </c>
      <c r="V962" t="s">
        <v>2832</v>
      </c>
    </row>
    <row r="963" spans="1:22" ht="15.75" thickBot="1" x14ac:dyDescent="0.3">
      <c r="A963" s="234" t="s">
        <v>1934</v>
      </c>
      <c r="B963" s="234" t="s">
        <v>1934</v>
      </c>
      <c r="C963" s="234" t="s">
        <v>1934</v>
      </c>
      <c r="D963" s="249" t="s">
        <v>1939</v>
      </c>
      <c r="E963" s="267" t="s">
        <v>2250</v>
      </c>
      <c r="F963" s="234" t="s">
        <v>620</v>
      </c>
      <c r="G963" s="261">
        <v>2006</v>
      </c>
      <c r="H963" s="342" t="s">
        <v>734</v>
      </c>
      <c r="I963" s="337" t="str">
        <f t="shared" si="54"/>
        <v>Pesado de Mercadorias N3: Geral : Gasóleo : E5</v>
      </c>
      <c r="J963" s="234"/>
      <c r="K963" s="260">
        <v>2022</v>
      </c>
      <c r="L963" s="234">
        <v>27937.86</v>
      </c>
      <c r="M963" s="234" t="s">
        <v>630</v>
      </c>
      <c r="N963" s="234">
        <v>73553</v>
      </c>
      <c r="O963" s="128">
        <f t="shared" si="55"/>
        <v>0</v>
      </c>
      <c r="P963" s="261"/>
      <c r="Q963" s="234" t="s">
        <v>2220</v>
      </c>
      <c r="R963" s="220" t="s">
        <v>1888</v>
      </c>
      <c r="S963" s="220" t="s">
        <v>1861</v>
      </c>
      <c r="T963" s="234" t="s">
        <v>1945</v>
      </c>
      <c r="U963" t="s">
        <v>1972</v>
      </c>
      <c r="V963" t="s">
        <v>2832</v>
      </c>
    </row>
    <row r="964" spans="1:22" ht="15.75" thickBot="1" x14ac:dyDescent="0.3">
      <c r="A964" s="234" t="s">
        <v>1934</v>
      </c>
      <c r="B964" s="234" t="s">
        <v>1934</v>
      </c>
      <c r="C964" s="234" t="s">
        <v>1934</v>
      </c>
      <c r="D964" s="249" t="s">
        <v>1939</v>
      </c>
      <c r="E964" s="267" t="s">
        <v>2250</v>
      </c>
      <c r="F964" s="234" t="s">
        <v>620</v>
      </c>
      <c r="G964" s="261">
        <v>2006</v>
      </c>
      <c r="H964" s="342" t="s">
        <v>734</v>
      </c>
      <c r="I964" s="337" t="str">
        <f t="shared" ref="I964:I1027" si="56">D964&amp;": "&amp;E964&amp;" : "&amp;F964&amp;" : "&amp;H964</f>
        <v>Pesado de Mercadorias N3: Geral : Gasóleo : E5</v>
      </c>
      <c r="J964" s="234"/>
      <c r="K964" s="260">
        <v>2022</v>
      </c>
      <c r="L964" s="234">
        <v>26916.9</v>
      </c>
      <c r="M964" s="234" t="s">
        <v>630</v>
      </c>
      <c r="N964" s="234">
        <v>70820</v>
      </c>
      <c r="O964" s="128">
        <f t="shared" ref="O964:O1027" si="57">N964*J964</f>
        <v>0</v>
      </c>
      <c r="P964" s="261"/>
      <c r="Q964" s="234" t="s">
        <v>2220</v>
      </c>
      <c r="R964" s="220" t="s">
        <v>1888</v>
      </c>
      <c r="S964" s="220" t="s">
        <v>1861</v>
      </c>
      <c r="T964" s="234" t="s">
        <v>1945</v>
      </c>
      <c r="U964" t="s">
        <v>1972</v>
      </c>
      <c r="V964" t="s">
        <v>2832</v>
      </c>
    </row>
    <row r="965" spans="1:22" ht="15.75" thickBot="1" x14ac:dyDescent="0.3">
      <c r="A965" s="234" t="s">
        <v>1934</v>
      </c>
      <c r="B965" s="234" t="s">
        <v>1934</v>
      </c>
      <c r="C965" s="234" t="s">
        <v>1934</v>
      </c>
      <c r="D965" s="249" t="s">
        <v>1939</v>
      </c>
      <c r="E965" s="267" t="s">
        <v>2250</v>
      </c>
      <c r="F965" s="234" t="s">
        <v>620</v>
      </c>
      <c r="G965" s="261">
        <v>2006</v>
      </c>
      <c r="H965" s="342" t="s">
        <v>734</v>
      </c>
      <c r="I965" s="337" t="str">
        <f t="shared" si="56"/>
        <v>Pesado de Mercadorias N3: Geral : Gasóleo : E5</v>
      </c>
      <c r="J965" s="234"/>
      <c r="K965" s="260">
        <v>2022</v>
      </c>
      <c r="L965" s="234">
        <v>45062.02</v>
      </c>
      <c r="M965" s="234" t="s">
        <v>630</v>
      </c>
      <c r="N965" s="234">
        <v>119576</v>
      </c>
      <c r="O965" s="128">
        <f t="shared" si="57"/>
        <v>0</v>
      </c>
      <c r="P965" s="261"/>
      <c r="Q965" s="234" t="s">
        <v>2220</v>
      </c>
      <c r="R965" s="220" t="s">
        <v>1888</v>
      </c>
      <c r="S965" s="220" t="s">
        <v>1861</v>
      </c>
      <c r="T965" s="234" t="s">
        <v>1945</v>
      </c>
      <c r="U965" t="s">
        <v>1972</v>
      </c>
      <c r="V965" t="s">
        <v>2832</v>
      </c>
    </row>
    <row r="966" spans="1:22" ht="15.75" thickBot="1" x14ac:dyDescent="0.3">
      <c r="A966" s="234" t="s">
        <v>1934</v>
      </c>
      <c r="B966" s="234" t="s">
        <v>1934</v>
      </c>
      <c r="C966" s="234" t="s">
        <v>1934</v>
      </c>
      <c r="D966" s="249" t="s">
        <v>1939</v>
      </c>
      <c r="E966" s="267" t="s">
        <v>2250</v>
      </c>
      <c r="F966" s="234" t="s">
        <v>620</v>
      </c>
      <c r="G966" s="261">
        <v>2006</v>
      </c>
      <c r="H966" s="342" t="s">
        <v>734</v>
      </c>
      <c r="I966" s="337" t="str">
        <f t="shared" si="56"/>
        <v>Pesado de Mercadorias N3: Geral : Gasóleo : E5</v>
      </c>
      <c r="J966" s="234"/>
      <c r="K966" s="260">
        <v>2022</v>
      </c>
      <c r="L966" s="234">
        <v>25490.65</v>
      </c>
      <c r="M966" s="234" t="s">
        <v>630</v>
      </c>
      <c r="N966" s="234">
        <v>64281</v>
      </c>
      <c r="O966" s="128">
        <f t="shared" si="57"/>
        <v>0</v>
      </c>
      <c r="P966" s="261"/>
      <c r="Q966" s="234" t="s">
        <v>2220</v>
      </c>
      <c r="R966" s="220" t="s">
        <v>1888</v>
      </c>
      <c r="S966" s="220" t="s">
        <v>1861</v>
      </c>
      <c r="T966" s="234" t="s">
        <v>1945</v>
      </c>
      <c r="U966" t="s">
        <v>1972</v>
      </c>
      <c r="V966" t="s">
        <v>2832</v>
      </c>
    </row>
    <row r="967" spans="1:22" ht="15.75" thickBot="1" x14ac:dyDescent="0.3">
      <c r="A967" s="234" t="s">
        <v>1934</v>
      </c>
      <c r="B967" s="234" t="s">
        <v>1934</v>
      </c>
      <c r="C967" s="234" t="s">
        <v>1934</v>
      </c>
      <c r="D967" s="249" t="s">
        <v>1939</v>
      </c>
      <c r="E967" s="267" t="s">
        <v>2250</v>
      </c>
      <c r="F967" s="234" t="s">
        <v>620</v>
      </c>
      <c r="G967" s="261">
        <v>2006</v>
      </c>
      <c r="H967" s="342" t="s">
        <v>732</v>
      </c>
      <c r="I967" s="337" t="str">
        <f t="shared" si="56"/>
        <v>Pesado de Mercadorias N3: Geral : Gasóleo : E3</v>
      </c>
      <c r="J967" s="234"/>
      <c r="K967" s="260">
        <v>2022</v>
      </c>
      <c r="L967" s="234">
        <v>2272.38</v>
      </c>
      <c r="M967" s="234" t="s">
        <v>630</v>
      </c>
      <c r="N967" s="234">
        <v>8821</v>
      </c>
      <c r="O967" s="128">
        <f t="shared" si="57"/>
        <v>0</v>
      </c>
      <c r="P967" s="261"/>
      <c r="Q967" s="234" t="s">
        <v>2220</v>
      </c>
      <c r="R967" s="220" t="s">
        <v>1888</v>
      </c>
      <c r="S967" s="220" t="s">
        <v>1861</v>
      </c>
      <c r="T967" s="234" t="s">
        <v>1945</v>
      </c>
      <c r="U967" t="s">
        <v>1972</v>
      </c>
      <c r="V967" t="s">
        <v>2832</v>
      </c>
    </row>
    <row r="968" spans="1:22" ht="15.75" thickBot="1" x14ac:dyDescent="0.3">
      <c r="A968" s="234" t="s">
        <v>1934</v>
      </c>
      <c r="B968" s="234" t="s">
        <v>1934</v>
      </c>
      <c r="C968" s="234" t="s">
        <v>1934</v>
      </c>
      <c r="D968" s="249" t="s">
        <v>1939</v>
      </c>
      <c r="E968" s="267" t="s">
        <v>2250</v>
      </c>
      <c r="F968" s="234" t="s">
        <v>620</v>
      </c>
      <c r="G968" s="261">
        <v>2006</v>
      </c>
      <c r="H968" s="342" t="s">
        <v>732</v>
      </c>
      <c r="I968" s="337" t="str">
        <f t="shared" si="56"/>
        <v>Pesado de Mercadorias N3: Geral : Gasóleo : E3</v>
      </c>
      <c r="J968" s="234"/>
      <c r="K968" s="260">
        <v>2022</v>
      </c>
      <c r="L968" s="234">
        <v>18027.53</v>
      </c>
      <c r="M968" s="234" t="s">
        <v>630</v>
      </c>
      <c r="N968" s="234">
        <v>72450</v>
      </c>
      <c r="O968" s="128">
        <f t="shared" si="57"/>
        <v>0</v>
      </c>
      <c r="P968" s="261"/>
      <c r="Q968" s="234" t="s">
        <v>2220</v>
      </c>
      <c r="R968" s="220" t="s">
        <v>1888</v>
      </c>
      <c r="S968" s="220" t="s">
        <v>1861</v>
      </c>
      <c r="T968" s="234" t="s">
        <v>1945</v>
      </c>
      <c r="U968" t="s">
        <v>1972</v>
      </c>
      <c r="V968" t="s">
        <v>2832</v>
      </c>
    </row>
    <row r="969" spans="1:22" ht="15.75" thickBot="1" x14ac:dyDescent="0.3">
      <c r="A969" s="234" t="s">
        <v>1934</v>
      </c>
      <c r="B969" s="234" t="s">
        <v>1934</v>
      </c>
      <c r="C969" s="234" t="s">
        <v>1934</v>
      </c>
      <c r="D969" s="249" t="s">
        <v>1939</v>
      </c>
      <c r="E969" s="267" t="s">
        <v>2250</v>
      </c>
      <c r="F969" s="234" t="s">
        <v>620</v>
      </c>
      <c r="G969" s="261">
        <v>2006</v>
      </c>
      <c r="H969" s="342" t="s">
        <v>732</v>
      </c>
      <c r="I969" s="337" t="str">
        <f t="shared" si="56"/>
        <v>Pesado de Mercadorias N3: Geral : Gasóleo : E3</v>
      </c>
      <c r="J969" s="234"/>
      <c r="K969" s="260">
        <v>2022</v>
      </c>
      <c r="L969" s="234">
        <v>10457.629999999999</v>
      </c>
      <c r="M969" s="234" t="s">
        <v>630</v>
      </c>
      <c r="N969" s="234">
        <v>36136</v>
      </c>
      <c r="O969" s="128">
        <f t="shared" si="57"/>
        <v>0</v>
      </c>
      <c r="P969" s="261"/>
      <c r="Q969" s="234" t="s">
        <v>2220</v>
      </c>
      <c r="R969" s="220" t="s">
        <v>1888</v>
      </c>
      <c r="S969" s="220" t="s">
        <v>1861</v>
      </c>
      <c r="T969" s="234" t="s">
        <v>1945</v>
      </c>
      <c r="U969" t="s">
        <v>1972</v>
      </c>
      <c r="V969" t="s">
        <v>2832</v>
      </c>
    </row>
    <row r="970" spans="1:22" ht="15.75" thickBot="1" x14ac:dyDescent="0.3">
      <c r="A970" s="234" t="s">
        <v>1934</v>
      </c>
      <c r="B970" s="234" t="s">
        <v>1934</v>
      </c>
      <c r="C970" s="234" t="s">
        <v>1934</v>
      </c>
      <c r="D970" s="249" t="s">
        <v>1939</v>
      </c>
      <c r="E970" s="267" t="s">
        <v>2250</v>
      </c>
      <c r="F970" s="234" t="s">
        <v>620</v>
      </c>
      <c r="G970" s="261">
        <v>2006</v>
      </c>
      <c r="H970" s="342" t="s">
        <v>732</v>
      </c>
      <c r="I970" s="337" t="str">
        <f t="shared" si="56"/>
        <v>Pesado de Mercadorias N3: Geral : Gasóleo : E3</v>
      </c>
      <c r="J970" s="234"/>
      <c r="K970" s="260">
        <v>2022</v>
      </c>
      <c r="L970" s="234">
        <v>39225.339999999997</v>
      </c>
      <c r="M970" s="234" t="s">
        <v>630</v>
      </c>
      <c r="N970" s="234">
        <v>101829</v>
      </c>
      <c r="O970" s="128">
        <f t="shared" si="57"/>
        <v>0</v>
      </c>
      <c r="P970" s="261"/>
      <c r="Q970" s="234" t="s">
        <v>2220</v>
      </c>
      <c r="R970" s="220" t="s">
        <v>1888</v>
      </c>
      <c r="S970" s="220" t="s">
        <v>1861</v>
      </c>
      <c r="T970" s="234" t="s">
        <v>1945</v>
      </c>
      <c r="U970" t="s">
        <v>1972</v>
      </c>
      <c r="V970" t="s">
        <v>2832</v>
      </c>
    </row>
    <row r="971" spans="1:22" ht="15.75" thickBot="1" x14ac:dyDescent="0.3">
      <c r="A971" s="234" t="s">
        <v>1934</v>
      </c>
      <c r="B971" s="234" t="s">
        <v>1934</v>
      </c>
      <c r="C971" s="234" t="s">
        <v>1934</v>
      </c>
      <c r="D971" s="249" t="s">
        <v>1939</v>
      </c>
      <c r="E971" s="267" t="s">
        <v>2250</v>
      </c>
      <c r="F971" s="234" t="s">
        <v>620</v>
      </c>
      <c r="G971" s="261">
        <v>2006</v>
      </c>
      <c r="H971" s="342" t="s">
        <v>732</v>
      </c>
      <c r="I971" s="337" t="str">
        <f t="shared" si="56"/>
        <v>Pesado de Mercadorias N3: Geral : Gasóleo : E3</v>
      </c>
      <c r="J971" s="234"/>
      <c r="K971" s="260">
        <v>2022</v>
      </c>
      <c r="L971" s="234">
        <v>29949.53</v>
      </c>
      <c r="M971" s="234" t="s">
        <v>630</v>
      </c>
      <c r="N971" s="234">
        <v>71817</v>
      </c>
      <c r="O971" s="128">
        <f t="shared" si="57"/>
        <v>0</v>
      </c>
      <c r="P971" s="261"/>
      <c r="Q971" s="234" t="s">
        <v>2220</v>
      </c>
      <c r="R971" s="220" t="s">
        <v>1888</v>
      </c>
      <c r="S971" s="220" t="s">
        <v>1861</v>
      </c>
      <c r="T971" s="234" t="s">
        <v>1945</v>
      </c>
      <c r="U971" t="s">
        <v>1972</v>
      </c>
      <c r="V971" t="s">
        <v>2832</v>
      </c>
    </row>
    <row r="972" spans="1:22" ht="15.75" thickBot="1" x14ac:dyDescent="0.3">
      <c r="A972" s="234" t="s">
        <v>1934</v>
      </c>
      <c r="B972" s="234" t="s">
        <v>1934</v>
      </c>
      <c r="C972" s="234" t="s">
        <v>1934</v>
      </c>
      <c r="D972" s="249" t="s">
        <v>1939</v>
      </c>
      <c r="E972" s="267" t="s">
        <v>2250</v>
      </c>
      <c r="F972" s="234" t="s">
        <v>620</v>
      </c>
      <c r="G972" s="261">
        <v>2006</v>
      </c>
      <c r="H972" s="342" t="s">
        <v>732</v>
      </c>
      <c r="I972" s="337" t="str">
        <f t="shared" si="56"/>
        <v>Pesado de Mercadorias N3: Geral : Gasóleo : E3</v>
      </c>
      <c r="J972" s="234"/>
      <c r="K972" s="260">
        <v>2022</v>
      </c>
      <c r="L972" s="234">
        <v>40815.43</v>
      </c>
      <c r="M972" s="234" t="s">
        <v>630</v>
      </c>
      <c r="N972" s="234">
        <v>109312</v>
      </c>
      <c r="O972" s="128">
        <f t="shared" si="57"/>
        <v>0</v>
      </c>
      <c r="P972" s="261"/>
      <c r="Q972" s="234" t="s">
        <v>2220</v>
      </c>
      <c r="R972" s="220" t="s">
        <v>1888</v>
      </c>
      <c r="S972" s="220" t="s">
        <v>1861</v>
      </c>
      <c r="T972" s="234" t="s">
        <v>1945</v>
      </c>
      <c r="U972" t="s">
        <v>1972</v>
      </c>
      <c r="V972" t="s">
        <v>2832</v>
      </c>
    </row>
    <row r="973" spans="1:22" ht="15.75" thickBot="1" x14ac:dyDescent="0.3">
      <c r="A973" s="234" t="s">
        <v>1934</v>
      </c>
      <c r="B973" s="234" t="s">
        <v>1934</v>
      </c>
      <c r="C973" s="234" t="s">
        <v>1934</v>
      </c>
      <c r="D973" s="249" t="s">
        <v>1939</v>
      </c>
      <c r="E973" s="267" t="s">
        <v>2250</v>
      </c>
      <c r="F973" s="234" t="s">
        <v>620</v>
      </c>
      <c r="G973" s="261">
        <v>2006</v>
      </c>
      <c r="H973" s="342" t="s">
        <v>732</v>
      </c>
      <c r="I973" s="337" t="str">
        <f t="shared" si="56"/>
        <v>Pesado de Mercadorias N3: Geral : Gasóleo : E3</v>
      </c>
      <c r="J973" s="234"/>
      <c r="K973" s="260">
        <v>2022</v>
      </c>
      <c r="L973" s="234">
        <v>28912.15</v>
      </c>
      <c r="M973" s="234" t="s">
        <v>630</v>
      </c>
      <c r="N973" s="234">
        <v>72503</v>
      </c>
      <c r="O973" s="128">
        <f t="shared" si="57"/>
        <v>0</v>
      </c>
      <c r="P973" s="261"/>
      <c r="Q973" s="234" t="s">
        <v>2220</v>
      </c>
      <c r="R973" s="220" t="s">
        <v>1888</v>
      </c>
      <c r="S973" s="220" t="s">
        <v>1861</v>
      </c>
      <c r="T973" s="234" t="s">
        <v>1945</v>
      </c>
      <c r="U973" t="s">
        <v>1972</v>
      </c>
      <c r="V973" t="s">
        <v>2832</v>
      </c>
    </row>
    <row r="974" spans="1:22" ht="15.75" thickBot="1" x14ac:dyDescent="0.3">
      <c r="A974" s="234" t="s">
        <v>1934</v>
      </c>
      <c r="B974" s="234" t="s">
        <v>1934</v>
      </c>
      <c r="C974" s="234" t="s">
        <v>1934</v>
      </c>
      <c r="D974" s="249" t="s">
        <v>1939</v>
      </c>
      <c r="E974" s="267" t="s">
        <v>2250</v>
      </c>
      <c r="F974" s="234" t="s">
        <v>620</v>
      </c>
      <c r="G974" s="261">
        <v>2006</v>
      </c>
      <c r="H974" s="342" t="s">
        <v>732</v>
      </c>
      <c r="I974" s="337" t="str">
        <f t="shared" si="56"/>
        <v>Pesado de Mercadorias N3: Geral : Gasóleo : E3</v>
      </c>
      <c r="J974" s="234"/>
      <c r="K974" s="260">
        <v>2022</v>
      </c>
      <c r="L974" s="234">
        <v>36269.879999999997</v>
      </c>
      <c r="M974" s="234" t="s">
        <v>630</v>
      </c>
      <c r="N974" s="234">
        <v>94574</v>
      </c>
      <c r="O974" s="128">
        <f t="shared" si="57"/>
        <v>0</v>
      </c>
      <c r="P974" s="261"/>
      <c r="Q974" s="234" t="s">
        <v>2220</v>
      </c>
      <c r="R974" s="220" t="s">
        <v>1888</v>
      </c>
      <c r="S974" s="220" t="s">
        <v>1861</v>
      </c>
      <c r="T974" s="234" t="s">
        <v>1945</v>
      </c>
      <c r="U974" t="s">
        <v>1972</v>
      </c>
      <c r="V974" t="s">
        <v>2832</v>
      </c>
    </row>
    <row r="975" spans="1:22" ht="15.75" thickBot="1" x14ac:dyDescent="0.3">
      <c r="A975" s="234" t="s">
        <v>1934</v>
      </c>
      <c r="B975" s="234" t="s">
        <v>1934</v>
      </c>
      <c r="C975" s="234" t="s">
        <v>1934</v>
      </c>
      <c r="D975" s="249" t="s">
        <v>1939</v>
      </c>
      <c r="E975" s="267" t="s">
        <v>2250</v>
      </c>
      <c r="F975" s="234" t="s">
        <v>620</v>
      </c>
      <c r="G975" s="261">
        <v>2006</v>
      </c>
      <c r="H975" s="342" t="s">
        <v>732</v>
      </c>
      <c r="I975" s="337" t="str">
        <f t="shared" si="56"/>
        <v>Pesado de Mercadorias N3: Geral : Gasóleo : E3</v>
      </c>
      <c r="J975" s="234"/>
      <c r="K975" s="260">
        <v>2022</v>
      </c>
      <c r="L975" s="234">
        <v>12974.44</v>
      </c>
      <c r="M975" s="234" t="s">
        <v>630</v>
      </c>
      <c r="N975" s="234">
        <v>33338</v>
      </c>
      <c r="O975" s="128">
        <f t="shared" si="57"/>
        <v>0</v>
      </c>
      <c r="P975" s="261"/>
      <c r="Q975" s="234" t="s">
        <v>2220</v>
      </c>
      <c r="R975" s="220" t="s">
        <v>1888</v>
      </c>
      <c r="S975" s="220" t="s">
        <v>1861</v>
      </c>
      <c r="T975" s="234" t="s">
        <v>1945</v>
      </c>
      <c r="U975" t="s">
        <v>1972</v>
      </c>
      <c r="V975" t="s">
        <v>2832</v>
      </c>
    </row>
    <row r="976" spans="1:22" ht="15.75" thickBot="1" x14ac:dyDescent="0.3">
      <c r="A976" s="234" t="s">
        <v>1934</v>
      </c>
      <c r="B976" s="234" t="s">
        <v>1934</v>
      </c>
      <c r="C976" s="234" t="s">
        <v>1934</v>
      </c>
      <c r="D976" s="249" t="s">
        <v>1939</v>
      </c>
      <c r="E976" s="267" t="s">
        <v>2250</v>
      </c>
      <c r="F976" s="234" t="s">
        <v>620</v>
      </c>
      <c r="G976" s="261">
        <v>2006</v>
      </c>
      <c r="H976" s="342" t="s">
        <v>732</v>
      </c>
      <c r="I976" s="337" t="str">
        <f t="shared" si="56"/>
        <v>Pesado de Mercadorias N3: Geral : Gasóleo : E3</v>
      </c>
      <c r="J976" s="234"/>
      <c r="K976" s="260">
        <v>2022</v>
      </c>
      <c r="L976" s="234">
        <v>32258.03</v>
      </c>
      <c r="M976" s="234" t="s">
        <v>630</v>
      </c>
      <c r="N976" s="234">
        <v>78764</v>
      </c>
      <c r="O976" s="128">
        <f t="shared" si="57"/>
        <v>0</v>
      </c>
      <c r="P976" s="261"/>
      <c r="Q976" s="234" t="s">
        <v>2220</v>
      </c>
      <c r="R976" s="220" t="s">
        <v>1888</v>
      </c>
      <c r="S976" s="220" t="s">
        <v>1861</v>
      </c>
      <c r="T976" s="234" t="s">
        <v>1945</v>
      </c>
      <c r="U976" t="s">
        <v>1972</v>
      </c>
      <c r="V976" t="s">
        <v>2832</v>
      </c>
    </row>
    <row r="977" spans="1:22" ht="15.75" thickBot="1" x14ac:dyDescent="0.3">
      <c r="A977" s="234" t="s">
        <v>1934</v>
      </c>
      <c r="B977" s="234" t="s">
        <v>1934</v>
      </c>
      <c r="C977" s="234" t="s">
        <v>1934</v>
      </c>
      <c r="D977" s="249" t="s">
        <v>1939</v>
      </c>
      <c r="E977" s="267" t="s">
        <v>2250</v>
      </c>
      <c r="F977" s="234" t="s">
        <v>620</v>
      </c>
      <c r="G977" s="261">
        <v>2006</v>
      </c>
      <c r="H977" s="342" t="s">
        <v>732</v>
      </c>
      <c r="I977" s="337" t="str">
        <f t="shared" si="56"/>
        <v>Pesado de Mercadorias N3: Geral : Gasóleo : E3</v>
      </c>
      <c r="J977" s="234"/>
      <c r="K977" s="260">
        <v>2022</v>
      </c>
      <c r="L977" s="234">
        <v>25062.13</v>
      </c>
      <c r="M977" s="234" t="s">
        <v>630</v>
      </c>
      <c r="N977" s="234">
        <v>65194</v>
      </c>
      <c r="O977" s="128">
        <f t="shared" si="57"/>
        <v>0</v>
      </c>
      <c r="P977" s="261"/>
      <c r="Q977" s="234" t="s">
        <v>2220</v>
      </c>
      <c r="R977" s="220" t="s">
        <v>1888</v>
      </c>
      <c r="S977" s="220" t="s">
        <v>1861</v>
      </c>
      <c r="T977" s="234" t="s">
        <v>1945</v>
      </c>
      <c r="U977" t="s">
        <v>1972</v>
      </c>
      <c r="V977" t="s">
        <v>2832</v>
      </c>
    </row>
    <row r="978" spans="1:22" ht="15.75" thickBot="1" x14ac:dyDescent="0.3">
      <c r="A978" s="234" t="s">
        <v>1934</v>
      </c>
      <c r="B978" s="234" t="s">
        <v>1934</v>
      </c>
      <c r="C978" s="234" t="s">
        <v>1934</v>
      </c>
      <c r="D978" s="249" t="s">
        <v>1939</v>
      </c>
      <c r="E978" s="267" t="s">
        <v>2250</v>
      </c>
      <c r="F978" s="234" t="s">
        <v>620</v>
      </c>
      <c r="G978" s="261">
        <v>2007</v>
      </c>
      <c r="H978" s="342" t="s">
        <v>734</v>
      </c>
      <c r="I978" s="337" t="str">
        <f t="shared" si="56"/>
        <v>Pesado de Mercadorias N3: Geral : Gasóleo : E5</v>
      </c>
      <c r="J978" s="234"/>
      <c r="K978" s="260">
        <v>2022</v>
      </c>
      <c r="L978" s="234">
        <v>26558.63</v>
      </c>
      <c r="M978" s="234" t="s">
        <v>630</v>
      </c>
      <c r="N978" s="234">
        <v>66794</v>
      </c>
      <c r="O978" s="128">
        <f t="shared" si="57"/>
        <v>0</v>
      </c>
      <c r="P978" s="261"/>
      <c r="Q978" s="234" t="s">
        <v>2220</v>
      </c>
      <c r="R978" s="220" t="s">
        <v>1888</v>
      </c>
      <c r="S978" s="220" t="s">
        <v>1861</v>
      </c>
      <c r="T978" s="234" t="s">
        <v>1945</v>
      </c>
      <c r="U978" t="s">
        <v>1972</v>
      </c>
      <c r="V978" t="s">
        <v>2832</v>
      </c>
    </row>
    <row r="979" spans="1:22" ht="15.75" thickBot="1" x14ac:dyDescent="0.3">
      <c r="A979" s="234" t="s">
        <v>1934</v>
      </c>
      <c r="B979" s="234" t="s">
        <v>1934</v>
      </c>
      <c r="C979" s="234" t="s">
        <v>1934</v>
      </c>
      <c r="D979" s="249" t="s">
        <v>1939</v>
      </c>
      <c r="E979" s="267" t="s">
        <v>2250</v>
      </c>
      <c r="F979" s="234" t="s">
        <v>620</v>
      </c>
      <c r="G979" s="261">
        <v>2007</v>
      </c>
      <c r="H979" s="342" t="s">
        <v>734</v>
      </c>
      <c r="I979" s="337" t="str">
        <f t="shared" si="56"/>
        <v>Pesado de Mercadorias N3: Geral : Gasóleo : E5</v>
      </c>
      <c r="J979" s="234"/>
      <c r="K979" s="260">
        <v>2022</v>
      </c>
      <c r="L979" s="234">
        <v>37720.53</v>
      </c>
      <c r="M979" s="234" t="s">
        <v>630</v>
      </c>
      <c r="N979" s="234">
        <v>97627</v>
      </c>
      <c r="O979" s="128">
        <f t="shared" si="57"/>
        <v>0</v>
      </c>
      <c r="P979" s="261"/>
      <c r="Q979" s="234" t="s">
        <v>2220</v>
      </c>
      <c r="R979" s="220" t="s">
        <v>1888</v>
      </c>
      <c r="S979" s="220" t="s">
        <v>1861</v>
      </c>
      <c r="T979" s="234" t="s">
        <v>1945</v>
      </c>
      <c r="U979" t="s">
        <v>1972</v>
      </c>
      <c r="V979" t="s">
        <v>2832</v>
      </c>
    </row>
    <row r="980" spans="1:22" ht="15.75" thickBot="1" x14ac:dyDescent="0.3">
      <c r="A980" s="234" t="s">
        <v>1934</v>
      </c>
      <c r="B980" s="234" t="s">
        <v>1934</v>
      </c>
      <c r="C980" s="234" t="s">
        <v>1934</v>
      </c>
      <c r="D980" s="249" t="s">
        <v>1939</v>
      </c>
      <c r="E980" s="267" t="s">
        <v>2250</v>
      </c>
      <c r="F980" s="234" t="s">
        <v>620</v>
      </c>
      <c r="G980" s="261">
        <v>2007</v>
      </c>
      <c r="H980" s="342" t="s">
        <v>734</v>
      </c>
      <c r="I980" s="337" t="str">
        <f t="shared" si="56"/>
        <v>Pesado de Mercadorias N3: Geral : Gasóleo : E5</v>
      </c>
      <c r="J980" s="234"/>
      <c r="K980" s="260">
        <v>2022</v>
      </c>
      <c r="L980" s="234">
        <v>5893.35</v>
      </c>
      <c r="M980" s="234" t="s">
        <v>630</v>
      </c>
      <c r="N980" s="234">
        <v>14671</v>
      </c>
      <c r="O980" s="128">
        <f t="shared" si="57"/>
        <v>0</v>
      </c>
      <c r="P980" s="261"/>
      <c r="Q980" s="234" t="s">
        <v>2220</v>
      </c>
      <c r="R980" s="220" t="s">
        <v>1888</v>
      </c>
      <c r="S980" s="220" t="s">
        <v>1861</v>
      </c>
      <c r="T980" s="234" t="s">
        <v>1945</v>
      </c>
      <c r="U980" t="s">
        <v>1972</v>
      </c>
      <c r="V980" t="s">
        <v>2832</v>
      </c>
    </row>
    <row r="981" spans="1:22" ht="15.75" thickBot="1" x14ac:dyDescent="0.3">
      <c r="A981" s="234" t="s">
        <v>1934</v>
      </c>
      <c r="B981" s="234" t="s">
        <v>1934</v>
      </c>
      <c r="C981" s="234" t="s">
        <v>1934</v>
      </c>
      <c r="D981" s="249" t="s">
        <v>1939</v>
      </c>
      <c r="E981" s="267" t="s">
        <v>2250</v>
      </c>
      <c r="F981" s="234" t="s">
        <v>620</v>
      </c>
      <c r="G981" s="261">
        <v>2007</v>
      </c>
      <c r="H981" s="342" t="s">
        <v>734</v>
      </c>
      <c r="I981" s="337" t="str">
        <f t="shared" si="56"/>
        <v>Pesado de Mercadorias N3: Geral : Gasóleo : E5</v>
      </c>
      <c r="J981" s="234"/>
      <c r="K981" s="260">
        <v>2022</v>
      </c>
      <c r="L981" s="234">
        <v>17733.89</v>
      </c>
      <c r="M981" s="234" t="s">
        <v>630</v>
      </c>
      <c r="N981" s="234">
        <v>38392</v>
      </c>
      <c r="O981" s="128">
        <f t="shared" si="57"/>
        <v>0</v>
      </c>
      <c r="P981" s="261"/>
      <c r="Q981" s="234" t="s">
        <v>2220</v>
      </c>
      <c r="R981" s="220" t="s">
        <v>1888</v>
      </c>
      <c r="S981" s="220" t="s">
        <v>1861</v>
      </c>
      <c r="T981" s="234" t="s">
        <v>1945</v>
      </c>
      <c r="U981" t="s">
        <v>1972</v>
      </c>
      <c r="V981" t="s">
        <v>2832</v>
      </c>
    </row>
    <row r="982" spans="1:22" ht="15.75" thickBot="1" x14ac:dyDescent="0.3">
      <c r="A982" s="234" t="s">
        <v>1934</v>
      </c>
      <c r="B982" s="234" t="s">
        <v>1934</v>
      </c>
      <c r="C982" s="234" t="s">
        <v>1934</v>
      </c>
      <c r="D982" s="249" t="s">
        <v>1939</v>
      </c>
      <c r="E982" s="267" t="s">
        <v>2250</v>
      </c>
      <c r="F982" s="234" t="s">
        <v>620</v>
      </c>
      <c r="G982" s="261">
        <v>2007</v>
      </c>
      <c r="H982" s="342" t="s">
        <v>734</v>
      </c>
      <c r="I982" s="337" t="str">
        <f t="shared" si="56"/>
        <v>Pesado de Mercadorias N3: Geral : Gasóleo : E5</v>
      </c>
      <c r="J982" s="234"/>
      <c r="K982" s="260">
        <v>2022</v>
      </c>
      <c r="L982" s="234">
        <v>31097.119999999999</v>
      </c>
      <c r="M982" s="234" t="s">
        <v>630</v>
      </c>
      <c r="N982" s="234">
        <v>74509</v>
      </c>
      <c r="O982" s="128">
        <f t="shared" si="57"/>
        <v>0</v>
      </c>
      <c r="P982" s="261"/>
      <c r="Q982" s="234" t="s">
        <v>2220</v>
      </c>
      <c r="R982" s="220" t="s">
        <v>1888</v>
      </c>
      <c r="S982" s="220" t="s">
        <v>1861</v>
      </c>
      <c r="T982" s="234" t="s">
        <v>1945</v>
      </c>
      <c r="U982" t="s">
        <v>1972</v>
      </c>
      <c r="V982" t="s">
        <v>2832</v>
      </c>
    </row>
    <row r="983" spans="1:22" ht="15.75" thickBot="1" x14ac:dyDescent="0.3">
      <c r="A983" s="234" t="s">
        <v>1934</v>
      </c>
      <c r="B983" s="234" t="s">
        <v>1934</v>
      </c>
      <c r="C983" s="234" t="s">
        <v>1934</v>
      </c>
      <c r="D983" s="249" t="s">
        <v>1939</v>
      </c>
      <c r="E983" s="267" t="s">
        <v>2250</v>
      </c>
      <c r="F983" s="234" t="s">
        <v>620</v>
      </c>
      <c r="G983" s="261">
        <v>2007</v>
      </c>
      <c r="H983" s="342" t="s">
        <v>734</v>
      </c>
      <c r="I983" s="337" t="str">
        <f t="shared" si="56"/>
        <v>Pesado de Mercadorias N3: Geral : Gasóleo : E5</v>
      </c>
      <c r="J983" s="234"/>
      <c r="K983" s="260">
        <v>2022</v>
      </c>
      <c r="L983" s="234">
        <v>21416.54</v>
      </c>
      <c r="M983" s="234" t="s">
        <v>630</v>
      </c>
      <c r="N983" s="234">
        <v>53136</v>
      </c>
      <c r="O983" s="128">
        <f t="shared" si="57"/>
        <v>0</v>
      </c>
      <c r="P983" s="261"/>
      <c r="Q983" s="234" t="s">
        <v>2220</v>
      </c>
      <c r="R983" s="220" t="s">
        <v>1888</v>
      </c>
      <c r="S983" s="220" t="s">
        <v>1861</v>
      </c>
      <c r="T983" s="234" t="s">
        <v>1945</v>
      </c>
      <c r="U983" t="s">
        <v>1972</v>
      </c>
      <c r="V983" t="s">
        <v>2832</v>
      </c>
    </row>
    <row r="984" spans="1:22" ht="15.75" thickBot="1" x14ac:dyDescent="0.3">
      <c r="A984" s="234" t="s">
        <v>1934</v>
      </c>
      <c r="B984" s="234" t="s">
        <v>1934</v>
      </c>
      <c r="C984" s="234" t="s">
        <v>1934</v>
      </c>
      <c r="D984" s="249" t="s">
        <v>1939</v>
      </c>
      <c r="E984" s="267" t="s">
        <v>2250</v>
      </c>
      <c r="F984" s="234" t="s">
        <v>620</v>
      </c>
      <c r="G984" s="261">
        <v>2007</v>
      </c>
      <c r="H984" s="342" t="s">
        <v>734</v>
      </c>
      <c r="I984" s="337" t="str">
        <f t="shared" si="56"/>
        <v>Pesado de Mercadorias N3: Geral : Gasóleo : E5</v>
      </c>
      <c r="J984" s="234"/>
      <c r="K984" s="260">
        <v>2022</v>
      </c>
      <c r="L984" s="234">
        <v>24576.14</v>
      </c>
      <c r="M984" s="234" t="s">
        <v>630</v>
      </c>
      <c r="N984" s="234">
        <v>60793</v>
      </c>
      <c r="O984" s="128">
        <f t="shared" si="57"/>
        <v>0</v>
      </c>
      <c r="P984" s="261"/>
      <c r="Q984" s="234" t="s">
        <v>2220</v>
      </c>
      <c r="R984" s="220" t="s">
        <v>1888</v>
      </c>
      <c r="S984" s="220" t="s">
        <v>1861</v>
      </c>
      <c r="T984" s="234" t="s">
        <v>1945</v>
      </c>
      <c r="U984" t="s">
        <v>1972</v>
      </c>
      <c r="V984" t="s">
        <v>2832</v>
      </c>
    </row>
    <row r="985" spans="1:22" ht="15.75" thickBot="1" x14ac:dyDescent="0.3">
      <c r="A985" s="234" t="s">
        <v>1934</v>
      </c>
      <c r="B985" s="234" t="s">
        <v>1934</v>
      </c>
      <c r="C985" s="234" t="s">
        <v>1934</v>
      </c>
      <c r="D985" s="249" t="s">
        <v>1939</v>
      </c>
      <c r="E985" s="267" t="s">
        <v>2250</v>
      </c>
      <c r="F985" s="234" t="s">
        <v>620</v>
      </c>
      <c r="G985" s="261">
        <v>2007</v>
      </c>
      <c r="H985" s="342" t="s">
        <v>734</v>
      </c>
      <c r="I985" s="337" t="str">
        <f t="shared" si="56"/>
        <v>Pesado de Mercadorias N3: Geral : Gasóleo : E5</v>
      </c>
      <c r="J985" s="234"/>
      <c r="K985" s="260">
        <v>2022</v>
      </c>
      <c r="L985" s="234">
        <v>34934.839999999997</v>
      </c>
      <c r="M985" s="234" t="s">
        <v>630</v>
      </c>
      <c r="N985" s="234">
        <v>85410</v>
      </c>
      <c r="O985" s="128">
        <f t="shared" si="57"/>
        <v>0</v>
      </c>
      <c r="P985" s="261"/>
      <c r="Q985" s="234" t="s">
        <v>2220</v>
      </c>
      <c r="R985" s="220" t="s">
        <v>1888</v>
      </c>
      <c r="S985" s="220" t="s">
        <v>1861</v>
      </c>
      <c r="T985" s="234" t="s">
        <v>1945</v>
      </c>
      <c r="U985" t="s">
        <v>1972</v>
      </c>
      <c r="V985" t="s">
        <v>2832</v>
      </c>
    </row>
    <row r="986" spans="1:22" ht="15.75" thickBot="1" x14ac:dyDescent="0.3">
      <c r="A986" s="234" t="s">
        <v>1934</v>
      </c>
      <c r="B986" s="234" t="s">
        <v>1934</v>
      </c>
      <c r="C986" s="234" t="s">
        <v>1934</v>
      </c>
      <c r="D986" s="249" t="s">
        <v>1939</v>
      </c>
      <c r="E986" s="267" t="s">
        <v>2250</v>
      </c>
      <c r="F986" s="234" t="s">
        <v>620</v>
      </c>
      <c r="G986" s="261">
        <v>2007</v>
      </c>
      <c r="H986" s="342" t="s">
        <v>734</v>
      </c>
      <c r="I986" s="337" t="str">
        <f t="shared" si="56"/>
        <v>Pesado de Mercadorias N3: Geral : Gasóleo : E5</v>
      </c>
      <c r="J986" s="234"/>
      <c r="K986" s="260">
        <v>2022</v>
      </c>
      <c r="L986" s="234">
        <v>28830.63</v>
      </c>
      <c r="M986" s="234" t="s">
        <v>630</v>
      </c>
      <c r="N986" s="234">
        <v>65714</v>
      </c>
      <c r="O986" s="128">
        <f t="shared" si="57"/>
        <v>0</v>
      </c>
      <c r="P986" s="261"/>
      <c r="Q986" s="234" t="s">
        <v>2220</v>
      </c>
      <c r="R986" s="220" t="s">
        <v>1888</v>
      </c>
      <c r="S986" s="220" t="s">
        <v>1861</v>
      </c>
      <c r="T986" s="234" t="s">
        <v>1945</v>
      </c>
      <c r="U986" t="s">
        <v>1972</v>
      </c>
      <c r="V986" t="s">
        <v>2832</v>
      </c>
    </row>
    <row r="987" spans="1:22" ht="15.75" thickBot="1" x14ac:dyDescent="0.3">
      <c r="A987" s="234" t="s">
        <v>1934</v>
      </c>
      <c r="B987" s="234" t="s">
        <v>1934</v>
      </c>
      <c r="C987" s="234" t="s">
        <v>1934</v>
      </c>
      <c r="D987" s="249" t="s">
        <v>1939</v>
      </c>
      <c r="E987" s="267" t="s">
        <v>2250</v>
      </c>
      <c r="F987" s="234" t="s">
        <v>620</v>
      </c>
      <c r="G987" s="261">
        <v>2007</v>
      </c>
      <c r="H987" s="342" t="s">
        <v>734</v>
      </c>
      <c r="I987" s="337" t="str">
        <f t="shared" si="56"/>
        <v>Pesado de Mercadorias N3: Geral : Gasóleo : E5</v>
      </c>
      <c r="J987" s="234"/>
      <c r="K987" s="260">
        <v>2022</v>
      </c>
      <c r="L987" s="234">
        <v>27707.63</v>
      </c>
      <c r="M987" s="234" t="s">
        <v>630</v>
      </c>
      <c r="N987" s="234">
        <v>70613</v>
      </c>
      <c r="O987" s="128">
        <f t="shared" si="57"/>
        <v>0</v>
      </c>
      <c r="P987" s="261"/>
      <c r="Q987" s="234" t="s">
        <v>2220</v>
      </c>
      <c r="R987" s="220" t="s">
        <v>1888</v>
      </c>
      <c r="S987" s="220" t="s">
        <v>1861</v>
      </c>
      <c r="T987" s="234" t="s">
        <v>1945</v>
      </c>
      <c r="U987" t="s">
        <v>1972</v>
      </c>
      <c r="V987" t="s">
        <v>2832</v>
      </c>
    </row>
    <row r="988" spans="1:22" ht="15.75" thickBot="1" x14ac:dyDescent="0.3">
      <c r="A988" s="234" t="s">
        <v>1934</v>
      </c>
      <c r="B988" s="234" t="s">
        <v>1934</v>
      </c>
      <c r="C988" s="234" t="s">
        <v>1934</v>
      </c>
      <c r="D988" s="249" t="s">
        <v>1939</v>
      </c>
      <c r="E988" s="267" t="s">
        <v>2250</v>
      </c>
      <c r="F988" s="234" t="s">
        <v>620</v>
      </c>
      <c r="G988" s="261">
        <v>2009</v>
      </c>
      <c r="H988" s="342" t="s">
        <v>734</v>
      </c>
      <c r="I988" s="337" t="str">
        <f t="shared" si="56"/>
        <v>Pesado de Mercadorias N3: Geral : Gasóleo : E5</v>
      </c>
      <c r="J988" s="234"/>
      <c r="K988" s="260">
        <v>2022</v>
      </c>
      <c r="L988" s="234">
        <v>20307.29</v>
      </c>
      <c r="M988" s="234" t="s">
        <v>630</v>
      </c>
      <c r="N988" s="234">
        <v>50469</v>
      </c>
      <c r="O988" s="128">
        <f t="shared" si="57"/>
        <v>0</v>
      </c>
      <c r="P988" s="261"/>
      <c r="Q988" s="234" t="s">
        <v>2220</v>
      </c>
      <c r="R988" s="220" t="s">
        <v>1888</v>
      </c>
      <c r="S988" s="220" t="s">
        <v>1861</v>
      </c>
      <c r="T988" s="234" t="s">
        <v>1945</v>
      </c>
      <c r="U988" t="s">
        <v>1972</v>
      </c>
      <c r="V988" t="s">
        <v>2832</v>
      </c>
    </row>
    <row r="989" spans="1:22" ht="15.75" thickBot="1" x14ac:dyDescent="0.3">
      <c r="A989" s="234" t="s">
        <v>1934</v>
      </c>
      <c r="B989" s="234" t="s">
        <v>1934</v>
      </c>
      <c r="C989" s="234" t="s">
        <v>1934</v>
      </c>
      <c r="D989" s="249" t="s">
        <v>1939</v>
      </c>
      <c r="E989" s="267" t="s">
        <v>2250</v>
      </c>
      <c r="F989" s="234" t="s">
        <v>620</v>
      </c>
      <c r="G989" s="261">
        <v>2013</v>
      </c>
      <c r="H989" s="342" t="s">
        <v>734</v>
      </c>
      <c r="I989" s="337" t="str">
        <f t="shared" si="56"/>
        <v>Pesado de Mercadorias N3: Geral : Gasóleo : E5</v>
      </c>
      <c r="J989" s="234"/>
      <c r="K989" s="260">
        <v>2022</v>
      </c>
      <c r="L989" s="234">
        <v>18901.63</v>
      </c>
      <c r="M989" s="234" t="s">
        <v>630</v>
      </c>
      <c r="N989" s="234">
        <v>54042</v>
      </c>
      <c r="O989" s="128">
        <f t="shared" si="57"/>
        <v>0</v>
      </c>
      <c r="P989" s="261"/>
      <c r="Q989" s="234" t="s">
        <v>2220</v>
      </c>
      <c r="R989" s="220" t="s">
        <v>1888</v>
      </c>
      <c r="S989" s="220" t="s">
        <v>1861</v>
      </c>
      <c r="T989" s="234" t="s">
        <v>1945</v>
      </c>
      <c r="U989" t="s">
        <v>1972</v>
      </c>
      <c r="V989" t="s">
        <v>2832</v>
      </c>
    </row>
    <row r="990" spans="1:22" ht="15.75" thickBot="1" x14ac:dyDescent="0.3">
      <c r="A990" s="234" t="s">
        <v>1934</v>
      </c>
      <c r="B990" s="234" t="s">
        <v>1934</v>
      </c>
      <c r="C990" s="234" t="s">
        <v>1934</v>
      </c>
      <c r="D990" s="249" t="s">
        <v>1939</v>
      </c>
      <c r="E990" s="267" t="s">
        <v>2250</v>
      </c>
      <c r="F990" s="234" t="s">
        <v>620</v>
      </c>
      <c r="G990" s="261">
        <v>2013</v>
      </c>
      <c r="H990" s="342" t="s">
        <v>734</v>
      </c>
      <c r="I990" s="337" t="str">
        <f t="shared" si="56"/>
        <v>Pesado de Mercadorias N3: Geral : Gasóleo : E5</v>
      </c>
      <c r="J990" s="234"/>
      <c r="K990" s="260">
        <v>2022</v>
      </c>
      <c r="L990" s="234">
        <v>24196.68</v>
      </c>
      <c r="M990" s="234" t="s">
        <v>630</v>
      </c>
      <c r="N990" s="234">
        <v>63399</v>
      </c>
      <c r="O990" s="128">
        <f t="shared" si="57"/>
        <v>0</v>
      </c>
      <c r="P990" s="261"/>
      <c r="Q990" s="234" t="s">
        <v>2220</v>
      </c>
      <c r="R990" s="220" t="s">
        <v>1888</v>
      </c>
      <c r="S990" s="220" t="s">
        <v>1861</v>
      </c>
      <c r="T990" s="234" t="s">
        <v>1945</v>
      </c>
      <c r="U990" t="s">
        <v>1972</v>
      </c>
      <c r="V990" t="s">
        <v>2832</v>
      </c>
    </row>
    <row r="991" spans="1:22" ht="15.75" thickBot="1" x14ac:dyDescent="0.3">
      <c r="A991" s="234" t="s">
        <v>1934</v>
      </c>
      <c r="B991" s="234" t="s">
        <v>1934</v>
      </c>
      <c r="C991" s="234" t="s">
        <v>1934</v>
      </c>
      <c r="D991" s="249" t="s">
        <v>1939</v>
      </c>
      <c r="E991" s="267" t="s">
        <v>2250</v>
      </c>
      <c r="F991" s="234" t="s">
        <v>620</v>
      </c>
      <c r="G991" s="261">
        <v>2013</v>
      </c>
      <c r="H991" s="342" t="s">
        <v>734</v>
      </c>
      <c r="I991" s="337" t="str">
        <f t="shared" si="56"/>
        <v>Pesado de Mercadorias N3: Geral : Gasóleo : E5</v>
      </c>
      <c r="J991" s="234"/>
      <c r="K991" s="260">
        <v>2022</v>
      </c>
      <c r="L991" s="234">
        <v>35042.129999999997</v>
      </c>
      <c r="M991" s="234" t="s">
        <v>630</v>
      </c>
      <c r="N991" s="234">
        <v>87587</v>
      </c>
      <c r="O991" s="128">
        <f t="shared" si="57"/>
        <v>0</v>
      </c>
      <c r="P991" s="261"/>
      <c r="Q991" s="234" t="s">
        <v>2220</v>
      </c>
      <c r="R991" s="220" t="s">
        <v>1888</v>
      </c>
      <c r="S991" s="220" t="s">
        <v>1861</v>
      </c>
      <c r="T991" s="234" t="s">
        <v>1945</v>
      </c>
      <c r="U991" t="s">
        <v>1972</v>
      </c>
      <c r="V991" t="s">
        <v>2832</v>
      </c>
    </row>
    <row r="992" spans="1:22" ht="15.75" thickBot="1" x14ac:dyDescent="0.3">
      <c r="A992" s="234" t="s">
        <v>1934</v>
      </c>
      <c r="B992" s="234" t="s">
        <v>1934</v>
      </c>
      <c r="C992" s="234" t="s">
        <v>1934</v>
      </c>
      <c r="D992" s="249" t="s">
        <v>1939</v>
      </c>
      <c r="E992" s="267" t="s">
        <v>2250</v>
      </c>
      <c r="F992" s="234" t="s">
        <v>620</v>
      </c>
      <c r="G992" s="261">
        <v>2013</v>
      </c>
      <c r="H992" s="342" t="s">
        <v>734</v>
      </c>
      <c r="I992" s="337" t="str">
        <f t="shared" si="56"/>
        <v>Pesado de Mercadorias N3: Geral : Gasóleo : E5</v>
      </c>
      <c r="J992" s="234"/>
      <c r="K992" s="260">
        <v>2022</v>
      </c>
      <c r="L992" s="234">
        <v>45611.16</v>
      </c>
      <c r="M992" s="234" t="s">
        <v>630</v>
      </c>
      <c r="N992" s="234">
        <v>121376</v>
      </c>
      <c r="O992" s="128">
        <f t="shared" si="57"/>
        <v>0</v>
      </c>
      <c r="P992" s="261"/>
      <c r="Q992" s="234" t="s">
        <v>2220</v>
      </c>
      <c r="R992" s="220" t="s">
        <v>1888</v>
      </c>
      <c r="S992" s="220" t="s">
        <v>1861</v>
      </c>
      <c r="T992" s="234" t="s">
        <v>1945</v>
      </c>
      <c r="U992" t="s">
        <v>1972</v>
      </c>
      <c r="V992" t="s">
        <v>2832</v>
      </c>
    </row>
    <row r="993" spans="1:22" ht="15.75" thickBot="1" x14ac:dyDescent="0.3">
      <c r="A993" s="234" t="s">
        <v>1934</v>
      </c>
      <c r="B993" s="234" t="s">
        <v>1934</v>
      </c>
      <c r="C993" s="234" t="s">
        <v>1934</v>
      </c>
      <c r="D993" s="249" t="s">
        <v>1939</v>
      </c>
      <c r="E993" s="267" t="s">
        <v>2250</v>
      </c>
      <c r="F993" s="234" t="s">
        <v>620</v>
      </c>
      <c r="G993" s="261">
        <v>2013</v>
      </c>
      <c r="H993" s="342" t="s">
        <v>734</v>
      </c>
      <c r="I993" s="337" t="str">
        <f t="shared" si="56"/>
        <v>Pesado de Mercadorias N3: Geral : Gasóleo : E5</v>
      </c>
      <c r="J993" s="234"/>
      <c r="K993" s="260">
        <v>2022</v>
      </c>
      <c r="L993" s="234">
        <v>32504.98</v>
      </c>
      <c r="M993" s="234" t="s">
        <v>630</v>
      </c>
      <c r="N993" s="234">
        <v>88347</v>
      </c>
      <c r="O993" s="128">
        <f t="shared" si="57"/>
        <v>0</v>
      </c>
      <c r="P993" s="261"/>
      <c r="Q993" s="234" t="s">
        <v>2220</v>
      </c>
      <c r="R993" s="220" t="s">
        <v>1888</v>
      </c>
      <c r="S993" s="220" t="s">
        <v>1861</v>
      </c>
      <c r="T993" s="234" t="s">
        <v>1945</v>
      </c>
      <c r="U993" t="s">
        <v>1972</v>
      </c>
      <c r="V993" t="s">
        <v>2832</v>
      </c>
    </row>
    <row r="994" spans="1:22" ht="15.75" thickBot="1" x14ac:dyDescent="0.3">
      <c r="A994" s="234" t="s">
        <v>1934</v>
      </c>
      <c r="B994" s="234" t="s">
        <v>1934</v>
      </c>
      <c r="C994" s="234" t="s">
        <v>1934</v>
      </c>
      <c r="D994" s="249" t="s">
        <v>1939</v>
      </c>
      <c r="E994" s="267" t="s">
        <v>2250</v>
      </c>
      <c r="F994" s="234" t="s">
        <v>620</v>
      </c>
      <c r="G994" s="261">
        <v>2013</v>
      </c>
      <c r="H994" s="342" t="s">
        <v>734</v>
      </c>
      <c r="I994" s="337" t="str">
        <f t="shared" si="56"/>
        <v>Pesado de Mercadorias N3: Geral : Gasóleo : E5</v>
      </c>
      <c r="J994" s="234"/>
      <c r="K994" s="260">
        <v>2022</v>
      </c>
      <c r="L994" s="234">
        <v>33374.04</v>
      </c>
      <c r="M994" s="234" t="s">
        <v>630</v>
      </c>
      <c r="N994" s="234">
        <v>90146</v>
      </c>
      <c r="O994" s="128">
        <f t="shared" si="57"/>
        <v>0</v>
      </c>
      <c r="P994" s="261"/>
      <c r="Q994" s="234" t="s">
        <v>2220</v>
      </c>
      <c r="R994" s="220" t="s">
        <v>1888</v>
      </c>
      <c r="S994" s="220" t="s">
        <v>1861</v>
      </c>
      <c r="T994" s="234" t="s">
        <v>1945</v>
      </c>
      <c r="U994" t="s">
        <v>1972</v>
      </c>
      <c r="V994" t="s">
        <v>2832</v>
      </c>
    </row>
    <row r="995" spans="1:22" ht="15.75" thickBot="1" x14ac:dyDescent="0.3">
      <c r="A995" s="234" t="s">
        <v>1934</v>
      </c>
      <c r="B995" s="234" t="s">
        <v>1934</v>
      </c>
      <c r="C995" s="234" t="s">
        <v>1934</v>
      </c>
      <c r="D995" s="249" t="s">
        <v>1939</v>
      </c>
      <c r="E995" s="267" t="s">
        <v>2250</v>
      </c>
      <c r="F995" s="234" t="s">
        <v>620</v>
      </c>
      <c r="G995" s="261">
        <v>2013</v>
      </c>
      <c r="H995" s="342" t="s">
        <v>734</v>
      </c>
      <c r="I995" s="337" t="str">
        <f t="shared" si="56"/>
        <v>Pesado de Mercadorias N3: Geral : Gasóleo : E5</v>
      </c>
      <c r="J995" s="234"/>
      <c r="K995" s="260">
        <v>2022</v>
      </c>
      <c r="L995" s="234">
        <v>38494.870000000003</v>
      </c>
      <c r="M995" s="234" t="s">
        <v>630</v>
      </c>
      <c r="N995" s="234">
        <v>104045</v>
      </c>
      <c r="O995" s="128">
        <f t="shared" si="57"/>
        <v>0</v>
      </c>
      <c r="P995" s="261"/>
      <c r="Q995" s="234" t="s">
        <v>2220</v>
      </c>
      <c r="R995" s="220" t="s">
        <v>1888</v>
      </c>
      <c r="S995" s="220" t="s">
        <v>1861</v>
      </c>
      <c r="T995" s="234" t="s">
        <v>1945</v>
      </c>
      <c r="U995" t="s">
        <v>1972</v>
      </c>
      <c r="V995" t="s">
        <v>2832</v>
      </c>
    </row>
    <row r="996" spans="1:22" ht="15.75" thickBot="1" x14ac:dyDescent="0.3">
      <c r="A996" s="234" t="s">
        <v>1934</v>
      </c>
      <c r="B996" s="234" t="s">
        <v>1934</v>
      </c>
      <c r="C996" s="234" t="s">
        <v>1934</v>
      </c>
      <c r="D996" s="249" t="s">
        <v>1939</v>
      </c>
      <c r="E996" s="267" t="s">
        <v>2250</v>
      </c>
      <c r="F996" s="234" t="s">
        <v>620</v>
      </c>
      <c r="G996" s="261">
        <v>2014</v>
      </c>
      <c r="H996" s="342" t="s">
        <v>733</v>
      </c>
      <c r="I996" s="337" t="str">
        <f t="shared" si="56"/>
        <v>Pesado de Mercadorias N3: Geral : Gasóleo : E6</v>
      </c>
      <c r="J996" s="234"/>
      <c r="K996" s="260">
        <v>2022</v>
      </c>
      <c r="L996" s="234">
        <v>43915.68</v>
      </c>
      <c r="M996" s="234" t="s">
        <v>630</v>
      </c>
      <c r="N996" s="234">
        <v>113492</v>
      </c>
      <c r="O996" s="128">
        <f t="shared" si="57"/>
        <v>0</v>
      </c>
      <c r="P996" s="261"/>
      <c r="Q996" s="234" t="s">
        <v>2220</v>
      </c>
      <c r="R996" s="220" t="s">
        <v>1888</v>
      </c>
      <c r="S996" s="220" t="s">
        <v>1861</v>
      </c>
      <c r="T996" s="234" t="s">
        <v>1945</v>
      </c>
      <c r="U996" t="s">
        <v>1972</v>
      </c>
      <c r="V996" t="s">
        <v>2832</v>
      </c>
    </row>
    <row r="997" spans="1:22" ht="15.75" thickBot="1" x14ac:dyDescent="0.3">
      <c r="A997" s="234" t="s">
        <v>1934</v>
      </c>
      <c r="B997" s="234" t="s">
        <v>1934</v>
      </c>
      <c r="C997" s="234" t="s">
        <v>1934</v>
      </c>
      <c r="D997" s="249" t="s">
        <v>1939</v>
      </c>
      <c r="E997" s="267" t="s">
        <v>2250</v>
      </c>
      <c r="F997" s="234" t="s">
        <v>620</v>
      </c>
      <c r="G997" s="261">
        <v>2014</v>
      </c>
      <c r="H997" s="342" t="s">
        <v>733</v>
      </c>
      <c r="I997" s="337" t="str">
        <f t="shared" si="56"/>
        <v>Pesado de Mercadorias N3: Geral : Gasóleo : E6</v>
      </c>
      <c r="J997" s="234"/>
      <c r="K997" s="260">
        <v>2022</v>
      </c>
      <c r="L997" s="234">
        <v>29523.98</v>
      </c>
      <c r="M997" s="234" t="s">
        <v>630</v>
      </c>
      <c r="N997" s="234">
        <v>81630</v>
      </c>
      <c r="O997" s="128">
        <f t="shared" si="57"/>
        <v>0</v>
      </c>
      <c r="P997" s="261"/>
      <c r="Q997" s="234" t="s">
        <v>2220</v>
      </c>
      <c r="R997" s="220" t="s">
        <v>1888</v>
      </c>
      <c r="S997" s="220" t="s">
        <v>1861</v>
      </c>
      <c r="T997" s="234" t="s">
        <v>1945</v>
      </c>
      <c r="U997" t="s">
        <v>1972</v>
      </c>
      <c r="V997" t="s">
        <v>2832</v>
      </c>
    </row>
    <row r="998" spans="1:22" ht="15.75" thickBot="1" x14ac:dyDescent="0.3">
      <c r="A998" s="234" t="s">
        <v>1934</v>
      </c>
      <c r="B998" s="234" t="s">
        <v>1934</v>
      </c>
      <c r="C998" s="234" t="s">
        <v>1934</v>
      </c>
      <c r="D998" s="249" t="s">
        <v>1939</v>
      </c>
      <c r="E998" s="267" t="s">
        <v>2250</v>
      </c>
      <c r="F998" s="234" t="s">
        <v>620</v>
      </c>
      <c r="G998" s="261">
        <v>2014</v>
      </c>
      <c r="H998" s="342" t="s">
        <v>733</v>
      </c>
      <c r="I998" s="337" t="str">
        <f t="shared" si="56"/>
        <v>Pesado de Mercadorias N3: Geral : Gasóleo : E6</v>
      </c>
      <c r="J998" s="234"/>
      <c r="K998" s="260">
        <v>2022</v>
      </c>
      <c r="L998" s="234">
        <v>36725.620000000003</v>
      </c>
      <c r="M998" s="234" t="s">
        <v>630</v>
      </c>
      <c r="N998" s="234">
        <v>96001</v>
      </c>
      <c r="O998" s="128">
        <f t="shared" si="57"/>
        <v>0</v>
      </c>
      <c r="P998" s="261"/>
      <c r="Q998" s="234" t="s">
        <v>2220</v>
      </c>
      <c r="R998" s="220" t="s">
        <v>1888</v>
      </c>
      <c r="S998" s="220" t="s">
        <v>1861</v>
      </c>
      <c r="T998" s="234" t="s">
        <v>1945</v>
      </c>
      <c r="U998" t="s">
        <v>1972</v>
      </c>
      <c r="V998" t="s">
        <v>2832</v>
      </c>
    </row>
    <row r="999" spans="1:22" ht="15.75" thickBot="1" x14ac:dyDescent="0.3">
      <c r="A999" s="234" t="s">
        <v>1934</v>
      </c>
      <c r="B999" s="234" t="s">
        <v>1934</v>
      </c>
      <c r="C999" s="234" t="s">
        <v>1934</v>
      </c>
      <c r="D999" s="249" t="s">
        <v>1939</v>
      </c>
      <c r="E999" s="267" t="s">
        <v>2250</v>
      </c>
      <c r="F999" s="234" t="s">
        <v>620</v>
      </c>
      <c r="G999" s="261">
        <v>2014</v>
      </c>
      <c r="H999" s="342" t="s">
        <v>731</v>
      </c>
      <c r="I999" s="337" t="str">
        <f t="shared" si="56"/>
        <v>Pesado de Mercadorias N3: Geral : Gasóleo : E4</v>
      </c>
      <c r="J999" s="234"/>
      <c r="K999" s="260">
        <v>2022</v>
      </c>
      <c r="L999" s="234">
        <v>31189</v>
      </c>
      <c r="M999" s="234" t="s">
        <v>630</v>
      </c>
      <c r="N999" s="234">
        <v>83191</v>
      </c>
      <c r="O999" s="128">
        <f t="shared" si="57"/>
        <v>0</v>
      </c>
      <c r="P999" s="261"/>
      <c r="Q999" s="234" t="s">
        <v>2220</v>
      </c>
      <c r="R999" s="220" t="s">
        <v>1888</v>
      </c>
      <c r="S999" s="220" t="s">
        <v>1861</v>
      </c>
      <c r="T999" s="234" t="s">
        <v>1945</v>
      </c>
      <c r="U999" t="s">
        <v>1972</v>
      </c>
      <c r="V999" t="s">
        <v>2832</v>
      </c>
    </row>
    <row r="1000" spans="1:22" ht="15.75" thickBot="1" x14ac:dyDescent="0.3">
      <c r="A1000" s="234" t="s">
        <v>1934</v>
      </c>
      <c r="B1000" s="234" t="s">
        <v>1934</v>
      </c>
      <c r="C1000" s="234" t="s">
        <v>1934</v>
      </c>
      <c r="D1000" s="249" t="s">
        <v>1939</v>
      </c>
      <c r="E1000" s="267" t="s">
        <v>2250</v>
      </c>
      <c r="F1000" s="234" t="s">
        <v>620</v>
      </c>
      <c r="G1000" s="261">
        <v>2014</v>
      </c>
      <c r="H1000" s="342" t="s">
        <v>733</v>
      </c>
      <c r="I1000" s="337" t="str">
        <f t="shared" si="56"/>
        <v>Pesado de Mercadorias N3: Geral : Gasóleo : E6</v>
      </c>
      <c r="J1000" s="234"/>
      <c r="K1000" s="260">
        <v>2022</v>
      </c>
      <c r="L1000" s="234">
        <v>32368.25</v>
      </c>
      <c r="M1000" s="234" t="s">
        <v>630</v>
      </c>
      <c r="N1000" s="234">
        <v>84921</v>
      </c>
      <c r="O1000" s="128">
        <f t="shared" si="57"/>
        <v>0</v>
      </c>
      <c r="P1000" s="261"/>
      <c r="Q1000" s="234" t="s">
        <v>2220</v>
      </c>
      <c r="R1000" s="220" t="s">
        <v>1888</v>
      </c>
      <c r="S1000" s="220" t="s">
        <v>1861</v>
      </c>
      <c r="T1000" s="234" t="s">
        <v>1945</v>
      </c>
      <c r="U1000" t="s">
        <v>1972</v>
      </c>
      <c r="V1000" t="s">
        <v>2832</v>
      </c>
    </row>
    <row r="1001" spans="1:22" ht="15.75" thickBot="1" x14ac:dyDescent="0.3">
      <c r="A1001" s="234" t="s">
        <v>1934</v>
      </c>
      <c r="B1001" s="234" t="s">
        <v>1934</v>
      </c>
      <c r="C1001" s="234" t="s">
        <v>1934</v>
      </c>
      <c r="D1001" s="249" t="s">
        <v>1939</v>
      </c>
      <c r="E1001" s="267" t="s">
        <v>2250</v>
      </c>
      <c r="F1001" s="234" t="s">
        <v>620</v>
      </c>
      <c r="G1001" s="261">
        <v>2014</v>
      </c>
      <c r="H1001" s="342" t="s">
        <v>734</v>
      </c>
      <c r="I1001" s="337" t="str">
        <f t="shared" si="56"/>
        <v>Pesado de Mercadorias N3: Geral : Gasóleo : E5</v>
      </c>
      <c r="J1001" s="234"/>
      <c r="K1001" s="260">
        <v>2022</v>
      </c>
      <c r="L1001" s="234">
        <v>30319.53</v>
      </c>
      <c r="M1001" s="234" t="s">
        <v>630</v>
      </c>
      <c r="N1001" s="234">
        <v>85382</v>
      </c>
      <c r="O1001" s="128">
        <f t="shared" si="57"/>
        <v>0</v>
      </c>
      <c r="P1001" s="261"/>
      <c r="Q1001" s="234" t="s">
        <v>2220</v>
      </c>
      <c r="R1001" s="220" t="s">
        <v>1888</v>
      </c>
      <c r="S1001" s="220" t="s">
        <v>1861</v>
      </c>
      <c r="T1001" s="234" t="s">
        <v>1945</v>
      </c>
      <c r="U1001" t="s">
        <v>1972</v>
      </c>
      <c r="V1001" t="s">
        <v>2832</v>
      </c>
    </row>
    <row r="1002" spans="1:22" ht="15.75" thickBot="1" x14ac:dyDescent="0.3">
      <c r="A1002" s="234" t="s">
        <v>1934</v>
      </c>
      <c r="B1002" s="234" t="s">
        <v>1934</v>
      </c>
      <c r="C1002" s="234" t="s">
        <v>1934</v>
      </c>
      <c r="D1002" s="249" t="s">
        <v>1939</v>
      </c>
      <c r="E1002" s="267" t="s">
        <v>2250</v>
      </c>
      <c r="F1002" s="234" t="s">
        <v>620</v>
      </c>
      <c r="G1002" s="261">
        <v>2014</v>
      </c>
      <c r="H1002" s="342" t="s">
        <v>734</v>
      </c>
      <c r="I1002" s="337" t="str">
        <f t="shared" si="56"/>
        <v>Pesado de Mercadorias N3: Geral : Gasóleo : E5</v>
      </c>
      <c r="J1002" s="234"/>
      <c r="K1002" s="260">
        <v>2022</v>
      </c>
      <c r="L1002" s="234">
        <v>41886.949999999997</v>
      </c>
      <c r="M1002" s="234" t="s">
        <v>630</v>
      </c>
      <c r="N1002" s="234">
        <v>115760</v>
      </c>
      <c r="O1002" s="128">
        <f t="shared" si="57"/>
        <v>0</v>
      </c>
      <c r="P1002" s="261"/>
      <c r="Q1002" s="234" t="s">
        <v>2220</v>
      </c>
      <c r="R1002" s="220" t="s">
        <v>1888</v>
      </c>
      <c r="S1002" s="220" t="s">
        <v>1861</v>
      </c>
      <c r="T1002" s="234" t="s">
        <v>1945</v>
      </c>
      <c r="U1002" t="s">
        <v>1972</v>
      </c>
      <c r="V1002" t="s">
        <v>2832</v>
      </c>
    </row>
    <row r="1003" spans="1:22" ht="15.75" thickBot="1" x14ac:dyDescent="0.3">
      <c r="A1003" s="234" t="s">
        <v>1934</v>
      </c>
      <c r="B1003" s="234" t="s">
        <v>1934</v>
      </c>
      <c r="C1003" s="234" t="s">
        <v>1934</v>
      </c>
      <c r="D1003" s="249" t="s">
        <v>1939</v>
      </c>
      <c r="E1003" s="267" t="s">
        <v>2250</v>
      </c>
      <c r="F1003" s="234" t="s">
        <v>620</v>
      </c>
      <c r="G1003" s="261">
        <v>2014</v>
      </c>
      <c r="H1003" s="342" t="s">
        <v>734</v>
      </c>
      <c r="I1003" s="337" t="str">
        <f t="shared" si="56"/>
        <v>Pesado de Mercadorias N3: Geral : Gasóleo : E5</v>
      </c>
      <c r="J1003" s="234"/>
      <c r="K1003" s="260">
        <v>2022</v>
      </c>
      <c r="L1003" s="234">
        <v>43645.97</v>
      </c>
      <c r="M1003" s="234" t="s">
        <v>630</v>
      </c>
      <c r="N1003" s="234">
        <v>122270</v>
      </c>
      <c r="O1003" s="128">
        <f t="shared" si="57"/>
        <v>0</v>
      </c>
      <c r="P1003" s="261"/>
      <c r="Q1003" s="234" t="s">
        <v>2220</v>
      </c>
      <c r="R1003" s="220" t="s">
        <v>1888</v>
      </c>
      <c r="S1003" s="220" t="s">
        <v>1861</v>
      </c>
      <c r="T1003" s="234" t="s">
        <v>1945</v>
      </c>
      <c r="U1003" t="s">
        <v>1972</v>
      </c>
      <c r="V1003" t="s">
        <v>2832</v>
      </c>
    </row>
    <row r="1004" spans="1:22" ht="15.75" thickBot="1" x14ac:dyDescent="0.3">
      <c r="A1004" s="234" t="s">
        <v>1934</v>
      </c>
      <c r="B1004" s="234" t="s">
        <v>1934</v>
      </c>
      <c r="C1004" s="234" t="s">
        <v>1934</v>
      </c>
      <c r="D1004" s="249" t="s">
        <v>1939</v>
      </c>
      <c r="E1004" s="267" t="s">
        <v>2250</v>
      </c>
      <c r="F1004" s="234" t="s">
        <v>620</v>
      </c>
      <c r="G1004" s="261">
        <v>2014</v>
      </c>
      <c r="H1004" s="342" t="s">
        <v>734</v>
      </c>
      <c r="I1004" s="337" t="str">
        <f t="shared" si="56"/>
        <v>Pesado de Mercadorias N3: Geral : Gasóleo : E5</v>
      </c>
      <c r="J1004" s="234"/>
      <c r="K1004" s="260">
        <v>2022</v>
      </c>
      <c r="L1004" s="234">
        <v>21526.47</v>
      </c>
      <c r="M1004" s="234" t="s">
        <v>630</v>
      </c>
      <c r="N1004" s="234">
        <v>53117</v>
      </c>
      <c r="O1004" s="128">
        <f t="shared" si="57"/>
        <v>0</v>
      </c>
      <c r="P1004" s="261"/>
      <c r="Q1004" s="234" t="s">
        <v>2220</v>
      </c>
      <c r="R1004" s="220" t="s">
        <v>1888</v>
      </c>
      <c r="S1004" s="220" t="s">
        <v>1861</v>
      </c>
      <c r="T1004" s="234" t="s">
        <v>1945</v>
      </c>
      <c r="U1004" t="s">
        <v>1972</v>
      </c>
      <c r="V1004" t="s">
        <v>2832</v>
      </c>
    </row>
    <row r="1005" spans="1:22" ht="15.75" thickBot="1" x14ac:dyDescent="0.3">
      <c r="A1005" s="234" t="s">
        <v>1934</v>
      </c>
      <c r="B1005" s="234" t="s">
        <v>1934</v>
      </c>
      <c r="C1005" s="234" t="s">
        <v>1934</v>
      </c>
      <c r="D1005" s="249" t="s">
        <v>1939</v>
      </c>
      <c r="E1005" s="267" t="s">
        <v>2250</v>
      </c>
      <c r="F1005" s="234" t="s">
        <v>620</v>
      </c>
      <c r="G1005" s="261">
        <v>2014</v>
      </c>
      <c r="H1005" s="342" t="s">
        <v>734</v>
      </c>
      <c r="I1005" s="337" t="str">
        <f t="shared" si="56"/>
        <v>Pesado de Mercadorias N3: Geral : Gasóleo : E5</v>
      </c>
      <c r="J1005" s="234"/>
      <c r="K1005" s="260">
        <v>2022</v>
      </c>
      <c r="L1005" s="234">
        <v>37256.81</v>
      </c>
      <c r="M1005" s="234" t="s">
        <v>630</v>
      </c>
      <c r="N1005" s="234">
        <v>108298</v>
      </c>
      <c r="O1005" s="128">
        <f t="shared" si="57"/>
        <v>0</v>
      </c>
      <c r="P1005" s="261"/>
      <c r="Q1005" s="234" t="s">
        <v>2220</v>
      </c>
      <c r="R1005" s="220" t="s">
        <v>1888</v>
      </c>
      <c r="S1005" s="220" t="s">
        <v>1861</v>
      </c>
      <c r="T1005" s="234" t="s">
        <v>1945</v>
      </c>
      <c r="U1005" t="s">
        <v>1972</v>
      </c>
      <c r="V1005" t="s">
        <v>2832</v>
      </c>
    </row>
    <row r="1006" spans="1:22" ht="15.75" thickBot="1" x14ac:dyDescent="0.3">
      <c r="A1006" s="234" t="s">
        <v>1934</v>
      </c>
      <c r="B1006" s="234" t="s">
        <v>1934</v>
      </c>
      <c r="C1006" s="234" t="s">
        <v>1934</v>
      </c>
      <c r="D1006" s="249" t="s">
        <v>1939</v>
      </c>
      <c r="E1006" s="267" t="s">
        <v>2250</v>
      </c>
      <c r="F1006" s="234" t="s">
        <v>620</v>
      </c>
      <c r="G1006" s="261">
        <v>2014</v>
      </c>
      <c r="H1006" s="342" t="s">
        <v>732</v>
      </c>
      <c r="I1006" s="337" t="str">
        <f t="shared" si="56"/>
        <v>Pesado de Mercadorias N3: Geral : Gasóleo : E3</v>
      </c>
      <c r="J1006" s="234"/>
      <c r="K1006" s="260">
        <v>2022</v>
      </c>
      <c r="L1006" s="234">
        <v>16835.689999999999</v>
      </c>
      <c r="M1006" s="234" t="s">
        <v>630</v>
      </c>
      <c r="N1006" s="234">
        <v>60269</v>
      </c>
      <c r="O1006" s="128">
        <f t="shared" si="57"/>
        <v>0</v>
      </c>
      <c r="P1006" s="261"/>
      <c r="Q1006" s="234" t="s">
        <v>2220</v>
      </c>
      <c r="R1006" s="220" t="s">
        <v>1888</v>
      </c>
      <c r="S1006" s="220" t="s">
        <v>1861</v>
      </c>
      <c r="T1006" s="234" t="s">
        <v>1945</v>
      </c>
      <c r="U1006" t="s">
        <v>1972</v>
      </c>
      <c r="V1006" t="s">
        <v>2832</v>
      </c>
    </row>
    <row r="1007" spans="1:22" ht="15.75" thickBot="1" x14ac:dyDescent="0.3">
      <c r="A1007" s="234" t="s">
        <v>1934</v>
      </c>
      <c r="B1007" s="234" t="s">
        <v>1934</v>
      </c>
      <c r="C1007" s="234" t="s">
        <v>1934</v>
      </c>
      <c r="D1007" s="249" t="s">
        <v>1939</v>
      </c>
      <c r="E1007" s="267" t="s">
        <v>2250</v>
      </c>
      <c r="F1007" s="234" t="s">
        <v>620</v>
      </c>
      <c r="G1007" s="261">
        <v>2014</v>
      </c>
      <c r="H1007" s="342" t="s">
        <v>731</v>
      </c>
      <c r="I1007" s="337" t="str">
        <f t="shared" si="56"/>
        <v>Pesado de Mercadorias N3: Geral : Gasóleo : E4</v>
      </c>
      <c r="J1007" s="234"/>
      <c r="K1007" s="260">
        <v>2022</v>
      </c>
      <c r="L1007" s="234">
        <v>7346.45</v>
      </c>
      <c r="M1007" s="234" t="s">
        <v>630</v>
      </c>
      <c r="N1007" s="234">
        <v>28182</v>
      </c>
      <c r="O1007" s="128">
        <f t="shared" si="57"/>
        <v>0</v>
      </c>
      <c r="P1007" s="261"/>
      <c r="Q1007" s="234" t="s">
        <v>2220</v>
      </c>
      <c r="R1007" s="220" t="s">
        <v>1888</v>
      </c>
      <c r="S1007" s="220" t="s">
        <v>1861</v>
      </c>
      <c r="T1007" s="234" t="s">
        <v>1945</v>
      </c>
      <c r="U1007" t="s">
        <v>1972</v>
      </c>
      <c r="V1007" t="s">
        <v>2832</v>
      </c>
    </row>
    <row r="1008" spans="1:22" ht="15.75" thickBot="1" x14ac:dyDescent="0.3">
      <c r="A1008" s="234" t="s">
        <v>1934</v>
      </c>
      <c r="B1008" s="234" t="s">
        <v>1934</v>
      </c>
      <c r="C1008" s="234" t="s">
        <v>1934</v>
      </c>
      <c r="D1008" s="249" t="s">
        <v>1939</v>
      </c>
      <c r="E1008" s="267" t="s">
        <v>2250</v>
      </c>
      <c r="F1008" s="234" t="s">
        <v>620</v>
      </c>
      <c r="G1008" s="261">
        <v>2014</v>
      </c>
      <c r="H1008" s="342" t="s">
        <v>734</v>
      </c>
      <c r="I1008" s="337" t="str">
        <f t="shared" si="56"/>
        <v>Pesado de Mercadorias N3: Geral : Gasóleo : E5</v>
      </c>
      <c r="J1008" s="234"/>
      <c r="K1008" s="260">
        <v>2022</v>
      </c>
      <c r="L1008" s="234">
        <v>24257.19</v>
      </c>
      <c r="M1008" s="234" t="s">
        <v>630</v>
      </c>
      <c r="N1008" s="234">
        <v>66232</v>
      </c>
      <c r="O1008" s="128">
        <f t="shared" si="57"/>
        <v>0</v>
      </c>
      <c r="P1008" s="261"/>
      <c r="Q1008" s="234" t="s">
        <v>2220</v>
      </c>
      <c r="R1008" s="220" t="s">
        <v>1888</v>
      </c>
      <c r="S1008" s="220" t="s">
        <v>1861</v>
      </c>
      <c r="T1008" s="234" t="s">
        <v>1945</v>
      </c>
      <c r="U1008" t="s">
        <v>1972</v>
      </c>
      <c r="V1008" t="s">
        <v>2832</v>
      </c>
    </row>
    <row r="1009" spans="1:22" ht="15.75" thickBot="1" x14ac:dyDescent="0.3">
      <c r="A1009" s="234" t="s">
        <v>1934</v>
      </c>
      <c r="B1009" s="234" t="s">
        <v>1934</v>
      </c>
      <c r="C1009" s="234" t="s">
        <v>1934</v>
      </c>
      <c r="D1009" s="249" t="s">
        <v>1939</v>
      </c>
      <c r="E1009" s="267" t="s">
        <v>2250</v>
      </c>
      <c r="F1009" s="234" t="s">
        <v>620</v>
      </c>
      <c r="G1009" s="261">
        <v>2014</v>
      </c>
      <c r="H1009" s="342" t="s">
        <v>734</v>
      </c>
      <c r="I1009" s="337" t="str">
        <f t="shared" si="56"/>
        <v>Pesado de Mercadorias N3: Geral : Gasóleo : E5</v>
      </c>
      <c r="J1009" s="234"/>
      <c r="K1009" s="260">
        <v>2022</v>
      </c>
      <c r="L1009" s="234">
        <v>29844.57</v>
      </c>
      <c r="M1009" s="234" t="s">
        <v>630</v>
      </c>
      <c r="N1009" s="234">
        <v>82095</v>
      </c>
      <c r="O1009" s="128">
        <f t="shared" si="57"/>
        <v>0</v>
      </c>
      <c r="P1009" s="261"/>
      <c r="Q1009" s="234" t="s">
        <v>2220</v>
      </c>
      <c r="R1009" s="220" t="s">
        <v>1888</v>
      </c>
      <c r="S1009" s="220" t="s">
        <v>1861</v>
      </c>
      <c r="T1009" s="234" t="s">
        <v>1945</v>
      </c>
      <c r="U1009" t="s">
        <v>1972</v>
      </c>
      <c r="V1009" t="s">
        <v>2832</v>
      </c>
    </row>
    <row r="1010" spans="1:22" ht="15.75" thickBot="1" x14ac:dyDescent="0.3">
      <c r="A1010" s="234" t="s">
        <v>1934</v>
      </c>
      <c r="B1010" s="234" t="s">
        <v>1934</v>
      </c>
      <c r="C1010" s="234" t="s">
        <v>1934</v>
      </c>
      <c r="D1010" s="249" t="s">
        <v>1939</v>
      </c>
      <c r="E1010" s="267" t="s">
        <v>2250</v>
      </c>
      <c r="F1010" s="234" t="s">
        <v>620</v>
      </c>
      <c r="G1010" s="261">
        <v>2014</v>
      </c>
      <c r="H1010" s="342" t="s">
        <v>733</v>
      </c>
      <c r="I1010" s="337" t="str">
        <f t="shared" si="56"/>
        <v>Pesado de Mercadorias N3: Geral : Gasóleo : E6</v>
      </c>
      <c r="J1010" s="234"/>
      <c r="K1010" s="260">
        <v>2022</v>
      </c>
      <c r="L1010" s="234">
        <v>33088.959999999999</v>
      </c>
      <c r="M1010" s="234" t="s">
        <v>630</v>
      </c>
      <c r="N1010" s="234">
        <v>88230</v>
      </c>
      <c r="O1010" s="128">
        <f t="shared" si="57"/>
        <v>0</v>
      </c>
      <c r="P1010" s="261"/>
      <c r="Q1010" s="234" t="s">
        <v>2220</v>
      </c>
      <c r="R1010" s="220" t="s">
        <v>1888</v>
      </c>
      <c r="S1010" s="220" t="s">
        <v>1861</v>
      </c>
      <c r="T1010" s="234" t="s">
        <v>1945</v>
      </c>
      <c r="U1010" t="s">
        <v>1972</v>
      </c>
      <c r="V1010" t="s">
        <v>2832</v>
      </c>
    </row>
    <row r="1011" spans="1:22" ht="15.75" thickBot="1" x14ac:dyDescent="0.3">
      <c r="A1011" s="234" t="s">
        <v>1934</v>
      </c>
      <c r="B1011" s="234" t="s">
        <v>1934</v>
      </c>
      <c r="C1011" s="234" t="s">
        <v>1934</v>
      </c>
      <c r="D1011" s="249" t="s">
        <v>1939</v>
      </c>
      <c r="E1011" s="267" t="s">
        <v>2250</v>
      </c>
      <c r="F1011" s="234" t="s">
        <v>620</v>
      </c>
      <c r="G1011" s="261">
        <v>2014</v>
      </c>
      <c r="H1011" s="342" t="s">
        <v>733</v>
      </c>
      <c r="I1011" s="337" t="str">
        <f t="shared" si="56"/>
        <v>Pesado de Mercadorias N3: Geral : Gasóleo : E6</v>
      </c>
      <c r="J1011" s="234"/>
      <c r="K1011" s="260">
        <v>2022</v>
      </c>
      <c r="L1011" s="234">
        <v>49719.1</v>
      </c>
      <c r="M1011" s="234" t="s">
        <v>630</v>
      </c>
      <c r="N1011" s="234">
        <v>142605</v>
      </c>
      <c r="O1011" s="128">
        <f t="shared" si="57"/>
        <v>0</v>
      </c>
      <c r="P1011" s="261"/>
      <c r="Q1011" s="234" t="s">
        <v>2220</v>
      </c>
      <c r="R1011" s="220" t="s">
        <v>1888</v>
      </c>
      <c r="S1011" s="220" t="s">
        <v>1861</v>
      </c>
      <c r="T1011" s="234" t="s">
        <v>1945</v>
      </c>
      <c r="U1011" t="s">
        <v>1972</v>
      </c>
      <c r="V1011" t="s">
        <v>2832</v>
      </c>
    </row>
    <row r="1012" spans="1:22" ht="15.75" thickBot="1" x14ac:dyDescent="0.3">
      <c r="A1012" s="234" t="s">
        <v>1934</v>
      </c>
      <c r="B1012" s="234" t="s">
        <v>1934</v>
      </c>
      <c r="C1012" s="234" t="s">
        <v>1934</v>
      </c>
      <c r="D1012" s="249" t="s">
        <v>1939</v>
      </c>
      <c r="E1012" s="267" t="s">
        <v>2250</v>
      </c>
      <c r="F1012" s="234" t="s">
        <v>620</v>
      </c>
      <c r="G1012" s="261">
        <v>2014</v>
      </c>
      <c r="H1012" s="342" t="s">
        <v>733</v>
      </c>
      <c r="I1012" s="337" t="str">
        <f t="shared" si="56"/>
        <v>Pesado de Mercadorias N3: Geral : Gasóleo : E6</v>
      </c>
      <c r="J1012" s="234"/>
      <c r="K1012" s="260">
        <v>2022</v>
      </c>
      <c r="L1012" s="234">
        <v>13751.94</v>
      </c>
      <c r="M1012" s="234" t="s">
        <v>630</v>
      </c>
      <c r="N1012" s="234">
        <v>32952</v>
      </c>
      <c r="O1012" s="128">
        <f t="shared" si="57"/>
        <v>0</v>
      </c>
      <c r="P1012" s="261"/>
      <c r="Q1012" s="234" t="s">
        <v>2220</v>
      </c>
      <c r="R1012" s="220" t="s">
        <v>1888</v>
      </c>
      <c r="S1012" s="220" t="s">
        <v>1861</v>
      </c>
      <c r="T1012" s="234" t="s">
        <v>1945</v>
      </c>
      <c r="U1012" t="s">
        <v>1972</v>
      </c>
      <c r="V1012" t="s">
        <v>2832</v>
      </c>
    </row>
    <row r="1013" spans="1:22" ht="15.75" thickBot="1" x14ac:dyDescent="0.3">
      <c r="A1013" s="234" t="s">
        <v>1934</v>
      </c>
      <c r="B1013" s="234" t="s">
        <v>1934</v>
      </c>
      <c r="C1013" s="234" t="s">
        <v>1934</v>
      </c>
      <c r="D1013" s="249" t="s">
        <v>1939</v>
      </c>
      <c r="E1013" s="267" t="s">
        <v>2250</v>
      </c>
      <c r="F1013" s="234" t="s">
        <v>620</v>
      </c>
      <c r="G1013" s="261">
        <v>2014</v>
      </c>
      <c r="H1013" s="342" t="s">
        <v>733</v>
      </c>
      <c r="I1013" s="337" t="str">
        <f t="shared" si="56"/>
        <v>Pesado de Mercadorias N3: Geral : Gasóleo : E6</v>
      </c>
      <c r="J1013" s="234"/>
      <c r="K1013" s="260">
        <v>2022</v>
      </c>
      <c r="L1013" s="234">
        <v>25193.86</v>
      </c>
      <c r="M1013" s="234" t="s">
        <v>630</v>
      </c>
      <c r="N1013" s="234">
        <v>64439</v>
      </c>
      <c r="O1013" s="128">
        <f t="shared" si="57"/>
        <v>0</v>
      </c>
      <c r="P1013" s="261"/>
      <c r="Q1013" s="234" t="s">
        <v>2220</v>
      </c>
      <c r="R1013" s="220" t="s">
        <v>1888</v>
      </c>
      <c r="S1013" s="220" t="s">
        <v>1861</v>
      </c>
      <c r="T1013" s="234" t="s">
        <v>1945</v>
      </c>
      <c r="U1013" t="s">
        <v>1972</v>
      </c>
      <c r="V1013" t="s">
        <v>2832</v>
      </c>
    </row>
    <row r="1014" spans="1:22" ht="15.75" thickBot="1" x14ac:dyDescent="0.3">
      <c r="A1014" s="234" t="s">
        <v>1934</v>
      </c>
      <c r="B1014" s="234" t="s">
        <v>1934</v>
      </c>
      <c r="C1014" s="234" t="s">
        <v>1934</v>
      </c>
      <c r="D1014" s="249" t="s">
        <v>1939</v>
      </c>
      <c r="E1014" s="267" t="s">
        <v>2250</v>
      </c>
      <c r="F1014" s="234" t="s">
        <v>620</v>
      </c>
      <c r="G1014" s="261">
        <v>2014</v>
      </c>
      <c r="H1014" s="342" t="s">
        <v>733</v>
      </c>
      <c r="I1014" s="337" t="str">
        <f t="shared" si="56"/>
        <v>Pesado de Mercadorias N3: Geral : Gasóleo : E6</v>
      </c>
      <c r="J1014" s="234"/>
      <c r="K1014" s="260">
        <v>2022</v>
      </c>
      <c r="L1014" s="234">
        <v>29751.17</v>
      </c>
      <c r="M1014" s="234" t="s">
        <v>630</v>
      </c>
      <c r="N1014" s="234">
        <v>80398</v>
      </c>
      <c r="O1014" s="128">
        <f t="shared" si="57"/>
        <v>0</v>
      </c>
      <c r="P1014" s="261"/>
      <c r="Q1014" s="234" t="s">
        <v>2220</v>
      </c>
      <c r="R1014" s="220" t="s">
        <v>1888</v>
      </c>
      <c r="S1014" s="220" t="s">
        <v>1861</v>
      </c>
      <c r="T1014" s="234" t="s">
        <v>1945</v>
      </c>
      <c r="U1014" t="s">
        <v>1972</v>
      </c>
      <c r="V1014" t="s">
        <v>2832</v>
      </c>
    </row>
    <row r="1015" spans="1:22" ht="15.75" thickBot="1" x14ac:dyDescent="0.3">
      <c r="A1015" s="234" t="s">
        <v>1934</v>
      </c>
      <c r="B1015" s="234" t="s">
        <v>1934</v>
      </c>
      <c r="C1015" s="234" t="s">
        <v>1934</v>
      </c>
      <c r="D1015" s="249" t="s">
        <v>1939</v>
      </c>
      <c r="E1015" s="267" t="s">
        <v>2250</v>
      </c>
      <c r="F1015" s="234" t="s">
        <v>620</v>
      </c>
      <c r="G1015" s="261">
        <v>2014</v>
      </c>
      <c r="H1015" s="342" t="s">
        <v>733</v>
      </c>
      <c r="I1015" s="337" t="str">
        <f t="shared" si="56"/>
        <v>Pesado de Mercadorias N3: Geral : Gasóleo : E6</v>
      </c>
      <c r="J1015" s="234"/>
      <c r="K1015" s="260">
        <v>2022</v>
      </c>
      <c r="L1015" s="234">
        <v>28625.51</v>
      </c>
      <c r="M1015" s="234" t="s">
        <v>630</v>
      </c>
      <c r="N1015" s="234">
        <v>80648</v>
      </c>
      <c r="O1015" s="128">
        <f t="shared" si="57"/>
        <v>0</v>
      </c>
      <c r="P1015" s="261"/>
      <c r="Q1015" s="234" t="s">
        <v>2220</v>
      </c>
      <c r="R1015" s="220" t="s">
        <v>1888</v>
      </c>
      <c r="S1015" s="220" t="s">
        <v>1861</v>
      </c>
      <c r="T1015" s="234" t="s">
        <v>1945</v>
      </c>
      <c r="U1015" t="s">
        <v>1972</v>
      </c>
      <c r="V1015" t="s">
        <v>2832</v>
      </c>
    </row>
    <row r="1016" spans="1:22" ht="15.75" thickBot="1" x14ac:dyDescent="0.3">
      <c r="A1016" s="234" t="s">
        <v>1934</v>
      </c>
      <c r="B1016" s="234" t="s">
        <v>1934</v>
      </c>
      <c r="C1016" s="234" t="s">
        <v>1934</v>
      </c>
      <c r="D1016" s="249" t="s">
        <v>1939</v>
      </c>
      <c r="E1016" s="267" t="s">
        <v>2250</v>
      </c>
      <c r="F1016" s="234" t="s">
        <v>620</v>
      </c>
      <c r="G1016" s="261">
        <v>2014</v>
      </c>
      <c r="H1016" s="342" t="s">
        <v>733</v>
      </c>
      <c r="I1016" s="337" t="str">
        <f t="shared" si="56"/>
        <v>Pesado de Mercadorias N3: Geral : Gasóleo : E6</v>
      </c>
      <c r="J1016" s="234"/>
      <c r="K1016" s="260">
        <v>2022</v>
      </c>
      <c r="L1016" s="234">
        <v>17353.830000000002</v>
      </c>
      <c r="M1016" s="234" t="s">
        <v>630</v>
      </c>
      <c r="N1016" s="234">
        <v>46344</v>
      </c>
      <c r="O1016" s="128">
        <f t="shared" si="57"/>
        <v>0</v>
      </c>
      <c r="P1016" s="261"/>
      <c r="Q1016" s="234" t="s">
        <v>2220</v>
      </c>
      <c r="R1016" s="220" t="s">
        <v>1888</v>
      </c>
      <c r="S1016" s="220" t="s">
        <v>1861</v>
      </c>
      <c r="T1016" s="234" t="s">
        <v>1945</v>
      </c>
      <c r="U1016" t="s">
        <v>1972</v>
      </c>
      <c r="V1016" t="s">
        <v>2832</v>
      </c>
    </row>
    <row r="1017" spans="1:22" ht="15.75" thickBot="1" x14ac:dyDescent="0.3">
      <c r="A1017" s="234" t="s">
        <v>1934</v>
      </c>
      <c r="B1017" s="234" t="s">
        <v>1934</v>
      </c>
      <c r="C1017" s="234" t="s">
        <v>1934</v>
      </c>
      <c r="D1017" s="249" t="s">
        <v>1939</v>
      </c>
      <c r="E1017" s="267" t="s">
        <v>2250</v>
      </c>
      <c r="F1017" s="234" t="s">
        <v>620</v>
      </c>
      <c r="G1017" s="261">
        <v>2014</v>
      </c>
      <c r="H1017" s="342" t="s">
        <v>733</v>
      </c>
      <c r="I1017" s="337" t="str">
        <f t="shared" si="56"/>
        <v>Pesado de Mercadorias N3: Geral : Gasóleo : E6</v>
      </c>
      <c r="J1017" s="234"/>
      <c r="K1017" s="260">
        <v>2022</v>
      </c>
      <c r="L1017" s="234">
        <v>40430.65</v>
      </c>
      <c r="M1017" s="234" t="s">
        <v>630</v>
      </c>
      <c r="N1017" s="234">
        <v>104875</v>
      </c>
      <c r="O1017" s="128">
        <f t="shared" si="57"/>
        <v>0</v>
      </c>
      <c r="P1017" s="261"/>
      <c r="Q1017" s="234" t="s">
        <v>2220</v>
      </c>
      <c r="R1017" s="220" t="s">
        <v>1888</v>
      </c>
      <c r="S1017" s="220" t="s">
        <v>1861</v>
      </c>
      <c r="T1017" s="234" t="s">
        <v>1945</v>
      </c>
      <c r="U1017" t="s">
        <v>1972</v>
      </c>
      <c r="V1017" t="s">
        <v>2832</v>
      </c>
    </row>
    <row r="1018" spans="1:22" ht="15.75" thickBot="1" x14ac:dyDescent="0.3">
      <c r="A1018" s="234" t="s">
        <v>1934</v>
      </c>
      <c r="B1018" s="234" t="s">
        <v>1934</v>
      </c>
      <c r="C1018" s="234" t="s">
        <v>1934</v>
      </c>
      <c r="D1018" s="249" t="s">
        <v>1939</v>
      </c>
      <c r="E1018" s="267" t="s">
        <v>2250</v>
      </c>
      <c r="F1018" s="234" t="s">
        <v>620</v>
      </c>
      <c r="G1018" s="261">
        <v>2014</v>
      </c>
      <c r="H1018" s="342" t="s">
        <v>734</v>
      </c>
      <c r="I1018" s="337" t="str">
        <f t="shared" si="56"/>
        <v>Pesado de Mercadorias N3: Geral : Gasóleo : E5</v>
      </c>
      <c r="J1018" s="234"/>
      <c r="K1018" s="260">
        <v>2022</v>
      </c>
      <c r="L1018" s="234">
        <v>15228.12</v>
      </c>
      <c r="M1018" s="234" t="s">
        <v>630</v>
      </c>
      <c r="N1018" s="234">
        <v>53713</v>
      </c>
      <c r="O1018" s="128">
        <f t="shared" si="57"/>
        <v>0</v>
      </c>
      <c r="P1018" s="261"/>
      <c r="Q1018" s="234" t="s">
        <v>2220</v>
      </c>
      <c r="R1018" s="220" t="s">
        <v>1888</v>
      </c>
      <c r="S1018" s="220" t="s">
        <v>1861</v>
      </c>
      <c r="T1018" s="234" t="s">
        <v>1945</v>
      </c>
      <c r="U1018" t="s">
        <v>1972</v>
      </c>
      <c r="V1018" t="s">
        <v>2832</v>
      </c>
    </row>
    <row r="1019" spans="1:22" ht="15.75" thickBot="1" x14ac:dyDescent="0.3">
      <c r="A1019" s="234" t="s">
        <v>1934</v>
      </c>
      <c r="B1019" s="234" t="s">
        <v>1934</v>
      </c>
      <c r="C1019" s="234" t="s">
        <v>1934</v>
      </c>
      <c r="D1019" s="249" t="s">
        <v>1939</v>
      </c>
      <c r="E1019" s="267" t="s">
        <v>2250</v>
      </c>
      <c r="F1019" s="234" t="s">
        <v>620</v>
      </c>
      <c r="G1019" s="261">
        <v>2015</v>
      </c>
      <c r="H1019" s="342" t="s">
        <v>734</v>
      </c>
      <c r="I1019" s="337" t="str">
        <f t="shared" si="56"/>
        <v>Pesado de Mercadorias N3: Geral : Gasóleo : E5</v>
      </c>
      <c r="J1019" s="234"/>
      <c r="K1019" s="260">
        <v>2022</v>
      </c>
      <c r="L1019" s="234">
        <v>32229.16</v>
      </c>
      <c r="M1019" s="234" t="s">
        <v>630</v>
      </c>
      <c r="N1019" s="234">
        <v>78161</v>
      </c>
      <c r="O1019" s="128">
        <f t="shared" si="57"/>
        <v>0</v>
      </c>
      <c r="P1019" s="261"/>
      <c r="Q1019" s="234" t="s">
        <v>2220</v>
      </c>
      <c r="R1019" s="220" t="s">
        <v>1888</v>
      </c>
      <c r="S1019" s="220" t="s">
        <v>1861</v>
      </c>
      <c r="T1019" s="234" t="s">
        <v>1945</v>
      </c>
      <c r="U1019" t="s">
        <v>1972</v>
      </c>
      <c r="V1019" t="s">
        <v>2832</v>
      </c>
    </row>
    <row r="1020" spans="1:22" ht="15.75" thickBot="1" x14ac:dyDescent="0.3">
      <c r="A1020" s="234" t="s">
        <v>1934</v>
      </c>
      <c r="B1020" s="234" t="s">
        <v>1934</v>
      </c>
      <c r="C1020" s="234" t="s">
        <v>1934</v>
      </c>
      <c r="D1020" s="249" t="s">
        <v>1939</v>
      </c>
      <c r="E1020" s="267" t="s">
        <v>2250</v>
      </c>
      <c r="F1020" s="234" t="s">
        <v>620</v>
      </c>
      <c r="G1020" s="261">
        <v>2015</v>
      </c>
      <c r="H1020" s="342" t="s">
        <v>734</v>
      </c>
      <c r="I1020" s="337" t="str">
        <f t="shared" si="56"/>
        <v>Pesado de Mercadorias N3: Geral : Gasóleo : E5</v>
      </c>
      <c r="J1020" s="234"/>
      <c r="K1020" s="260">
        <v>2022</v>
      </c>
      <c r="L1020" s="234">
        <v>15257.91</v>
      </c>
      <c r="M1020" s="234" t="s">
        <v>630</v>
      </c>
      <c r="N1020" s="234">
        <v>40423</v>
      </c>
      <c r="O1020" s="128">
        <f t="shared" si="57"/>
        <v>0</v>
      </c>
      <c r="P1020" s="261"/>
      <c r="Q1020" s="234" t="s">
        <v>2220</v>
      </c>
      <c r="R1020" s="220" t="s">
        <v>1888</v>
      </c>
      <c r="S1020" s="220" t="s">
        <v>1861</v>
      </c>
      <c r="T1020" s="234" t="s">
        <v>1945</v>
      </c>
      <c r="U1020" t="s">
        <v>1972</v>
      </c>
      <c r="V1020" t="s">
        <v>2832</v>
      </c>
    </row>
    <row r="1021" spans="1:22" ht="15.75" thickBot="1" x14ac:dyDescent="0.3">
      <c r="A1021" s="234" t="s">
        <v>1934</v>
      </c>
      <c r="B1021" s="234" t="s">
        <v>1934</v>
      </c>
      <c r="C1021" s="234" t="s">
        <v>1934</v>
      </c>
      <c r="D1021" s="249" t="s">
        <v>1939</v>
      </c>
      <c r="E1021" s="267" t="s">
        <v>2250</v>
      </c>
      <c r="F1021" s="234" t="s">
        <v>620</v>
      </c>
      <c r="G1021" s="261">
        <v>2015</v>
      </c>
      <c r="H1021" s="342" t="s">
        <v>734</v>
      </c>
      <c r="I1021" s="337" t="str">
        <f t="shared" si="56"/>
        <v>Pesado de Mercadorias N3: Geral : Gasóleo : E5</v>
      </c>
      <c r="J1021" s="234"/>
      <c r="K1021" s="260">
        <v>2022</v>
      </c>
      <c r="L1021" s="234">
        <v>23821.97</v>
      </c>
      <c r="M1021" s="234" t="s">
        <v>630</v>
      </c>
      <c r="N1021" s="234">
        <v>61976</v>
      </c>
      <c r="O1021" s="128">
        <f t="shared" si="57"/>
        <v>0</v>
      </c>
      <c r="P1021" s="261"/>
      <c r="Q1021" s="234" t="s">
        <v>2220</v>
      </c>
      <c r="R1021" s="220" t="s">
        <v>1888</v>
      </c>
      <c r="S1021" s="220" t="s">
        <v>1861</v>
      </c>
      <c r="T1021" s="234" t="s">
        <v>1945</v>
      </c>
      <c r="U1021" t="s">
        <v>1972</v>
      </c>
      <c r="V1021" t="s">
        <v>2832</v>
      </c>
    </row>
    <row r="1022" spans="1:22" ht="15.75" thickBot="1" x14ac:dyDescent="0.3">
      <c r="A1022" s="234" t="s">
        <v>1934</v>
      </c>
      <c r="B1022" s="234" t="s">
        <v>1934</v>
      </c>
      <c r="C1022" s="234" t="s">
        <v>1934</v>
      </c>
      <c r="D1022" s="249" t="s">
        <v>1939</v>
      </c>
      <c r="E1022" s="267" t="s">
        <v>2250</v>
      </c>
      <c r="F1022" s="234" t="s">
        <v>620</v>
      </c>
      <c r="G1022" s="261">
        <v>2015</v>
      </c>
      <c r="H1022" s="342" t="s">
        <v>734</v>
      </c>
      <c r="I1022" s="337" t="str">
        <f t="shared" si="56"/>
        <v>Pesado de Mercadorias N3: Geral : Gasóleo : E5</v>
      </c>
      <c r="J1022" s="234"/>
      <c r="K1022" s="260">
        <v>2022</v>
      </c>
      <c r="L1022" s="234">
        <v>10774.02</v>
      </c>
      <c r="M1022" s="234" t="s">
        <v>630</v>
      </c>
      <c r="N1022" s="234">
        <v>26525</v>
      </c>
      <c r="O1022" s="128">
        <f t="shared" si="57"/>
        <v>0</v>
      </c>
      <c r="P1022" s="261"/>
      <c r="Q1022" s="234" t="s">
        <v>2220</v>
      </c>
      <c r="R1022" s="220" t="s">
        <v>1888</v>
      </c>
      <c r="S1022" s="220" t="s">
        <v>1861</v>
      </c>
      <c r="T1022" s="234" t="s">
        <v>1945</v>
      </c>
      <c r="U1022" t="s">
        <v>1972</v>
      </c>
      <c r="V1022" t="s">
        <v>2832</v>
      </c>
    </row>
    <row r="1023" spans="1:22" ht="15.75" thickBot="1" x14ac:dyDescent="0.3">
      <c r="A1023" s="234" t="s">
        <v>1934</v>
      </c>
      <c r="B1023" s="234" t="s">
        <v>1934</v>
      </c>
      <c r="C1023" s="234" t="s">
        <v>1934</v>
      </c>
      <c r="D1023" s="249" t="s">
        <v>1939</v>
      </c>
      <c r="E1023" s="267" t="s">
        <v>2250</v>
      </c>
      <c r="F1023" s="234" t="s">
        <v>620</v>
      </c>
      <c r="G1023" s="261">
        <v>2015</v>
      </c>
      <c r="H1023" s="342" t="s">
        <v>734</v>
      </c>
      <c r="I1023" s="337" t="str">
        <f t="shared" si="56"/>
        <v>Pesado de Mercadorias N3: Geral : Gasóleo : E5</v>
      </c>
      <c r="J1023" s="234"/>
      <c r="K1023" s="260">
        <v>2022</v>
      </c>
      <c r="L1023" s="234">
        <v>22037.37</v>
      </c>
      <c r="M1023" s="234" t="s">
        <v>630</v>
      </c>
      <c r="N1023" s="234">
        <v>56681</v>
      </c>
      <c r="O1023" s="128">
        <f t="shared" si="57"/>
        <v>0</v>
      </c>
      <c r="P1023" s="261"/>
      <c r="Q1023" s="234" t="s">
        <v>2220</v>
      </c>
      <c r="R1023" s="220" t="s">
        <v>1888</v>
      </c>
      <c r="S1023" s="220" t="s">
        <v>1861</v>
      </c>
      <c r="T1023" s="234" t="s">
        <v>1945</v>
      </c>
      <c r="U1023" t="s">
        <v>1972</v>
      </c>
      <c r="V1023" t="s">
        <v>2832</v>
      </c>
    </row>
    <row r="1024" spans="1:22" ht="15.75" thickBot="1" x14ac:dyDescent="0.3">
      <c r="A1024" s="234" t="s">
        <v>1934</v>
      </c>
      <c r="B1024" s="234" t="s">
        <v>1934</v>
      </c>
      <c r="C1024" s="234" t="s">
        <v>1934</v>
      </c>
      <c r="D1024" s="249" t="s">
        <v>1939</v>
      </c>
      <c r="E1024" s="267" t="s">
        <v>2250</v>
      </c>
      <c r="F1024" s="234" t="s">
        <v>620</v>
      </c>
      <c r="G1024" s="261">
        <v>2015</v>
      </c>
      <c r="H1024" s="342" t="s">
        <v>733</v>
      </c>
      <c r="I1024" s="337" t="str">
        <f t="shared" si="56"/>
        <v>Pesado de Mercadorias N3: Geral : Gasóleo : E6</v>
      </c>
      <c r="J1024" s="234"/>
      <c r="K1024" s="260">
        <v>2022</v>
      </c>
      <c r="L1024" s="234">
        <v>27136.38</v>
      </c>
      <c r="M1024" s="234" t="s">
        <v>630</v>
      </c>
      <c r="N1024" s="234">
        <v>84442</v>
      </c>
      <c r="O1024" s="128">
        <f t="shared" si="57"/>
        <v>0</v>
      </c>
      <c r="P1024" s="261"/>
      <c r="Q1024" s="234" t="s">
        <v>2220</v>
      </c>
      <c r="R1024" s="220" t="s">
        <v>1888</v>
      </c>
      <c r="S1024" s="220" t="s">
        <v>1861</v>
      </c>
      <c r="T1024" s="234" t="s">
        <v>1945</v>
      </c>
      <c r="U1024" t="s">
        <v>1972</v>
      </c>
      <c r="V1024" t="s">
        <v>2832</v>
      </c>
    </row>
    <row r="1025" spans="1:22" ht="15.75" thickBot="1" x14ac:dyDescent="0.3">
      <c r="A1025" s="234" t="s">
        <v>1934</v>
      </c>
      <c r="B1025" s="234" t="s">
        <v>1934</v>
      </c>
      <c r="C1025" s="234" t="s">
        <v>1934</v>
      </c>
      <c r="D1025" s="249" t="s">
        <v>1939</v>
      </c>
      <c r="E1025" s="267" t="s">
        <v>2250</v>
      </c>
      <c r="F1025" s="234" t="s">
        <v>620</v>
      </c>
      <c r="G1025" s="261">
        <v>2015</v>
      </c>
      <c r="H1025" s="342" t="s">
        <v>733</v>
      </c>
      <c r="I1025" s="337" t="str">
        <f t="shared" si="56"/>
        <v>Pesado de Mercadorias N3: Geral : Gasóleo : E6</v>
      </c>
      <c r="J1025" s="234"/>
      <c r="K1025" s="260">
        <v>2022</v>
      </c>
      <c r="L1025" s="234">
        <v>16062.84</v>
      </c>
      <c r="M1025" s="234" t="s">
        <v>630</v>
      </c>
      <c r="N1025" s="234">
        <v>39053</v>
      </c>
      <c r="O1025" s="128">
        <f t="shared" si="57"/>
        <v>0</v>
      </c>
      <c r="P1025" s="261"/>
      <c r="Q1025" s="234" t="s">
        <v>2220</v>
      </c>
      <c r="R1025" s="220" t="s">
        <v>1888</v>
      </c>
      <c r="S1025" s="220" t="s">
        <v>1861</v>
      </c>
      <c r="T1025" s="234" t="s">
        <v>1945</v>
      </c>
      <c r="U1025" t="s">
        <v>1972</v>
      </c>
      <c r="V1025" t="s">
        <v>2832</v>
      </c>
    </row>
    <row r="1026" spans="1:22" ht="15.75" thickBot="1" x14ac:dyDescent="0.3">
      <c r="A1026" s="234" t="s">
        <v>1934</v>
      </c>
      <c r="B1026" s="234" t="s">
        <v>1934</v>
      </c>
      <c r="C1026" s="234" t="s">
        <v>1934</v>
      </c>
      <c r="D1026" s="249" t="s">
        <v>1939</v>
      </c>
      <c r="E1026" s="267" t="s">
        <v>2250</v>
      </c>
      <c r="F1026" s="234" t="s">
        <v>620</v>
      </c>
      <c r="G1026" s="261">
        <v>2015</v>
      </c>
      <c r="H1026" s="342" t="s">
        <v>733</v>
      </c>
      <c r="I1026" s="337" t="str">
        <f t="shared" si="56"/>
        <v>Pesado de Mercadorias N3: Geral : Gasóleo : E6</v>
      </c>
      <c r="J1026" s="234"/>
      <c r="K1026" s="260">
        <v>2022</v>
      </c>
      <c r="L1026" s="234">
        <v>24554.43</v>
      </c>
      <c r="M1026" s="234" t="s">
        <v>630</v>
      </c>
      <c r="N1026" s="234">
        <v>62522</v>
      </c>
      <c r="O1026" s="128">
        <f t="shared" si="57"/>
        <v>0</v>
      </c>
      <c r="P1026" s="261"/>
      <c r="Q1026" s="234" t="s">
        <v>2220</v>
      </c>
      <c r="R1026" s="220" t="s">
        <v>1888</v>
      </c>
      <c r="S1026" s="220" t="s">
        <v>1861</v>
      </c>
      <c r="T1026" s="234" t="s">
        <v>1945</v>
      </c>
      <c r="U1026" t="s">
        <v>1972</v>
      </c>
      <c r="V1026" t="s">
        <v>2832</v>
      </c>
    </row>
    <row r="1027" spans="1:22" ht="15.75" thickBot="1" x14ac:dyDescent="0.3">
      <c r="A1027" s="234" t="s">
        <v>1934</v>
      </c>
      <c r="B1027" s="234" t="s">
        <v>1934</v>
      </c>
      <c r="C1027" s="234" t="s">
        <v>1934</v>
      </c>
      <c r="D1027" s="249" t="s">
        <v>1939</v>
      </c>
      <c r="E1027" s="267" t="s">
        <v>2250</v>
      </c>
      <c r="F1027" s="234" t="s">
        <v>620</v>
      </c>
      <c r="G1027" s="261">
        <v>2015</v>
      </c>
      <c r="H1027" s="342" t="s">
        <v>733</v>
      </c>
      <c r="I1027" s="337" t="str">
        <f t="shared" si="56"/>
        <v>Pesado de Mercadorias N3: Geral : Gasóleo : E6</v>
      </c>
      <c r="J1027" s="234"/>
      <c r="K1027" s="260">
        <v>2022</v>
      </c>
      <c r="L1027" s="234">
        <v>36558.519999999997</v>
      </c>
      <c r="M1027" s="234" t="s">
        <v>630</v>
      </c>
      <c r="N1027" s="234">
        <v>93022</v>
      </c>
      <c r="O1027" s="128">
        <f t="shared" si="57"/>
        <v>0</v>
      </c>
      <c r="P1027" s="261"/>
      <c r="Q1027" s="234" t="s">
        <v>2220</v>
      </c>
      <c r="R1027" s="220" t="s">
        <v>1888</v>
      </c>
      <c r="S1027" s="220" t="s">
        <v>1861</v>
      </c>
      <c r="T1027" s="234" t="s">
        <v>1945</v>
      </c>
      <c r="U1027" t="s">
        <v>1972</v>
      </c>
      <c r="V1027" t="s">
        <v>2832</v>
      </c>
    </row>
    <row r="1028" spans="1:22" ht="15.75" thickBot="1" x14ac:dyDescent="0.3">
      <c r="A1028" s="234" t="s">
        <v>1934</v>
      </c>
      <c r="B1028" s="234" t="s">
        <v>1934</v>
      </c>
      <c r="C1028" s="234" t="s">
        <v>1934</v>
      </c>
      <c r="D1028" s="249" t="s">
        <v>1939</v>
      </c>
      <c r="E1028" s="267" t="s">
        <v>2250</v>
      </c>
      <c r="F1028" s="234" t="s">
        <v>620</v>
      </c>
      <c r="G1028" s="261">
        <v>2015</v>
      </c>
      <c r="H1028" s="342" t="s">
        <v>733</v>
      </c>
      <c r="I1028" s="337" t="str">
        <f t="shared" ref="I1028:I1091" si="58">D1028&amp;": "&amp;E1028&amp;" : "&amp;F1028&amp;" : "&amp;H1028</f>
        <v>Pesado de Mercadorias N3: Geral : Gasóleo : E6</v>
      </c>
      <c r="J1028" s="234"/>
      <c r="K1028" s="260">
        <v>2022</v>
      </c>
      <c r="L1028" s="234">
        <v>43701.99</v>
      </c>
      <c r="M1028" s="234" t="s">
        <v>630</v>
      </c>
      <c r="N1028" s="234">
        <v>117726</v>
      </c>
      <c r="O1028" s="128">
        <f t="shared" ref="O1028:O1091" si="59">N1028*J1028</f>
        <v>0</v>
      </c>
      <c r="P1028" s="261"/>
      <c r="Q1028" s="234" t="s">
        <v>2220</v>
      </c>
      <c r="R1028" s="220" t="s">
        <v>1888</v>
      </c>
      <c r="S1028" s="220" t="s">
        <v>1861</v>
      </c>
      <c r="T1028" s="234" t="s">
        <v>1945</v>
      </c>
      <c r="U1028" t="s">
        <v>1972</v>
      </c>
      <c r="V1028" t="s">
        <v>2832</v>
      </c>
    </row>
    <row r="1029" spans="1:22" ht="15.75" thickBot="1" x14ac:dyDescent="0.3">
      <c r="A1029" s="234" t="s">
        <v>1934</v>
      </c>
      <c r="B1029" s="234" t="s">
        <v>1934</v>
      </c>
      <c r="C1029" s="234" t="s">
        <v>1934</v>
      </c>
      <c r="D1029" s="249" t="s">
        <v>1939</v>
      </c>
      <c r="E1029" s="267" t="s">
        <v>2250</v>
      </c>
      <c r="F1029" s="234" t="s">
        <v>620</v>
      </c>
      <c r="G1029" s="261">
        <v>2015</v>
      </c>
      <c r="H1029" s="342" t="s">
        <v>733</v>
      </c>
      <c r="I1029" s="337" t="str">
        <f t="shared" si="58"/>
        <v>Pesado de Mercadorias N3: Geral : Gasóleo : E6</v>
      </c>
      <c r="J1029" s="234"/>
      <c r="K1029" s="260">
        <v>2022</v>
      </c>
      <c r="L1029" s="234">
        <v>31647.16</v>
      </c>
      <c r="M1029" s="234" t="s">
        <v>630</v>
      </c>
      <c r="N1029" s="234">
        <v>84479</v>
      </c>
      <c r="O1029" s="128">
        <f t="shared" si="59"/>
        <v>0</v>
      </c>
      <c r="P1029" s="261"/>
      <c r="Q1029" s="234" t="s">
        <v>2220</v>
      </c>
      <c r="R1029" s="220" t="s">
        <v>1888</v>
      </c>
      <c r="S1029" s="220" t="s">
        <v>1861</v>
      </c>
      <c r="T1029" s="234" t="s">
        <v>1945</v>
      </c>
      <c r="U1029" t="s">
        <v>1972</v>
      </c>
      <c r="V1029" t="s">
        <v>2832</v>
      </c>
    </row>
    <row r="1030" spans="1:22" ht="15.75" thickBot="1" x14ac:dyDescent="0.3">
      <c r="A1030" s="234" t="s">
        <v>1934</v>
      </c>
      <c r="B1030" s="234" t="s">
        <v>1934</v>
      </c>
      <c r="C1030" s="234" t="s">
        <v>1934</v>
      </c>
      <c r="D1030" s="249" t="s">
        <v>1939</v>
      </c>
      <c r="E1030" s="267" t="s">
        <v>2250</v>
      </c>
      <c r="F1030" s="234" t="s">
        <v>620</v>
      </c>
      <c r="G1030" s="261">
        <v>2015</v>
      </c>
      <c r="H1030" s="342" t="s">
        <v>733</v>
      </c>
      <c r="I1030" s="337" t="str">
        <f t="shared" si="58"/>
        <v>Pesado de Mercadorias N3: Geral : Gasóleo : E6</v>
      </c>
      <c r="J1030" s="234"/>
      <c r="K1030" s="260">
        <v>2022</v>
      </c>
      <c r="L1030" s="234">
        <v>47851.81</v>
      </c>
      <c r="M1030" s="234" t="s">
        <v>630</v>
      </c>
      <c r="N1030" s="234">
        <v>130829</v>
      </c>
      <c r="O1030" s="128">
        <f t="shared" si="59"/>
        <v>0</v>
      </c>
      <c r="P1030" s="261"/>
      <c r="Q1030" s="234" t="s">
        <v>2220</v>
      </c>
      <c r="R1030" s="220" t="s">
        <v>1888</v>
      </c>
      <c r="S1030" s="220" t="s">
        <v>1861</v>
      </c>
      <c r="T1030" s="234" t="s">
        <v>1945</v>
      </c>
      <c r="U1030" t="s">
        <v>1972</v>
      </c>
      <c r="V1030" t="s">
        <v>2832</v>
      </c>
    </row>
    <row r="1031" spans="1:22" ht="15.75" thickBot="1" x14ac:dyDescent="0.3">
      <c r="A1031" s="234" t="s">
        <v>1934</v>
      </c>
      <c r="B1031" s="234" t="s">
        <v>1934</v>
      </c>
      <c r="C1031" s="234" t="s">
        <v>1934</v>
      </c>
      <c r="D1031" s="249" t="s">
        <v>1939</v>
      </c>
      <c r="E1031" s="267" t="s">
        <v>2250</v>
      </c>
      <c r="F1031" s="234" t="s">
        <v>620</v>
      </c>
      <c r="G1031" s="261">
        <v>2015</v>
      </c>
      <c r="H1031" s="342" t="s">
        <v>733</v>
      </c>
      <c r="I1031" s="337" t="str">
        <f t="shared" si="58"/>
        <v>Pesado de Mercadorias N3: Geral : Gasóleo : E6</v>
      </c>
      <c r="J1031" s="234"/>
      <c r="K1031" s="260">
        <v>2022</v>
      </c>
      <c r="L1031" s="234">
        <v>52142.21</v>
      </c>
      <c r="M1031" s="234" t="s">
        <v>630</v>
      </c>
      <c r="N1031" s="234">
        <v>143891</v>
      </c>
      <c r="O1031" s="128">
        <f t="shared" si="59"/>
        <v>0</v>
      </c>
      <c r="P1031" s="261"/>
      <c r="Q1031" s="234" t="s">
        <v>2220</v>
      </c>
      <c r="R1031" s="220" t="s">
        <v>1888</v>
      </c>
      <c r="S1031" s="220" t="s">
        <v>1861</v>
      </c>
      <c r="T1031" s="234" t="s">
        <v>1945</v>
      </c>
      <c r="U1031" t="s">
        <v>1972</v>
      </c>
      <c r="V1031" t="s">
        <v>2832</v>
      </c>
    </row>
    <row r="1032" spans="1:22" ht="15.75" thickBot="1" x14ac:dyDescent="0.3">
      <c r="A1032" s="234" t="s">
        <v>1934</v>
      </c>
      <c r="B1032" s="234" t="s">
        <v>1934</v>
      </c>
      <c r="C1032" s="234" t="s">
        <v>1934</v>
      </c>
      <c r="D1032" s="249" t="s">
        <v>1939</v>
      </c>
      <c r="E1032" s="267" t="s">
        <v>2250</v>
      </c>
      <c r="F1032" s="234" t="s">
        <v>620</v>
      </c>
      <c r="G1032" s="261">
        <v>2015</v>
      </c>
      <c r="H1032" s="342" t="s">
        <v>733</v>
      </c>
      <c r="I1032" s="337" t="str">
        <f t="shared" si="58"/>
        <v>Pesado de Mercadorias N3: Geral : Gasóleo : E6</v>
      </c>
      <c r="J1032" s="234"/>
      <c r="K1032" s="260">
        <v>2022</v>
      </c>
      <c r="L1032" s="234">
        <v>40549.47</v>
      </c>
      <c r="M1032" s="234" t="s">
        <v>630</v>
      </c>
      <c r="N1032" s="234">
        <v>115526</v>
      </c>
      <c r="O1032" s="128">
        <f t="shared" si="59"/>
        <v>0</v>
      </c>
      <c r="P1032" s="261"/>
      <c r="Q1032" s="234" t="s">
        <v>2220</v>
      </c>
      <c r="R1032" s="220" t="s">
        <v>1888</v>
      </c>
      <c r="S1032" s="220" t="s">
        <v>1861</v>
      </c>
      <c r="T1032" s="234" t="s">
        <v>1945</v>
      </c>
      <c r="U1032" t="s">
        <v>1972</v>
      </c>
      <c r="V1032" t="s">
        <v>2832</v>
      </c>
    </row>
    <row r="1033" spans="1:22" ht="15.75" thickBot="1" x14ac:dyDescent="0.3">
      <c r="A1033" s="234" t="s">
        <v>1934</v>
      </c>
      <c r="B1033" s="234" t="s">
        <v>1934</v>
      </c>
      <c r="C1033" s="234" t="s">
        <v>1934</v>
      </c>
      <c r="D1033" s="249" t="s">
        <v>1939</v>
      </c>
      <c r="E1033" s="267" t="s">
        <v>2250</v>
      </c>
      <c r="F1033" s="234" t="s">
        <v>620</v>
      </c>
      <c r="G1033" s="261">
        <v>2015</v>
      </c>
      <c r="H1033" s="342" t="s">
        <v>733</v>
      </c>
      <c r="I1033" s="337" t="str">
        <f t="shared" si="58"/>
        <v>Pesado de Mercadorias N3: Geral : Gasóleo : E6</v>
      </c>
      <c r="J1033" s="234"/>
      <c r="K1033" s="260">
        <v>2022</v>
      </c>
      <c r="L1033" s="234">
        <v>45318.63</v>
      </c>
      <c r="M1033" s="234" t="s">
        <v>630</v>
      </c>
      <c r="N1033" s="234">
        <v>125077</v>
      </c>
      <c r="O1033" s="128">
        <f t="shared" si="59"/>
        <v>0</v>
      </c>
      <c r="P1033" s="261"/>
      <c r="Q1033" s="234" t="s">
        <v>2220</v>
      </c>
      <c r="R1033" s="220" t="s">
        <v>1888</v>
      </c>
      <c r="S1033" s="220" t="s">
        <v>1861</v>
      </c>
      <c r="T1033" s="234" t="s">
        <v>1945</v>
      </c>
      <c r="U1033" t="s">
        <v>1972</v>
      </c>
      <c r="V1033" t="s">
        <v>2832</v>
      </c>
    </row>
    <row r="1034" spans="1:22" ht="15.75" thickBot="1" x14ac:dyDescent="0.3">
      <c r="A1034" s="234" t="s">
        <v>1934</v>
      </c>
      <c r="B1034" s="234" t="s">
        <v>1934</v>
      </c>
      <c r="C1034" s="234" t="s">
        <v>1934</v>
      </c>
      <c r="D1034" s="249" t="s">
        <v>1939</v>
      </c>
      <c r="E1034" s="267" t="s">
        <v>2250</v>
      </c>
      <c r="F1034" s="234" t="s">
        <v>620</v>
      </c>
      <c r="G1034" s="261">
        <v>2015</v>
      </c>
      <c r="H1034" s="342" t="s">
        <v>733</v>
      </c>
      <c r="I1034" s="337" t="str">
        <f t="shared" si="58"/>
        <v>Pesado de Mercadorias N3: Geral : Gasóleo : E6</v>
      </c>
      <c r="J1034" s="234"/>
      <c r="K1034" s="260">
        <v>2022</v>
      </c>
      <c r="L1034" s="234">
        <v>51270.17</v>
      </c>
      <c r="M1034" s="234" t="s">
        <v>630</v>
      </c>
      <c r="N1034" s="234">
        <v>146021</v>
      </c>
      <c r="O1034" s="128">
        <f t="shared" si="59"/>
        <v>0</v>
      </c>
      <c r="P1034" s="261"/>
      <c r="Q1034" s="234" t="s">
        <v>2220</v>
      </c>
      <c r="R1034" s="220" t="s">
        <v>1888</v>
      </c>
      <c r="S1034" s="220" t="s">
        <v>1861</v>
      </c>
      <c r="T1034" s="234" t="s">
        <v>1945</v>
      </c>
      <c r="U1034" t="s">
        <v>1972</v>
      </c>
      <c r="V1034" t="s">
        <v>2832</v>
      </c>
    </row>
    <row r="1035" spans="1:22" ht="15.75" thickBot="1" x14ac:dyDescent="0.3">
      <c r="A1035" s="234" t="s">
        <v>1934</v>
      </c>
      <c r="B1035" s="234" t="s">
        <v>1934</v>
      </c>
      <c r="C1035" s="234" t="s">
        <v>1934</v>
      </c>
      <c r="D1035" s="249" t="s">
        <v>1939</v>
      </c>
      <c r="E1035" s="267" t="s">
        <v>2250</v>
      </c>
      <c r="F1035" s="234" t="s">
        <v>620</v>
      </c>
      <c r="G1035" s="261">
        <v>2015</v>
      </c>
      <c r="H1035" s="342" t="s">
        <v>733</v>
      </c>
      <c r="I1035" s="337" t="str">
        <f t="shared" si="58"/>
        <v>Pesado de Mercadorias N3: Geral : Gasóleo : E6</v>
      </c>
      <c r="J1035" s="234"/>
      <c r="K1035" s="260">
        <v>2022</v>
      </c>
      <c r="L1035" s="234">
        <v>8125.29</v>
      </c>
      <c r="M1035" s="234" t="s">
        <v>630</v>
      </c>
      <c r="N1035" s="234">
        <v>17051</v>
      </c>
      <c r="O1035" s="128">
        <f t="shared" si="59"/>
        <v>0</v>
      </c>
      <c r="P1035" s="261"/>
      <c r="Q1035" s="234" t="s">
        <v>2220</v>
      </c>
      <c r="R1035" s="220" t="s">
        <v>1888</v>
      </c>
      <c r="S1035" s="220" t="s">
        <v>1861</v>
      </c>
      <c r="T1035" s="234" t="s">
        <v>1945</v>
      </c>
      <c r="U1035" t="s">
        <v>1972</v>
      </c>
      <c r="V1035" t="s">
        <v>2832</v>
      </c>
    </row>
    <row r="1036" spans="1:22" ht="15.75" thickBot="1" x14ac:dyDescent="0.3">
      <c r="A1036" s="234" t="s">
        <v>1934</v>
      </c>
      <c r="B1036" s="234" t="s">
        <v>1934</v>
      </c>
      <c r="C1036" s="234" t="s">
        <v>1934</v>
      </c>
      <c r="D1036" s="249" t="s">
        <v>1939</v>
      </c>
      <c r="E1036" s="267" t="s">
        <v>2250</v>
      </c>
      <c r="F1036" s="234" t="s">
        <v>620</v>
      </c>
      <c r="G1036" s="261">
        <v>2015</v>
      </c>
      <c r="H1036" s="342" t="s">
        <v>733</v>
      </c>
      <c r="I1036" s="337" t="str">
        <f t="shared" si="58"/>
        <v>Pesado de Mercadorias N3: Geral : Gasóleo : E6</v>
      </c>
      <c r="J1036" s="234"/>
      <c r="K1036" s="260">
        <v>2022</v>
      </c>
      <c r="L1036" s="234">
        <v>47318.09</v>
      </c>
      <c r="M1036" s="234" t="s">
        <v>630</v>
      </c>
      <c r="N1036" s="234">
        <v>135029</v>
      </c>
      <c r="O1036" s="128">
        <f t="shared" si="59"/>
        <v>0</v>
      </c>
      <c r="P1036" s="261"/>
      <c r="Q1036" s="234" t="s">
        <v>2220</v>
      </c>
      <c r="R1036" s="220" t="s">
        <v>1888</v>
      </c>
      <c r="S1036" s="220" t="s">
        <v>1861</v>
      </c>
      <c r="T1036" s="234" t="s">
        <v>1945</v>
      </c>
      <c r="U1036" t="s">
        <v>1972</v>
      </c>
      <c r="V1036" t="s">
        <v>2832</v>
      </c>
    </row>
    <row r="1037" spans="1:22" ht="15.75" thickBot="1" x14ac:dyDescent="0.3">
      <c r="A1037" s="234" t="s">
        <v>1934</v>
      </c>
      <c r="B1037" s="234" t="s">
        <v>1934</v>
      </c>
      <c r="C1037" s="234" t="s">
        <v>1934</v>
      </c>
      <c r="D1037" s="249" t="s">
        <v>1939</v>
      </c>
      <c r="E1037" s="267" t="s">
        <v>2250</v>
      </c>
      <c r="F1037" s="234" t="s">
        <v>620</v>
      </c>
      <c r="G1037" s="261">
        <v>2015</v>
      </c>
      <c r="H1037" s="342" t="s">
        <v>733</v>
      </c>
      <c r="I1037" s="337" t="str">
        <f t="shared" si="58"/>
        <v>Pesado de Mercadorias N3: Geral : Gasóleo : E6</v>
      </c>
      <c r="J1037" s="234"/>
      <c r="K1037" s="260">
        <v>2022</v>
      </c>
      <c r="L1037" s="234">
        <v>51107.47</v>
      </c>
      <c r="M1037" s="234" t="s">
        <v>630</v>
      </c>
      <c r="N1037" s="234">
        <v>139527</v>
      </c>
      <c r="O1037" s="128">
        <f t="shared" si="59"/>
        <v>0</v>
      </c>
      <c r="P1037" s="261"/>
      <c r="Q1037" s="234" t="s">
        <v>2220</v>
      </c>
      <c r="R1037" s="220" t="s">
        <v>1888</v>
      </c>
      <c r="S1037" s="220" t="s">
        <v>1861</v>
      </c>
      <c r="T1037" s="234" t="s">
        <v>1945</v>
      </c>
      <c r="U1037" t="s">
        <v>1972</v>
      </c>
      <c r="V1037" t="s">
        <v>2832</v>
      </c>
    </row>
    <row r="1038" spans="1:22" ht="15.75" thickBot="1" x14ac:dyDescent="0.3">
      <c r="A1038" s="234" t="s">
        <v>1934</v>
      </c>
      <c r="B1038" s="234" t="s">
        <v>1934</v>
      </c>
      <c r="C1038" s="234" t="s">
        <v>1934</v>
      </c>
      <c r="D1038" s="249" t="s">
        <v>1939</v>
      </c>
      <c r="E1038" s="267" t="s">
        <v>2250</v>
      </c>
      <c r="F1038" s="234" t="s">
        <v>620</v>
      </c>
      <c r="G1038" s="261">
        <v>2015</v>
      </c>
      <c r="H1038" s="342" t="s">
        <v>733</v>
      </c>
      <c r="I1038" s="337" t="str">
        <f t="shared" si="58"/>
        <v>Pesado de Mercadorias N3: Geral : Gasóleo : E6</v>
      </c>
      <c r="J1038" s="234"/>
      <c r="K1038" s="260">
        <v>2022</v>
      </c>
      <c r="L1038" s="234">
        <v>42330.46</v>
      </c>
      <c r="M1038" s="234" t="s">
        <v>630</v>
      </c>
      <c r="N1038" s="234">
        <v>111805</v>
      </c>
      <c r="O1038" s="128">
        <f t="shared" si="59"/>
        <v>0</v>
      </c>
      <c r="P1038" s="261"/>
      <c r="Q1038" s="234" t="s">
        <v>2220</v>
      </c>
      <c r="R1038" s="220" t="s">
        <v>1888</v>
      </c>
      <c r="S1038" s="220" t="s">
        <v>1861</v>
      </c>
      <c r="T1038" s="234" t="s">
        <v>1945</v>
      </c>
      <c r="U1038" t="s">
        <v>1972</v>
      </c>
      <c r="V1038" t="s">
        <v>2832</v>
      </c>
    </row>
    <row r="1039" spans="1:22" ht="15.75" thickBot="1" x14ac:dyDescent="0.3">
      <c r="A1039" s="234" t="s">
        <v>1934</v>
      </c>
      <c r="B1039" s="234" t="s">
        <v>1934</v>
      </c>
      <c r="C1039" s="234" t="s">
        <v>1934</v>
      </c>
      <c r="D1039" s="249" t="s">
        <v>1939</v>
      </c>
      <c r="E1039" s="267" t="s">
        <v>2250</v>
      </c>
      <c r="F1039" s="234" t="s">
        <v>620</v>
      </c>
      <c r="G1039" s="261">
        <v>2015</v>
      </c>
      <c r="H1039" s="342" t="s">
        <v>733</v>
      </c>
      <c r="I1039" s="337" t="str">
        <f t="shared" si="58"/>
        <v>Pesado de Mercadorias N3: Geral : Gasóleo : E6</v>
      </c>
      <c r="J1039" s="234"/>
      <c r="K1039" s="260">
        <v>2022</v>
      </c>
      <c r="L1039" s="234">
        <v>31734.799999999999</v>
      </c>
      <c r="M1039" s="234" t="s">
        <v>630</v>
      </c>
      <c r="N1039" s="234">
        <v>87440</v>
      </c>
      <c r="O1039" s="128">
        <f t="shared" si="59"/>
        <v>0</v>
      </c>
      <c r="P1039" s="261"/>
      <c r="Q1039" s="234" t="s">
        <v>2220</v>
      </c>
      <c r="R1039" s="220" t="s">
        <v>1888</v>
      </c>
      <c r="S1039" s="220" t="s">
        <v>1861</v>
      </c>
      <c r="T1039" s="234" t="s">
        <v>1945</v>
      </c>
      <c r="U1039" t="s">
        <v>1972</v>
      </c>
      <c r="V1039" t="s">
        <v>2832</v>
      </c>
    </row>
    <row r="1040" spans="1:22" ht="15.75" thickBot="1" x14ac:dyDescent="0.3">
      <c r="A1040" s="234" t="s">
        <v>1934</v>
      </c>
      <c r="B1040" s="234" t="s">
        <v>1934</v>
      </c>
      <c r="C1040" s="234" t="s">
        <v>1934</v>
      </c>
      <c r="D1040" s="249" t="s">
        <v>1939</v>
      </c>
      <c r="E1040" s="267" t="s">
        <v>2250</v>
      </c>
      <c r="F1040" s="234" t="s">
        <v>620</v>
      </c>
      <c r="G1040" s="261">
        <v>2015</v>
      </c>
      <c r="H1040" s="342" t="s">
        <v>733</v>
      </c>
      <c r="I1040" s="337" t="str">
        <f t="shared" si="58"/>
        <v>Pesado de Mercadorias N3: Geral : Gasóleo : E6</v>
      </c>
      <c r="J1040" s="234"/>
      <c r="K1040" s="260">
        <v>2022</v>
      </c>
      <c r="L1040" s="234">
        <v>53598.64</v>
      </c>
      <c r="M1040" s="234" t="s">
        <v>630</v>
      </c>
      <c r="N1040" s="234">
        <v>143777</v>
      </c>
      <c r="O1040" s="128">
        <f t="shared" si="59"/>
        <v>0</v>
      </c>
      <c r="P1040" s="261"/>
      <c r="Q1040" s="234" t="s">
        <v>2220</v>
      </c>
      <c r="R1040" s="220" t="s">
        <v>1888</v>
      </c>
      <c r="S1040" s="220" t="s">
        <v>1861</v>
      </c>
      <c r="T1040" s="234" t="s">
        <v>1945</v>
      </c>
      <c r="U1040" t="s">
        <v>1972</v>
      </c>
      <c r="V1040" t="s">
        <v>2832</v>
      </c>
    </row>
    <row r="1041" spans="1:22" ht="15.75" thickBot="1" x14ac:dyDescent="0.3">
      <c r="A1041" s="234" t="s">
        <v>1934</v>
      </c>
      <c r="B1041" s="234" t="s">
        <v>1934</v>
      </c>
      <c r="C1041" s="234" t="s">
        <v>1934</v>
      </c>
      <c r="D1041" s="249" t="s">
        <v>1939</v>
      </c>
      <c r="E1041" s="267" t="s">
        <v>2250</v>
      </c>
      <c r="F1041" s="234" t="s">
        <v>620</v>
      </c>
      <c r="G1041" s="261">
        <v>2015</v>
      </c>
      <c r="H1041" s="342" t="s">
        <v>733</v>
      </c>
      <c r="I1041" s="337" t="str">
        <f t="shared" si="58"/>
        <v>Pesado de Mercadorias N3: Geral : Gasóleo : E6</v>
      </c>
      <c r="J1041" s="234"/>
      <c r="K1041" s="260">
        <v>2022</v>
      </c>
      <c r="L1041" s="234">
        <v>36846.730000000003</v>
      </c>
      <c r="M1041" s="234" t="s">
        <v>630</v>
      </c>
      <c r="N1041" s="234">
        <v>102473</v>
      </c>
      <c r="O1041" s="128">
        <f t="shared" si="59"/>
        <v>0</v>
      </c>
      <c r="P1041" s="261"/>
      <c r="Q1041" s="234" t="s">
        <v>2220</v>
      </c>
      <c r="R1041" s="220" t="s">
        <v>1888</v>
      </c>
      <c r="S1041" s="220" t="s">
        <v>1861</v>
      </c>
      <c r="T1041" s="234" t="s">
        <v>1945</v>
      </c>
      <c r="U1041" t="s">
        <v>1972</v>
      </c>
      <c r="V1041" t="s">
        <v>2832</v>
      </c>
    </row>
    <row r="1042" spans="1:22" ht="15.75" thickBot="1" x14ac:dyDescent="0.3">
      <c r="A1042" s="234" t="s">
        <v>1934</v>
      </c>
      <c r="B1042" s="234" t="s">
        <v>1934</v>
      </c>
      <c r="C1042" s="234" t="s">
        <v>1934</v>
      </c>
      <c r="D1042" s="249" t="s">
        <v>1939</v>
      </c>
      <c r="E1042" s="267" t="s">
        <v>2250</v>
      </c>
      <c r="F1042" s="234" t="s">
        <v>620</v>
      </c>
      <c r="G1042" s="261">
        <v>2015</v>
      </c>
      <c r="H1042" s="342" t="s">
        <v>733</v>
      </c>
      <c r="I1042" s="337" t="str">
        <f t="shared" si="58"/>
        <v>Pesado de Mercadorias N3: Geral : Gasóleo : E6</v>
      </c>
      <c r="J1042" s="234"/>
      <c r="K1042" s="260">
        <v>2022</v>
      </c>
      <c r="L1042" s="234">
        <v>31244.09</v>
      </c>
      <c r="M1042" s="234" t="s">
        <v>630</v>
      </c>
      <c r="N1042" s="234">
        <v>85697</v>
      </c>
      <c r="O1042" s="128">
        <f t="shared" si="59"/>
        <v>0</v>
      </c>
      <c r="P1042" s="261"/>
      <c r="Q1042" s="234" t="s">
        <v>2220</v>
      </c>
      <c r="R1042" s="220" t="s">
        <v>1888</v>
      </c>
      <c r="S1042" s="220" t="s">
        <v>1861</v>
      </c>
      <c r="T1042" s="234" t="s">
        <v>1945</v>
      </c>
      <c r="U1042" t="s">
        <v>1972</v>
      </c>
      <c r="V1042" t="s">
        <v>2832</v>
      </c>
    </row>
    <row r="1043" spans="1:22" ht="15.75" thickBot="1" x14ac:dyDescent="0.3">
      <c r="A1043" s="234" t="s">
        <v>1934</v>
      </c>
      <c r="B1043" s="234" t="s">
        <v>1934</v>
      </c>
      <c r="C1043" s="234" t="s">
        <v>1934</v>
      </c>
      <c r="D1043" s="249" t="s">
        <v>1939</v>
      </c>
      <c r="E1043" s="267" t="s">
        <v>2250</v>
      </c>
      <c r="F1043" s="234" t="s">
        <v>620</v>
      </c>
      <c r="G1043" s="261">
        <v>2015</v>
      </c>
      <c r="H1043" s="342" t="s">
        <v>733</v>
      </c>
      <c r="I1043" s="337" t="str">
        <f t="shared" si="58"/>
        <v>Pesado de Mercadorias N3: Geral : Gasóleo : E6</v>
      </c>
      <c r="J1043" s="234"/>
      <c r="K1043" s="260">
        <v>2022</v>
      </c>
      <c r="L1043" s="234">
        <v>41030.82</v>
      </c>
      <c r="M1043" s="234" t="s">
        <v>630</v>
      </c>
      <c r="N1043" s="234">
        <v>105984</v>
      </c>
      <c r="O1043" s="128">
        <f t="shared" si="59"/>
        <v>0</v>
      </c>
      <c r="P1043" s="261"/>
      <c r="Q1043" s="234" t="s">
        <v>2220</v>
      </c>
      <c r="R1043" s="220" t="s">
        <v>1888</v>
      </c>
      <c r="S1043" s="220" t="s">
        <v>1861</v>
      </c>
      <c r="T1043" s="234" t="s">
        <v>1945</v>
      </c>
      <c r="U1043" t="s">
        <v>1972</v>
      </c>
      <c r="V1043" t="s">
        <v>2832</v>
      </c>
    </row>
    <row r="1044" spans="1:22" ht="15.75" thickBot="1" x14ac:dyDescent="0.3">
      <c r="A1044" s="234" t="s">
        <v>1934</v>
      </c>
      <c r="B1044" s="234" t="s">
        <v>1934</v>
      </c>
      <c r="C1044" s="234" t="s">
        <v>1934</v>
      </c>
      <c r="D1044" s="249" t="s">
        <v>1939</v>
      </c>
      <c r="E1044" s="267" t="s">
        <v>2250</v>
      </c>
      <c r="F1044" s="234" t="s">
        <v>620</v>
      </c>
      <c r="G1044" s="261">
        <v>2015</v>
      </c>
      <c r="H1044" s="342" t="s">
        <v>733</v>
      </c>
      <c r="I1044" s="337" t="str">
        <f t="shared" si="58"/>
        <v>Pesado de Mercadorias N3: Geral : Gasóleo : E6</v>
      </c>
      <c r="J1044" s="234"/>
      <c r="K1044" s="260">
        <v>2022</v>
      </c>
      <c r="L1044" s="234">
        <v>35345.72</v>
      </c>
      <c r="M1044" s="234" t="s">
        <v>630</v>
      </c>
      <c r="N1044" s="234">
        <v>99128</v>
      </c>
      <c r="O1044" s="128">
        <f t="shared" si="59"/>
        <v>0</v>
      </c>
      <c r="P1044" s="261"/>
      <c r="Q1044" s="234" t="s">
        <v>2220</v>
      </c>
      <c r="R1044" s="220" t="s">
        <v>1888</v>
      </c>
      <c r="S1044" s="220" t="s">
        <v>1861</v>
      </c>
      <c r="T1044" s="234" t="s">
        <v>1945</v>
      </c>
      <c r="U1044" t="s">
        <v>1972</v>
      </c>
      <c r="V1044" t="s">
        <v>2832</v>
      </c>
    </row>
    <row r="1045" spans="1:22" ht="15.75" thickBot="1" x14ac:dyDescent="0.3">
      <c r="A1045" s="234" t="s">
        <v>1934</v>
      </c>
      <c r="B1045" s="234" t="s">
        <v>1934</v>
      </c>
      <c r="C1045" s="234" t="s">
        <v>1934</v>
      </c>
      <c r="D1045" s="249" t="s">
        <v>1939</v>
      </c>
      <c r="E1045" s="267" t="s">
        <v>2250</v>
      </c>
      <c r="F1045" s="234" t="s">
        <v>620</v>
      </c>
      <c r="G1045" s="261">
        <v>2015</v>
      </c>
      <c r="H1045" s="342" t="s">
        <v>734</v>
      </c>
      <c r="I1045" s="337" t="str">
        <f t="shared" si="58"/>
        <v>Pesado de Mercadorias N3: Geral : Gasóleo : E5</v>
      </c>
      <c r="J1045" s="234"/>
      <c r="K1045" s="260">
        <v>2022</v>
      </c>
      <c r="L1045" s="234">
        <v>18307.63</v>
      </c>
      <c r="M1045" s="234" t="s">
        <v>630</v>
      </c>
      <c r="N1045" s="234">
        <v>44465</v>
      </c>
      <c r="O1045" s="128">
        <f t="shared" si="59"/>
        <v>0</v>
      </c>
      <c r="P1045" s="261"/>
      <c r="Q1045" s="234" t="s">
        <v>2220</v>
      </c>
      <c r="R1045" s="220" t="s">
        <v>1888</v>
      </c>
      <c r="S1045" s="220" t="s">
        <v>1861</v>
      </c>
      <c r="T1045" s="234" t="s">
        <v>1945</v>
      </c>
      <c r="U1045" t="s">
        <v>1972</v>
      </c>
      <c r="V1045" t="s">
        <v>2832</v>
      </c>
    </row>
    <row r="1046" spans="1:22" ht="15.75" thickBot="1" x14ac:dyDescent="0.3">
      <c r="A1046" s="234" t="s">
        <v>1934</v>
      </c>
      <c r="B1046" s="234" t="s">
        <v>1934</v>
      </c>
      <c r="C1046" s="234" t="s">
        <v>1934</v>
      </c>
      <c r="D1046" s="249" t="s">
        <v>1939</v>
      </c>
      <c r="E1046" s="267" t="s">
        <v>2250</v>
      </c>
      <c r="F1046" s="234" t="s">
        <v>620</v>
      </c>
      <c r="G1046" s="261">
        <v>2015</v>
      </c>
      <c r="H1046" s="342" t="s">
        <v>734</v>
      </c>
      <c r="I1046" s="337" t="str">
        <f t="shared" si="58"/>
        <v>Pesado de Mercadorias N3: Geral : Gasóleo : E5</v>
      </c>
      <c r="J1046" s="234"/>
      <c r="K1046" s="260">
        <v>2022</v>
      </c>
      <c r="L1046" s="234">
        <v>28952.55</v>
      </c>
      <c r="M1046" s="234" t="s">
        <v>630</v>
      </c>
      <c r="N1046" s="234">
        <v>74479</v>
      </c>
      <c r="O1046" s="128">
        <f t="shared" si="59"/>
        <v>0</v>
      </c>
      <c r="P1046" s="261"/>
      <c r="Q1046" s="234" t="s">
        <v>2220</v>
      </c>
      <c r="R1046" s="220" t="s">
        <v>1888</v>
      </c>
      <c r="S1046" s="220" t="s">
        <v>1861</v>
      </c>
      <c r="T1046" s="234" t="s">
        <v>1945</v>
      </c>
      <c r="U1046" t="s">
        <v>1972</v>
      </c>
      <c r="V1046" t="s">
        <v>2832</v>
      </c>
    </row>
    <row r="1047" spans="1:22" ht="15.75" thickBot="1" x14ac:dyDescent="0.3">
      <c r="A1047" s="234" t="s">
        <v>1934</v>
      </c>
      <c r="B1047" s="234" t="s">
        <v>1934</v>
      </c>
      <c r="C1047" s="234" t="s">
        <v>1934</v>
      </c>
      <c r="D1047" s="249" t="s">
        <v>1939</v>
      </c>
      <c r="E1047" s="267" t="s">
        <v>2250</v>
      </c>
      <c r="F1047" s="234" t="s">
        <v>620</v>
      </c>
      <c r="G1047" s="261">
        <v>2015</v>
      </c>
      <c r="H1047" s="342" t="s">
        <v>734</v>
      </c>
      <c r="I1047" s="337" t="str">
        <f t="shared" si="58"/>
        <v>Pesado de Mercadorias N3: Geral : Gasóleo : E5</v>
      </c>
      <c r="J1047" s="234"/>
      <c r="K1047" s="260">
        <v>2022</v>
      </c>
      <c r="L1047" s="234">
        <v>27117.11</v>
      </c>
      <c r="M1047" s="234" t="s">
        <v>630</v>
      </c>
      <c r="N1047" s="234">
        <v>72008</v>
      </c>
      <c r="O1047" s="128">
        <f t="shared" si="59"/>
        <v>0</v>
      </c>
      <c r="P1047" s="261"/>
      <c r="Q1047" s="234" t="s">
        <v>2220</v>
      </c>
      <c r="R1047" s="220" t="s">
        <v>1888</v>
      </c>
      <c r="S1047" s="220" t="s">
        <v>1861</v>
      </c>
      <c r="T1047" s="234" t="s">
        <v>1945</v>
      </c>
      <c r="U1047" t="s">
        <v>1972</v>
      </c>
      <c r="V1047" t="s">
        <v>2832</v>
      </c>
    </row>
    <row r="1048" spans="1:22" ht="15.75" thickBot="1" x14ac:dyDescent="0.3">
      <c r="A1048" s="234" t="s">
        <v>1934</v>
      </c>
      <c r="B1048" s="234" t="s">
        <v>1934</v>
      </c>
      <c r="C1048" s="234" t="s">
        <v>1934</v>
      </c>
      <c r="D1048" s="249" t="s">
        <v>1939</v>
      </c>
      <c r="E1048" s="267" t="s">
        <v>2250</v>
      </c>
      <c r="F1048" s="234" t="s">
        <v>620</v>
      </c>
      <c r="G1048" s="261">
        <v>2015</v>
      </c>
      <c r="H1048" s="342" t="s">
        <v>734</v>
      </c>
      <c r="I1048" s="337" t="str">
        <f t="shared" si="58"/>
        <v>Pesado de Mercadorias N3: Geral : Gasóleo : E5</v>
      </c>
      <c r="J1048" s="234"/>
      <c r="K1048" s="260">
        <v>2022</v>
      </c>
      <c r="L1048" s="234">
        <v>20334.419999999998</v>
      </c>
      <c r="M1048" s="234" t="s">
        <v>630</v>
      </c>
      <c r="N1048" s="234">
        <v>50953</v>
      </c>
      <c r="O1048" s="128">
        <f t="shared" si="59"/>
        <v>0</v>
      </c>
      <c r="P1048" s="261"/>
      <c r="Q1048" s="234" t="s">
        <v>2220</v>
      </c>
      <c r="R1048" s="220" t="s">
        <v>1888</v>
      </c>
      <c r="S1048" s="220" t="s">
        <v>1861</v>
      </c>
      <c r="T1048" s="234" t="s">
        <v>1945</v>
      </c>
      <c r="U1048" t="s">
        <v>1972</v>
      </c>
      <c r="V1048" t="s">
        <v>2832</v>
      </c>
    </row>
    <row r="1049" spans="1:22" ht="15.75" thickBot="1" x14ac:dyDescent="0.3">
      <c r="A1049" s="234" t="s">
        <v>1934</v>
      </c>
      <c r="B1049" s="234" t="s">
        <v>1934</v>
      </c>
      <c r="C1049" s="234" t="s">
        <v>1934</v>
      </c>
      <c r="D1049" s="249" t="s">
        <v>1939</v>
      </c>
      <c r="E1049" s="267" t="s">
        <v>2250</v>
      </c>
      <c r="F1049" s="234" t="s">
        <v>620</v>
      </c>
      <c r="G1049" s="261">
        <v>2015</v>
      </c>
      <c r="H1049" s="342" t="s">
        <v>733</v>
      </c>
      <c r="I1049" s="337" t="str">
        <f t="shared" si="58"/>
        <v>Pesado de Mercadorias N3: Geral : Gasóleo : E6</v>
      </c>
      <c r="J1049" s="234"/>
      <c r="K1049" s="260">
        <v>2022</v>
      </c>
      <c r="L1049" s="234">
        <v>27117.45</v>
      </c>
      <c r="M1049" s="234" t="s">
        <v>630</v>
      </c>
      <c r="N1049" s="234">
        <v>72360</v>
      </c>
      <c r="O1049" s="128">
        <f t="shared" si="59"/>
        <v>0</v>
      </c>
      <c r="P1049" s="261"/>
      <c r="Q1049" s="234" t="s">
        <v>2220</v>
      </c>
      <c r="R1049" s="220" t="s">
        <v>1888</v>
      </c>
      <c r="S1049" s="220" t="s">
        <v>1861</v>
      </c>
      <c r="T1049" s="234" t="s">
        <v>1945</v>
      </c>
      <c r="U1049" t="s">
        <v>1972</v>
      </c>
      <c r="V1049" t="s">
        <v>2832</v>
      </c>
    </row>
    <row r="1050" spans="1:22" ht="15.75" thickBot="1" x14ac:dyDescent="0.3">
      <c r="A1050" s="234" t="s">
        <v>1934</v>
      </c>
      <c r="B1050" s="234" t="s">
        <v>1934</v>
      </c>
      <c r="C1050" s="234" t="s">
        <v>1934</v>
      </c>
      <c r="D1050" s="249" t="s">
        <v>1939</v>
      </c>
      <c r="E1050" s="267" t="s">
        <v>2250</v>
      </c>
      <c r="F1050" s="234" t="s">
        <v>620</v>
      </c>
      <c r="G1050" s="261">
        <v>2015</v>
      </c>
      <c r="H1050" s="342" t="s">
        <v>733</v>
      </c>
      <c r="I1050" s="337" t="str">
        <f t="shared" si="58"/>
        <v>Pesado de Mercadorias N3: Geral : Gasóleo : E6</v>
      </c>
      <c r="J1050" s="234"/>
      <c r="K1050" s="260">
        <v>2022</v>
      </c>
      <c r="L1050" s="234">
        <v>35225.83</v>
      </c>
      <c r="M1050" s="234" t="s">
        <v>630</v>
      </c>
      <c r="N1050" s="234">
        <v>76441</v>
      </c>
      <c r="O1050" s="128">
        <f t="shared" si="59"/>
        <v>0</v>
      </c>
      <c r="P1050" s="261"/>
      <c r="Q1050" s="234" t="s">
        <v>2220</v>
      </c>
      <c r="R1050" s="220" t="s">
        <v>1888</v>
      </c>
      <c r="S1050" s="220" t="s">
        <v>1861</v>
      </c>
      <c r="T1050" s="234" t="s">
        <v>1945</v>
      </c>
      <c r="U1050" t="s">
        <v>1972</v>
      </c>
      <c r="V1050" t="s">
        <v>2832</v>
      </c>
    </row>
    <row r="1051" spans="1:22" ht="15.75" thickBot="1" x14ac:dyDescent="0.3">
      <c r="A1051" s="234" t="s">
        <v>1934</v>
      </c>
      <c r="B1051" s="234" t="s">
        <v>1934</v>
      </c>
      <c r="C1051" s="234" t="s">
        <v>1934</v>
      </c>
      <c r="D1051" s="249" t="s">
        <v>1939</v>
      </c>
      <c r="E1051" s="267" t="s">
        <v>2250</v>
      </c>
      <c r="F1051" s="234" t="s">
        <v>620</v>
      </c>
      <c r="G1051" s="261">
        <v>2016</v>
      </c>
      <c r="H1051" s="342" t="s">
        <v>733</v>
      </c>
      <c r="I1051" s="337" t="str">
        <f t="shared" si="58"/>
        <v>Pesado de Mercadorias N3: Geral : Gasóleo : E6</v>
      </c>
      <c r="J1051" s="234"/>
      <c r="K1051" s="260">
        <v>2022</v>
      </c>
      <c r="L1051" s="234">
        <v>34115.43</v>
      </c>
      <c r="M1051" s="234" t="s">
        <v>630</v>
      </c>
      <c r="N1051" s="234">
        <v>95482</v>
      </c>
      <c r="O1051" s="128">
        <f t="shared" si="59"/>
        <v>0</v>
      </c>
      <c r="P1051" s="261"/>
      <c r="Q1051" s="234" t="s">
        <v>2220</v>
      </c>
      <c r="R1051" s="220" t="s">
        <v>1888</v>
      </c>
      <c r="S1051" s="220" t="s">
        <v>1861</v>
      </c>
      <c r="T1051" s="234" t="s">
        <v>1945</v>
      </c>
      <c r="U1051" t="s">
        <v>1972</v>
      </c>
      <c r="V1051" t="s">
        <v>2832</v>
      </c>
    </row>
    <row r="1052" spans="1:22" ht="15.75" thickBot="1" x14ac:dyDescent="0.3">
      <c r="A1052" s="234" t="s">
        <v>1934</v>
      </c>
      <c r="B1052" s="234" t="s">
        <v>1934</v>
      </c>
      <c r="C1052" s="234" t="s">
        <v>1934</v>
      </c>
      <c r="D1052" s="249" t="s">
        <v>1939</v>
      </c>
      <c r="E1052" s="267" t="s">
        <v>2250</v>
      </c>
      <c r="F1052" s="234" t="s">
        <v>620</v>
      </c>
      <c r="G1052" s="261">
        <v>2016</v>
      </c>
      <c r="H1052" s="342" t="s">
        <v>733</v>
      </c>
      <c r="I1052" s="337" t="str">
        <f t="shared" si="58"/>
        <v>Pesado de Mercadorias N3: Geral : Gasóleo : E6</v>
      </c>
      <c r="J1052" s="234"/>
      <c r="K1052" s="260">
        <v>2022</v>
      </c>
      <c r="L1052" s="234">
        <v>35353.230000000003</v>
      </c>
      <c r="M1052" s="234" t="s">
        <v>630</v>
      </c>
      <c r="N1052" s="234">
        <v>95197</v>
      </c>
      <c r="O1052" s="128">
        <f t="shared" si="59"/>
        <v>0</v>
      </c>
      <c r="P1052" s="261"/>
      <c r="Q1052" s="234" t="s">
        <v>2220</v>
      </c>
      <c r="R1052" s="220" t="s">
        <v>1888</v>
      </c>
      <c r="S1052" s="220" t="s">
        <v>1861</v>
      </c>
      <c r="T1052" s="234" t="s">
        <v>1945</v>
      </c>
      <c r="U1052" t="s">
        <v>1972</v>
      </c>
      <c r="V1052" t="s">
        <v>2832</v>
      </c>
    </row>
    <row r="1053" spans="1:22" ht="15.75" thickBot="1" x14ac:dyDescent="0.3">
      <c r="A1053" s="234" t="s">
        <v>1934</v>
      </c>
      <c r="B1053" s="234" t="s">
        <v>1934</v>
      </c>
      <c r="C1053" s="234" t="s">
        <v>1934</v>
      </c>
      <c r="D1053" s="249" t="s">
        <v>1939</v>
      </c>
      <c r="E1053" s="267" t="s">
        <v>2250</v>
      </c>
      <c r="F1053" s="234" t="s">
        <v>620</v>
      </c>
      <c r="G1053" s="261">
        <v>2016</v>
      </c>
      <c r="H1053" s="342" t="s">
        <v>733</v>
      </c>
      <c r="I1053" s="337" t="str">
        <f t="shared" si="58"/>
        <v>Pesado de Mercadorias N3: Geral : Gasóleo : E6</v>
      </c>
      <c r="J1053" s="234"/>
      <c r="K1053" s="260">
        <v>2022</v>
      </c>
      <c r="L1053" s="234">
        <v>18533.28</v>
      </c>
      <c r="M1053" s="234" t="s">
        <v>630</v>
      </c>
      <c r="N1053" s="234">
        <v>48554</v>
      </c>
      <c r="O1053" s="128">
        <f t="shared" si="59"/>
        <v>0</v>
      </c>
      <c r="P1053" s="261"/>
      <c r="Q1053" s="234" t="s">
        <v>2220</v>
      </c>
      <c r="R1053" s="220" t="s">
        <v>1888</v>
      </c>
      <c r="S1053" s="220" t="s">
        <v>1861</v>
      </c>
      <c r="T1053" s="234" t="s">
        <v>1945</v>
      </c>
      <c r="U1053" t="s">
        <v>1972</v>
      </c>
      <c r="V1053" t="s">
        <v>2832</v>
      </c>
    </row>
    <row r="1054" spans="1:22" ht="15.75" thickBot="1" x14ac:dyDescent="0.3">
      <c r="A1054" s="234" t="s">
        <v>1934</v>
      </c>
      <c r="B1054" s="234" t="s">
        <v>1934</v>
      </c>
      <c r="C1054" s="234" t="s">
        <v>1934</v>
      </c>
      <c r="D1054" s="249" t="s">
        <v>1939</v>
      </c>
      <c r="E1054" s="267" t="s">
        <v>2250</v>
      </c>
      <c r="F1054" s="234" t="s">
        <v>620</v>
      </c>
      <c r="G1054" s="261">
        <v>2016</v>
      </c>
      <c r="H1054" s="342" t="s">
        <v>733</v>
      </c>
      <c r="I1054" s="337" t="str">
        <f t="shared" si="58"/>
        <v>Pesado de Mercadorias N3: Geral : Gasóleo : E6</v>
      </c>
      <c r="J1054" s="234"/>
      <c r="K1054" s="260">
        <v>2022</v>
      </c>
      <c r="L1054" s="234">
        <v>42020.63</v>
      </c>
      <c r="M1054" s="234" t="s">
        <v>630</v>
      </c>
      <c r="N1054" s="234">
        <v>112588</v>
      </c>
      <c r="O1054" s="128">
        <f t="shared" si="59"/>
        <v>0</v>
      </c>
      <c r="P1054" s="261"/>
      <c r="Q1054" s="234" t="s">
        <v>2220</v>
      </c>
      <c r="R1054" s="220" t="s">
        <v>1888</v>
      </c>
      <c r="S1054" s="220" t="s">
        <v>1861</v>
      </c>
      <c r="T1054" s="234" t="s">
        <v>1945</v>
      </c>
      <c r="U1054" t="s">
        <v>1972</v>
      </c>
      <c r="V1054" t="s">
        <v>2832</v>
      </c>
    </row>
    <row r="1055" spans="1:22" ht="15.75" thickBot="1" x14ac:dyDescent="0.3">
      <c r="A1055" s="234" t="s">
        <v>1934</v>
      </c>
      <c r="B1055" s="234" t="s">
        <v>1934</v>
      </c>
      <c r="C1055" s="234" t="s">
        <v>1934</v>
      </c>
      <c r="D1055" s="249" t="s">
        <v>1939</v>
      </c>
      <c r="E1055" s="267" t="s">
        <v>2250</v>
      </c>
      <c r="F1055" s="234" t="s">
        <v>620</v>
      </c>
      <c r="G1055" s="261">
        <v>2016</v>
      </c>
      <c r="H1055" s="342" t="s">
        <v>734</v>
      </c>
      <c r="I1055" s="337" t="str">
        <f t="shared" si="58"/>
        <v>Pesado de Mercadorias N3: Geral : Gasóleo : E5</v>
      </c>
      <c r="J1055" s="234"/>
      <c r="K1055" s="260">
        <v>2022</v>
      </c>
      <c r="L1055" s="234">
        <v>28039.48</v>
      </c>
      <c r="M1055" s="234" t="s">
        <v>630</v>
      </c>
      <c r="N1055" s="234">
        <v>69079</v>
      </c>
      <c r="O1055" s="128">
        <f t="shared" si="59"/>
        <v>0</v>
      </c>
      <c r="P1055" s="261"/>
      <c r="Q1055" s="234" t="s">
        <v>2220</v>
      </c>
      <c r="R1055" s="220" t="s">
        <v>1888</v>
      </c>
      <c r="S1055" s="220" t="s">
        <v>1861</v>
      </c>
      <c r="T1055" s="234" t="s">
        <v>1945</v>
      </c>
      <c r="U1055" t="s">
        <v>1972</v>
      </c>
      <c r="V1055" t="s">
        <v>2832</v>
      </c>
    </row>
    <row r="1056" spans="1:22" ht="15.75" thickBot="1" x14ac:dyDescent="0.3">
      <c r="A1056" s="234" t="s">
        <v>1934</v>
      </c>
      <c r="B1056" s="234" t="s">
        <v>1934</v>
      </c>
      <c r="C1056" s="234" t="s">
        <v>1934</v>
      </c>
      <c r="D1056" s="249" t="s">
        <v>1939</v>
      </c>
      <c r="E1056" s="267" t="s">
        <v>2250</v>
      </c>
      <c r="F1056" s="234" t="s">
        <v>620</v>
      </c>
      <c r="G1056" s="261">
        <v>2016</v>
      </c>
      <c r="H1056" s="342" t="s">
        <v>734</v>
      </c>
      <c r="I1056" s="337" t="str">
        <f t="shared" si="58"/>
        <v>Pesado de Mercadorias N3: Geral : Gasóleo : E5</v>
      </c>
      <c r="J1056" s="234"/>
      <c r="K1056" s="260">
        <v>2022</v>
      </c>
      <c r="L1056" s="234">
        <v>30827.85</v>
      </c>
      <c r="M1056" s="234" t="s">
        <v>630</v>
      </c>
      <c r="N1056" s="234">
        <v>80633</v>
      </c>
      <c r="O1056" s="128">
        <f t="shared" si="59"/>
        <v>0</v>
      </c>
      <c r="P1056" s="261"/>
      <c r="Q1056" s="234" t="s">
        <v>2220</v>
      </c>
      <c r="R1056" s="220" t="s">
        <v>1888</v>
      </c>
      <c r="S1056" s="220" t="s">
        <v>1861</v>
      </c>
      <c r="T1056" s="234" t="s">
        <v>1945</v>
      </c>
      <c r="U1056" t="s">
        <v>1972</v>
      </c>
      <c r="V1056" t="s">
        <v>2832</v>
      </c>
    </row>
    <row r="1057" spans="1:22" ht="15.75" thickBot="1" x14ac:dyDescent="0.3">
      <c r="A1057" s="234" t="s">
        <v>1934</v>
      </c>
      <c r="B1057" s="234" t="s">
        <v>1934</v>
      </c>
      <c r="C1057" s="234" t="s">
        <v>1934</v>
      </c>
      <c r="D1057" s="249" t="s">
        <v>1939</v>
      </c>
      <c r="E1057" s="267" t="s">
        <v>2250</v>
      </c>
      <c r="F1057" s="234" t="s">
        <v>620</v>
      </c>
      <c r="G1057" s="261">
        <v>2016</v>
      </c>
      <c r="H1057" s="342" t="s">
        <v>734</v>
      </c>
      <c r="I1057" s="337" t="str">
        <f t="shared" si="58"/>
        <v>Pesado de Mercadorias N3: Geral : Gasóleo : E5</v>
      </c>
      <c r="J1057" s="234"/>
      <c r="K1057" s="260">
        <v>2022</v>
      </c>
      <c r="L1057" s="234">
        <v>38342.44</v>
      </c>
      <c r="M1057" s="234" t="s">
        <v>630</v>
      </c>
      <c r="N1057" s="234">
        <v>94992</v>
      </c>
      <c r="O1057" s="128">
        <f t="shared" si="59"/>
        <v>0</v>
      </c>
      <c r="P1057" s="261"/>
      <c r="Q1057" s="234" t="s">
        <v>2220</v>
      </c>
      <c r="R1057" s="220" t="s">
        <v>1888</v>
      </c>
      <c r="S1057" s="220" t="s">
        <v>1861</v>
      </c>
      <c r="T1057" s="234" t="s">
        <v>1945</v>
      </c>
      <c r="U1057" t="s">
        <v>1972</v>
      </c>
      <c r="V1057" t="s">
        <v>2832</v>
      </c>
    </row>
    <row r="1058" spans="1:22" ht="15.75" thickBot="1" x14ac:dyDescent="0.3">
      <c r="A1058" s="234" t="s">
        <v>1934</v>
      </c>
      <c r="B1058" s="234" t="s">
        <v>1934</v>
      </c>
      <c r="C1058" s="234" t="s">
        <v>1934</v>
      </c>
      <c r="D1058" s="249" t="s">
        <v>1939</v>
      </c>
      <c r="E1058" s="267" t="s">
        <v>2250</v>
      </c>
      <c r="F1058" s="234" t="s">
        <v>620</v>
      </c>
      <c r="G1058" s="261">
        <v>2016</v>
      </c>
      <c r="H1058" s="342" t="s">
        <v>734</v>
      </c>
      <c r="I1058" s="337" t="str">
        <f t="shared" si="58"/>
        <v>Pesado de Mercadorias N3: Geral : Gasóleo : E5</v>
      </c>
      <c r="J1058" s="234"/>
      <c r="K1058" s="260">
        <v>2022</v>
      </c>
      <c r="L1058" s="234">
        <v>31387.24</v>
      </c>
      <c r="M1058" s="234" t="s">
        <v>630</v>
      </c>
      <c r="N1058" s="234">
        <v>81110</v>
      </c>
      <c r="O1058" s="128">
        <f t="shared" si="59"/>
        <v>0</v>
      </c>
      <c r="P1058" s="261"/>
      <c r="Q1058" s="234" t="s">
        <v>2220</v>
      </c>
      <c r="R1058" s="220" t="s">
        <v>1888</v>
      </c>
      <c r="S1058" s="220" t="s">
        <v>1861</v>
      </c>
      <c r="T1058" s="234" t="s">
        <v>1945</v>
      </c>
      <c r="U1058" t="s">
        <v>1972</v>
      </c>
      <c r="V1058" t="s">
        <v>2832</v>
      </c>
    </row>
    <row r="1059" spans="1:22" ht="15.75" thickBot="1" x14ac:dyDescent="0.3">
      <c r="A1059" s="234" t="s">
        <v>1934</v>
      </c>
      <c r="B1059" s="234" t="s">
        <v>1934</v>
      </c>
      <c r="C1059" s="234" t="s">
        <v>1934</v>
      </c>
      <c r="D1059" s="249" t="s">
        <v>1939</v>
      </c>
      <c r="E1059" s="267" t="s">
        <v>2250</v>
      </c>
      <c r="F1059" s="234" t="s">
        <v>620</v>
      </c>
      <c r="G1059" s="261">
        <v>2016</v>
      </c>
      <c r="H1059" s="342" t="s">
        <v>734</v>
      </c>
      <c r="I1059" s="337" t="str">
        <f t="shared" si="58"/>
        <v>Pesado de Mercadorias N3: Geral : Gasóleo : E5</v>
      </c>
      <c r="J1059" s="234"/>
      <c r="K1059" s="260">
        <v>2022</v>
      </c>
      <c r="L1059" s="234">
        <v>23144.05</v>
      </c>
      <c r="M1059" s="234" t="s">
        <v>630</v>
      </c>
      <c r="N1059" s="234">
        <v>61555</v>
      </c>
      <c r="O1059" s="128">
        <f t="shared" si="59"/>
        <v>0</v>
      </c>
      <c r="P1059" s="261"/>
      <c r="Q1059" s="234" t="s">
        <v>2220</v>
      </c>
      <c r="R1059" s="220" t="s">
        <v>1888</v>
      </c>
      <c r="S1059" s="220" t="s">
        <v>1861</v>
      </c>
      <c r="T1059" s="234" t="s">
        <v>1945</v>
      </c>
      <c r="U1059" t="s">
        <v>1972</v>
      </c>
      <c r="V1059" t="s">
        <v>2832</v>
      </c>
    </row>
    <row r="1060" spans="1:22" ht="15.75" thickBot="1" x14ac:dyDescent="0.3">
      <c r="A1060" s="234" t="s">
        <v>1934</v>
      </c>
      <c r="B1060" s="234" t="s">
        <v>1934</v>
      </c>
      <c r="C1060" s="234" t="s">
        <v>1934</v>
      </c>
      <c r="D1060" s="249" t="s">
        <v>1939</v>
      </c>
      <c r="E1060" s="267" t="s">
        <v>2250</v>
      </c>
      <c r="F1060" s="234" t="s">
        <v>620</v>
      </c>
      <c r="G1060" s="261">
        <v>2016</v>
      </c>
      <c r="H1060" s="342" t="s">
        <v>734</v>
      </c>
      <c r="I1060" s="337" t="str">
        <f t="shared" si="58"/>
        <v>Pesado de Mercadorias N3: Geral : Gasóleo : E5</v>
      </c>
      <c r="J1060" s="234"/>
      <c r="K1060" s="260">
        <v>2022</v>
      </c>
      <c r="L1060" s="234">
        <v>30668.58</v>
      </c>
      <c r="M1060" s="234" t="s">
        <v>630</v>
      </c>
      <c r="N1060" s="234">
        <v>70661</v>
      </c>
      <c r="O1060" s="128">
        <f t="shared" si="59"/>
        <v>0</v>
      </c>
      <c r="P1060" s="261"/>
      <c r="Q1060" s="234" t="s">
        <v>2220</v>
      </c>
      <c r="R1060" s="220" t="s">
        <v>1888</v>
      </c>
      <c r="S1060" s="220" t="s">
        <v>1861</v>
      </c>
      <c r="T1060" s="234" t="s">
        <v>1945</v>
      </c>
      <c r="U1060" t="s">
        <v>1972</v>
      </c>
      <c r="V1060" t="s">
        <v>2832</v>
      </c>
    </row>
    <row r="1061" spans="1:22" ht="15.75" thickBot="1" x14ac:dyDescent="0.3">
      <c r="A1061" s="234" t="s">
        <v>1934</v>
      </c>
      <c r="B1061" s="234" t="s">
        <v>1934</v>
      </c>
      <c r="C1061" s="234" t="s">
        <v>1934</v>
      </c>
      <c r="D1061" s="249" t="s">
        <v>1939</v>
      </c>
      <c r="E1061" s="267" t="s">
        <v>2250</v>
      </c>
      <c r="F1061" s="234" t="s">
        <v>620</v>
      </c>
      <c r="G1061" s="261">
        <v>2016</v>
      </c>
      <c r="H1061" s="342" t="s">
        <v>734</v>
      </c>
      <c r="I1061" s="337" t="str">
        <f t="shared" si="58"/>
        <v>Pesado de Mercadorias N3: Geral : Gasóleo : E5</v>
      </c>
      <c r="J1061" s="234"/>
      <c r="K1061" s="260">
        <v>2022</v>
      </c>
      <c r="L1061" s="234">
        <v>24350.560000000001</v>
      </c>
      <c r="M1061" s="234" t="s">
        <v>630</v>
      </c>
      <c r="N1061" s="234">
        <v>58630</v>
      </c>
      <c r="O1061" s="128">
        <f t="shared" si="59"/>
        <v>0</v>
      </c>
      <c r="P1061" s="261"/>
      <c r="Q1061" s="234" t="s">
        <v>2220</v>
      </c>
      <c r="R1061" s="220" t="s">
        <v>1888</v>
      </c>
      <c r="S1061" s="220" t="s">
        <v>1861</v>
      </c>
      <c r="T1061" s="234" t="s">
        <v>1945</v>
      </c>
      <c r="U1061" t="s">
        <v>1972</v>
      </c>
      <c r="V1061" t="s">
        <v>2832</v>
      </c>
    </row>
    <row r="1062" spans="1:22" ht="15.75" thickBot="1" x14ac:dyDescent="0.3">
      <c r="A1062" s="234" t="s">
        <v>1934</v>
      </c>
      <c r="B1062" s="234" t="s">
        <v>1934</v>
      </c>
      <c r="C1062" s="234" t="s">
        <v>1934</v>
      </c>
      <c r="D1062" s="249" t="s">
        <v>1939</v>
      </c>
      <c r="E1062" s="267" t="s">
        <v>2250</v>
      </c>
      <c r="F1062" s="234" t="s">
        <v>620</v>
      </c>
      <c r="G1062" s="261">
        <v>2016</v>
      </c>
      <c r="H1062" s="342" t="s">
        <v>734</v>
      </c>
      <c r="I1062" s="337" t="str">
        <f t="shared" si="58"/>
        <v>Pesado de Mercadorias N3: Geral : Gasóleo : E5</v>
      </c>
      <c r="J1062" s="234"/>
      <c r="K1062" s="260">
        <v>2022</v>
      </c>
      <c r="L1062" s="234">
        <v>21892.37</v>
      </c>
      <c r="M1062" s="234" t="s">
        <v>630</v>
      </c>
      <c r="N1062" s="234">
        <v>55897</v>
      </c>
      <c r="O1062" s="128">
        <f t="shared" si="59"/>
        <v>0</v>
      </c>
      <c r="P1062" s="261"/>
      <c r="Q1062" s="234" t="s">
        <v>2220</v>
      </c>
      <c r="R1062" s="220" t="s">
        <v>1888</v>
      </c>
      <c r="S1062" s="220" t="s">
        <v>1861</v>
      </c>
      <c r="T1062" s="234" t="s">
        <v>1945</v>
      </c>
      <c r="U1062" t="s">
        <v>1972</v>
      </c>
      <c r="V1062" t="s">
        <v>2832</v>
      </c>
    </row>
    <row r="1063" spans="1:22" ht="15.75" thickBot="1" x14ac:dyDescent="0.3">
      <c r="A1063" s="234" t="s">
        <v>1934</v>
      </c>
      <c r="B1063" s="234" t="s">
        <v>1934</v>
      </c>
      <c r="C1063" s="234" t="s">
        <v>1934</v>
      </c>
      <c r="D1063" s="249" t="s">
        <v>1939</v>
      </c>
      <c r="E1063" s="267" t="s">
        <v>2250</v>
      </c>
      <c r="F1063" s="234" t="s">
        <v>620</v>
      </c>
      <c r="G1063" s="261">
        <v>2016</v>
      </c>
      <c r="H1063" s="342" t="s">
        <v>734</v>
      </c>
      <c r="I1063" s="337" t="str">
        <f t="shared" si="58"/>
        <v>Pesado de Mercadorias N3: Geral : Gasóleo : E5</v>
      </c>
      <c r="J1063" s="234"/>
      <c r="K1063" s="260">
        <v>2022</v>
      </c>
      <c r="L1063" s="234">
        <v>11833.79</v>
      </c>
      <c r="M1063" s="234" t="s">
        <v>630</v>
      </c>
      <c r="N1063" s="234">
        <v>30014</v>
      </c>
      <c r="O1063" s="128">
        <f t="shared" si="59"/>
        <v>0</v>
      </c>
      <c r="P1063" s="261"/>
      <c r="Q1063" s="234" t="s">
        <v>2220</v>
      </c>
      <c r="R1063" s="220" t="s">
        <v>1888</v>
      </c>
      <c r="S1063" s="220" t="s">
        <v>1861</v>
      </c>
      <c r="T1063" s="234" t="s">
        <v>1945</v>
      </c>
      <c r="U1063" t="s">
        <v>1972</v>
      </c>
      <c r="V1063" t="s">
        <v>2832</v>
      </c>
    </row>
    <row r="1064" spans="1:22" ht="15.75" thickBot="1" x14ac:dyDescent="0.3">
      <c r="A1064" s="234" t="s">
        <v>1934</v>
      </c>
      <c r="B1064" s="234" t="s">
        <v>1934</v>
      </c>
      <c r="C1064" s="234" t="s">
        <v>1934</v>
      </c>
      <c r="D1064" s="249" t="s">
        <v>1939</v>
      </c>
      <c r="E1064" s="267" t="s">
        <v>2250</v>
      </c>
      <c r="F1064" s="234" t="s">
        <v>620</v>
      </c>
      <c r="G1064" s="261">
        <v>2016</v>
      </c>
      <c r="H1064" s="342" t="s">
        <v>733</v>
      </c>
      <c r="I1064" s="337" t="str">
        <f t="shared" si="58"/>
        <v>Pesado de Mercadorias N3: Geral : Gasóleo : E6</v>
      </c>
      <c r="J1064" s="234"/>
      <c r="K1064" s="260">
        <v>2022</v>
      </c>
      <c r="L1064" s="234">
        <v>48507.68</v>
      </c>
      <c r="M1064" s="234" t="s">
        <v>630</v>
      </c>
      <c r="N1064" s="234">
        <v>144160</v>
      </c>
      <c r="O1064" s="128">
        <f t="shared" si="59"/>
        <v>0</v>
      </c>
      <c r="P1064" s="261"/>
      <c r="Q1064" s="234" t="s">
        <v>2220</v>
      </c>
      <c r="R1064" s="220" t="s">
        <v>1888</v>
      </c>
      <c r="S1064" s="220" t="s">
        <v>1861</v>
      </c>
      <c r="T1064" s="234" t="s">
        <v>1945</v>
      </c>
      <c r="U1064" t="s">
        <v>1972</v>
      </c>
      <c r="V1064" t="s">
        <v>2832</v>
      </c>
    </row>
    <row r="1065" spans="1:22" ht="15.75" thickBot="1" x14ac:dyDescent="0.3">
      <c r="A1065" s="234" t="s">
        <v>1934</v>
      </c>
      <c r="B1065" s="234" t="s">
        <v>1934</v>
      </c>
      <c r="C1065" s="234" t="s">
        <v>1934</v>
      </c>
      <c r="D1065" s="249" t="s">
        <v>1939</v>
      </c>
      <c r="E1065" s="267" t="s">
        <v>2250</v>
      </c>
      <c r="F1065" s="234" t="s">
        <v>620</v>
      </c>
      <c r="G1065" s="261">
        <v>2016</v>
      </c>
      <c r="H1065" s="342" t="s">
        <v>733</v>
      </c>
      <c r="I1065" s="337" t="str">
        <f t="shared" si="58"/>
        <v>Pesado de Mercadorias N3: Geral : Gasóleo : E6</v>
      </c>
      <c r="J1065" s="234"/>
      <c r="K1065" s="260">
        <v>2022</v>
      </c>
      <c r="L1065" s="234">
        <v>46088.639999999999</v>
      </c>
      <c r="M1065" s="234" t="s">
        <v>630</v>
      </c>
      <c r="N1065" s="234">
        <v>127390</v>
      </c>
      <c r="O1065" s="128">
        <f t="shared" si="59"/>
        <v>0</v>
      </c>
      <c r="P1065" s="261"/>
      <c r="Q1065" s="234" t="s">
        <v>2220</v>
      </c>
      <c r="R1065" s="220" t="s">
        <v>1888</v>
      </c>
      <c r="S1065" s="220" t="s">
        <v>1861</v>
      </c>
      <c r="T1065" s="234" t="s">
        <v>1945</v>
      </c>
      <c r="U1065" t="s">
        <v>1972</v>
      </c>
      <c r="V1065" t="s">
        <v>2832</v>
      </c>
    </row>
    <row r="1066" spans="1:22" ht="15.75" thickBot="1" x14ac:dyDescent="0.3">
      <c r="A1066" s="234" t="s">
        <v>1934</v>
      </c>
      <c r="B1066" s="234" t="s">
        <v>1934</v>
      </c>
      <c r="C1066" s="234" t="s">
        <v>1934</v>
      </c>
      <c r="D1066" s="249" t="s">
        <v>1939</v>
      </c>
      <c r="E1066" s="267" t="s">
        <v>2250</v>
      </c>
      <c r="F1066" s="234" t="s">
        <v>620</v>
      </c>
      <c r="G1066" s="261">
        <v>2016</v>
      </c>
      <c r="H1066" s="342" t="s">
        <v>733</v>
      </c>
      <c r="I1066" s="337" t="str">
        <f t="shared" si="58"/>
        <v>Pesado de Mercadorias N3: Geral : Gasóleo : E6</v>
      </c>
      <c r="J1066" s="234"/>
      <c r="K1066" s="260">
        <v>2022</v>
      </c>
      <c r="L1066" s="234">
        <v>52366.58</v>
      </c>
      <c r="M1066" s="234" t="s">
        <v>630</v>
      </c>
      <c r="N1066" s="234">
        <v>147408</v>
      </c>
      <c r="O1066" s="128">
        <f t="shared" si="59"/>
        <v>0</v>
      </c>
      <c r="P1066" s="261"/>
      <c r="Q1066" s="234" t="s">
        <v>2220</v>
      </c>
      <c r="R1066" s="220" t="s">
        <v>1888</v>
      </c>
      <c r="S1066" s="220" t="s">
        <v>1861</v>
      </c>
      <c r="T1066" s="234" t="s">
        <v>1945</v>
      </c>
      <c r="U1066" t="s">
        <v>1972</v>
      </c>
      <c r="V1066" t="s">
        <v>2832</v>
      </c>
    </row>
    <row r="1067" spans="1:22" ht="15.75" thickBot="1" x14ac:dyDescent="0.3">
      <c r="A1067" s="234" t="s">
        <v>1934</v>
      </c>
      <c r="B1067" s="234" t="s">
        <v>1934</v>
      </c>
      <c r="C1067" s="234" t="s">
        <v>1934</v>
      </c>
      <c r="D1067" s="249" t="s">
        <v>1939</v>
      </c>
      <c r="E1067" s="267" t="s">
        <v>2250</v>
      </c>
      <c r="F1067" s="234" t="s">
        <v>620</v>
      </c>
      <c r="G1067" s="261">
        <v>2016</v>
      </c>
      <c r="H1067" s="342" t="s">
        <v>733</v>
      </c>
      <c r="I1067" s="337" t="str">
        <f t="shared" si="58"/>
        <v>Pesado de Mercadorias N3: Geral : Gasóleo : E6</v>
      </c>
      <c r="J1067" s="234"/>
      <c r="K1067" s="260">
        <v>2022</v>
      </c>
      <c r="L1067" s="234">
        <v>42959.09</v>
      </c>
      <c r="M1067" s="234" t="s">
        <v>630</v>
      </c>
      <c r="N1067" s="234">
        <v>121682</v>
      </c>
      <c r="O1067" s="128">
        <f t="shared" si="59"/>
        <v>0</v>
      </c>
      <c r="P1067" s="261"/>
      <c r="Q1067" s="234" t="s">
        <v>2220</v>
      </c>
      <c r="R1067" s="220" t="s">
        <v>1888</v>
      </c>
      <c r="S1067" s="220" t="s">
        <v>1861</v>
      </c>
      <c r="T1067" s="234" t="s">
        <v>1945</v>
      </c>
      <c r="U1067" t="s">
        <v>1972</v>
      </c>
      <c r="V1067" t="s">
        <v>2832</v>
      </c>
    </row>
    <row r="1068" spans="1:22" ht="15.75" thickBot="1" x14ac:dyDescent="0.3">
      <c r="A1068" s="234" t="s">
        <v>1934</v>
      </c>
      <c r="B1068" s="234" t="s">
        <v>1934</v>
      </c>
      <c r="C1068" s="234" t="s">
        <v>1934</v>
      </c>
      <c r="D1068" s="249" t="s">
        <v>1939</v>
      </c>
      <c r="E1068" s="267" t="s">
        <v>2250</v>
      </c>
      <c r="F1068" s="234" t="s">
        <v>620</v>
      </c>
      <c r="G1068" s="261">
        <v>2016</v>
      </c>
      <c r="H1068" s="342" t="s">
        <v>733</v>
      </c>
      <c r="I1068" s="337" t="str">
        <f t="shared" si="58"/>
        <v>Pesado de Mercadorias N3: Geral : Gasóleo : E6</v>
      </c>
      <c r="J1068" s="234"/>
      <c r="K1068" s="260">
        <v>2022</v>
      </c>
      <c r="L1068" s="234">
        <v>38298.269999999997</v>
      </c>
      <c r="M1068" s="234" t="s">
        <v>630</v>
      </c>
      <c r="N1068" s="234">
        <v>106134</v>
      </c>
      <c r="O1068" s="128">
        <f t="shared" si="59"/>
        <v>0</v>
      </c>
      <c r="P1068" s="261"/>
      <c r="Q1068" s="234" t="s">
        <v>2220</v>
      </c>
      <c r="R1068" s="220" t="s">
        <v>1888</v>
      </c>
      <c r="S1068" s="220" t="s">
        <v>1861</v>
      </c>
      <c r="T1068" s="234" t="s">
        <v>1945</v>
      </c>
      <c r="U1068" t="s">
        <v>1972</v>
      </c>
      <c r="V1068" t="s">
        <v>2832</v>
      </c>
    </row>
    <row r="1069" spans="1:22" ht="15.75" thickBot="1" x14ac:dyDescent="0.3">
      <c r="A1069" s="234" t="s">
        <v>1934</v>
      </c>
      <c r="B1069" s="234" t="s">
        <v>1934</v>
      </c>
      <c r="C1069" s="234" t="s">
        <v>1934</v>
      </c>
      <c r="D1069" s="249" t="s">
        <v>1939</v>
      </c>
      <c r="E1069" s="267" t="s">
        <v>2250</v>
      </c>
      <c r="F1069" s="234" t="s">
        <v>620</v>
      </c>
      <c r="G1069" s="261">
        <v>2016</v>
      </c>
      <c r="H1069" s="342" t="s">
        <v>733</v>
      </c>
      <c r="I1069" s="337" t="str">
        <f t="shared" si="58"/>
        <v>Pesado de Mercadorias N3: Geral : Gasóleo : E6</v>
      </c>
      <c r="J1069" s="234"/>
      <c r="K1069" s="260">
        <v>2022</v>
      </c>
      <c r="L1069" s="234">
        <v>45004.45</v>
      </c>
      <c r="M1069" s="234" t="s">
        <v>630</v>
      </c>
      <c r="N1069" s="234">
        <v>118458</v>
      </c>
      <c r="O1069" s="128">
        <f t="shared" si="59"/>
        <v>0</v>
      </c>
      <c r="P1069" s="261"/>
      <c r="Q1069" s="234" t="s">
        <v>2220</v>
      </c>
      <c r="R1069" s="220" t="s">
        <v>1888</v>
      </c>
      <c r="S1069" s="220" t="s">
        <v>1861</v>
      </c>
      <c r="T1069" s="234" t="s">
        <v>1945</v>
      </c>
      <c r="U1069" t="s">
        <v>1972</v>
      </c>
      <c r="V1069" t="s">
        <v>2832</v>
      </c>
    </row>
    <row r="1070" spans="1:22" ht="15.75" thickBot="1" x14ac:dyDescent="0.3">
      <c r="A1070" s="234" t="s">
        <v>1934</v>
      </c>
      <c r="B1070" s="234" t="s">
        <v>1934</v>
      </c>
      <c r="C1070" s="234" t="s">
        <v>1934</v>
      </c>
      <c r="D1070" s="249" t="s">
        <v>1939</v>
      </c>
      <c r="E1070" s="267" t="s">
        <v>2250</v>
      </c>
      <c r="F1070" s="234" t="s">
        <v>620</v>
      </c>
      <c r="G1070" s="261">
        <v>2016</v>
      </c>
      <c r="H1070" s="342" t="s">
        <v>733</v>
      </c>
      <c r="I1070" s="337" t="str">
        <f t="shared" si="58"/>
        <v>Pesado de Mercadorias N3: Geral : Gasóleo : E6</v>
      </c>
      <c r="J1070" s="234"/>
      <c r="K1070" s="260">
        <v>2022</v>
      </c>
      <c r="L1070" s="234">
        <v>32004.74</v>
      </c>
      <c r="M1070" s="234" t="s">
        <v>630</v>
      </c>
      <c r="N1070" s="234">
        <v>86475</v>
      </c>
      <c r="O1070" s="128">
        <f t="shared" si="59"/>
        <v>0</v>
      </c>
      <c r="P1070" s="261"/>
      <c r="Q1070" s="234" t="s">
        <v>2220</v>
      </c>
      <c r="R1070" s="220" t="s">
        <v>1888</v>
      </c>
      <c r="S1070" s="220" t="s">
        <v>1861</v>
      </c>
      <c r="T1070" s="234" t="s">
        <v>1945</v>
      </c>
      <c r="U1070" t="s">
        <v>1972</v>
      </c>
      <c r="V1070" t="s">
        <v>2832</v>
      </c>
    </row>
    <row r="1071" spans="1:22" ht="15.75" thickBot="1" x14ac:dyDescent="0.3">
      <c r="A1071" s="234" t="s">
        <v>1934</v>
      </c>
      <c r="B1071" s="234" t="s">
        <v>1934</v>
      </c>
      <c r="C1071" s="234" t="s">
        <v>1934</v>
      </c>
      <c r="D1071" s="249" t="s">
        <v>1939</v>
      </c>
      <c r="E1071" s="267" t="s">
        <v>2250</v>
      </c>
      <c r="F1071" s="234" t="s">
        <v>620</v>
      </c>
      <c r="G1071" s="261">
        <v>2016</v>
      </c>
      <c r="H1071" s="342" t="s">
        <v>733</v>
      </c>
      <c r="I1071" s="337" t="str">
        <f t="shared" si="58"/>
        <v>Pesado de Mercadorias N3: Geral : Gasóleo : E6</v>
      </c>
      <c r="J1071" s="234"/>
      <c r="K1071" s="260">
        <v>2022</v>
      </c>
      <c r="L1071" s="234">
        <v>25654.01</v>
      </c>
      <c r="M1071" s="234" t="s">
        <v>630</v>
      </c>
      <c r="N1071" s="234">
        <v>71888</v>
      </c>
      <c r="O1071" s="128">
        <f t="shared" si="59"/>
        <v>0</v>
      </c>
      <c r="P1071" s="261"/>
      <c r="Q1071" s="234" t="s">
        <v>2220</v>
      </c>
      <c r="R1071" s="220" t="s">
        <v>1888</v>
      </c>
      <c r="S1071" s="220" t="s">
        <v>1861</v>
      </c>
      <c r="T1071" s="234" t="s">
        <v>1945</v>
      </c>
      <c r="U1071" t="s">
        <v>1972</v>
      </c>
      <c r="V1071" t="s">
        <v>2832</v>
      </c>
    </row>
    <row r="1072" spans="1:22" ht="15.75" thickBot="1" x14ac:dyDescent="0.3">
      <c r="A1072" s="234" t="s">
        <v>1934</v>
      </c>
      <c r="B1072" s="234" t="s">
        <v>1934</v>
      </c>
      <c r="C1072" s="234" t="s">
        <v>1934</v>
      </c>
      <c r="D1072" s="249" t="s">
        <v>1939</v>
      </c>
      <c r="E1072" s="267" t="s">
        <v>2250</v>
      </c>
      <c r="F1072" s="234" t="s">
        <v>620</v>
      </c>
      <c r="G1072" s="261">
        <v>2016</v>
      </c>
      <c r="H1072" s="342" t="s">
        <v>733</v>
      </c>
      <c r="I1072" s="337" t="str">
        <f t="shared" si="58"/>
        <v>Pesado de Mercadorias N3: Geral : Gasóleo : E6</v>
      </c>
      <c r="J1072" s="234"/>
      <c r="K1072" s="260">
        <v>2022</v>
      </c>
      <c r="L1072" s="234">
        <v>53786.49</v>
      </c>
      <c r="M1072" s="234" t="s">
        <v>630</v>
      </c>
      <c r="N1072" s="234">
        <v>140290</v>
      </c>
      <c r="O1072" s="128">
        <f t="shared" si="59"/>
        <v>0</v>
      </c>
      <c r="P1072" s="261"/>
      <c r="Q1072" s="234" t="s">
        <v>2220</v>
      </c>
      <c r="R1072" s="220" t="s">
        <v>1888</v>
      </c>
      <c r="S1072" s="220" t="s">
        <v>1861</v>
      </c>
      <c r="T1072" s="234" t="s">
        <v>1945</v>
      </c>
      <c r="U1072" t="s">
        <v>1972</v>
      </c>
      <c r="V1072" t="s">
        <v>2832</v>
      </c>
    </row>
    <row r="1073" spans="1:22" ht="15.75" thickBot="1" x14ac:dyDescent="0.3">
      <c r="A1073" s="234" t="s">
        <v>1934</v>
      </c>
      <c r="B1073" s="234" t="s">
        <v>1934</v>
      </c>
      <c r="C1073" s="234" t="s">
        <v>1934</v>
      </c>
      <c r="D1073" s="249" t="s">
        <v>1939</v>
      </c>
      <c r="E1073" s="267" t="s">
        <v>2250</v>
      </c>
      <c r="F1073" s="234" t="s">
        <v>620</v>
      </c>
      <c r="G1073" s="261">
        <v>2016</v>
      </c>
      <c r="H1073" s="342" t="s">
        <v>733</v>
      </c>
      <c r="I1073" s="337" t="str">
        <f t="shared" si="58"/>
        <v>Pesado de Mercadorias N3: Geral : Gasóleo : E6</v>
      </c>
      <c r="J1073" s="234"/>
      <c r="K1073" s="260">
        <v>2022</v>
      </c>
      <c r="L1073" s="234">
        <v>47155.97</v>
      </c>
      <c r="M1073" s="234" t="s">
        <v>630</v>
      </c>
      <c r="N1073" s="234">
        <v>132738</v>
      </c>
      <c r="O1073" s="128">
        <f t="shared" si="59"/>
        <v>0</v>
      </c>
      <c r="P1073" s="261"/>
      <c r="Q1073" s="234" t="s">
        <v>2220</v>
      </c>
      <c r="R1073" s="220" t="s">
        <v>1888</v>
      </c>
      <c r="S1073" s="220" t="s">
        <v>1861</v>
      </c>
      <c r="T1073" s="234" t="s">
        <v>1945</v>
      </c>
      <c r="U1073" t="s">
        <v>1972</v>
      </c>
      <c r="V1073" t="s">
        <v>2832</v>
      </c>
    </row>
    <row r="1074" spans="1:22" ht="15.75" thickBot="1" x14ac:dyDescent="0.3">
      <c r="A1074" s="234" t="s">
        <v>1934</v>
      </c>
      <c r="B1074" s="234" t="s">
        <v>1934</v>
      </c>
      <c r="C1074" s="234" t="s">
        <v>1934</v>
      </c>
      <c r="D1074" s="249" t="s">
        <v>1939</v>
      </c>
      <c r="E1074" s="267" t="s">
        <v>2250</v>
      </c>
      <c r="F1074" s="234" t="s">
        <v>620</v>
      </c>
      <c r="G1074" s="261">
        <v>2016</v>
      </c>
      <c r="H1074" s="342" t="s">
        <v>733</v>
      </c>
      <c r="I1074" s="337" t="str">
        <f t="shared" si="58"/>
        <v>Pesado de Mercadorias N3: Geral : Gasóleo : E6</v>
      </c>
      <c r="J1074" s="234"/>
      <c r="K1074" s="260">
        <v>2022</v>
      </c>
      <c r="L1074" s="234">
        <v>43797.48</v>
      </c>
      <c r="M1074" s="234" t="s">
        <v>630</v>
      </c>
      <c r="N1074" s="234">
        <v>122723</v>
      </c>
      <c r="O1074" s="128">
        <f t="shared" si="59"/>
        <v>0</v>
      </c>
      <c r="P1074" s="261"/>
      <c r="Q1074" s="234" t="s">
        <v>2220</v>
      </c>
      <c r="R1074" s="220" t="s">
        <v>1888</v>
      </c>
      <c r="S1074" s="220" t="s">
        <v>1861</v>
      </c>
      <c r="T1074" s="234" t="s">
        <v>1945</v>
      </c>
      <c r="U1074" t="s">
        <v>1972</v>
      </c>
      <c r="V1074" t="s">
        <v>2832</v>
      </c>
    </row>
    <row r="1075" spans="1:22" ht="15.75" thickBot="1" x14ac:dyDescent="0.3">
      <c r="A1075" s="234" t="s">
        <v>1934</v>
      </c>
      <c r="B1075" s="234" t="s">
        <v>1934</v>
      </c>
      <c r="C1075" s="234" t="s">
        <v>1934</v>
      </c>
      <c r="D1075" s="249" t="s">
        <v>1939</v>
      </c>
      <c r="E1075" s="267" t="s">
        <v>2250</v>
      </c>
      <c r="F1075" s="234" t="s">
        <v>620</v>
      </c>
      <c r="G1075" s="261">
        <v>2016</v>
      </c>
      <c r="H1075" s="342" t="s">
        <v>733</v>
      </c>
      <c r="I1075" s="337" t="str">
        <f t="shared" si="58"/>
        <v>Pesado de Mercadorias N3: Geral : Gasóleo : E6</v>
      </c>
      <c r="J1075" s="234"/>
      <c r="K1075" s="260">
        <v>2022</v>
      </c>
      <c r="L1075" s="234">
        <v>35324.28</v>
      </c>
      <c r="M1075" s="234" t="s">
        <v>630</v>
      </c>
      <c r="N1075" s="234">
        <v>100333</v>
      </c>
      <c r="O1075" s="128">
        <f t="shared" si="59"/>
        <v>0</v>
      </c>
      <c r="P1075" s="261"/>
      <c r="Q1075" s="234" t="s">
        <v>2220</v>
      </c>
      <c r="R1075" s="220" t="s">
        <v>1888</v>
      </c>
      <c r="S1075" s="220" t="s">
        <v>1861</v>
      </c>
      <c r="T1075" s="234" t="s">
        <v>1945</v>
      </c>
      <c r="U1075" t="s">
        <v>1972</v>
      </c>
      <c r="V1075" t="s">
        <v>2832</v>
      </c>
    </row>
    <row r="1076" spans="1:22" ht="15.75" thickBot="1" x14ac:dyDescent="0.3">
      <c r="A1076" s="234" t="s">
        <v>1934</v>
      </c>
      <c r="B1076" s="234" t="s">
        <v>1934</v>
      </c>
      <c r="C1076" s="234" t="s">
        <v>1934</v>
      </c>
      <c r="D1076" s="249" t="s">
        <v>1939</v>
      </c>
      <c r="E1076" s="267" t="s">
        <v>2250</v>
      </c>
      <c r="F1076" s="234" t="s">
        <v>620</v>
      </c>
      <c r="G1076" s="261">
        <v>2016</v>
      </c>
      <c r="H1076" s="342" t="s">
        <v>733</v>
      </c>
      <c r="I1076" s="337" t="str">
        <f t="shared" si="58"/>
        <v>Pesado de Mercadorias N3: Geral : Gasóleo : E6</v>
      </c>
      <c r="J1076" s="234"/>
      <c r="K1076" s="260">
        <v>2022</v>
      </c>
      <c r="L1076" s="234">
        <v>47140.06</v>
      </c>
      <c r="M1076" s="234" t="s">
        <v>630</v>
      </c>
      <c r="N1076" s="234">
        <v>130213</v>
      </c>
      <c r="O1076" s="128">
        <f t="shared" si="59"/>
        <v>0</v>
      </c>
      <c r="P1076" s="261"/>
      <c r="Q1076" s="234" t="s">
        <v>2220</v>
      </c>
      <c r="R1076" s="220" t="s">
        <v>1888</v>
      </c>
      <c r="S1076" s="220" t="s">
        <v>1861</v>
      </c>
      <c r="T1076" s="234" t="s">
        <v>1945</v>
      </c>
      <c r="U1076" t="s">
        <v>1972</v>
      </c>
      <c r="V1076" t="s">
        <v>2832</v>
      </c>
    </row>
    <row r="1077" spans="1:22" ht="15.75" thickBot="1" x14ac:dyDescent="0.3">
      <c r="A1077" s="234" t="s">
        <v>1934</v>
      </c>
      <c r="B1077" s="234" t="s">
        <v>1934</v>
      </c>
      <c r="C1077" s="234" t="s">
        <v>1934</v>
      </c>
      <c r="D1077" s="249" t="s">
        <v>1939</v>
      </c>
      <c r="E1077" s="267" t="s">
        <v>2250</v>
      </c>
      <c r="F1077" s="234" t="s">
        <v>620</v>
      </c>
      <c r="G1077" s="261">
        <v>2016</v>
      </c>
      <c r="H1077" s="342" t="s">
        <v>733</v>
      </c>
      <c r="I1077" s="337" t="str">
        <f t="shared" si="58"/>
        <v>Pesado de Mercadorias N3: Geral : Gasóleo : E6</v>
      </c>
      <c r="J1077" s="234"/>
      <c r="K1077" s="260">
        <v>2022</v>
      </c>
      <c r="L1077" s="234">
        <v>4846.13</v>
      </c>
      <c r="M1077" s="234" t="s">
        <v>630</v>
      </c>
      <c r="N1077" s="234">
        <v>13672</v>
      </c>
      <c r="O1077" s="128">
        <f t="shared" si="59"/>
        <v>0</v>
      </c>
      <c r="P1077" s="261"/>
      <c r="Q1077" s="234" t="s">
        <v>2220</v>
      </c>
      <c r="R1077" s="220" t="s">
        <v>1888</v>
      </c>
      <c r="S1077" s="220" t="s">
        <v>1861</v>
      </c>
      <c r="T1077" s="234" t="s">
        <v>1945</v>
      </c>
      <c r="U1077" t="s">
        <v>1972</v>
      </c>
      <c r="V1077" t="s">
        <v>2832</v>
      </c>
    </row>
    <row r="1078" spans="1:22" ht="15.75" thickBot="1" x14ac:dyDescent="0.3">
      <c r="A1078" s="234" t="s">
        <v>1934</v>
      </c>
      <c r="B1078" s="234" t="s">
        <v>1934</v>
      </c>
      <c r="C1078" s="234" t="s">
        <v>1934</v>
      </c>
      <c r="D1078" s="249" t="s">
        <v>1939</v>
      </c>
      <c r="E1078" s="267" t="s">
        <v>2250</v>
      </c>
      <c r="F1078" s="234" t="s">
        <v>620</v>
      </c>
      <c r="G1078" s="261">
        <v>2016</v>
      </c>
      <c r="H1078" s="342" t="s">
        <v>733</v>
      </c>
      <c r="I1078" s="337" t="str">
        <f t="shared" si="58"/>
        <v>Pesado de Mercadorias N3: Geral : Gasóleo : E6</v>
      </c>
      <c r="J1078" s="234"/>
      <c r="K1078" s="260">
        <v>2022</v>
      </c>
      <c r="L1078" s="234">
        <v>37385.61</v>
      </c>
      <c r="M1078" s="234" t="s">
        <v>630</v>
      </c>
      <c r="N1078" s="234">
        <v>100320</v>
      </c>
      <c r="O1078" s="128">
        <f t="shared" si="59"/>
        <v>0</v>
      </c>
      <c r="P1078" s="261"/>
      <c r="Q1078" s="234" t="s">
        <v>2220</v>
      </c>
      <c r="R1078" s="220" t="s">
        <v>1888</v>
      </c>
      <c r="S1078" s="220" t="s">
        <v>1861</v>
      </c>
      <c r="T1078" s="234" t="s">
        <v>1945</v>
      </c>
      <c r="U1078" t="s">
        <v>1972</v>
      </c>
      <c r="V1078" t="s">
        <v>2832</v>
      </c>
    </row>
    <row r="1079" spans="1:22" ht="15.75" thickBot="1" x14ac:dyDescent="0.3">
      <c r="A1079" s="234" t="s">
        <v>1934</v>
      </c>
      <c r="B1079" s="234" t="s">
        <v>1934</v>
      </c>
      <c r="C1079" s="234" t="s">
        <v>1934</v>
      </c>
      <c r="D1079" s="249" t="s">
        <v>1939</v>
      </c>
      <c r="E1079" s="267" t="s">
        <v>2250</v>
      </c>
      <c r="F1079" s="234" t="s">
        <v>620</v>
      </c>
      <c r="G1079" s="261">
        <v>2016</v>
      </c>
      <c r="H1079" s="342" t="s">
        <v>733</v>
      </c>
      <c r="I1079" s="337" t="str">
        <f t="shared" si="58"/>
        <v>Pesado de Mercadorias N3: Geral : Gasóleo : E6</v>
      </c>
      <c r="J1079" s="234"/>
      <c r="K1079" s="260">
        <v>2022</v>
      </c>
      <c r="L1079" s="234">
        <v>52791.57</v>
      </c>
      <c r="M1079" s="234" t="s">
        <v>630</v>
      </c>
      <c r="N1079" s="234">
        <v>154429</v>
      </c>
      <c r="O1079" s="128">
        <f t="shared" si="59"/>
        <v>0</v>
      </c>
      <c r="P1079" s="261"/>
      <c r="Q1079" s="234" t="s">
        <v>2220</v>
      </c>
      <c r="R1079" s="220" t="s">
        <v>1888</v>
      </c>
      <c r="S1079" s="220" t="s">
        <v>1861</v>
      </c>
      <c r="T1079" s="234" t="s">
        <v>1945</v>
      </c>
      <c r="U1079" t="s">
        <v>1972</v>
      </c>
      <c r="V1079" t="s">
        <v>2832</v>
      </c>
    </row>
    <row r="1080" spans="1:22" ht="15.75" thickBot="1" x14ac:dyDescent="0.3">
      <c r="A1080" s="234" t="s">
        <v>1934</v>
      </c>
      <c r="B1080" s="234" t="s">
        <v>1934</v>
      </c>
      <c r="C1080" s="234" t="s">
        <v>1934</v>
      </c>
      <c r="D1080" s="249" t="s">
        <v>1939</v>
      </c>
      <c r="E1080" s="267" t="s">
        <v>2250</v>
      </c>
      <c r="F1080" s="234" t="s">
        <v>620</v>
      </c>
      <c r="G1080" s="261">
        <v>2016</v>
      </c>
      <c r="H1080" s="342" t="s">
        <v>733</v>
      </c>
      <c r="I1080" s="337" t="str">
        <f t="shared" si="58"/>
        <v>Pesado de Mercadorias N3: Geral : Gasóleo : E6</v>
      </c>
      <c r="J1080" s="234"/>
      <c r="K1080" s="260">
        <v>2022</v>
      </c>
      <c r="L1080" s="234">
        <v>42610.69</v>
      </c>
      <c r="M1080" s="234" t="s">
        <v>630</v>
      </c>
      <c r="N1080" s="234">
        <v>122143</v>
      </c>
      <c r="O1080" s="128">
        <f t="shared" si="59"/>
        <v>0</v>
      </c>
      <c r="P1080" s="261"/>
      <c r="Q1080" s="234" t="s">
        <v>2220</v>
      </c>
      <c r="R1080" s="220" t="s">
        <v>1888</v>
      </c>
      <c r="S1080" s="220" t="s">
        <v>1861</v>
      </c>
      <c r="T1080" s="234" t="s">
        <v>1945</v>
      </c>
      <c r="U1080" t="s">
        <v>1972</v>
      </c>
      <c r="V1080" t="s">
        <v>2832</v>
      </c>
    </row>
    <row r="1081" spans="1:22" ht="15.75" thickBot="1" x14ac:dyDescent="0.3">
      <c r="A1081" s="234" t="s">
        <v>1934</v>
      </c>
      <c r="B1081" s="234" t="s">
        <v>1934</v>
      </c>
      <c r="C1081" s="234" t="s">
        <v>1934</v>
      </c>
      <c r="D1081" s="249" t="s">
        <v>1939</v>
      </c>
      <c r="E1081" s="267" t="s">
        <v>2250</v>
      </c>
      <c r="F1081" s="234" t="s">
        <v>620</v>
      </c>
      <c r="G1081" s="261">
        <v>2016</v>
      </c>
      <c r="H1081" s="342" t="s">
        <v>733</v>
      </c>
      <c r="I1081" s="337" t="str">
        <f t="shared" si="58"/>
        <v>Pesado de Mercadorias N3: Geral : Gasóleo : E6</v>
      </c>
      <c r="J1081" s="234"/>
      <c r="K1081" s="260">
        <v>2022</v>
      </c>
      <c r="L1081" s="234">
        <v>42111.48</v>
      </c>
      <c r="M1081" s="234" t="s">
        <v>630</v>
      </c>
      <c r="N1081" s="234">
        <v>119395</v>
      </c>
      <c r="O1081" s="128">
        <f t="shared" si="59"/>
        <v>0</v>
      </c>
      <c r="P1081" s="261"/>
      <c r="Q1081" s="234" t="s">
        <v>2220</v>
      </c>
      <c r="R1081" s="220" t="s">
        <v>1888</v>
      </c>
      <c r="S1081" s="220" t="s">
        <v>1861</v>
      </c>
      <c r="T1081" s="234" t="s">
        <v>1945</v>
      </c>
      <c r="U1081" t="s">
        <v>1972</v>
      </c>
      <c r="V1081" t="s">
        <v>2832</v>
      </c>
    </row>
    <row r="1082" spans="1:22" ht="15.75" thickBot="1" x14ac:dyDescent="0.3">
      <c r="A1082" s="234" t="s">
        <v>1934</v>
      </c>
      <c r="B1082" s="234" t="s">
        <v>1934</v>
      </c>
      <c r="C1082" s="234" t="s">
        <v>1934</v>
      </c>
      <c r="D1082" s="249" t="s">
        <v>1939</v>
      </c>
      <c r="E1082" s="267" t="s">
        <v>2250</v>
      </c>
      <c r="F1082" s="234" t="s">
        <v>620</v>
      </c>
      <c r="G1082" s="261">
        <v>2016</v>
      </c>
      <c r="H1082" s="342" t="s">
        <v>733</v>
      </c>
      <c r="I1082" s="337" t="str">
        <f t="shared" si="58"/>
        <v>Pesado de Mercadorias N3: Geral : Gasóleo : E6</v>
      </c>
      <c r="J1082" s="234"/>
      <c r="K1082" s="260">
        <v>2022</v>
      </c>
      <c r="L1082" s="234">
        <v>52248.42</v>
      </c>
      <c r="M1082" s="234" t="s">
        <v>630</v>
      </c>
      <c r="N1082" s="234">
        <v>143961</v>
      </c>
      <c r="O1082" s="128">
        <f t="shared" si="59"/>
        <v>0</v>
      </c>
      <c r="P1082" s="261"/>
      <c r="Q1082" s="234" t="s">
        <v>2220</v>
      </c>
      <c r="R1082" s="220" t="s">
        <v>1888</v>
      </c>
      <c r="S1082" s="220" t="s">
        <v>1861</v>
      </c>
      <c r="T1082" s="234" t="s">
        <v>1945</v>
      </c>
      <c r="U1082" t="s">
        <v>1972</v>
      </c>
      <c r="V1082" t="s">
        <v>2832</v>
      </c>
    </row>
    <row r="1083" spans="1:22" ht="15.75" thickBot="1" x14ac:dyDescent="0.3">
      <c r="A1083" s="234" t="s">
        <v>1934</v>
      </c>
      <c r="B1083" s="234" t="s">
        <v>1934</v>
      </c>
      <c r="C1083" s="234" t="s">
        <v>1934</v>
      </c>
      <c r="D1083" s="249" t="s">
        <v>1939</v>
      </c>
      <c r="E1083" s="267" t="s">
        <v>2250</v>
      </c>
      <c r="F1083" s="234" t="s">
        <v>620</v>
      </c>
      <c r="G1083" s="261">
        <v>2016</v>
      </c>
      <c r="H1083" s="342" t="s">
        <v>733</v>
      </c>
      <c r="I1083" s="337" t="str">
        <f t="shared" si="58"/>
        <v>Pesado de Mercadorias N3: Geral : Gasóleo : E6</v>
      </c>
      <c r="J1083" s="234"/>
      <c r="K1083" s="260">
        <v>2022</v>
      </c>
      <c r="L1083" s="234">
        <v>30918.03</v>
      </c>
      <c r="M1083" s="234" t="s">
        <v>630</v>
      </c>
      <c r="N1083" s="234">
        <v>82078</v>
      </c>
      <c r="O1083" s="128">
        <f t="shared" si="59"/>
        <v>0</v>
      </c>
      <c r="P1083" s="261"/>
      <c r="Q1083" s="234" t="s">
        <v>2220</v>
      </c>
      <c r="R1083" s="220" t="s">
        <v>1888</v>
      </c>
      <c r="S1083" s="220" t="s">
        <v>1861</v>
      </c>
      <c r="T1083" s="234" t="s">
        <v>1945</v>
      </c>
      <c r="U1083" t="s">
        <v>1972</v>
      </c>
      <c r="V1083" t="s">
        <v>2832</v>
      </c>
    </row>
    <row r="1084" spans="1:22" ht="15.75" thickBot="1" x14ac:dyDescent="0.3">
      <c r="A1084" s="234" t="s">
        <v>1934</v>
      </c>
      <c r="B1084" s="234" t="s">
        <v>1934</v>
      </c>
      <c r="C1084" s="234" t="s">
        <v>1934</v>
      </c>
      <c r="D1084" s="249" t="s">
        <v>1939</v>
      </c>
      <c r="E1084" s="267" t="s">
        <v>2250</v>
      </c>
      <c r="F1084" s="234" t="s">
        <v>620</v>
      </c>
      <c r="G1084" s="261">
        <v>2016</v>
      </c>
      <c r="H1084" s="342" t="s">
        <v>733</v>
      </c>
      <c r="I1084" s="337" t="str">
        <f t="shared" si="58"/>
        <v>Pesado de Mercadorias N3: Geral : Gasóleo : E6</v>
      </c>
      <c r="J1084" s="234"/>
      <c r="K1084" s="260">
        <v>2022</v>
      </c>
      <c r="L1084" s="234">
        <v>30340.75</v>
      </c>
      <c r="M1084" s="234" t="s">
        <v>630</v>
      </c>
      <c r="N1084" s="234">
        <v>79421</v>
      </c>
      <c r="O1084" s="128">
        <f t="shared" si="59"/>
        <v>0</v>
      </c>
      <c r="P1084" s="261"/>
      <c r="Q1084" s="234" t="s">
        <v>2220</v>
      </c>
      <c r="R1084" s="220" t="s">
        <v>1888</v>
      </c>
      <c r="S1084" s="220" t="s">
        <v>1861</v>
      </c>
      <c r="T1084" s="234" t="s">
        <v>1945</v>
      </c>
      <c r="U1084" t="s">
        <v>1972</v>
      </c>
      <c r="V1084" t="s">
        <v>2832</v>
      </c>
    </row>
    <row r="1085" spans="1:22" ht="15.75" thickBot="1" x14ac:dyDescent="0.3">
      <c r="A1085" s="234" t="s">
        <v>1934</v>
      </c>
      <c r="B1085" s="234" t="s">
        <v>1934</v>
      </c>
      <c r="C1085" s="234" t="s">
        <v>1934</v>
      </c>
      <c r="D1085" s="249" t="s">
        <v>1939</v>
      </c>
      <c r="E1085" s="267" t="s">
        <v>2250</v>
      </c>
      <c r="F1085" s="234" t="s">
        <v>620</v>
      </c>
      <c r="G1085" s="261">
        <v>2016</v>
      </c>
      <c r="H1085" s="342" t="s">
        <v>733</v>
      </c>
      <c r="I1085" s="337" t="str">
        <f t="shared" si="58"/>
        <v>Pesado de Mercadorias N3: Geral : Gasóleo : E6</v>
      </c>
      <c r="J1085" s="234"/>
      <c r="K1085" s="260">
        <v>2022</v>
      </c>
      <c r="L1085" s="234">
        <v>55905.14</v>
      </c>
      <c r="M1085" s="234" t="s">
        <v>630</v>
      </c>
      <c r="N1085" s="234">
        <v>149718</v>
      </c>
      <c r="O1085" s="128">
        <f t="shared" si="59"/>
        <v>0</v>
      </c>
      <c r="P1085" s="261"/>
      <c r="Q1085" s="234" t="s">
        <v>2220</v>
      </c>
      <c r="R1085" s="220" t="s">
        <v>1888</v>
      </c>
      <c r="S1085" s="220" t="s">
        <v>1861</v>
      </c>
      <c r="T1085" s="234" t="s">
        <v>1945</v>
      </c>
      <c r="U1085" t="s">
        <v>1972</v>
      </c>
      <c r="V1085" t="s">
        <v>2832</v>
      </c>
    </row>
    <row r="1086" spans="1:22" ht="15.75" thickBot="1" x14ac:dyDescent="0.3">
      <c r="A1086" s="234" t="s">
        <v>1934</v>
      </c>
      <c r="B1086" s="234" t="s">
        <v>1934</v>
      </c>
      <c r="C1086" s="234" t="s">
        <v>1934</v>
      </c>
      <c r="D1086" s="249" t="s">
        <v>1939</v>
      </c>
      <c r="E1086" s="267" t="s">
        <v>2250</v>
      </c>
      <c r="F1086" s="234" t="s">
        <v>620</v>
      </c>
      <c r="G1086" s="261">
        <v>2016</v>
      </c>
      <c r="H1086" s="342" t="s">
        <v>733</v>
      </c>
      <c r="I1086" s="337" t="str">
        <f t="shared" si="58"/>
        <v>Pesado de Mercadorias N3: Geral : Gasóleo : E6</v>
      </c>
      <c r="J1086" s="234"/>
      <c r="K1086" s="260">
        <v>2022</v>
      </c>
      <c r="L1086" s="234">
        <v>34425.050000000003</v>
      </c>
      <c r="M1086" s="234" t="s">
        <v>630</v>
      </c>
      <c r="N1086" s="234">
        <v>92650</v>
      </c>
      <c r="O1086" s="128">
        <f t="shared" si="59"/>
        <v>0</v>
      </c>
      <c r="P1086" s="261"/>
      <c r="Q1086" s="234" t="s">
        <v>2220</v>
      </c>
      <c r="R1086" s="220" t="s">
        <v>1888</v>
      </c>
      <c r="S1086" s="220" t="s">
        <v>1861</v>
      </c>
      <c r="T1086" s="234" t="s">
        <v>1945</v>
      </c>
      <c r="U1086" t="s">
        <v>1972</v>
      </c>
      <c r="V1086" t="s">
        <v>2832</v>
      </c>
    </row>
    <row r="1087" spans="1:22" ht="15.75" thickBot="1" x14ac:dyDescent="0.3">
      <c r="A1087" s="234" t="s">
        <v>1934</v>
      </c>
      <c r="B1087" s="234" t="s">
        <v>1934</v>
      </c>
      <c r="C1087" s="234" t="s">
        <v>1934</v>
      </c>
      <c r="D1087" s="249" t="s">
        <v>1939</v>
      </c>
      <c r="E1087" s="267" t="s">
        <v>2250</v>
      </c>
      <c r="F1087" s="234" t="s">
        <v>620</v>
      </c>
      <c r="G1087" s="261">
        <v>2018</v>
      </c>
      <c r="H1087" s="342" t="s">
        <v>733</v>
      </c>
      <c r="I1087" s="337" t="str">
        <f t="shared" si="58"/>
        <v>Pesado de Mercadorias N3: Geral : Gasóleo : E6</v>
      </c>
      <c r="J1087" s="234"/>
      <c r="K1087" s="260">
        <v>2022</v>
      </c>
      <c r="L1087" s="234">
        <v>55806.85</v>
      </c>
      <c r="M1087" s="234" t="s">
        <v>630</v>
      </c>
      <c r="N1087" s="234">
        <v>142108</v>
      </c>
      <c r="O1087" s="128">
        <f t="shared" si="59"/>
        <v>0</v>
      </c>
      <c r="P1087" s="261"/>
      <c r="Q1087" s="234" t="s">
        <v>2220</v>
      </c>
      <c r="R1087" s="220" t="s">
        <v>1888</v>
      </c>
      <c r="S1087" s="220" t="s">
        <v>1861</v>
      </c>
      <c r="T1087" s="234" t="s">
        <v>1945</v>
      </c>
      <c r="U1087" t="s">
        <v>1972</v>
      </c>
      <c r="V1087" t="s">
        <v>2832</v>
      </c>
    </row>
    <row r="1088" spans="1:22" ht="15.75" thickBot="1" x14ac:dyDescent="0.3">
      <c r="A1088" s="234" t="s">
        <v>1934</v>
      </c>
      <c r="B1088" s="234" t="s">
        <v>1934</v>
      </c>
      <c r="C1088" s="234" t="s">
        <v>1934</v>
      </c>
      <c r="D1088" s="249" t="s">
        <v>1939</v>
      </c>
      <c r="E1088" s="267" t="s">
        <v>2250</v>
      </c>
      <c r="F1088" s="234" t="s">
        <v>620</v>
      </c>
      <c r="G1088" s="261">
        <v>2018</v>
      </c>
      <c r="H1088" s="342" t="s">
        <v>733</v>
      </c>
      <c r="I1088" s="337" t="str">
        <f t="shared" si="58"/>
        <v>Pesado de Mercadorias N3: Geral : Gasóleo : E6</v>
      </c>
      <c r="J1088" s="234"/>
      <c r="K1088" s="260">
        <v>2022</v>
      </c>
      <c r="L1088" s="234">
        <v>42967.15</v>
      </c>
      <c r="M1088" s="234" t="s">
        <v>630</v>
      </c>
      <c r="N1088" s="234">
        <v>108249</v>
      </c>
      <c r="O1088" s="128">
        <f t="shared" si="59"/>
        <v>0</v>
      </c>
      <c r="P1088" s="261"/>
      <c r="Q1088" s="234" t="s">
        <v>2220</v>
      </c>
      <c r="R1088" s="220" t="s">
        <v>1888</v>
      </c>
      <c r="S1088" s="220" t="s">
        <v>1861</v>
      </c>
      <c r="T1088" s="234" t="s">
        <v>1945</v>
      </c>
      <c r="U1088" t="s">
        <v>1972</v>
      </c>
      <c r="V1088" t="s">
        <v>2832</v>
      </c>
    </row>
    <row r="1089" spans="1:22" ht="15.75" thickBot="1" x14ac:dyDescent="0.3">
      <c r="A1089" s="234" t="s">
        <v>1934</v>
      </c>
      <c r="B1089" s="234" t="s">
        <v>1934</v>
      </c>
      <c r="C1089" s="234" t="s">
        <v>1934</v>
      </c>
      <c r="D1089" s="249" t="s">
        <v>1939</v>
      </c>
      <c r="E1089" s="267" t="s">
        <v>2250</v>
      </c>
      <c r="F1089" s="234" t="s">
        <v>620</v>
      </c>
      <c r="G1089" s="261">
        <v>2018</v>
      </c>
      <c r="H1089" s="342" t="s">
        <v>733</v>
      </c>
      <c r="I1089" s="337" t="str">
        <f t="shared" si="58"/>
        <v>Pesado de Mercadorias N3: Geral : Gasóleo : E6</v>
      </c>
      <c r="J1089" s="234"/>
      <c r="K1089" s="260">
        <v>2022</v>
      </c>
      <c r="L1089" s="234">
        <v>56929.19</v>
      </c>
      <c r="M1089" s="234" t="s">
        <v>630</v>
      </c>
      <c r="N1089" s="234">
        <v>142049</v>
      </c>
      <c r="O1089" s="128">
        <f t="shared" si="59"/>
        <v>0</v>
      </c>
      <c r="P1089" s="261"/>
      <c r="Q1089" s="234" t="s">
        <v>2220</v>
      </c>
      <c r="R1089" s="220" t="s">
        <v>1888</v>
      </c>
      <c r="S1089" s="220" t="s">
        <v>1861</v>
      </c>
      <c r="T1089" s="234" t="s">
        <v>1945</v>
      </c>
      <c r="U1089" t="s">
        <v>1972</v>
      </c>
      <c r="V1089" t="s">
        <v>2832</v>
      </c>
    </row>
    <row r="1090" spans="1:22" ht="15.75" thickBot="1" x14ac:dyDescent="0.3">
      <c r="A1090" s="234" t="s">
        <v>1934</v>
      </c>
      <c r="B1090" s="234" t="s">
        <v>1934</v>
      </c>
      <c r="C1090" s="234" t="s">
        <v>1934</v>
      </c>
      <c r="D1090" s="249" t="s">
        <v>1939</v>
      </c>
      <c r="E1090" s="267" t="s">
        <v>2250</v>
      </c>
      <c r="F1090" s="234" t="s">
        <v>620</v>
      </c>
      <c r="G1090" s="261">
        <v>2018</v>
      </c>
      <c r="H1090" s="342" t="s">
        <v>733</v>
      </c>
      <c r="I1090" s="337" t="str">
        <f t="shared" si="58"/>
        <v>Pesado de Mercadorias N3: Geral : Gasóleo : E6</v>
      </c>
      <c r="J1090" s="234"/>
      <c r="K1090" s="260">
        <v>2022</v>
      </c>
      <c r="L1090" s="234">
        <v>47981.61</v>
      </c>
      <c r="M1090" s="234" t="s">
        <v>630</v>
      </c>
      <c r="N1090" s="234">
        <v>127161</v>
      </c>
      <c r="O1090" s="128">
        <f t="shared" si="59"/>
        <v>0</v>
      </c>
      <c r="P1090" s="261"/>
      <c r="Q1090" s="234" t="s">
        <v>2220</v>
      </c>
      <c r="R1090" s="220" t="s">
        <v>1888</v>
      </c>
      <c r="S1090" s="220" t="s">
        <v>1861</v>
      </c>
      <c r="T1090" s="234" t="s">
        <v>1945</v>
      </c>
      <c r="U1090" t="s">
        <v>1972</v>
      </c>
      <c r="V1090" t="s">
        <v>2832</v>
      </c>
    </row>
    <row r="1091" spans="1:22" ht="15.75" thickBot="1" x14ac:dyDescent="0.3">
      <c r="A1091" s="234" t="s">
        <v>1934</v>
      </c>
      <c r="B1091" s="234" t="s">
        <v>1934</v>
      </c>
      <c r="C1091" s="234" t="s">
        <v>1934</v>
      </c>
      <c r="D1091" s="249" t="s">
        <v>1939</v>
      </c>
      <c r="E1091" s="267" t="s">
        <v>2250</v>
      </c>
      <c r="F1091" s="234" t="s">
        <v>620</v>
      </c>
      <c r="G1091" s="261">
        <v>2018</v>
      </c>
      <c r="H1091" s="342" t="s">
        <v>733</v>
      </c>
      <c r="I1091" s="337" t="str">
        <f t="shared" si="58"/>
        <v>Pesado de Mercadorias N3: Geral : Gasóleo : E6</v>
      </c>
      <c r="J1091" s="234"/>
      <c r="K1091" s="260">
        <v>2022</v>
      </c>
      <c r="L1091" s="234">
        <v>23867.18</v>
      </c>
      <c r="M1091" s="234" t="s">
        <v>630</v>
      </c>
      <c r="N1091" s="234">
        <v>77998</v>
      </c>
      <c r="O1091" s="128">
        <f t="shared" si="59"/>
        <v>0</v>
      </c>
      <c r="P1091" s="261"/>
      <c r="Q1091" s="234" t="s">
        <v>2220</v>
      </c>
      <c r="R1091" s="220" t="s">
        <v>1888</v>
      </c>
      <c r="S1091" s="220" t="s">
        <v>1861</v>
      </c>
      <c r="T1091" s="234" t="s">
        <v>1945</v>
      </c>
      <c r="U1091" t="s">
        <v>1972</v>
      </c>
      <c r="V1091" t="s">
        <v>2832</v>
      </c>
    </row>
    <row r="1092" spans="1:22" ht="15.75" thickBot="1" x14ac:dyDescent="0.3">
      <c r="A1092" s="234" t="s">
        <v>1934</v>
      </c>
      <c r="B1092" s="234" t="s">
        <v>1934</v>
      </c>
      <c r="C1092" s="234" t="s">
        <v>1934</v>
      </c>
      <c r="D1092" s="249" t="s">
        <v>1939</v>
      </c>
      <c r="E1092" s="267" t="s">
        <v>2250</v>
      </c>
      <c r="F1092" s="234" t="s">
        <v>620</v>
      </c>
      <c r="G1092" s="261">
        <v>2018</v>
      </c>
      <c r="H1092" s="342" t="s">
        <v>733</v>
      </c>
      <c r="I1092" s="337" t="str">
        <f t="shared" ref="I1092:I1155" si="60">D1092&amp;": "&amp;E1092&amp;" : "&amp;F1092&amp;" : "&amp;H1092</f>
        <v>Pesado de Mercadorias N3: Geral : Gasóleo : E6</v>
      </c>
      <c r="J1092" s="234"/>
      <c r="K1092" s="260">
        <v>2022</v>
      </c>
      <c r="L1092" s="234">
        <v>18939.939999999999</v>
      </c>
      <c r="M1092" s="234" t="s">
        <v>630</v>
      </c>
      <c r="N1092" s="234">
        <v>61904</v>
      </c>
      <c r="O1092" s="128">
        <f t="shared" ref="O1092:O1155" si="61">N1092*J1092</f>
        <v>0</v>
      </c>
      <c r="P1092" s="261"/>
      <c r="Q1092" s="234" t="s">
        <v>2220</v>
      </c>
      <c r="R1092" s="220" t="s">
        <v>1888</v>
      </c>
      <c r="S1092" s="220" t="s">
        <v>1861</v>
      </c>
      <c r="T1092" s="234" t="s">
        <v>1945</v>
      </c>
      <c r="U1092" t="s">
        <v>1972</v>
      </c>
      <c r="V1092" t="s">
        <v>2832</v>
      </c>
    </row>
    <row r="1093" spans="1:22" ht="15.75" thickBot="1" x14ac:dyDescent="0.3">
      <c r="A1093" s="234" t="s">
        <v>1934</v>
      </c>
      <c r="B1093" s="234" t="s">
        <v>1934</v>
      </c>
      <c r="C1093" s="234" t="s">
        <v>1934</v>
      </c>
      <c r="D1093" s="249" t="s">
        <v>1939</v>
      </c>
      <c r="E1093" s="267" t="s">
        <v>2250</v>
      </c>
      <c r="F1093" s="234" t="s">
        <v>620</v>
      </c>
      <c r="G1093" s="261">
        <v>2018</v>
      </c>
      <c r="H1093" s="342" t="s">
        <v>733</v>
      </c>
      <c r="I1093" s="337" t="str">
        <f t="shared" si="60"/>
        <v>Pesado de Mercadorias N3: Geral : Gasóleo : E6</v>
      </c>
      <c r="J1093" s="234"/>
      <c r="K1093" s="260">
        <v>2022</v>
      </c>
      <c r="L1093" s="234">
        <v>23377.46</v>
      </c>
      <c r="M1093" s="234" t="s">
        <v>630</v>
      </c>
      <c r="N1093" s="234">
        <v>72853</v>
      </c>
      <c r="O1093" s="128">
        <f t="shared" si="61"/>
        <v>0</v>
      </c>
      <c r="P1093" s="261"/>
      <c r="Q1093" s="234" t="s">
        <v>2220</v>
      </c>
      <c r="R1093" s="220" t="s">
        <v>1888</v>
      </c>
      <c r="S1093" s="220" t="s">
        <v>1861</v>
      </c>
      <c r="T1093" s="234" t="s">
        <v>1945</v>
      </c>
      <c r="U1093" t="s">
        <v>1972</v>
      </c>
      <c r="V1093" t="s">
        <v>2832</v>
      </c>
    </row>
    <row r="1094" spans="1:22" ht="15.75" thickBot="1" x14ac:dyDescent="0.3">
      <c r="A1094" s="234" t="s">
        <v>1934</v>
      </c>
      <c r="B1094" s="234" t="s">
        <v>1934</v>
      </c>
      <c r="C1094" s="234" t="s">
        <v>1934</v>
      </c>
      <c r="D1094" s="249" t="s">
        <v>1939</v>
      </c>
      <c r="E1094" s="267" t="s">
        <v>2250</v>
      </c>
      <c r="F1094" s="234" t="s">
        <v>620</v>
      </c>
      <c r="G1094" s="261">
        <v>2018</v>
      </c>
      <c r="H1094" s="342" t="s">
        <v>733</v>
      </c>
      <c r="I1094" s="337" t="str">
        <f t="shared" si="60"/>
        <v>Pesado de Mercadorias N3: Geral : Gasóleo : E6</v>
      </c>
      <c r="J1094" s="234"/>
      <c r="K1094" s="260">
        <v>2022</v>
      </c>
      <c r="L1094" s="234">
        <v>18985.310000000001</v>
      </c>
      <c r="M1094" s="234" t="s">
        <v>630</v>
      </c>
      <c r="N1094" s="234">
        <v>58131</v>
      </c>
      <c r="O1094" s="128">
        <f t="shared" si="61"/>
        <v>0</v>
      </c>
      <c r="P1094" s="261"/>
      <c r="Q1094" s="234" t="s">
        <v>2220</v>
      </c>
      <c r="R1094" s="220" t="s">
        <v>1888</v>
      </c>
      <c r="S1094" s="220" t="s">
        <v>1861</v>
      </c>
      <c r="T1094" s="234" t="s">
        <v>1945</v>
      </c>
      <c r="U1094" t="s">
        <v>1972</v>
      </c>
      <c r="V1094" t="s">
        <v>2832</v>
      </c>
    </row>
    <row r="1095" spans="1:22" ht="15.75" thickBot="1" x14ac:dyDescent="0.3">
      <c r="A1095" s="234" t="s">
        <v>1934</v>
      </c>
      <c r="B1095" s="234" t="s">
        <v>1934</v>
      </c>
      <c r="C1095" s="234" t="s">
        <v>1934</v>
      </c>
      <c r="D1095" s="249" t="s">
        <v>1939</v>
      </c>
      <c r="E1095" s="267" t="s">
        <v>2250</v>
      </c>
      <c r="F1095" s="234" t="s">
        <v>620</v>
      </c>
      <c r="G1095" s="261">
        <v>2018</v>
      </c>
      <c r="H1095" s="342" t="s">
        <v>733</v>
      </c>
      <c r="I1095" s="337" t="str">
        <f t="shared" si="60"/>
        <v>Pesado de Mercadorias N3: Geral : Gasóleo : E6</v>
      </c>
      <c r="J1095" s="234"/>
      <c r="K1095" s="260">
        <v>2022</v>
      </c>
      <c r="L1095" s="234">
        <v>23860.68</v>
      </c>
      <c r="M1095" s="234" t="s">
        <v>630</v>
      </c>
      <c r="N1095" s="234">
        <v>75030</v>
      </c>
      <c r="O1095" s="128">
        <f t="shared" si="61"/>
        <v>0</v>
      </c>
      <c r="P1095" s="261"/>
      <c r="Q1095" s="234" t="s">
        <v>2220</v>
      </c>
      <c r="R1095" s="220" t="s">
        <v>1888</v>
      </c>
      <c r="S1095" s="220" t="s">
        <v>1861</v>
      </c>
      <c r="T1095" s="234" t="s">
        <v>1945</v>
      </c>
      <c r="U1095" t="s">
        <v>1972</v>
      </c>
      <c r="V1095" t="s">
        <v>2832</v>
      </c>
    </row>
    <row r="1096" spans="1:22" ht="15.75" thickBot="1" x14ac:dyDescent="0.3">
      <c r="A1096" s="234" t="s">
        <v>1934</v>
      </c>
      <c r="B1096" s="234" t="s">
        <v>1934</v>
      </c>
      <c r="C1096" s="234" t="s">
        <v>1934</v>
      </c>
      <c r="D1096" s="249" t="s">
        <v>1939</v>
      </c>
      <c r="E1096" s="267" t="s">
        <v>2250</v>
      </c>
      <c r="F1096" s="234" t="s">
        <v>620</v>
      </c>
      <c r="G1096" s="261">
        <v>2018</v>
      </c>
      <c r="H1096" s="342" t="s">
        <v>733</v>
      </c>
      <c r="I1096" s="337" t="str">
        <f t="shared" si="60"/>
        <v>Pesado de Mercadorias N3: Geral : Gasóleo : E6</v>
      </c>
      <c r="J1096" s="234"/>
      <c r="K1096" s="260">
        <v>2022</v>
      </c>
      <c r="L1096" s="234">
        <v>35507.440000000002</v>
      </c>
      <c r="M1096" s="234" t="s">
        <v>630</v>
      </c>
      <c r="N1096" s="234">
        <v>100018</v>
      </c>
      <c r="O1096" s="128">
        <f t="shared" si="61"/>
        <v>0</v>
      </c>
      <c r="P1096" s="261"/>
      <c r="Q1096" s="234" t="s">
        <v>2220</v>
      </c>
      <c r="R1096" s="220" t="s">
        <v>1888</v>
      </c>
      <c r="S1096" s="220" t="s">
        <v>1861</v>
      </c>
      <c r="T1096" s="234" t="s">
        <v>1945</v>
      </c>
      <c r="U1096" t="s">
        <v>1972</v>
      </c>
      <c r="V1096" t="s">
        <v>2832</v>
      </c>
    </row>
    <row r="1097" spans="1:22" ht="15.75" thickBot="1" x14ac:dyDescent="0.3">
      <c r="A1097" s="234" t="s">
        <v>1934</v>
      </c>
      <c r="B1097" s="234" t="s">
        <v>1934</v>
      </c>
      <c r="C1097" s="234" t="s">
        <v>1934</v>
      </c>
      <c r="D1097" s="249" t="s">
        <v>1939</v>
      </c>
      <c r="E1097" s="267" t="s">
        <v>2250</v>
      </c>
      <c r="F1097" s="234" t="s">
        <v>620</v>
      </c>
      <c r="G1097" s="261">
        <v>2018</v>
      </c>
      <c r="H1097" s="342" t="s">
        <v>733</v>
      </c>
      <c r="I1097" s="337" t="str">
        <f t="shared" si="60"/>
        <v>Pesado de Mercadorias N3: Geral : Gasóleo : E6</v>
      </c>
      <c r="J1097" s="234"/>
      <c r="K1097" s="260">
        <v>2022</v>
      </c>
      <c r="L1097" s="234">
        <v>42894.15</v>
      </c>
      <c r="M1097" s="234" t="s">
        <v>630</v>
      </c>
      <c r="N1097" s="234">
        <v>128297</v>
      </c>
      <c r="O1097" s="128">
        <f t="shared" si="61"/>
        <v>0</v>
      </c>
      <c r="P1097" s="261"/>
      <c r="Q1097" s="234" t="s">
        <v>2220</v>
      </c>
      <c r="R1097" s="220" t="s">
        <v>1888</v>
      </c>
      <c r="S1097" s="220" t="s">
        <v>1861</v>
      </c>
      <c r="T1097" s="234" t="s">
        <v>1945</v>
      </c>
      <c r="U1097" t="s">
        <v>1972</v>
      </c>
      <c r="V1097" t="s">
        <v>2832</v>
      </c>
    </row>
    <row r="1098" spans="1:22" ht="15.75" thickBot="1" x14ac:dyDescent="0.3">
      <c r="A1098" s="234" t="s">
        <v>1934</v>
      </c>
      <c r="B1098" s="234" t="s">
        <v>1934</v>
      </c>
      <c r="C1098" s="234" t="s">
        <v>1934</v>
      </c>
      <c r="D1098" s="249" t="s">
        <v>1939</v>
      </c>
      <c r="E1098" s="267" t="s">
        <v>2250</v>
      </c>
      <c r="F1098" s="234" t="s">
        <v>620</v>
      </c>
      <c r="G1098" s="261">
        <v>2018</v>
      </c>
      <c r="H1098" s="342" t="s">
        <v>733</v>
      </c>
      <c r="I1098" s="337" t="str">
        <f t="shared" si="60"/>
        <v>Pesado de Mercadorias N3: Geral : Gasóleo : E6</v>
      </c>
      <c r="J1098" s="234"/>
      <c r="K1098" s="260">
        <v>2022</v>
      </c>
      <c r="L1098" s="234">
        <v>52041.21</v>
      </c>
      <c r="M1098" s="234" t="s">
        <v>630</v>
      </c>
      <c r="N1098" s="234">
        <v>148445</v>
      </c>
      <c r="O1098" s="128">
        <f t="shared" si="61"/>
        <v>0</v>
      </c>
      <c r="P1098" s="261"/>
      <c r="Q1098" s="234" t="s">
        <v>2220</v>
      </c>
      <c r="R1098" s="220" t="s">
        <v>1888</v>
      </c>
      <c r="S1098" s="220" t="s">
        <v>1861</v>
      </c>
      <c r="T1098" s="234" t="s">
        <v>1945</v>
      </c>
      <c r="U1098" t="s">
        <v>1972</v>
      </c>
      <c r="V1098" t="s">
        <v>2832</v>
      </c>
    </row>
    <row r="1099" spans="1:22" ht="15.75" thickBot="1" x14ac:dyDescent="0.3">
      <c r="A1099" s="234" t="s">
        <v>1934</v>
      </c>
      <c r="B1099" s="234" t="s">
        <v>1934</v>
      </c>
      <c r="C1099" s="234" t="s">
        <v>1934</v>
      </c>
      <c r="D1099" s="249" t="s">
        <v>1939</v>
      </c>
      <c r="E1099" s="267" t="s">
        <v>2250</v>
      </c>
      <c r="F1099" s="234" t="s">
        <v>620</v>
      </c>
      <c r="G1099" s="261">
        <v>2018</v>
      </c>
      <c r="H1099" s="342" t="s">
        <v>733</v>
      </c>
      <c r="I1099" s="337" t="str">
        <f t="shared" si="60"/>
        <v>Pesado de Mercadorias N3: Geral : Gasóleo : E6</v>
      </c>
      <c r="J1099" s="234"/>
      <c r="K1099" s="260">
        <v>2022</v>
      </c>
      <c r="L1099" s="234">
        <v>50651.85</v>
      </c>
      <c r="M1099" s="234" t="s">
        <v>630</v>
      </c>
      <c r="N1099" s="234">
        <v>143205</v>
      </c>
      <c r="O1099" s="128">
        <f t="shared" si="61"/>
        <v>0</v>
      </c>
      <c r="P1099" s="261"/>
      <c r="Q1099" s="234" t="s">
        <v>2220</v>
      </c>
      <c r="R1099" s="220" t="s">
        <v>1888</v>
      </c>
      <c r="S1099" s="220" t="s">
        <v>1861</v>
      </c>
      <c r="T1099" s="234" t="s">
        <v>1945</v>
      </c>
      <c r="U1099" t="s">
        <v>1972</v>
      </c>
      <c r="V1099" t="s">
        <v>2832</v>
      </c>
    </row>
    <row r="1100" spans="1:22" ht="15.75" thickBot="1" x14ac:dyDescent="0.3">
      <c r="A1100" s="234" t="s">
        <v>1934</v>
      </c>
      <c r="B1100" s="234" t="s">
        <v>1934</v>
      </c>
      <c r="C1100" s="234" t="s">
        <v>1934</v>
      </c>
      <c r="D1100" s="249" t="s">
        <v>1939</v>
      </c>
      <c r="E1100" s="267" t="s">
        <v>2250</v>
      </c>
      <c r="F1100" s="234" t="s">
        <v>620</v>
      </c>
      <c r="G1100" s="261">
        <v>2018</v>
      </c>
      <c r="H1100" s="342" t="s">
        <v>733</v>
      </c>
      <c r="I1100" s="337" t="str">
        <f t="shared" si="60"/>
        <v>Pesado de Mercadorias N3: Geral : Gasóleo : E6</v>
      </c>
      <c r="J1100" s="234"/>
      <c r="K1100" s="260">
        <v>2022</v>
      </c>
      <c r="L1100" s="234">
        <v>21724.77</v>
      </c>
      <c r="M1100" s="234" t="s">
        <v>630</v>
      </c>
      <c r="N1100" s="234">
        <v>69133</v>
      </c>
      <c r="O1100" s="128">
        <f t="shared" si="61"/>
        <v>0</v>
      </c>
      <c r="P1100" s="261"/>
      <c r="Q1100" s="234" t="s">
        <v>2220</v>
      </c>
      <c r="R1100" s="220" t="s">
        <v>1888</v>
      </c>
      <c r="S1100" s="220" t="s">
        <v>1861</v>
      </c>
      <c r="T1100" s="234" t="s">
        <v>1945</v>
      </c>
      <c r="U1100" t="s">
        <v>1972</v>
      </c>
      <c r="V1100" t="s">
        <v>2832</v>
      </c>
    </row>
    <row r="1101" spans="1:22" ht="15.75" thickBot="1" x14ac:dyDescent="0.3">
      <c r="A1101" s="234" t="s">
        <v>1934</v>
      </c>
      <c r="B1101" s="234" t="s">
        <v>1934</v>
      </c>
      <c r="C1101" s="234" t="s">
        <v>1934</v>
      </c>
      <c r="D1101" s="249" t="s">
        <v>1939</v>
      </c>
      <c r="E1101" s="267" t="s">
        <v>2250</v>
      </c>
      <c r="F1101" s="234" t="s">
        <v>620</v>
      </c>
      <c r="G1101" s="261">
        <v>2019</v>
      </c>
      <c r="H1101" s="342" t="s">
        <v>733</v>
      </c>
      <c r="I1101" s="337" t="str">
        <f t="shared" si="60"/>
        <v>Pesado de Mercadorias N3: Geral : Gasóleo : E6</v>
      </c>
      <c r="J1101" s="234"/>
      <c r="K1101" s="260">
        <v>2022</v>
      </c>
      <c r="L1101" s="234">
        <v>30400.84</v>
      </c>
      <c r="M1101" s="234" t="s">
        <v>630</v>
      </c>
      <c r="N1101" s="234">
        <v>86848</v>
      </c>
      <c r="O1101" s="128">
        <f t="shared" si="61"/>
        <v>0</v>
      </c>
      <c r="P1101" s="261"/>
      <c r="Q1101" s="234" t="s">
        <v>2220</v>
      </c>
      <c r="R1101" s="220" t="s">
        <v>1888</v>
      </c>
      <c r="S1101" s="220" t="s">
        <v>1861</v>
      </c>
      <c r="T1101" s="234" t="s">
        <v>1945</v>
      </c>
      <c r="U1101" t="s">
        <v>1972</v>
      </c>
      <c r="V1101" t="s">
        <v>2832</v>
      </c>
    </row>
    <row r="1102" spans="1:22" ht="15.75" thickBot="1" x14ac:dyDescent="0.3">
      <c r="A1102" s="234" t="s">
        <v>1934</v>
      </c>
      <c r="B1102" s="234" t="s">
        <v>1934</v>
      </c>
      <c r="C1102" s="234" t="s">
        <v>1934</v>
      </c>
      <c r="D1102" s="249" t="s">
        <v>1939</v>
      </c>
      <c r="E1102" s="267" t="s">
        <v>2250</v>
      </c>
      <c r="F1102" s="234" t="s">
        <v>620</v>
      </c>
      <c r="G1102" s="261">
        <v>2019</v>
      </c>
      <c r="H1102" s="342" t="s">
        <v>733</v>
      </c>
      <c r="I1102" s="337" t="str">
        <f t="shared" si="60"/>
        <v>Pesado de Mercadorias N3: Geral : Gasóleo : E6</v>
      </c>
      <c r="J1102" s="234"/>
      <c r="K1102" s="260">
        <v>2022</v>
      </c>
      <c r="L1102" s="234">
        <v>49567.14</v>
      </c>
      <c r="M1102" s="234" t="s">
        <v>630</v>
      </c>
      <c r="N1102" s="234">
        <v>137044</v>
      </c>
      <c r="O1102" s="128">
        <f t="shared" si="61"/>
        <v>0</v>
      </c>
      <c r="P1102" s="261"/>
      <c r="Q1102" s="234" t="s">
        <v>2220</v>
      </c>
      <c r="R1102" s="220" t="s">
        <v>1888</v>
      </c>
      <c r="S1102" s="220" t="s">
        <v>1861</v>
      </c>
      <c r="T1102" s="234" t="s">
        <v>1945</v>
      </c>
      <c r="U1102" t="s">
        <v>1972</v>
      </c>
      <c r="V1102" t="s">
        <v>2832</v>
      </c>
    </row>
    <row r="1103" spans="1:22" ht="15.75" thickBot="1" x14ac:dyDescent="0.3">
      <c r="A1103" s="234" t="s">
        <v>1934</v>
      </c>
      <c r="B1103" s="234" t="s">
        <v>1934</v>
      </c>
      <c r="C1103" s="234" t="s">
        <v>1934</v>
      </c>
      <c r="D1103" s="249" t="s">
        <v>1939</v>
      </c>
      <c r="E1103" s="267" t="s">
        <v>2250</v>
      </c>
      <c r="F1103" s="234" t="s">
        <v>620</v>
      </c>
      <c r="G1103" s="261">
        <v>2019</v>
      </c>
      <c r="H1103" s="342" t="s">
        <v>733</v>
      </c>
      <c r="I1103" s="337" t="str">
        <f t="shared" si="60"/>
        <v>Pesado de Mercadorias N3: Geral : Gasóleo : E6</v>
      </c>
      <c r="J1103" s="234"/>
      <c r="K1103" s="260">
        <v>2022</v>
      </c>
      <c r="L1103" s="234">
        <v>37268.76</v>
      </c>
      <c r="M1103" s="234" t="s">
        <v>630</v>
      </c>
      <c r="N1103" s="234">
        <v>104114</v>
      </c>
      <c r="O1103" s="128">
        <f t="shared" si="61"/>
        <v>0</v>
      </c>
      <c r="P1103" s="261"/>
      <c r="Q1103" s="234" t="s">
        <v>2220</v>
      </c>
      <c r="R1103" s="220" t="s">
        <v>1888</v>
      </c>
      <c r="S1103" s="220" t="s">
        <v>1861</v>
      </c>
      <c r="T1103" s="234" t="s">
        <v>1945</v>
      </c>
      <c r="U1103" t="s">
        <v>1972</v>
      </c>
      <c r="V1103" t="s">
        <v>2832</v>
      </c>
    </row>
    <row r="1104" spans="1:22" ht="15.75" thickBot="1" x14ac:dyDescent="0.3">
      <c r="A1104" s="234" t="s">
        <v>1934</v>
      </c>
      <c r="B1104" s="234" t="s">
        <v>1934</v>
      </c>
      <c r="C1104" s="234" t="s">
        <v>1934</v>
      </c>
      <c r="D1104" s="249" t="s">
        <v>1939</v>
      </c>
      <c r="E1104" s="267" t="s">
        <v>2250</v>
      </c>
      <c r="F1104" s="234" t="s">
        <v>620</v>
      </c>
      <c r="G1104" s="261">
        <v>2019</v>
      </c>
      <c r="H1104" s="342" t="s">
        <v>733</v>
      </c>
      <c r="I1104" s="337" t="str">
        <f t="shared" si="60"/>
        <v>Pesado de Mercadorias N3: Geral : Gasóleo : E6</v>
      </c>
      <c r="J1104" s="234"/>
      <c r="K1104" s="260">
        <v>2022</v>
      </c>
      <c r="L1104" s="234">
        <v>39630.26</v>
      </c>
      <c r="M1104" s="234" t="s">
        <v>630</v>
      </c>
      <c r="N1104" s="234">
        <v>121301</v>
      </c>
      <c r="O1104" s="128">
        <f t="shared" si="61"/>
        <v>0</v>
      </c>
      <c r="P1104" s="261"/>
      <c r="Q1104" s="234" t="s">
        <v>2220</v>
      </c>
      <c r="R1104" s="220" t="s">
        <v>1888</v>
      </c>
      <c r="S1104" s="220" t="s">
        <v>1861</v>
      </c>
      <c r="T1104" s="234" t="s">
        <v>1945</v>
      </c>
      <c r="U1104" t="s">
        <v>1972</v>
      </c>
      <c r="V1104" t="s">
        <v>2832</v>
      </c>
    </row>
    <row r="1105" spans="1:22" ht="15.75" thickBot="1" x14ac:dyDescent="0.3">
      <c r="A1105" s="234" t="s">
        <v>1934</v>
      </c>
      <c r="B1105" s="234" t="s">
        <v>1934</v>
      </c>
      <c r="C1105" s="234" t="s">
        <v>1934</v>
      </c>
      <c r="D1105" s="249" t="s">
        <v>1939</v>
      </c>
      <c r="E1105" s="267" t="s">
        <v>2250</v>
      </c>
      <c r="F1105" s="234" t="s">
        <v>620</v>
      </c>
      <c r="G1105" s="261">
        <v>2019</v>
      </c>
      <c r="H1105" s="342" t="s">
        <v>733</v>
      </c>
      <c r="I1105" s="337" t="str">
        <f t="shared" si="60"/>
        <v>Pesado de Mercadorias N3: Geral : Gasóleo : E6</v>
      </c>
      <c r="J1105" s="234"/>
      <c r="K1105" s="260">
        <v>2022</v>
      </c>
      <c r="L1105" s="234">
        <v>30014.94</v>
      </c>
      <c r="M1105" s="234" t="s">
        <v>630</v>
      </c>
      <c r="N1105" s="234">
        <v>82866</v>
      </c>
      <c r="O1105" s="128">
        <f t="shared" si="61"/>
        <v>0</v>
      </c>
      <c r="P1105" s="261"/>
      <c r="Q1105" s="234" t="s">
        <v>2220</v>
      </c>
      <c r="R1105" s="220" t="s">
        <v>1888</v>
      </c>
      <c r="S1105" s="220" t="s">
        <v>1861</v>
      </c>
      <c r="T1105" s="234" t="s">
        <v>1945</v>
      </c>
      <c r="U1105" t="s">
        <v>1972</v>
      </c>
      <c r="V1105" t="s">
        <v>2832</v>
      </c>
    </row>
    <row r="1106" spans="1:22" ht="15.75" thickBot="1" x14ac:dyDescent="0.3">
      <c r="A1106" s="234" t="s">
        <v>1934</v>
      </c>
      <c r="B1106" s="234" t="s">
        <v>1934</v>
      </c>
      <c r="C1106" s="234" t="s">
        <v>1934</v>
      </c>
      <c r="D1106" s="249" t="s">
        <v>1939</v>
      </c>
      <c r="E1106" s="267" t="s">
        <v>2250</v>
      </c>
      <c r="F1106" s="234" t="s">
        <v>620</v>
      </c>
      <c r="G1106" s="261">
        <v>2019</v>
      </c>
      <c r="H1106" s="342" t="s">
        <v>733</v>
      </c>
      <c r="I1106" s="337" t="str">
        <f t="shared" si="60"/>
        <v>Pesado de Mercadorias N3: Geral : Gasóleo : E6</v>
      </c>
      <c r="J1106" s="234"/>
      <c r="K1106" s="260">
        <v>2022</v>
      </c>
      <c r="L1106" s="234">
        <v>34476.65</v>
      </c>
      <c r="M1106" s="234" t="s">
        <v>630</v>
      </c>
      <c r="N1106" s="234">
        <v>102848</v>
      </c>
      <c r="O1106" s="128">
        <f t="shared" si="61"/>
        <v>0</v>
      </c>
      <c r="P1106" s="261"/>
      <c r="Q1106" s="234" t="s">
        <v>2220</v>
      </c>
      <c r="R1106" s="220" t="s">
        <v>1888</v>
      </c>
      <c r="S1106" s="220" t="s">
        <v>1861</v>
      </c>
      <c r="T1106" s="234" t="s">
        <v>1945</v>
      </c>
      <c r="U1106" t="s">
        <v>1972</v>
      </c>
      <c r="V1106" t="s">
        <v>2832</v>
      </c>
    </row>
    <row r="1107" spans="1:22" ht="15.75" thickBot="1" x14ac:dyDescent="0.3">
      <c r="A1107" s="234" t="s">
        <v>1934</v>
      </c>
      <c r="B1107" s="234" t="s">
        <v>1934</v>
      </c>
      <c r="C1107" s="234" t="s">
        <v>1934</v>
      </c>
      <c r="D1107" s="249" t="s">
        <v>1939</v>
      </c>
      <c r="E1107" s="267" t="s">
        <v>2250</v>
      </c>
      <c r="F1107" s="234" t="s">
        <v>620</v>
      </c>
      <c r="G1107" s="261">
        <v>2019</v>
      </c>
      <c r="H1107" s="342" t="s">
        <v>733</v>
      </c>
      <c r="I1107" s="337" t="str">
        <f t="shared" si="60"/>
        <v>Pesado de Mercadorias N3: Geral : Gasóleo : E6</v>
      </c>
      <c r="J1107" s="234"/>
      <c r="K1107" s="260">
        <v>2022</v>
      </c>
      <c r="L1107" s="234">
        <v>31174.28</v>
      </c>
      <c r="M1107" s="234" t="s">
        <v>630</v>
      </c>
      <c r="N1107" s="234">
        <v>97326</v>
      </c>
      <c r="O1107" s="128">
        <f t="shared" si="61"/>
        <v>0</v>
      </c>
      <c r="P1107" s="261"/>
      <c r="Q1107" s="234" t="s">
        <v>2220</v>
      </c>
      <c r="R1107" s="220" t="s">
        <v>1888</v>
      </c>
      <c r="S1107" s="220" t="s">
        <v>1861</v>
      </c>
      <c r="T1107" s="234" t="s">
        <v>1945</v>
      </c>
      <c r="U1107" t="s">
        <v>1972</v>
      </c>
      <c r="V1107" t="s">
        <v>2832</v>
      </c>
    </row>
    <row r="1108" spans="1:22" ht="15.75" thickBot="1" x14ac:dyDescent="0.3">
      <c r="A1108" s="234" t="s">
        <v>1934</v>
      </c>
      <c r="B1108" s="234" t="s">
        <v>1934</v>
      </c>
      <c r="C1108" s="234" t="s">
        <v>1934</v>
      </c>
      <c r="D1108" s="249" t="s">
        <v>1939</v>
      </c>
      <c r="E1108" s="267" t="s">
        <v>2250</v>
      </c>
      <c r="F1108" s="234" t="s">
        <v>620</v>
      </c>
      <c r="G1108" s="261">
        <v>2019</v>
      </c>
      <c r="H1108" s="342" t="s">
        <v>733</v>
      </c>
      <c r="I1108" s="337" t="str">
        <f t="shared" si="60"/>
        <v>Pesado de Mercadorias N3: Geral : Gasóleo : E6</v>
      </c>
      <c r="J1108" s="234"/>
      <c r="K1108" s="260">
        <v>2022</v>
      </c>
      <c r="L1108" s="234">
        <v>29077.19</v>
      </c>
      <c r="M1108" s="234" t="s">
        <v>630</v>
      </c>
      <c r="N1108" s="234">
        <v>79894</v>
      </c>
      <c r="O1108" s="128">
        <f t="shared" si="61"/>
        <v>0</v>
      </c>
      <c r="P1108" s="261"/>
      <c r="Q1108" s="234" t="s">
        <v>2220</v>
      </c>
      <c r="R1108" s="220" t="s">
        <v>1888</v>
      </c>
      <c r="S1108" s="220" t="s">
        <v>1861</v>
      </c>
      <c r="T1108" s="234" t="s">
        <v>1945</v>
      </c>
      <c r="U1108" t="s">
        <v>1972</v>
      </c>
      <c r="V1108" t="s">
        <v>2832</v>
      </c>
    </row>
    <row r="1109" spans="1:22" ht="15.75" thickBot="1" x14ac:dyDescent="0.3">
      <c r="A1109" s="234" t="s">
        <v>1934</v>
      </c>
      <c r="B1109" s="234" t="s">
        <v>1934</v>
      </c>
      <c r="C1109" s="234" t="s">
        <v>1934</v>
      </c>
      <c r="D1109" s="249" t="s">
        <v>1939</v>
      </c>
      <c r="E1109" s="267" t="s">
        <v>2250</v>
      </c>
      <c r="F1109" s="234" t="s">
        <v>620</v>
      </c>
      <c r="G1109" s="261">
        <v>2019</v>
      </c>
      <c r="H1109" s="342" t="s">
        <v>733</v>
      </c>
      <c r="I1109" s="337" t="str">
        <f t="shared" si="60"/>
        <v>Pesado de Mercadorias N3: Geral : Gasóleo : E6</v>
      </c>
      <c r="J1109" s="234"/>
      <c r="K1109" s="260">
        <v>2022</v>
      </c>
      <c r="L1109" s="234">
        <v>43483.41</v>
      </c>
      <c r="M1109" s="234" t="s">
        <v>630</v>
      </c>
      <c r="N1109" s="234">
        <v>122274</v>
      </c>
      <c r="O1109" s="128">
        <f t="shared" si="61"/>
        <v>0</v>
      </c>
      <c r="P1109" s="261"/>
      <c r="Q1109" s="234" t="s">
        <v>2220</v>
      </c>
      <c r="R1109" s="220" t="s">
        <v>1888</v>
      </c>
      <c r="S1109" s="220" t="s">
        <v>1861</v>
      </c>
      <c r="T1109" s="234" t="s">
        <v>1945</v>
      </c>
      <c r="U1109" t="s">
        <v>1972</v>
      </c>
      <c r="V1109" t="s">
        <v>2832</v>
      </c>
    </row>
    <row r="1110" spans="1:22" ht="15.75" thickBot="1" x14ac:dyDescent="0.3">
      <c r="A1110" s="234" t="s">
        <v>1934</v>
      </c>
      <c r="B1110" s="234" t="s">
        <v>1934</v>
      </c>
      <c r="C1110" s="234" t="s">
        <v>1934</v>
      </c>
      <c r="D1110" s="249" t="s">
        <v>1939</v>
      </c>
      <c r="E1110" s="267" t="s">
        <v>2250</v>
      </c>
      <c r="F1110" s="234" t="s">
        <v>620</v>
      </c>
      <c r="G1110" s="261">
        <v>2019</v>
      </c>
      <c r="H1110" s="342" t="s">
        <v>733</v>
      </c>
      <c r="I1110" s="337" t="str">
        <f t="shared" si="60"/>
        <v>Pesado de Mercadorias N3: Geral : Gasóleo : E6</v>
      </c>
      <c r="J1110" s="234"/>
      <c r="K1110" s="260">
        <v>2022</v>
      </c>
      <c r="L1110" s="234">
        <v>38926.01</v>
      </c>
      <c r="M1110" s="234" t="s">
        <v>630</v>
      </c>
      <c r="N1110" s="234">
        <v>108951</v>
      </c>
      <c r="O1110" s="128">
        <f t="shared" si="61"/>
        <v>0</v>
      </c>
      <c r="P1110" s="261"/>
      <c r="Q1110" s="234" t="s">
        <v>2220</v>
      </c>
      <c r="R1110" s="220" t="s">
        <v>1888</v>
      </c>
      <c r="S1110" s="220" t="s">
        <v>1861</v>
      </c>
      <c r="T1110" s="234" t="s">
        <v>1945</v>
      </c>
      <c r="U1110" t="s">
        <v>1972</v>
      </c>
      <c r="V1110" t="s">
        <v>2832</v>
      </c>
    </row>
    <row r="1111" spans="1:22" ht="15.75" thickBot="1" x14ac:dyDescent="0.3">
      <c r="A1111" s="234" t="s">
        <v>1934</v>
      </c>
      <c r="B1111" s="234" t="s">
        <v>1934</v>
      </c>
      <c r="C1111" s="234" t="s">
        <v>1934</v>
      </c>
      <c r="D1111" s="249" t="s">
        <v>1939</v>
      </c>
      <c r="E1111" s="267" t="s">
        <v>2250</v>
      </c>
      <c r="F1111" s="234" t="s">
        <v>620</v>
      </c>
      <c r="G1111" s="261">
        <v>2019</v>
      </c>
      <c r="H1111" s="342" t="s">
        <v>733</v>
      </c>
      <c r="I1111" s="337" t="str">
        <f t="shared" si="60"/>
        <v>Pesado de Mercadorias N3: Geral : Gasóleo : E6</v>
      </c>
      <c r="J1111" s="234"/>
      <c r="K1111" s="260">
        <v>2022</v>
      </c>
      <c r="L1111" s="234">
        <v>16835.05</v>
      </c>
      <c r="M1111" s="234" t="s">
        <v>630</v>
      </c>
      <c r="N1111" s="234">
        <v>52462</v>
      </c>
      <c r="O1111" s="128">
        <f t="shared" si="61"/>
        <v>0</v>
      </c>
      <c r="P1111" s="261"/>
      <c r="Q1111" s="234" t="s">
        <v>2220</v>
      </c>
      <c r="R1111" s="220" t="s">
        <v>1888</v>
      </c>
      <c r="S1111" s="220" t="s">
        <v>1861</v>
      </c>
      <c r="T1111" s="234" t="s">
        <v>1945</v>
      </c>
      <c r="U1111" t="s">
        <v>1972</v>
      </c>
      <c r="V1111" t="s">
        <v>2832</v>
      </c>
    </row>
    <row r="1112" spans="1:22" ht="15.75" thickBot="1" x14ac:dyDescent="0.3">
      <c r="A1112" s="234" t="s">
        <v>1934</v>
      </c>
      <c r="B1112" s="234" t="s">
        <v>1934</v>
      </c>
      <c r="C1112" s="234" t="s">
        <v>1934</v>
      </c>
      <c r="D1112" s="249" t="s">
        <v>1939</v>
      </c>
      <c r="E1112" s="267" t="s">
        <v>2250</v>
      </c>
      <c r="F1112" s="234" t="s">
        <v>620</v>
      </c>
      <c r="G1112" s="261">
        <v>2019</v>
      </c>
      <c r="H1112" s="342" t="s">
        <v>733</v>
      </c>
      <c r="I1112" s="337" t="str">
        <f t="shared" si="60"/>
        <v>Pesado de Mercadorias N3: Geral : Gasóleo : E6</v>
      </c>
      <c r="J1112" s="234"/>
      <c r="K1112" s="260">
        <v>2022</v>
      </c>
      <c r="L1112" s="234">
        <v>20057.73</v>
      </c>
      <c r="M1112" s="234" t="s">
        <v>630</v>
      </c>
      <c r="N1112" s="234">
        <v>63273</v>
      </c>
      <c r="O1112" s="128">
        <f t="shared" si="61"/>
        <v>0</v>
      </c>
      <c r="P1112" s="261"/>
      <c r="Q1112" s="234" t="s">
        <v>2220</v>
      </c>
      <c r="R1112" s="220" t="s">
        <v>1888</v>
      </c>
      <c r="S1112" s="220" t="s">
        <v>1861</v>
      </c>
      <c r="T1112" s="234" t="s">
        <v>1945</v>
      </c>
      <c r="U1112" t="s">
        <v>1972</v>
      </c>
      <c r="V1112" t="s">
        <v>2832</v>
      </c>
    </row>
    <row r="1113" spans="1:22" ht="15.75" thickBot="1" x14ac:dyDescent="0.3">
      <c r="A1113" s="234" t="s">
        <v>1934</v>
      </c>
      <c r="B1113" s="234" t="s">
        <v>1934</v>
      </c>
      <c r="C1113" s="234" t="s">
        <v>1934</v>
      </c>
      <c r="D1113" s="249" t="s">
        <v>1939</v>
      </c>
      <c r="E1113" s="267" t="s">
        <v>2250</v>
      </c>
      <c r="F1113" s="234" t="s">
        <v>620</v>
      </c>
      <c r="G1113" s="261">
        <v>2019</v>
      </c>
      <c r="H1113" s="342" t="s">
        <v>733</v>
      </c>
      <c r="I1113" s="337" t="str">
        <f t="shared" si="60"/>
        <v>Pesado de Mercadorias N3: Geral : Gasóleo : E6</v>
      </c>
      <c r="J1113" s="234"/>
      <c r="K1113" s="260">
        <v>2022</v>
      </c>
      <c r="L1113" s="234">
        <v>20260.62</v>
      </c>
      <c r="M1113" s="234" t="s">
        <v>630</v>
      </c>
      <c r="N1113" s="234">
        <v>66218</v>
      </c>
      <c r="O1113" s="128">
        <f t="shared" si="61"/>
        <v>0</v>
      </c>
      <c r="P1113" s="261"/>
      <c r="Q1113" s="234" t="s">
        <v>2220</v>
      </c>
      <c r="R1113" s="220" t="s">
        <v>1888</v>
      </c>
      <c r="S1113" s="220" t="s">
        <v>1861</v>
      </c>
      <c r="T1113" s="234" t="s">
        <v>1945</v>
      </c>
      <c r="U1113" t="s">
        <v>1972</v>
      </c>
      <c r="V1113" t="s">
        <v>2832</v>
      </c>
    </row>
    <row r="1114" spans="1:22" ht="15.75" thickBot="1" x14ac:dyDescent="0.3">
      <c r="A1114" s="234" t="s">
        <v>1934</v>
      </c>
      <c r="B1114" s="234" t="s">
        <v>1934</v>
      </c>
      <c r="C1114" s="234" t="s">
        <v>1934</v>
      </c>
      <c r="D1114" s="249" t="s">
        <v>1939</v>
      </c>
      <c r="E1114" s="267" t="s">
        <v>2250</v>
      </c>
      <c r="F1114" s="234" t="s">
        <v>620</v>
      </c>
      <c r="G1114" s="261">
        <v>2019</v>
      </c>
      <c r="H1114" s="342" t="s">
        <v>733</v>
      </c>
      <c r="I1114" s="337" t="str">
        <f t="shared" si="60"/>
        <v>Pesado de Mercadorias N3: Geral : Gasóleo : E6</v>
      </c>
      <c r="J1114" s="234"/>
      <c r="K1114" s="260">
        <v>2022</v>
      </c>
      <c r="L1114" s="234">
        <v>44556.2</v>
      </c>
      <c r="M1114" s="234" t="s">
        <v>630</v>
      </c>
      <c r="N1114" s="234">
        <v>118469</v>
      </c>
      <c r="O1114" s="128">
        <f t="shared" si="61"/>
        <v>0</v>
      </c>
      <c r="P1114" s="261"/>
      <c r="Q1114" s="234" t="s">
        <v>2220</v>
      </c>
      <c r="R1114" s="220" t="s">
        <v>1888</v>
      </c>
      <c r="S1114" s="220" t="s">
        <v>1861</v>
      </c>
      <c r="T1114" s="234" t="s">
        <v>1945</v>
      </c>
      <c r="U1114" t="s">
        <v>1972</v>
      </c>
      <c r="V1114" t="s">
        <v>2832</v>
      </c>
    </row>
    <row r="1115" spans="1:22" ht="15.75" thickBot="1" x14ac:dyDescent="0.3">
      <c r="A1115" s="234" t="s">
        <v>1934</v>
      </c>
      <c r="B1115" s="234" t="s">
        <v>1934</v>
      </c>
      <c r="C1115" s="234" t="s">
        <v>1934</v>
      </c>
      <c r="D1115" s="249" t="s">
        <v>1939</v>
      </c>
      <c r="E1115" s="267" t="s">
        <v>2250</v>
      </c>
      <c r="F1115" s="234" t="s">
        <v>620</v>
      </c>
      <c r="G1115" s="261">
        <v>2019</v>
      </c>
      <c r="H1115" s="342" t="s">
        <v>733</v>
      </c>
      <c r="I1115" s="337" t="str">
        <f t="shared" si="60"/>
        <v>Pesado de Mercadorias N3: Geral : Gasóleo : E6</v>
      </c>
      <c r="J1115" s="234"/>
      <c r="K1115" s="260">
        <v>2022</v>
      </c>
      <c r="L1115" s="234">
        <v>47030.42</v>
      </c>
      <c r="M1115" s="234" t="s">
        <v>630</v>
      </c>
      <c r="N1115" s="234">
        <v>118742</v>
      </c>
      <c r="O1115" s="128">
        <f t="shared" si="61"/>
        <v>0</v>
      </c>
      <c r="P1115" s="261"/>
      <c r="Q1115" s="234" t="s">
        <v>2220</v>
      </c>
      <c r="R1115" s="220" t="s">
        <v>1888</v>
      </c>
      <c r="S1115" s="220" t="s">
        <v>1861</v>
      </c>
      <c r="T1115" s="234" t="s">
        <v>1945</v>
      </c>
      <c r="U1115" t="s">
        <v>1972</v>
      </c>
      <c r="V1115" t="s">
        <v>2832</v>
      </c>
    </row>
    <row r="1116" spans="1:22" ht="15.75" thickBot="1" x14ac:dyDescent="0.3">
      <c r="A1116" s="234" t="s">
        <v>1934</v>
      </c>
      <c r="B1116" s="234" t="s">
        <v>1934</v>
      </c>
      <c r="C1116" s="234" t="s">
        <v>1934</v>
      </c>
      <c r="D1116" s="249" t="s">
        <v>1939</v>
      </c>
      <c r="E1116" s="267" t="s">
        <v>2250</v>
      </c>
      <c r="F1116" s="234" t="s">
        <v>620</v>
      </c>
      <c r="G1116" s="261">
        <v>2019</v>
      </c>
      <c r="H1116" s="342" t="s">
        <v>733</v>
      </c>
      <c r="I1116" s="337" t="str">
        <f t="shared" si="60"/>
        <v>Pesado de Mercadorias N3: Geral : Gasóleo : E6</v>
      </c>
      <c r="J1116" s="234"/>
      <c r="K1116" s="260">
        <v>2022</v>
      </c>
      <c r="L1116" s="234">
        <v>42513.1</v>
      </c>
      <c r="M1116" s="234" t="s">
        <v>630</v>
      </c>
      <c r="N1116" s="234">
        <v>111534</v>
      </c>
      <c r="O1116" s="128">
        <f t="shared" si="61"/>
        <v>0</v>
      </c>
      <c r="P1116" s="261"/>
      <c r="Q1116" s="234" t="s">
        <v>2220</v>
      </c>
      <c r="R1116" s="220" t="s">
        <v>1888</v>
      </c>
      <c r="S1116" s="220" t="s">
        <v>1861</v>
      </c>
      <c r="T1116" s="234" t="s">
        <v>1945</v>
      </c>
      <c r="U1116" t="s">
        <v>1972</v>
      </c>
      <c r="V1116" t="s">
        <v>2832</v>
      </c>
    </row>
    <row r="1117" spans="1:22" ht="15.75" thickBot="1" x14ac:dyDescent="0.3">
      <c r="A1117" s="234" t="s">
        <v>1934</v>
      </c>
      <c r="B1117" s="234" t="s">
        <v>1934</v>
      </c>
      <c r="C1117" s="234" t="s">
        <v>1934</v>
      </c>
      <c r="D1117" s="249" t="s">
        <v>1939</v>
      </c>
      <c r="E1117" s="267" t="s">
        <v>2250</v>
      </c>
      <c r="F1117" s="234" t="s">
        <v>620</v>
      </c>
      <c r="G1117" s="261">
        <v>2020</v>
      </c>
      <c r="H1117" s="342" t="s">
        <v>733</v>
      </c>
      <c r="I1117" s="337" t="str">
        <f t="shared" si="60"/>
        <v>Pesado de Mercadorias N3: Geral : Gasóleo : E6</v>
      </c>
      <c r="J1117" s="234"/>
      <c r="K1117" s="260">
        <v>2022</v>
      </c>
      <c r="L1117" s="234">
        <v>43684.480000000003</v>
      </c>
      <c r="M1117" s="234" t="s">
        <v>630</v>
      </c>
      <c r="N1117" s="234">
        <v>124428</v>
      </c>
      <c r="O1117" s="128">
        <f t="shared" si="61"/>
        <v>0</v>
      </c>
      <c r="P1117" s="261"/>
      <c r="Q1117" s="234" t="s">
        <v>2220</v>
      </c>
      <c r="R1117" s="220" t="s">
        <v>1888</v>
      </c>
      <c r="S1117" s="220" t="s">
        <v>1861</v>
      </c>
      <c r="T1117" s="234" t="s">
        <v>1945</v>
      </c>
      <c r="U1117" t="s">
        <v>1972</v>
      </c>
      <c r="V1117" t="s">
        <v>2832</v>
      </c>
    </row>
    <row r="1118" spans="1:22" ht="15.75" thickBot="1" x14ac:dyDescent="0.3">
      <c r="A1118" s="234" t="s">
        <v>1934</v>
      </c>
      <c r="B1118" s="234" t="s">
        <v>1934</v>
      </c>
      <c r="C1118" s="234" t="s">
        <v>1934</v>
      </c>
      <c r="D1118" s="249" t="s">
        <v>1939</v>
      </c>
      <c r="E1118" s="267" t="s">
        <v>2250</v>
      </c>
      <c r="F1118" s="234" t="s">
        <v>620</v>
      </c>
      <c r="G1118" s="261">
        <v>2020</v>
      </c>
      <c r="H1118" s="342" t="s">
        <v>733</v>
      </c>
      <c r="I1118" s="337" t="str">
        <f t="shared" si="60"/>
        <v>Pesado de Mercadorias N3: Geral : Gasóleo : E6</v>
      </c>
      <c r="J1118" s="234"/>
      <c r="K1118" s="260">
        <v>2022</v>
      </c>
      <c r="L1118" s="234">
        <v>31781.98</v>
      </c>
      <c r="M1118" s="234" t="s">
        <v>630</v>
      </c>
      <c r="N1118" s="234">
        <v>87413</v>
      </c>
      <c r="O1118" s="128">
        <f t="shared" si="61"/>
        <v>0</v>
      </c>
      <c r="P1118" s="261"/>
      <c r="Q1118" s="234" t="s">
        <v>2220</v>
      </c>
      <c r="R1118" s="220" t="s">
        <v>1888</v>
      </c>
      <c r="S1118" s="220" t="s">
        <v>1861</v>
      </c>
      <c r="T1118" s="234" t="s">
        <v>1945</v>
      </c>
      <c r="U1118" t="s">
        <v>1972</v>
      </c>
      <c r="V1118" t="s">
        <v>2832</v>
      </c>
    </row>
    <row r="1119" spans="1:22" ht="15.75" thickBot="1" x14ac:dyDescent="0.3">
      <c r="A1119" s="234" t="s">
        <v>1934</v>
      </c>
      <c r="B1119" s="234" t="s">
        <v>1934</v>
      </c>
      <c r="C1119" s="234" t="s">
        <v>1934</v>
      </c>
      <c r="D1119" s="249" t="s">
        <v>1939</v>
      </c>
      <c r="E1119" s="267" t="s">
        <v>2250</v>
      </c>
      <c r="F1119" s="234" t="s">
        <v>620</v>
      </c>
      <c r="G1119" s="261">
        <v>2020</v>
      </c>
      <c r="H1119" s="342" t="s">
        <v>733</v>
      </c>
      <c r="I1119" s="337" t="str">
        <f t="shared" si="60"/>
        <v>Pesado de Mercadorias N3: Geral : Gasóleo : E6</v>
      </c>
      <c r="J1119" s="234"/>
      <c r="K1119" s="260">
        <v>2022</v>
      </c>
      <c r="L1119" s="234">
        <v>49960.46</v>
      </c>
      <c r="M1119" s="234" t="s">
        <v>630</v>
      </c>
      <c r="N1119" s="234">
        <v>137220</v>
      </c>
      <c r="O1119" s="128">
        <f t="shared" si="61"/>
        <v>0</v>
      </c>
      <c r="P1119" s="261"/>
      <c r="Q1119" s="234" t="s">
        <v>2220</v>
      </c>
      <c r="R1119" s="220" t="s">
        <v>1888</v>
      </c>
      <c r="S1119" s="220" t="s">
        <v>1861</v>
      </c>
      <c r="T1119" s="234" t="s">
        <v>1945</v>
      </c>
      <c r="U1119" t="s">
        <v>1972</v>
      </c>
      <c r="V1119" t="s">
        <v>2832</v>
      </c>
    </row>
    <row r="1120" spans="1:22" ht="15.75" thickBot="1" x14ac:dyDescent="0.3">
      <c r="A1120" s="234" t="s">
        <v>1934</v>
      </c>
      <c r="B1120" s="234" t="s">
        <v>1934</v>
      </c>
      <c r="C1120" s="234" t="s">
        <v>1934</v>
      </c>
      <c r="D1120" s="249" t="s">
        <v>1939</v>
      </c>
      <c r="E1120" s="267" t="s">
        <v>2250</v>
      </c>
      <c r="F1120" s="234" t="s">
        <v>620</v>
      </c>
      <c r="G1120" s="261">
        <v>2020</v>
      </c>
      <c r="H1120" s="342" t="s">
        <v>733</v>
      </c>
      <c r="I1120" s="337" t="str">
        <f t="shared" si="60"/>
        <v>Pesado de Mercadorias N3: Geral : Gasóleo : E6</v>
      </c>
      <c r="J1120" s="234"/>
      <c r="K1120" s="260">
        <v>2022</v>
      </c>
      <c r="L1120" s="234">
        <v>47950.85</v>
      </c>
      <c r="M1120" s="234" t="s">
        <v>630</v>
      </c>
      <c r="N1120" s="234">
        <v>134613</v>
      </c>
      <c r="O1120" s="128">
        <f t="shared" si="61"/>
        <v>0</v>
      </c>
      <c r="P1120" s="261"/>
      <c r="Q1120" s="234" t="s">
        <v>2220</v>
      </c>
      <c r="R1120" s="220" t="s">
        <v>1888</v>
      </c>
      <c r="S1120" s="220" t="s">
        <v>1861</v>
      </c>
      <c r="T1120" s="234" t="s">
        <v>1945</v>
      </c>
      <c r="U1120" t="s">
        <v>1972</v>
      </c>
      <c r="V1120" t="s">
        <v>2832</v>
      </c>
    </row>
    <row r="1121" spans="1:22" ht="15.75" thickBot="1" x14ac:dyDescent="0.3">
      <c r="A1121" s="234" t="s">
        <v>1934</v>
      </c>
      <c r="B1121" s="234" t="s">
        <v>1934</v>
      </c>
      <c r="C1121" s="234" t="s">
        <v>1934</v>
      </c>
      <c r="D1121" s="249" t="s">
        <v>1939</v>
      </c>
      <c r="E1121" s="267" t="s">
        <v>2250</v>
      </c>
      <c r="F1121" s="234" t="s">
        <v>620</v>
      </c>
      <c r="G1121" s="261">
        <v>2020</v>
      </c>
      <c r="H1121" s="342" t="s">
        <v>733</v>
      </c>
      <c r="I1121" s="337" t="str">
        <f t="shared" si="60"/>
        <v>Pesado de Mercadorias N3: Geral : Gasóleo : E6</v>
      </c>
      <c r="J1121" s="234"/>
      <c r="K1121" s="260">
        <v>2022</v>
      </c>
      <c r="L1121" s="234">
        <v>50382.21</v>
      </c>
      <c r="M1121" s="234" t="s">
        <v>630</v>
      </c>
      <c r="N1121" s="234">
        <v>130439</v>
      </c>
      <c r="O1121" s="128">
        <f t="shared" si="61"/>
        <v>0</v>
      </c>
      <c r="P1121" s="261"/>
      <c r="Q1121" s="234" t="s">
        <v>2220</v>
      </c>
      <c r="R1121" s="220" t="s">
        <v>1888</v>
      </c>
      <c r="S1121" s="220" t="s">
        <v>1861</v>
      </c>
      <c r="T1121" s="234" t="s">
        <v>1945</v>
      </c>
      <c r="U1121" t="s">
        <v>1972</v>
      </c>
      <c r="V1121" t="s">
        <v>2832</v>
      </c>
    </row>
    <row r="1122" spans="1:22" ht="15.75" thickBot="1" x14ac:dyDescent="0.3">
      <c r="A1122" s="234" t="s">
        <v>1934</v>
      </c>
      <c r="B1122" s="234" t="s">
        <v>1934</v>
      </c>
      <c r="C1122" s="234" t="s">
        <v>1934</v>
      </c>
      <c r="D1122" s="249" t="s">
        <v>1939</v>
      </c>
      <c r="E1122" s="267" t="s">
        <v>2250</v>
      </c>
      <c r="F1122" s="234" t="s">
        <v>620</v>
      </c>
      <c r="G1122" s="261">
        <v>2020</v>
      </c>
      <c r="H1122" s="342" t="s">
        <v>733</v>
      </c>
      <c r="I1122" s="337" t="str">
        <f t="shared" si="60"/>
        <v>Pesado de Mercadorias N3: Geral : Gasóleo : E6</v>
      </c>
      <c r="J1122" s="234"/>
      <c r="K1122" s="260">
        <v>2022</v>
      </c>
      <c r="L1122" s="234">
        <v>49641.31</v>
      </c>
      <c r="M1122" s="234" t="s">
        <v>630</v>
      </c>
      <c r="N1122" s="234">
        <v>140469</v>
      </c>
      <c r="O1122" s="128">
        <f t="shared" si="61"/>
        <v>0</v>
      </c>
      <c r="P1122" s="261"/>
      <c r="Q1122" s="234" t="s">
        <v>2220</v>
      </c>
      <c r="R1122" s="220" t="s">
        <v>1888</v>
      </c>
      <c r="S1122" s="220" t="s">
        <v>1861</v>
      </c>
      <c r="T1122" s="234" t="s">
        <v>1945</v>
      </c>
      <c r="U1122" t="s">
        <v>1972</v>
      </c>
      <c r="V1122" t="s">
        <v>2832</v>
      </c>
    </row>
    <row r="1123" spans="1:22" ht="15.75" thickBot="1" x14ac:dyDescent="0.3">
      <c r="A1123" s="234" t="s">
        <v>1934</v>
      </c>
      <c r="B1123" s="234" t="s">
        <v>1934</v>
      </c>
      <c r="C1123" s="234" t="s">
        <v>1934</v>
      </c>
      <c r="D1123" s="249" t="s">
        <v>1939</v>
      </c>
      <c r="E1123" s="267" t="s">
        <v>2250</v>
      </c>
      <c r="F1123" s="234" t="s">
        <v>620</v>
      </c>
      <c r="G1123" s="261">
        <v>2020</v>
      </c>
      <c r="H1123" s="342" t="s">
        <v>733</v>
      </c>
      <c r="I1123" s="337" t="str">
        <f t="shared" si="60"/>
        <v>Pesado de Mercadorias N3: Geral : Gasóleo : E6</v>
      </c>
      <c r="J1123" s="234"/>
      <c r="K1123" s="260">
        <v>2022</v>
      </c>
      <c r="L1123" s="234">
        <v>47936.21</v>
      </c>
      <c r="M1123" s="234" t="s">
        <v>630</v>
      </c>
      <c r="N1123" s="234">
        <v>136213</v>
      </c>
      <c r="O1123" s="128">
        <f t="shared" si="61"/>
        <v>0</v>
      </c>
      <c r="P1123" s="261"/>
      <c r="Q1123" s="234" t="s">
        <v>2220</v>
      </c>
      <c r="R1123" s="220" t="s">
        <v>1888</v>
      </c>
      <c r="S1123" s="220" t="s">
        <v>1861</v>
      </c>
      <c r="T1123" s="234" t="s">
        <v>1945</v>
      </c>
      <c r="U1123" t="s">
        <v>1972</v>
      </c>
      <c r="V1123" t="s">
        <v>2832</v>
      </c>
    </row>
    <row r="1124" spans="1:22" ht="15.75" thickBot="1" x14ac:dyDescent="0.3">
      <c r="A1124" s="234" t="s">
        <v>1934</v>
      </c>
      <c r="B1124" s="234" t="s">
        <v>1934</v>
      </c>
      <c r="C1124" s="234" t="s">
        <v>1934</v>
      </c>
      <c r="D1124" s="249" t="s">
        <v>1939</v>
      </c>
      <c r="E1124" s="267" t="s">
        <v>2250</v>
      </c>
      <c r="F1124" s="234" t="s">
        <v>620</v>
      </c>
      <c r="G1124" s="261">
        <v>2020</v>
      </c>
      <c r="H1124" s="342" t="s">
        <v>733</v>
      </c>
      <c r="I1124" s="337" t="str">
        <f t="shared" si="60"/>
        <v>Pesado de Mercadorias N3: Geral : Gasóleo : E6</v>
      </c>
      <c r="J1124" s="234"/>
      <c r="K1124" s="260">
        <v>2022</v>
      </c>
      <c r="L1124" s="234">
        <v>55211.49</v>
      </c>
      <c r="M1124" s="234" t="s">
        <v>630</v>
      </c>
      <c r="N1124" s="234">
        <v>148342</v>
      </c>
      <c r="O1124" s="128">
        <f t="shared" si="61"/>
        <v>0</v>
      </c>
      <c r="P1124" s="261"/>
      <c r="Q1124" s="234" t="s">
        <v>2220</v>
      </c>
      <c r="R1124" s="220" t="s">
        <v>1888</v>
      </c>
      <c r="S1124" s="220" t="s">
        <v>1861</v>
      </c>
      <c r="T1124" s="234" t="s">
        <v>1945</v>
      </c>
      <c r="U1124" t="s">
        <v>1972</v>
      </c>
      <c r="V1124" t="s">
        <v>2832</v>
      </c>
    </row>
    <row r="1125" spans="1:22" ht="15.75" thickBot="1" x14ac:dyDescent="0.3">
      <c r="A1125" s="234" t="s">
        <v>1934</v>
      </c>
      <c r="B1125" s="234" t="s">
        <v>1934</v>
      </c>
      <c r="C1125" s="234" t="s">
        <v>1934</v>
      </c>
      <c r="D1125" s="249" t="s">
        <v>1939</v>
      </c>
      <c r="E1125" s="267" t="s">
        <v>2250</v>
      </c>
      <c r="F1125" s="234" t="s">
        <v>620</v>
      </c>
      <c r="G1125" s="261">
        <v>2020</v>
      </c>
      <c r="H1125" s="342" t="s">
        <v>733</v>
      </c>
      <c r="I1125" s="337" t="str">
        <f t="shared" si="60"/>
        <v>Pesado de Mercadorias N3: Geral : Gasóleo : E6</v>
      </c>
      <c r="J1125" s="234"/>
      <c r="K1125" s="260">
        <v>2022</v>
      </c>
      <c r="L1125" s="234">
        <v>59270.92</v>
      </c>
      <c r="M1125" s="234" t="s">
        <v>630</v>
      </c>
      <c r="N1125" s="234">
        <v>165004</v>
      </c>
      <c r="O1125" s="128">
        <f t="shared" si="61"/>
        <v>0</v>
      </c>
      <c r="P1125" s="261"/>
      <c r="Q1125" s="234" t="s">
        <v>2220</v>
      </c>
      <c r="R1125" s="220" t="s">
        <v>1888</v>
      </c>
      <c r="S1125" s="220" t="s">
        <v>1861</v>
      </c>
      <c r="T1125" s="234" t="s">
        <v>1945</v>
      </c>
      <c r="U1125" t="s">
        <v>1972</v>
      </c>
      <c r="V1125" t="s">
        <v>2832</v>
      </c>
    </row>
    <row r="1126" spans="1:22" ht="15.75" thickBot="1" x14ac:dyDescent="0.3">
      <c r="A1126" s="234" t="s">
        <v>1934</v>
      </c>
      <c r="B1126" s="234" t="s">
        <v>1934</v>
      </c>
      <c r="C1126" s="234" t="s">
        <v>1934</v>
      </c>
      <c r="D1126" s="249" t="s">
        <v>1939</v>
      </c>
      <c r="E1126" s="267" t="s">
        <v>2250</v>
      </c>
      <c r="F1126" s="234" t="s">
        <v>620</v>
      </c>
      <c r="G1126" s="261">
        <v>2020</v>
      </c>
      <c r="H1126" s="342" t="s">
        <v>733</v>
      </c>
      <c r="I1126" s="337" t="str">
        <f t="shared" si="60"/>
        <v>Pesado de Mercadorias N3: Geral : Gasóleo : E6</v>
      </c>
      <c r="J1126" s="234"/>
      <c r="K1126" s="260">
        <v>2022</v>
      </c>
      <c r="L1126" s="234">
        <v>41006.120000000003</v>
      </c>
      <c r="M1126" s="234" t="s">
        <v>630</v>
      </c>
      <c r="N1126" s="234">
        <v>110910</v>
      </c>
      <c r="O1126" s="128">
        <f t="shared" si="61"/>
        <v>0</v>
      </c>
      <c r="P1126" s="261"/>
      <c r="Q1126" s="234" t="s">
        <v>2220</v>
      </c>
      <c r="R1126" s="220" t="s">
        <v>1888</v>
      </c>
      <c r="S1126" s="220" t="s">
        <v>1861</v>
      </c>
      <c r="T1126" s="234" t="s">
        <v>1945</v>
      </c>
      <c r="U1126" t="s">
        <v>1972</v>
      </c>
      <c r="V1126" t="s">
        <v>2832</v>
      </c>
    </row>
    <row r="1127" spans="1:22" ht="15.75" thickBot="1" x14ac:dyDescent="0.3">
      <c r="A1127" s="234" t="s">
        <v>1934</v>
      </c>
      <c r="B1127" s="234" t="s">
        <v>1934</v>
      </c>
      <c r="C1127" s="234" t="s">
        <v>1934</v>
      </c>
      <c r="D1127" s="249" t="s">
        <v>1939</v>
      </c>
      <c r="E1127" s="267" t="s">
        <v>2250</v>
      </c>
      <c r="F1127" s="234" t="s">
        <v>620</v>
      </c>
      <c r="G1127" s="261">
        <v>2020</v>
      </c>
      <c r="H1127" s="342" t="s">
        <v>733</v>
      </c>
      <c r="I1127" s="337" t="str">
        <f t="shared" si="60"/>
        <v>Pesado de Mercadorias N3: Geral : Gasóleo : E6</v>
      </c>
      <c r="J1127" s="234"/>
      <c r="K1127" s="260">
        <v>2022</v>
      </c>
      <c r="L1127" s="234">
        <v>52798.66</v>
      </c>
      <c r="M1127" s="234" t="s">
        <v>630</v>
      </c>
      <c r="N1127" s="234">
        <v>141944</v>
      </c>
      <c r="O1127" s="128">
        <f t="shared" si="61"/>
        <v>0</v>
      </c>
      <c r="P1127" s="261"/>
      <c r="Q1127" s="234" t="s">
        <v>2220</v>
      </c>
      <c r="R1127" s="220" t="s">
        <v>1888</v>
      </c>
      <c r="S1127" s="220" t="s">
        <v>1861</v>
      </c>
      <c r="T1127" s="234" t="s">
        <v>1945</v>
      </c>
      <c r="U1127" t="s">
        <v>1972</v>
      </c>
      <c r="V1127" t="s">
        <v>2832</v>
      </c>
    </row>
    <row r="1128" spans="1:22" ht="15.75" thickBot="1" x14ac:dyDescent="0.3">
      <c r="A1128" s="234" t="s">
        <v>1934</v>
      </c>
      <c r="B1128" s="234" t="s">
        <v>1934</v>
      </c>
      <c r="C1128" s="234" t="s">
        <v>1934</v>
      </c>
      <c r="D1128" s="249" t="s">
        <v>1939</v>
      </c>
      <c r="E1128" s="267" t="s">
        <v>2250</v>
      </c>
      <c r="F1128" s="234" t="s">
        <v>620</v>
      </c>
      <c r="G1128" s="261">
        <v>2020</v>
      </c>
      <c r="H1128" s="342" t="s">
        <v>733</v>
      </c>
      <c r="I1128" s="337" t="str">
        <f t="shared" si="60"/>
        <v>Pesado de Mercadorias N3: Geral : Gasóleo : E6</v>
      </c>
      <c r="J1128" s="234"/>
      <c r="K1128" s="260">
        <v>2022</v>
      </c>
      <c r="L1128" s="234">
        <v>54947.35</v>
      </c>
      <c r="M1128" s="234" t="s">
        <v>630</v>
      </c>
      <c r="N1128" s="234">
        <v>148237</v>
      </c>
      <c r="O1128" s="128">
        <f t="shared" si="61"/>
        <v>0</v>
      </c>
      <c r="P1128" s="261"/>
      <c r="Q1128" s="234" t="s">
        <v>2220</v>
      </c>
      <c r="R1128" s="220" t="s">
        <v>1888</v>
      </c>
      <c r="S1128" s="220" t="s">
        <v>1861</v>
      </c>
      <c r="T1128" s="234" t="s">
        <v>1945</v>
      </c>
      <c r="U1128" t="s">
        <v>1972</v>
      </c>
      <c r="V1128" t="s">
        <v>2832</v>
      </c>
    </row>
    <row r="1129" spans="1:22" ht="15.75" thickBot="1" x14ac:dyDescent="0.3">
      <c r="A1129" s="234" t="s">
        <v>1934</v>
      </c>
      <c r="B1129" s="234" t="s">
        <v>1934</v>
      </c>
      <c r="C1129" s="234" t="s">
        <v>1934</v>
      </c>
      <c r="D1129" s="249" t="s">
        <v>1939</v>
      </c>
      <c r="E1129" s="267" t="s">
        <v>2250</v>
      </c>
      <c r="F1129" s="234" t="s">
        <v>620</v>
      </c>
      <c r="G1129" s="261">
        <v>2020</v>
      </c>
      <c r="H1129" s="342" t="s">
        <v>733</v>
      </c>
      <c r="I1129" s="337" t="str">
        <f t="shared" si="60"/>
        <v>Pesado de Mercadorias N3: Geral : Gasóleo : E6</v>
      </c>
      <c r="J1129" s="234"/>
      <c r="K1129" s="260">
        <v>2022</v>
      </c>
      <c r="L1129" s="234">
        <v>24883.17</v>
      </c>
      <c r="M1129" s="234" t="s">
        <v>630</v>
      </c>
      <c r="N1129" s="234">
        <v>69517</v>
      </c>
      <c r="O1129" s="128">
        <f t="shared" si="61"/>
        <v>0</v>
      </c>
      <c r="P1129" s="261"/>
      <c r="Q1129" s="234" t="s">
        <v>2220</v>
      </c>
      <c r="R1129" s="220" t="s">
        <v>1888</v>
      </c>
      <c r="S1129" s="220" t="s">
        <v>1861</v>
      </c>
      <c r="T1129" s="234" t="s">
        <v>1945</v>
      </c>
      <c r="U1129" t="s">
        <v>1972</v>
      </c>
      <c r="V1129" t="s">
        <v>2832</v>
      </c>
    </row>
    <row r="1130" spans="1:22" ht="15.75" thickBot="1" x14ac:dyDescent="0.3">
      <c r="A1130" s="234" t="s">
        <v>1934</v>
      </c>
      <c r="B1130" s="234" t="s">
        <v>1934</v>
      </c>
      <c r="C1130" s="234" t="s">
        <v>1934</v>
      </c>
      <c r="D1130" s="249" t="s">
        <v>1939</v>
      </c>
      <c r="E1130" s="267" t="s">
        <v>2250</v>
      </c>
      <c r="F1130" s="234" t="s">
        <v>620</v>
      </c>
      <c r="G1130" s="261">
        <v>2020</v>
      </c>
      <c r="H1130" s="342" t="s">
        <v>733</v>
      </c>
      <c r="I1130" s="337" t="str">
        <f t="shared" si="60"/>
        <v>Pesado de Mercadorias N3: Geral : Gasóleo : E6</v>
      </c>
      <c r="J1130" s="234"/>
      <c r="K1130" s="260">
        <v>2022</v>
      </c>
      <c r="L1130" s="234">
        <v>47981.35</v>
      </c>
      <c r="M1130" s="234" t="s">
        <v>630</v>
      </c>
      <c r="N1130" s="234">
        <v>136069</v>
      </c>
      <c r="O1130" s="128">
        <f t="shared" si="61"/>
        <v>0</v>
      </c>
      <c r="P1130" s="261"/>
      <c r="Q1130" s="234" t="s">
        <v>2220</v>
      </c>
      <c r="R1130" s="220" t="s">
        <v>1888</v>
      </c>
      <c r="S1130" s="220" t="s">
        <v>1861</v>
      </c>
      <c r="T1130" s="234" t="s">
        <v>1945</v>
      </c>
      <c r="U1130" t="s">
        <v>1972</v>
      </c>
      <c r="V1130" t="s">
        <v>2832</v>
      </c>
    </row>
    <row r="1131" spans="1:22" ht="15.75" thickBot="1" x14ac:dyDescent="0.3">
      <c r="A1131" s="234" t="s">
        <v>1934</v>
      </c>
      <c r="B1131" s="234" t="s">
        <v>1934</v>
      </c>
      <c r="C1131" s="234" t="s">
        <v>1934</v>
      </c>
      <c r="D1131" s="249" t="s">
        <v>1939</v>
      </c>
      <c r="E1131" s="267" t="s">
        <v>2250</v>
      </c>
      <c r="F1131" s="234" t="s">
        <v>620</v>
      </c>
      <c r="G1131" s="261">
        <v>2020</v>
      </c>
      <c r="H1131" s="342" t="s">
        <v>733</v>
      </c>
      <c r="I1131" s="337" t="str">
        <f t="shared" si="60"/>
        <v>Pesado de Mercadorias N3: Geral : Gasóleo : E6</v>
      </c>
      <c r="J1131" s="234"/>
      <c r="K1131" s="260">
        <v>2022</v>
      </c>
      <c r="L1131" s="234">
        <v>46768.81</v>
      </c>
      <c r="M1131" s="234" t="s">
        <v>630</v>
      </c>
      <c r="N1131" s="234">
        <v>131482</v>
      </c>
      <c r="O1131" s="128">
        <f t="shared" si="61"/>
        <v>0</v>
      </c>
      <c r="P1131" s="261"/>
      <c r="Q1131" s="234" t="s">
        <v>2220</v>
      </c>
      <c r="R1131" s="220" t="s">
        <v>1888</v>
      </c>
      <c r="S1131" s="220" t="s">
        <v>1861</v>
      </c>
      <c r="T1131" s="234" t="s">
        <v>1945</v>
      </c>
      <c r="U1131" t="s">
        <v>1972</v>
      </c>
      <c r="V1131" t="s">
        <v>2832</v>
      </c>
    </row>
    <row r="1132" spans="1:22" ht="15.75" thickBot="1" x14ac:dyDescent="0.3">
      <c r="A1132" s="234" t="s">
        <v>1934</v>
      </c>
      <c r="B1132" s="234" t="s">
        <v>1934</v>
      </c>
      <c r="C1132" s="234" t="s">
        <v>1934</v>
      </c>
      <c r="D1132" s="249" t="s">
        <v>1939</v>
      </c>
      <c r="E1132" s="267" t="s">
        <v>2250</v>
      </c>
      <c r="F1132" s="234" t="s">
        <v>620</v>
      </c>
      <c r="G1132" s="261">
        <v>2020</v>
      </c>
      <c r="H1132" s="342" t="s">
        <v>733</v>
      </c>
      <c r="I1132" s="337" t="str">
        <f t="shared" si="60"/>
        <v>Pesado de Mercadorias N3: Geral : Gasóleo : E6</v>
      </c>
      <c r="J1132" s="234"/>
      <c r="K1132" s="260">
        <v>2022</v>
      </c>
      <c r="L1132" s="234">
        <v>40306.89</v>
      </c>
      <c r="M1132" s="234" t="s">
        <v>630</v>
      </c>
      <c r="N1132" s="234">
        <v>122440</v>
      </c>
      <c r="O1132" s="128">
        <f t="shared" si="61"/>
        <v>0</v>
      </c>
      <c r="P1132" s="261"/>
      <c r="Q1132" s="234" t="s">
        <v>2220</v>
      </c>
      <c r="R1132" s="220" t="s">
        <v>1888</v>
      </c>
      <c r="S1132" s="220" t="s">
        <v>1861</v>
      </c>
      <c r="T1132" s="234" t="s">
        <v>1945</v>
      </c>
      <c r="U1132" t="s">
        <v>1972</v>
      </c>
      <c r="V1132" t="s">
        <v>2832</v>
      </c>
    </row>
    <row r="1133" spans="1:22" ht="15.75" thickBot="1" x14ac:dyDescent="0.3">
      <c r="A1133" s="234" t="s">
        <v>1934</v>
      </c>
      <c r="B1133" s="234" t="s">
        <v>1934</v>
      </c>
      <c r="C1133" s="234" t="s">
        <v>1934</v>
      </c>
      <c r="D1133" s="249" t="s">
        <v>1939</v>
      </c>
      <c r="E1133" s="267" t="s">
        <v>2250</v>
      </c>
      <c r="F1133" s="234" t="s">
        <v>620</v>
      </c>
      <c r="G1133" s="261">
        <v>2020</v>
      </c>
      <c r="H1133" s="342" t="s">
        <v>733</v>
      </c>
      <c r="I1133" s="337" t="str">
        <f t="shared" si="60"/>
        <v>Pesado de Mercadorias N3: Geral : Gasóleo : E6</v>
      </c>
      <c r="J1133" s="234"/>
      <c r="K1133" s="260">
        <v>2022</v>
      </c>
      <c r="L1133" s="234">
        <v>42461.91</v>
      </c>
      <c r="M1133" s="234" t="s">
        <v>630</v>
      </c>
      <c r="N1133" s="234">
        <v>120902</v>
      </c>
      <c r="O1133" s="128">
        <f t="shared" si="61"/>
        <v>0</v>
      </c>
      <c r="P1133" s="261"/>
      <c r="Q1133" s="234" t="s">
        <v>2220</v>
      </c>
      <c r="R1133" s="220" t="s">
        <v>1888</v>
      </c>
      <c r="S1133" s="220" t="s">
        <v>1861</v>
      </c>
      <c r="T1133" s="234" t="s">
        <v>1945</v>
      </c>
      <c r="U1133" t="s">
        <v>1972</v>
      </c>
      <c r="V1133" t="s">
        <v>2832</v>
      </c>
    </row>
    <row r="1134" spans="1:22" ht="15.75" thickBot="1" x14ac:dyDescent="0.3">
      <c r="A1134" s="234" t="s">
        <v>1934</v>
      </c>
      <c r="B1134" s="234" t="s">
        <v>1934</v>
      </c>
      <c r="C1134" s="234" t="s">
        <v>1934</v>
      </c>
      <c r="D1134" s="249" t="s">
        <v>1939</v>
      </c>
      <c r="E1134" s="267" t="s">
        <v>2250</v>
      </c>
      <c r="F1134" s="234" t="s">
        <v>620</v>
      </c>
      <c r="G1134" s="261">
        <v>2021</v>
      </c>
      <c r="H1134" s="342" t="s">
        <v>733</v>
      </c>
      <c r="I1134" s="337" t="str">
        <f t="shared" si="60"/>
        <v>Pesado de Mercadorias N3: Geral : Gasóleo : E6</v>
      </c>
      <c r="J1134" s="234"/>
      <c r="K1134" s="260">
        <v>2022</v>
      </c>
      <c r="L1134" s="234">
        <v>36866.199999999997</v>
      </c>
      <c r="M1134" s="234" t="s">
        <v>630</v>
      </c>
      <c r="N1134" s="234">
        <v>80507</v>
      </c>
      <c r="O1134" s="128">
        <f t="shared" si="61"/>
        <v>0</v>
      </c>
      <c r="P1134" s="261"/>
      <c r="Q1134" s="234" t="s">
        <v>2220</v>
      </c>
      <c r="R1134" s="220" t="s">
        <v>1888</v>
      </c>
      <c r="S1134" s="220" t="s">
        <v>1861</v>
      </c>
      <c r="T1134" s="234" t="s">
        <v>1945</v>
      </c>
      <c r="U1134" t="s">
        <v>1972</v>
      </c>
      <c r="V1134" t="s">
        <v>2832</v>
      </c>
    </row>
    <row r="1135" spans="1:22" ht="15.75" thickBot="1" x14ac:dyDescent="0.3">
      <c r="A1135" s="234" t="s">
        <v>1934</v>
      </c>
      <c r="B1135" s="234" t="s">
        <v>1934</v>
      </c>
      <c r="C1135" s="234" t="s">
        <v>1934</v>
      </c>
      <c r="D1135" s="249" t="s">
        <v>1939</v>
      </c>
      <c r="E1135" s="267" t="s">
        <v>2250</v>
      </c>
      <c r="F1135" s="234" t="s">
        <v>620</v>
      </c>
      <c r="G1135" s="261">
        <v>2021</v>
      </c>
      <c r="H1135" s="342" t="s">
        <v>733</v>
      </c>
      <c r="I1135" s="337" t="str">
        <f t="shared" si="60"/>
        <v>Pesado de Mercadorias N3: Geral : Gasóleo : E6</v>
      </c>
      <c r="J1135" s="234"/>
      <c r="K1135" s="260">
        <v>2022</v>
      </c>
      <c r="L1135" s="234">
        <v>40751.67</v>
      </c>
      <c r="M1135" s="234" t="s">
        <v>630</v>
      </c>
      <c r="N1135" s="234">
        <v>85999</v>
      </c>
      <c r="O1135" s="128">
        <f t="shared" si="61"/>
        <v>0</v>
      </c>
      <c r="P1135" s="261"/>
      <c r="Q1135" s="234" t="s">
        <v>2220</v>
      </c>
      <c r="R1135" s="220" t="s">
        <v>1888</v>
      </c>
      <c r="S1135" s="220" t="s">
        <v>1861</v>
      </c>
      <c r="T1135" s="234" t="s">
        <v>1945</v>
      </c>
      <c r="U1135" t="s">
        <v>1972</v>
      </c>
      <c r="V1135" t="s">
        <v>2832</v>
      </c>
    </row>
    <row r="1136" spans="1:22" ht="15.75" thickBot="1" x14ac:dyDescent="0.3">
      <c r="A1136" s="234" t="s">
        <v>1934</v>
      </c>
      <c r="B1136" s="234" t="s">
        <v>1934</v>
      </c>
      <c r="C1136" s="234" t="s">
        <v>1934</v>
      </c>
      <c r="D1136" s="249" t="s">
        <v>1939</v>
      </c>
      <c r="E1136" s="267" t="s">
        <v>2250</v>
      </c>
      <c r="F1136" s="234" t="s">
        <v>620</v>
      </c>
      <c r="G1136" s="261">
        <v>2021</v>
      </c>
      <c r="H1136" s="342" t="s">
        <v>733</v>
      </c>
      <c r="I1136" s="337" t="str">
        <f t="shared" si="60"/>
        <v>Pesado de Mercadorias N3: Geral : Gasóleo : E6</v>
      </c>
      <c r="J1136" s="234"/>
      <c r="K1136" s="260">
        <v>2022</v>
      </c>
      <c r="L1136" s="234">
        <v>42136.56</v>
      </c>
      <c r="M1136" s="234" t="s">
        <v>630</v>
      </c>
      <c r="N1136" s="234">
        <v>95003</v>
      </c>
      <c r="O1136" s="128">
        <f t="shared" si="61"/>
        <v>0</v>
      </c>
      <c r="P1136" s="261"/>
      <c r="Q1136" s="234" t="s">
        <v>2220</v>
      </c>
      <c r="R1136" s="220" t="s">
        <v>1888</v>
      </c>
      <c r="S1136" s="220" t="s">
        <v>1861</v>
      </c>
      <c r="T1136" s="234" t="s">
        <v>1945</v>
      </c>
      <c r="U1136" t="s">
        <v>1972</v>
      </c>
      <c r="V1136" t="s">
        <v>2832</v>
      </c>
    </row>
    <row r="1137" spans="1:22" ht="15.75" thickBot="1" x14ac:dyDescent="0.3">
      <c r="A1137" s="234" t="s">
        <v>1934</v>
      </c>
      <c r="B1137" s="234" t="s">
        <v>1934</v>
      </c>
      <c r="C1137" s="234" t="s">
        <v>1934</v>
      </c>
      <c r="D1137" s="249" t="s">
        <v>1939</v>
      </c>
      <c r="E1137" s="267" t="s">
        <v>2250</v>
      </c>
      <c r="F1137" s="234" t="s">
        <v>620</v>
      </c>
      <c r="G1137" s="261">
        <v>2021</v>
      </c>
      <c r="H1137" s="342" t="s">
        <v>733</v>
      </c>
      <c r="I1137" s="337" t="str">
        <f t="shared" si="60"/>
        <v>Pesado de Mercadorias N3: Geral : Gasóleo : E6</v>
      </c>
      <c r="J1137" s="234"/>
      <c r="K1137" s="260">
        <v>2022</v>
      </c>
      <c r="L1137" s="234">
        <v>32037.66</v>
      </c>
      <c r="M1137" s="234" t="s">
        <v>630</v>
      </c>
      <c r="N1137" s="234">
        <v>65454</v>
      </c>
      <c r="O1137" s="128">
        <f t="shared" si="61"/>
        <v>0</v>
      </c>
      <c r="P1137" s="261"/>
      <c r="Q1137" s="234" t="s">
        <v>2220</v>
      </c>
      <c r="R1137" s="220" t="s">
        <v>1888</v>
      </c>
      <c r="S1137" s="220" t="s">
        <v>1861</v>
      </c>
      <c r="T1137" s="234" t="s">
        <v>1945</v>
      </c>
      <c r="U1137" t="s">
        <v>1972</v>
      </c>
      <c r="V1137" t="s">
        <v>2832</v>
      </c>
    </row>
    <row r="1138" spans="1:22" ht="15.75" thickBot="1" x14ac:dyDescent="0.3">
      <c r="A1138" s="234" t="s">
        <v>1934</v>
      </c>
      <c r="B1138" s="234" t="s">
        <v>1934</v>
      </c>
      <c r="C1138" s="234" t="s">
        <v>1934</v>
      </c>
      <c r="D1138" s="249" t="s">
        <v>1939</v>
      </c>
      <c r="E1138" s="267" t="s">
        <v>2250</v>
      </c>
      <c r="F1138" s="234" t="s">
        <v>620</v>
      </c>
      <c r="G1138" s="261">
        <v>2021</v>
      </c>
      <c r="H1138" s="342" t="s">
        <v>733</v>
      </c>
      <c r="I1138" s="337" t="str">
        <f t="shared" si="60"/>
        <v>Pesado de Mercadorias N3: Geral : Gasóleo : E6</v>
      </c>
      <c r="J1138" s="234"/>
      <c r="K1138" s="260">
        <v>2022</v>
      </c>
      <c r="L1138" s="234">
        <v>32247.25</v>
      </c>
      <c r="M1138" s="234" t="s">
        <v>630</v>
      </c>
      <c r="N1138" s="234">
        <v>70161</v>
      </c>
      <c r="O1138" s="128">
        <f t="shared" si="61"/>
        <v>0</v>
      </c>
      <c r="P1138" s="261"/>
      <c r="Q1138" s="234" t="s">
        <v>2220</v>
      </c>
      <c r="R1138" s="220" t="s">
        <v>1888</v>
      </c>
      <c r="S1138" s="220" t="s">
        <v>1861</v>
      </c>
      <c r="T1138" s="234" t="s">
        <v>1945</v>
      </c>
      <c r="U1138" t="s">
        <v>1972</v>
      </c>
      <c r="V1138" t="s">
        <v>2832</v>
      </c>
    </row>
    <row r="1139" spans="1:22" ht="15.75" thickBot="1" x14ac:dyDescent="0.3">
      <c r="A1139" s="234" t="s">
        <v>1934</v>
      </c>
      <c r="B1139" s="234" t="s">
        <v>1934</v>
      </c>
      <c r="C1139" s="234" t="s">
        <v>1934</v>
      </c>
      <c r="D1139" s="249" t="s">
        <v>1939</v>
      </c>
      <c r="E1139" s="267" t="s">
        <v>2250</v>
      </c>
      <c r="F1139" s="234" t="s">
        <v>620</v>
      </c>
      <c r="G1139" s="261">
        <v>2021</v>
      </c>
      <c r="H1139" s="342" t="s">
        <v>733</v>
      </c>
      <c r="I1139" s="337" t="str">
        <f t="shared" si="60"/>
        <v>Pesado de Mercadorias N3: Geral : Gasóleo : E6</v>
      </c>
      <c r="J1139" s="234"/>
      <c r="K1139" s="260">
        <v>2022</v>
      </c>
      <c r="L1139" s="234">
        <v>35889.68</v>
      </c>
      <c r="M1139" s="234" t="s">
        <v>630</v>
      </c>
      <c r="N1139" s="234">
        <v>81071</v>
      </c>
      <c r="O1139" s="128">
        <f t="shared" si="61"/>
        <v>0</v>
      </c>
      <c r="P1139" s="261"/>
      <c r="Q1139" s="234" t="s">
        <v>2220</v>
      </c>
      <c r="R1139" s="220" t="s">
        <v>1888</v>
      </c>
      <c r="S1139" s="220" t="s">
        <v>1861</v>
      </c>
      <c r="T1139" s="234" t="s">
        <v>1945</v>
      </c>
      <c r="U1139" t="s">
        <v>1972</v>
      </c>
      <c r="V1139" t="s">
        <v>2832</v>
      </c>
    </row>
    <row r="1140" spans="1:22" ht="15.75" thickBot="1" x14ac:dyDescent="0.3">
      <c r="A1140" s="234" t="s">
        <v>1934</v>
      </c>
      <c r="B1140" s="234" t="s">
        <v>1934</v>
      </c>
      <c r="C1140" s="234" t="s">
        <v>1934</v>
      </c>
      <c r="D1140" s="249" t="s">
        <v>1939</v>
      </c>
      <c r="E1140" s="267" t="s">
        <v>2250</v>
      </c>
      <c r="F1140" s="234" t="s">
        <v>620</v>
      </c>
      <c r="G1140" s="261">
        <v>2021</v>
      </c>
      <c r="H1140" s="342" t="s">
        <v>733</v>
      </c>
      <c r="I1140" s="337" t="str">
        <f t="shared" si="60"/>
        <v>Pesado de Mercadorias N3: Geral : Gasóleo : E6</v>
      </c>
      <c r="J1140" s="234"/>
      <c r="K1140" s="260">
        <v>2022</v>
      </c>
      <c r="L1140" s="234">
        <v>37471.050000000003</v>
      </c>
      <c r="M1140" s="234" t="s">
        <v>630</v>
      </c>
      <c r="N1140" s="234">
        <v>79667</v>
      </c>
      <c r="O1140" s="128">
        <f t="shared" si="61"/>
        <v>0</v>
      </c>
      <c r="P1140" s="261"/>
      <c r="Q1140" s="234" t="s">
        <v>2220</v>
      </c>
      <c r="R1140" s="220" t="s">
        <v>1888</v>
      </c>
      <c r="S1140" s="220" t="s">
        <v>1861</v>
      </c>
      <c r="T1140" s="234" t="s">
        <v>1945</v>
      </c>
      <c r="U1140" t="s">
        <v>1972</v>
      </c>
      <c r="V1140" t="s">
        <v>2832</v>
      </c>
    </row>
    <row r="1141" spans="1:22" ht="15.75" thickBot="1" x14ac:dyDescent="0.3">
      <c r="A1141" s="234" t="s">
        <v>1934</v>
      </c>
      <c r="B1141" s="234" t="s">
        <v>1934</v>
      </c>
      <c r="C1141" s="234" t="s">
        <v>1934</v>
      </c>
      <c r="D1141" s="249" t="s">
        <v>1939</v>
      </c>
      <c r="E1141" s="267" t="s">
        <v>2250</v>
      </c>
      <c r="F1141" s="234" t="s">
        <v>620</v>
      </c>
      <c r="G1141" s="261">
        <v>2021</v>
      </c>
      <c r="H1141" s="342" t="s">
        <v>733</v>
      </c>
      <c r="I1141" s="337" t="str">
        <f t="shared" si="60"/>
        <v>Pesado de Mercadorias N3: Geral : Gasóleo : E6</v>
      </c>
      <c r="J1141" s="234"/>
      <c r="K1141" s="260">
        <v>2022</v>
      </c>
      <c r="L1141" s="234">
        <v>18703.13</v>
      </c>
      <c r="M1141" s="234" t="s">
        <v>630</v>
      </c>
      <c r="N1141" s="234">
        <v>42464</v>
      </c>
      <c r="O1141" s="128">
        <f t="shared" si="61"/>
        <v>0</v>
      </c>
      <c r="P1141" s="261"/>
      <c r="Q1141" s="234" t="s">
        <v>2220</v>
      </c>
      <c r="R1141" s="220" t="s">
        <v>1888</v>
      </c>
      <c r="S1141" s="220" t="s">
        <v>1861</v>
      </c>
      <c r="T1141" s="234" t="s">
        <v>1945</v>
      </c>
      <c r="U1141" t="s">
        <v>1972</v>
      </c>
      <c r="V1141" t="s">
        <v>2832</v>
      </c>
    </row>
    <row r="1142" spans="1:22" ht="15.75" thickBot="1" x14ac:dyDescent="0.3">
      <c r="A1142" s="234" t="s">
        <v>1934</v>
      </c>
      <c r="B1142" s="234" t="s">
        <v>1934</v>
      </c>
      <c r="C1142" s="234" t="s">
        <v>1934</v>
      </c>
      <c r="D1142" s="249" t="s">
        <v>1939</v>
      </c>
      <c r="E1142" s="267" t="s">
        <v>2250</v>
      </c>
      <c r="F1142" s="234" t="s">
        <v>620</v>
      </c>
      <c r="G1142" s="261">
        <v>2021</v>
      </c>
      <c r="H1142" s="342" t="s">
        <v>733</v>
      </c>
      <c r="I1142" s="337" t="str">
        <f t="shared" si="60"/>
        <v>Pesado de Mercadorias N3: Geral : Gasóleo : E6</v>
      </c>
      <c r="J1142" s="234"/>
      <c r="K1142" s="260">
        <v>2022</v>
      </c>
      <c r="L1142" s="234">
        <v>23630.86</v>
      </c>
      <c r="M1142" s="234" t="s">
        <v>630</v>
      </c>
      <c r="N1142" s="234">
        <v>54541</v>
      </c>
      <c r="O1142" s="128">
        <f t="shared" si="61"/>
        <v>0</v>
      </c>
      <c r="P1142" s="261"/>
      <c r="Q1142" s="234" t="s">
        <v>2220</v>
      </c>
      <c r="R1142" s="220" t="s">
        <v>1888</v>
      </c>
      <c r="S1142" s="220" t="s">
        <v>1861</v>
      </c>
      <c r="T1142" s="234" t="s">
        <v>1945</v>
      </c>
      <c r="U1142" t="s">
        <v>1972</v>
      </c>
      <c r="V1142" t="s">
        <v>2832</v>
      </c>
    </row>
    <row r="1143" spans="1:22" ht="15.75" thickBot="1" x14ac:dyDescent="0.3">
      <c r="A1143" s="234" t="s">
        <v>1934</v>
      </c>
      <c r="B1143" s="234" t="s">
        <v>1934</v>
      </c>
      <c r="C1143" s="234" t="s">
        <v>1934</v>
      </c>
      <c r="D1143" s="249" t="s">
        <v>1939</v>
      </c>
      <c r="E1143" s="267" t="s">
        <v>2250</v>
      </c>
      <c r="F1143" s="234" t="s">
        <v>620</v>
      </c>
      <c r="G1143" s="261">
        <v>2021</v>
      </c>
      <c r="H1143" s="342" t="s">
        <v>733</v>
      </c>
      <c r="I1143" s="337" t="str">
        <f t="shared" si="60"/>
        <v>Pesado de Mercadorias N3: Geral : Gasóleo : E6</v>
      </c>
      <c r="J1143" s="234"/>
      <c r="K1143" s="260">
        <v>2022</v>
      </c>
      <c r="L1143" s="234">
        <v>34819.879999999997</v>
      </c>
      <c r="M1143" s="234" t="s">
        <v>630</v>
      </c>
      <c r="N1143" s="234">
        <v>73443</v>
      </c>
      <c r="O1143" s="128">
        <f t="shared" si="61"/>
        <v>0</v>
      </c>
      <c r="P1143" s="261"/>
      <c r="Q1143" s="234" t="s">
        <v>2220</v>
      </c>
      <c r="R1143" s="220" t="s">
        <v>1888</v>
      </c>
      <c r="S1143" s="220" t="s">
        <v>1861</v>
      </c>
      <c r="T1143" s="234" t="s">
        <v>1945</v>
      </c>
      <c r="U1143" t="s">
        <v>1972</v>
      </c>
      <c r="V1143" t="s">
        <v>2832</v>
      </c>
    </row>
    <row r="1144" spans="1:22" ht="15.75" thickBot="1" x14ac:dyDescent="0.3">
      <c r="A1144" s="234" t="s">
        <v>1934</v>
      </c>
      <c r="B1144" s="234" t="s">
        <v>1934</v>
      </c>
      <c r="C1144" s="234" t="s">
        <v>1934</v>
      </c>
      <c r="D1144" s="249" t="s">
        <v>1939</v>
      </c>
      <c r="E1144" s="267" t="s">
        <v>2250</v>
      </c>
      <c r="F1144" s="234" t="s">
        <v>620</v>
      </c>
      <c r="G1144" s="261">
        <v>2022</v>
      </c>
      <c r="H1144" s="342" t="s">
        <v>733</v>
      </c>
      <c r="I1144" s="337" t="str">
        <f t="shared" si="60"/>
        <v>Pesado de Mercadorias N3: Geral : Gasóleo : E6</v>
      </c>
      <c r="J1144" s="234"/>
      <c r="K1144" s="260">
        <v>2022</v>
      </c>
      <c r="L1144" s="234">
        <v>37863.839999999997</v>
      </c>
      <c r="M1144" s="234" t="s">
        <v>630</v>
      </c>
      <c r="N1144" s="234">
        <v>85600</v>
      </c>
      <c r="O1144" s="128">
        <f t="shared" si="61"/>
        <v>0</v>
      </c>
      <c r="P1144" s="261"/>
      <c r="Q1144" s="234" t="s">
        <v>2220</v>
      </c>
      <c r="R1144" s="220" t="s">
        <v>1888</v>
      </c>
      <c r="S1144" s="220" t="s">
        <v>1861</v>
      </c>
      <c r="T1144" s="234" t="s">
        <v>1945</v>
      </c>
      <c r="U1144" t="s">
        <v>1972</v>
      </c>
      <c r="V1144" t="s">
        <v>2832</v>
      </c>
    </row>
    <row r="1145" spans="1:22" ht="15.75" thickBot="1" x14ac:dyDescent="0.3">
      <c r="A1145" s="234" t="s">
        <v>1934</v>
      </c>
      <c r="B1145" s="234" t="s">
        <v>1934</v>
      </c>
      <c r="C1145" s="234" t="s">
        <v>1934</v>
      </c>
      <c r="D1145" s="249" t="s">
        <v>1939</v>
      </c>
      <c r="E1145" s="267" t="s">
        <v>2250</v>
      </c>
      <c r="F1145" s="234" t="s">
        <v>620</v>
      </c>
      <c r="G1145" s="261">
        <v>2022</v>
      </c>
      <c r="H1145" s="342" t="s">
        <v>733</v>
      </c>
      <c r="I1145" s="337" t="str">
        <f t="shared" si="60"/>
        <v>Pesado de Mercadorias N3: Geral : Gasóleo : E6</v>
      </c>
      <c r="J1145" s="234"/>
      <c r="K1145" s="260">
        <v>2022</v>
      </c>
      <c r="L1145" s="234">
        <v>34097.11</v>
      </c>
      <c r="M1145" s="234" t="s">
        <v>630</v>
      </c>
      <c r="N1145" s="234">
        <v>73933</v>
      </c>
      <c r="O1145" s="128">
        <f t="shared" si="61"/>
        <v>0</v>
      </c>
      <c r="P1145" s="261"/>
      <c r="Q1145" s="234" t="s">
        <v>2220</v>
      </c>
      <c r="R1145" s="220" t="s">
        <v>1888</v>
      </c>
      <c r="S1145" s="220" t="s">
        <v>1861</v>
      </c>
      <c r="T1145" s="234" t="s">
        <v>1945</v>
      </c>
      <c r="U1145" t="s">
        <v>1972</v>
      </c>
      <c r="V1145" t="s">
        <v>2832</v>
      </c>
    </row>
    <row r="1146" spans="1:22" ht="15.75" thickBot="1" x14ac:dyDescent="0.3">
      <c r="A1146" s="234" t="s">
        <v>1934</v>
      </c>
      <c r="B1146" s="234" t="s">
        <v>1934</v>
      </c>
      <c r="C1146" s="234" t="s">
        <v>1934</v>
      </c>
      <c r="D1146" s="249" t="s">
        <v>1939</v>
      </c>
      <c r="E1146" s="267" t="s">
        <v>2250</v>
      </c>
      <c r="F1146" s="234" t="s">
        <v>620</v>
      </c>
      <c r="G1146" s="261">
        <v>2022</v>
      </c>
      <c r="H1146" s="342" t="s">
        <v>733</v>
      </c>
      <c r="I1146" s="337" t="str">
        <f t="shared" si="60"/>
        <v>Pesado de Mercadorias N3: Geral : Gasóleo : E6</v>
      </c>
      <c r="J1146" s="234"/>
      <c r="K1146" s="260">
        <v>2022</v>
      </c>
      <c r="L1146" s="234">
        <v>35218.42</v>
      </c>
      <c r="M1146" s="234" t="s">
        <v>630</v>
      </c>
      <c r="N1146" s="234">
        <v>80735</v>
      </c>
      <c r="O1146" s="128">
        <f t="shared" si="61"/>
        <v>0</v>
      </c>
      <c r="P1146" s="261"/>
      <c r="Q1146" s="234" t="s">
        <v>2220</v>
      </c>
      <c r="R1146" s="220" t="s">
        <v>1888</v>
      </c>
      <c r="S1146" s="220" t="s">
        <v>1861</v>
      </c>
      <c r="T1146" s="234" t="s">
        <v>1945</v>
      </c>
      <c r="U1146" t="s">
        <v>1972</v>
      </c>
      <c r="V1146" t="s">
        <v>2832</v>
      </c>
    </row>
    <row r="1147" spans="1:22" ht="15.75" thickBot="1" x14ac:dyDescent="0.3">
      <c r="A1147" s="234" t="s">
        <v>1934</v>
      </c>
      <c r="B1147" s="234" t="s">
        <v>1934</v>
      </c>
      <c r="C1147" s="234" t="s">
        <v>1934</v>
      </c>
      <c r="D1147" s="249" t="s">
        <v>1939</v>
      </c>
      <c r="E1147" s="267" t="s">
        <v>2250</v>
      </c>
      <c r="F1147" s="234" t="s">
        <v>620</v>
      </c>
      <c r="G1147" s="261">
        <v>2022</v>
      </c>
      <c r="H1147" s="342" t="s">
        <v>733</v>
      </c>
      <c r="I1147" s="337" t="str">
        <f t="shared" si="60"/>
        <v>Pesado de Mercadorias N3: Geral : Gasóleo : E6</v>
      </c>
      <c r="J1147" s="234"/>
      <c r="K1147" s="260">
        <v>2022</v>
      </c>
      <c r="L1147" s="234">
        <v>25066.02</v>
      </c>
      <c r="M1147" s="234" t="s">
        <v>630</v>
      </c>
      <c r="N1147" s="234">
        <v>52285</v>
      </c>
      <c r="O1147" s="128">
        <f t="shared" si="61"/>
        <v>0</v>
      </c>
      <c r="P1147" s="261"/>
      <c r="Q1147" s="234" t="s">
        <v>2220</v>
      </c>
      <c r="R1147" s="220" t="s">
        <v>1888</v>
      </c>
      <c r="S1147" s="220" t="s">
        <v>1861</v>
      </c>
      <c r="T1147" s="234" t="s">
        <v>1945</v>
      </c>
      <c r="U1147" t="s">
        <v>1972</v>
      </c>
      <c r="V1147" t="s">
        <v>2832</v>
      </c>
    </row>
    <row r="1148" spans="1:22" ht="15.75" thickBot="1" x14ac:dyDescent="0.3">
      <c r="A1148" s="234" t="s">
        <v>1934</v>
      </c>
      <c r="B1148" s="234" t="s">
        <v>1934</v>
      </c>
      <c r="C1148" s="234" t="s">
        <v>1934</v>
      </c>
      <c r="D1148" s="249" t="s">
        <v>1939</v>
      </c>
      <c r="E1148" s="267" t="s">
        <v>2250</v>
      </c>
      <c r="F1148" s="234" t="s">
        <v>620</v>
      </c>
      <c r="G1148" s="261">
        <v>2022</v>
      </c>
      <c r="H1148" s="342" t="s">
        <v>733</v>
      </c>
      <c r="I1148" s="337" t="str">
        <f t="shared" si="60"/>
        <v>Pesado de Mercadorias N3: Geral : Gasóleo : E6</v>
      </c>
      <c r="J1148" s="234"/>
      <c r="K1148" s="260">
        <v>2022</v>
      </c>
      <c r="L1148" s="234">
        <v>22129.8</v>
      </c>
      <c r="M1148" s="234" t="s">
        <v>630</v>
      </c>
      <c r="N1148" s="234">
        <v>81504</v>
      </c>
      <c r="O1148" s="128">
        <f t="shared" si="61"/>
        <v>0</v>
      </c>
      <c r="P1148" s="261"/>
      <c r="Q1148" s="234" t="s">
        <v>2220</v>
      </c>
      <c r="R1148" s="220" t="s">
        <v>1888</v>
      </c>
      <c r="S1148" s="220" t="s">
        <v>1861</v>
      </c>
      <c r="T1148" s="234" t="s">
        <v>1945</v>
      </c>
      <c r="U1148" t="s">
        <v>1972</v>
      </c>
      <c r="V1148" t="s">
        <v>2832</v>
      </c>
    </row>
    <row r="1149" spans="1:22" ht="15.75" thickBot="1" x14ac:dyDescent="0.3">
      <c r="A1149" s="234" t="s">
        <v>1934</v>
      </c>
      <c r="B1149" s="234" t="s">
        <v>1934</v>
      </c>
      <c r="C1149" s="234" t="s">
        <v>1934</v>
      </c>
      <c r="D1149" s="249" t="s">
        <v>1939</v>
      </c>
      <c r="E1149" s="267" t="s">
        <v>2250</v>
      </c>
      <c r="F1149" s="234" t="s">
        <v>620</v>
      </c>
      <c r="G1149" s="261">
        <v>2022</v>
      </c>
      <c r="H1149" s="342" t="s">
        <v>733</v>
      </c>
      <c r="I1149" s="337" t="str">
        <f t="shared" si="60"/>
        <v>Pesado de Mercadorias N3: Geral : Gasóleo : E6</v>
      </c>
      <c r="J1149" s="234"/>
      <c r="K1149" s="260">
        <v>2022</v>
      </c>
      <c r="L1149" s="234">
        <v>18770.18</v>
      </c>
      <c r="M1149" s="234" t="s">
        <v>630</v>
      </c>
      <c r="N1149" s="234">
        <v>69097</v>
      </c>
      <c r="O1149" s="128">
        <f t="shared" si="61"/>
        <v>0</v>
      </c>
      <c r="P1149" s="261"/>
      <c r="Q1149" s="234" t="s">
        <v>2220</v>
      </c>
      <c r="R1149" s="220" t="s">
        <v>1888</v>
      </c>
      <c r="S1149" s="220" t="s">
        <v>1861</v>
      </c>
      <c r="T1149" s="234" t="s">
        <v>1945</v>
      </c>
      <c r="U1149" t="s">
        <v>1972</v>
      </c>
      <c r="V1149" t="s">
        <v>2832</v>
      </c>
    </row>
    <row r="1150" spans="1:22" ht="15.75" thickBot="1" x14ac:dyDescent="0.3">
      <c r="A1150" s="234" t="s">
        <v>1934</v>
      </c>
      <c r="B1150" s="234" t="s">
        <v>1934</v>
      </c>
      <c r="C1150" s="234" t="s">
        <v>1934</v>
      </c>
      <c r="D1150" s="249" t="s">
        <v>1939</v>
      </c>
      <c r="E1150" s="267" t="s">
        <v>2250</v>
      </c>
      <c r="F1150" s="234" t="s">
        <v>620</v>
      </c>
      <c r="G1150" s="261">
        <v>2022</v>
      </c>
      <c r="H1150" s="342" t="s">
        <v>733</v>
      </c>
      <c r="I1150" s="337" t="str">
        <f t="shared" si="60"/>
        <v>Pesado de Mercadorias N3: Geral : Gasóleo : E6</v>
      </c>
      <c r="J1150" s="234"/>
      <c r="K1150" s="260">
        <v>2022</v>
      </c>
      <c r="L1150" s="234">
        <v>42946.39</v>
      </c>
      <c r="M1150" s="234" t="s">
        <v>630</v>
      </c>
      <c r="N1150" s="234">
        <v>113659</v>
      </c>
      <c r="O1150" s="128">
        <f t="shared" si="61"/>
        <v>0</v>
      </c>
      <c r="P1150" s="261"/>
      <c r="Q1150" s="234" t="s">
        <v>2220</v>
      </c>
      <c r="R1150" s="220" t="s">
        <v>1888</v>
      </c>
      <c r="S1150" s="220" t="s">
        <v>1861</v>
      </c>
      <c r="T1150" s="234" t="s">
        <v>1945</v>
      </c>
      <c r="U1150" t="s">
        <v>1972</v>
      </c>
      <c r="V1150" t="s">
        <v>2832</v>
      </c>
    </row>
    <row r="1151" spans="1:22" ht="15.75" thickBot="1" x14ac:dyDescent="0.3">
      <c r="A1151" s="234" t="s">
        <v>1934</v>
      </c>
      <c r="B1151" s="234" t="s">
        <v>1934</v>
      </c>
      <c r="C1151" s="234" t="s">
        <v>1934</v>
      </c>
      <c r="D1151" s="249" t="s">
        <v>1939</v>
      </c>
      <c r="E1151" s="267" t="s">
        <v>2250</v>
      </c>
      <c r="F1151" s="234" t="s">
        <v>620</v>
      </c>
      <c r="G1151" s="261">
        <v>2022</v>
      </c>
      <c r="H1151" s="342" t="s">
        <v>733</v>
      </c>
      <c r="I1151" s="337" t="str">
        <f t="shared" si="60"/>
        <v>Pesado de Mercadorias N3: Geral : Gasóleo : E6</v>
      </c>
      <c r="J1151" s="234"/>
      <c r="K1151" s="260">
        <v>2022</v>
      </c>
      <c r="L1151" s="234">
        <v>16059.03</v>
      </c>
      <c r="M1151" s="234" t="s">
        <v>630</v>
      </c>
      <c r="N1151" s="234">
        <v>43123</v>
      </c>
      <c r="O1151" s="128">
        <f t="shared" si="61"/>
        <v>0</v>
      </c>
      <c r="P1151" s="261"/>
      <c r="Q1151" s="234" t="s">
        <v>2220</v>
      </c>
      <c r="R1151" s="220" t="s">
        <v>1888</v>
      </c>
      <c r="S1151" s="220" t="s">
        <v>1861</v>
      </c>
      <c r="T1151" s="234" t="s">
        <v>1945</v>
      </c>
      <c r="U1151" t="s">
        <v>1972</v>
      </c>
      <c r="V1151" t="s">
        <v>2832</v>
      </c>
    </row>
    <row r="1152" spans="1:22" ht="15.75" thickBot="1" x14ac:dyDescent="0.3">
      <c r="A1152" s="234" t="s">
        <v>1934</v>
      </c>
      <c r="B1152" s="234" t="s">
        <v>1934</v>
      </c>
      <c r="C1152" s="234" t="s">
        <v>1934</v>
      </c>
      <c r="D1152" s="249" t="s">
        <v>1939</v>
      </c>
      <c r="E1152" s="267" t="s">
        <v>2250</v>
      </c>
      <c r="F1152" s="234" t="s">
        <v>620</v>
      </c>
      <c r="G1152" s="261">
        <v>2022</v>
      </c>
      <c r="H1152" s="342" t="s">
        <v>733</v>
      </c>
      <c r="I1152" s="337" t="str">
        <f t="shared" si="60"/>
        <v>Pesado de Mercadorias N3: Geral : Gasóleo : E6</v>
      </c>
      <c r="J1152" s="234"/>
      <c r="K1152" s="260">
        <v>2022</v>
      </c>
      <c r="L1152" s="234">
        <v>30250.32</v>
      </c>
      <c r="M1152" s="234" t="s">
        <v>630</v>
      </c>
      <c r="N1152" s="234">
        <v>75189</v>
      </c>
      <c r="O1152" s="128">
        <f t="shared" si="61"/>
        <v>0</v>
      </c>
      <c r="P1152" s="261"/>
      <c r="Q1152" s="234" t="s">
        <v>2220</v>
      </c>
      <c r="R1152" s="220" t="s">
        <v>1888</v>
      </c>
      <c r="S1152" s="220" t="s">
        <v>1861</v>
      </c>
      <c r="T1152" s="234" t="s">
        <v>1945</v>
      </c>
      <c r="U1152" t="s">
        <v>1972</v>
      </c>
      <c r="V1152" t="s">
        <v>2832</v>
      </c>
    </row>
    <row r="1153" spans="1:22" ht="15.75" thickBot="1" x14ac:dyDescent="0.3">
      <c r="A1153" s="234" t="s">
        <v>1934</v>
      </c>
      <c r="B1153" s="234" t="s">
        <v>1934</v>
      </c>
      <c r="C1153" s="234" t="s">
        <v>1934</v>
      </c>
      <c r="D1153" s="249" t="s">
        <v>1939</v>
      </c>
      <c r="E1153" s="267" t="s">
        <v>2250</v>
      </c>
      <c r="F1153" s="234" t="s">
        <v>620</v>
      </c>
      <c r="G1153" s="261">
        <v>2022</v>
      </c>
      <c r="H1153" s="342" t="s">
        <v>733</v>
      </c>
      <c r="I1153" s="337" t="str">
        <f t="shared" si="60"/>
        <v>Pesado de Mercadorias N3: Geral : Gasóleo : E6</v>
      </c>
      <c r="J1153" s="234"/>
      <c r="K1153" s="260">
        <v>2022</v>
      </c>
      <c r="L1153" s="234">
        <v>27107.360000000001</v>
      </c>
      <c r="M1153" s="234" t="s">
        <v>630</v>
      </c>
      <c r="N1153" s="234">
        <v>58977</v>
      </c>
      <c r="O1153" s="128">
        <f t="shared" si="61"/>
        <v>0</v>
      </c>
      <c r="P1153" s="261"/>
      <c r="Q1153" s="234" t="s">
        <v>2220</v>
      </c>
      <c r="R1153" s="220" t="s">
        <v>1888</v>
      </c>
      <c r="S1153" s="220" t="s">
        <v>1861</v>
      </c>
      <c r="T1153" s="234" t="s">
        <v>1945</v>
      </c>
      <c r="U1153" t="s">
        <v>1972</v>
      </c>
      <c r="V1153" t="s">
        <v>2832</v>
      </c>
    </row>
    <row r="1154" spans="1:22" ht="15.75" thickBot="1" x14ac:dyDescent="0.3">
      <c r="A1154" s="234" t="s">
        <v>1934</v>
      </c>
      <c r="B1154" s="234" t="s">
        <v>1934</v>
      </c>
      <c r="C1154" s="234" t="s">
        <v>1934</v>
      </c>
      <c r="D1154" s="249" t="s">
        <v>1939</v>
      </c>
      <c r="E1154" s="267" t="s">
        <v>2250</v>
      </c>
      <c r="F1154" s="234" t="s">
        <v>620</v>
      </c>
      <c r="G1154" s="261">
        <v>2022</v>
      </c>
      <c r="H1154" s="342" t="s">
        <v>733</v>
      </c>
      <c r="I1154" s="337" t="str">
        <f t="shared" si="60"/>
        <v>Pesado de Mercadorias N3: Geral : Gasóleo : E6</v>
      </c>
      <c r="J1154" s="234"/>
      <c r="K1154" s="260">
        <v>2022</v>
      </c>
      <c r="L1154" s="234">
        <v>26473.81</v>
      </c>
      <c r="M1154" s="234" t="s">
        <v>630</v>
      </c>
      <c r="N1154" s="234">
        <v>66758</v>
      </c>
      <c r="O1154" s="128">
        <f t="shared" si="61"/>
        <v>0</v>
      </c>
      <c r="P1154" s="261"/>
      <c r="Q1154" s="234" t="s">
        <v>2220</v>
      </c>
      <c r="R1154" s="220" t="s">
        <v>1888</v>
      </c>
      <c r="S1154" s="220" t="s">
        <v>1861</v>
      </c>
      <c r="T1154" s="234" t="s">
        <v>1945</v>
      </c>
      <c r="U1154" t="s">
        <v>1972</v>
      </c>
      <c r="V1154" t="s">
        <v>2832</v>
      </c>
    </row>
    <row r="1155" spans="1:22" ht="15.75" thickBot="1" x14ac:dyDescent="0.3">
      <c r="A1155" s="234" t="s">
        <v>1934</v>
      </c>
      <c r="B1155" s="234" t="s">
        <v>1934</v>
      </c>
      <c r="C1155" s="234" t="s">
        <v>1934</v>
      </c>
      <c r="D1155" s="249" t="s">
        <v>1939</v>
      </c>
      <c r="E1155" s="267" t="s">
        <v>2250</v>
      </c>
      <c r="F1155" s="234" t="s">
        <v>620</v>
      </c>
      <c r="G1155" s="261">
        <v>2022</v>
      </c>
      <c r="H1155" s="342" t="s">
        <v>733</v>
      </c>
      <c r="I1155" s="337" t="str">
        <f t="shared" si="60"/>
        <v>Pesado de Mercadorias N3: Geral : Gasóleo : E6</v>
      </c>
      <c r="J1155" s="234"/>
      <c r="K1155" s="260">
        <v>2022</v>
      </c>
      <c r="L1155" s="234">
        <v>38745.89</v>
      </c>
      <c r="M1155" s="234" t="s">
        <v>630</v>
      </c>
      <c r="N1155" s="234">
        <v>101623</v>
      </c>
      <c r="O1155" s="128">
        <f t="shared" si="61"/>
        <v>0</v>
      </c>
      <c r="P1155" s="261"/>
      <c r="Q1155" s="234" t="s">
        <v>2220</v>
      </c>
      <c r="R1155" s="220" t="s">
        <v>1888</v>
      </c>
      <c r="S1155" s="220" t="s">
        <v>1861</v>
      </c>
      <c r="T1155" s="234" t="s">
        <v>1945</v>
      </c>
      <c r="U1155" t="s">
        <v>1972</v>
      </c>
      <c r="V1155" t="s">
        <v>2832</v>
      </c>
    </row>
    <row r="1156" spans="1:22" ht="15.75" thickBot="1" x14ac:dyDescent="0.3">
      <c r="A1156" s="234" t="s">
        <v>1934</v>
      </c>
      <c r="B1156" s="234" t="s">
        <v>1934</v>
      </c>
      <c r="C1156" s="234" t="s">
        <v>1934</v>
      </c>
      <c r="D1156" s="249" t="s">
        <v>1939</v>
      </c>
      <c r="E1156" s="267" t="s">
        <v>2250</v>
      </c>
      <c r="F1156" s="234" t="s">
        <v>620</v>
      </c>
      <c r="G1156" s="261">
        <v>2023</v>
      </c>
      <c r="H1156" s="342" t="s">
        <v>733</v>
      </c>
      <c r="I1156" s="337" t="str">
        <f t="shared" ref="I1156:I1219" si="62">D1156&amp;": "&amp;E1156&amp;" : "&amp;F1156&amp;" : "&amp;H1156</f>
        <v>Pesado de Mercadorias N3: Geral : Gasóleo : E6</v>
      </c>
      <c r="J1156" s="234"/>
      <c r="K1156" s="260">
        <v>2022</v>
      </c>
      <c r="L1156" s="234">
        <v>5778.36</v>
      </c>
      <c r="M1156" s="234" t="s">
        <v>630</v>
      </c>
      <c r="N1156" s="234">
        <v>13256</v>
      </c>
      <c r="O1156" s="128">
        <f t="shared" ref="O1156:O1219" si="63">N1156*J1156</f>
        <v>0</v>
      </c>
      <c r="P1156" s="261"/>
      <c r="Q1156" s="234" t="s">
        <v>2220</v>
      </c>
      <c r="R1156" s="220" t="s">
        <v>1888</v>
      </c>
      <c r="S1156" s="220" t="s">
        <v>1861</v>
      </c>
      <c r="T1156" s="234" t="s">
        <v>1945</v>
      </c>
      <c r="U1156" t="s">
        <v>1972</v>
      </c>
      <c r="V1156" t="s">
        <v>2832</v>
      </c>
    </row>
    <row r="1157" spans="1:22" ht="15.75" thickBot="1" x14ac:dyDescent="0.3">
      <c r="A1157" s="234" t="s">
        <v>1934</v>
      </c>
      <c r="B1157" s="234" t="s">
        <v>1934</v>
      </c>
      <c r="C1157" s="234" t="s">
        <v>1934</v>
      </c>
      <c r="D1157" s="249" t="s">
        <v>1939</v>
      </c>
      <c r="E1157" s="267" t="s">
        <v>2250</v>
      </c>
      <c r="F1157" s="234" t="s">
        <v>620</v>
      </c>
      <c r="G1157" s="261">
        <v>2023</v>
      </c>
      <c r="H1157" s="342" t="s">
        <v>733</v>
      </c>
      <c r="I1157" s="337" t="str">
        <f t="shared" si="62"/>
        <v>Pesado de Mercadorias N3: Geral : Gasóleo : E6</v>
      </c>
      <c r="J1157" s="234"/>
      <c r="K1157" s="260">
        <v>2022</v>
      </c>
      <c r="L1157" s="234">
        <v>8214.09</v>
      </c>
      <c r="M1157" s="234" t="s">
        <v>630</v>
      </c>
      <c r="N1157" s="234">
        <v>19168</v>
      </c>
      <c r="O1157" s="128">
        <f t="shared" si="63"/>
        <v>0</v>
      </c>
      <c r="P1157" s="261"/>
      <c r="Q1157" s="234" t="s">
        <v>2220</v>
      </c>
      <c r="R1157" s="220" t="s">
        <v>1888</v>
      </c>
      <c r="S1157" s="220" t="s">
        <v>1861</v>
      </c>
      <c r="T1157" s="234" t="s">
        <v>1945</v>
      </c>
      <c r="U1157" t="s">
        <v>1972</v>
      </c>
      <c r="V1157" t="s">
        <v>2832</v>
      </c>
    </row>
    <row r="1158" spans="1:22" ht="15.75" thickBot="1" x14ac:dyDescent="0.3">
      <c r="A1158" s="234" t="s">
        <v>1934</v>
      </c>
      <c r="B1158" s="234" t="s">
        <v>1934</v>
      </c>
      <c r="C1158" s="234" t="s">
        <v>1934</v>
      </c>
      <c r="D1158" s="249" t="s">
        <v>1939</v>
      </c>
      <c r="E1158" s="267" t="s">
        <v>2250</v>
      </c>
      <c r="F1158" s="234" t="s">
        <v>620</v>
      </c>
      <c r="G1158" s="261">
        <v>2023</v>
      </c>
      <c r="H1158" s="342" t="s">
        <v>733</v>
      </c>
      <c r="I1158" s="337" t="str">
        <f t="shared" si="62"/>
        <v>Pesado de Mercadorias N3: Geral : Gasóleo : E6</v>
      </c>
      <c r="J1158" s="234"/>
      <c r="K1158" s="260">
        <v>2022</v>
      </c>
      <c r="L1158" s="234">
        <v>25730.79</v>
      </c>
      <c r="M1158" s="234" t="s">
        <v>630</v>
      </c>
      <c r="N1158" s="234">
        <v>69574</v>
      </c>
      <c r="O1158" s="128">
        <f t="shared" si="63"/>
        <v>0</v>
      </c>
      <c r="P1158" s="261"/>
      <c r="Q1158" s="234" t="s">
        <v>2220</v>
      </c>
      <c r="R1158" s="220" t="s">
        <v>1888</v>
      </c>
      <c r="S1158" s="220" t="s">
        <v>1861</v>
      </c>
      <c r="T1158" s="234" t="s">
        <v>1945</v>
      </c>
      <c r="U1158" t="s">
        <v>1972</v>
      </c>
      <c r="V1158" t="s">
        <v>2832</v>
      </c>
    </row>
    <row r="1159" spans="1:22" ht="15.75" thickBot="1" x14ac:dyDescent="0.3">
      <c r="A1159" s="234" t="s">
        <v>1934</v>
      </c>
      <c r="B1159" s="234" t="s">
        <v>1934</v>
      </c>
      <c r="C1159" s="234" t="s">
        <v>1934</v>
      </c>
      <c r="D1159" s="249" t="s">
        <v>1939</v>
      </c>
      <c r="E1159" s="267" t="s">
        <v>2250</v>
      </c>
      <c r="F1159" s="234" t="s">
        <v>620</v>
      </c>
      <c r="G1159" s="261">
        <v>2023</v>
      </c>
      <c r="H1159" s="342" t="s">
        <v>733</v>
      </c>
      <c r="I1159" s="337" t="str">
        <f t="shared" si="62"/>
        <v>Pesado de Mercadorias N3: Geral : Gasóleo : E6</v>
      </c>
      <c r="J1159" s="234"/>
      <c r="K1159" s="260">
        <v>2022</v>
      </c>
      <c r="L1159" s="234">
        <v>13483.96</v>
      </c>
      <c r="M1159" s="234" t="s">
        <v>630</v>
      </c>
      <c r="N1159" s="234">
        <v>37355</v>
      </c>
      <c r="O1159" s="128">
        <f t="shared" si="63"/>
        <v>0</v>
      </c>
      <c r="P1159" s="261"/>
      <c r="Q1159" s="234" t="s">
        <v>2220</v>
      </c>
      <c r="R1159" s="220" t="s">
        <v>1888</v>
      </c>
      <c r="S1159" s="220" t="s">
        <v>1861</v>
      </c>
      <c r="T1159" s="234" t="s">
        <v>1945</v>
      </c>
      <c r="U1159" t="s">
        <v>1972</v>
      </c>
      <c r="V1159" t="s">
        <v>2832</v>
      </c>
    </row>
    <row r="1160" spans="1:22" ht="15.75" thickBot="1" x14ac:dyDescent="0.3">
      <c r="A1160" s="234" t="s">
        <v>1934</v>
      </c>
      <c r="B1160" s="234" t="s">
        <v>1934</v>
      </c>
      <c r="C1160" s="234" t="s">
        <v>1934</v>
      </c>
      <c r="D1160" s="249" t="s">
        <v>1939</v>
      </c>
      <c r="E1160" s="267" t="s">
        <v>2250</v>
      </c>
      <c r="F1160" s="234" t="s">
        <v>620</v>
      </c>
      <c r="G1160" s="261">
        <v>2023</v>
      </c>
      <c r="H1160" s="342" t="s">
        <v>733</v>
      </c>
      <c r="I1160" s="337" t="str">
        <f t="shared" si="62"/>
        <v>Pesado de Mercadorias N3: Geral : Gasóleo : E6</v>
      </c>
      <c r="J1160" s="234"/>
      <c r="K1160" s="260">
        <v>2022</v>
      </c>
      <c r="L1160" s="234">
        <v>14035.75</v>
      </c>
      <c r="M1160" s="234" t="s">
        <v>630</v>
      </c>
      <c r="N1160" s="234">
        <v>41171</v>
      </c>
      <c r="O1160" s="128">
        <f t="shared" si="63"/>
        <v>0</v>
      </c>
      <c r="P1160" s="261"/>
      <c r="Q1160" s="234" t="s">
        <v>2220</v>
      </c>
      <c r="R1160" s="220" t="s">
        <v>1888</v>
      </c>
      <c r="S1160" s="220" t="s">
        <v>1861</v>
      </c>
      <c r="T1160" s="234" t="s">
        <v>1945</v>
      </c>
      <c r="U1160" t="s">
        <v>1972</v>
      </c>
      <c r="V1160" t="s">
        <v>2832</v>
      </c>
    </row>
    <row r="1161" spans="1:22" ht="15.75" thickBot="1" x14ac:dyDescent="0.3">
      <c r="A1161" s="234" t="s">
        <v>1934</v>
      </c>
      <c r="B1161" s="234" t="s">
        <v>1934</v>
      </c>
      <c r="C1161" s="234" t="s">
        <v>1934</v>
      </c>
      <c r="D1161" s="249" t="s">
        <v>1939</v>
      </c>
      <c r="E1161" s="267" t="s">
        <v>2250</v>
      </c>
      <c r="F1161" s="234" t="s">
        <v>620</v>
      </c>
      <c r="G1161" s="261">
        <v>2023</v>
      </c>
      <c r="H1161" s="342" t="s">
        <v>733</v>
      </c>
      <c r="I1161" s="337" t="str">
        <f t="shared" si="62"/>
        <v>Pesado de Mercadorias N3: Geral : Gasóleo : E6</v>
      </c>
      <c r="J1161" s="234"/>
      <c r="K1161" s="260">
        <v>2022</v>
      </c>
      <c r="L1161" s="234">
        <v>23269.47</v>
      </c>
      <c r="M1161" s="234" t="s">
        <v>630</v>
      </c>
      <c r="N1161" s="234">
        <v>65916</v>
      </c>
      <c r="O1161" s="128">
        <f t="shared" si="63"/>
        <v>0</v>
      </c>
      <c r="P1161" s="261"/>
      <c r="Q1161" s="234" t="s">
        <v>2220</v>
      </c>
      <c r="R1161" s="220" t="s">
        <v>1888</v>
      </c>
      <c r="S1161" s="220" t="s">
        <v>1861</v>
      </c>
      <c r="T1161" s="234" t="s">
        <v>1945</v>
      </c>
      <c r="U1161" t="s">
        <v>1972</v>
      </c>
      <c r="V1161" t="s">
        <v>2832</v>
      </c>
    </row>
    <row r="1162" spans="1:22" ht="15.75" thickBot="1" x14ac:dyDescent="0.3">
      <c r="A1162" s="234" t="s">
        <v>1934</v>
      </c>
      <c r="B1162" s="234" t="s">
        <v>1934</v>
      </c>
      <c r="C1162" s="234" t="s">
        <v>1934</v>
      </c>
      <c r="D1162" s="249" t="s">
        <v>1939</v>
      </c>
      <c r="E1162" s="267" t="s">
        <v>2250</v>
      </c>
      <c r="F1162" s="234" t="s">
        <v>620</v>
      </c>
      <c r="G1162" s="261">
        <v>2023</v>
      </c>
      <c r="H1162" s="342" t="s">
        <v>733</v>
      </c>
      <c r="I1162" s="337" t="str">
        <f t="shared" si="62"/>
        <v>Pesado de Mercadorias N3: Geral : Gasóleo : E6</v>
      </c>
      <c r="J1162" s="234"/>
      <c r="K1162" s="260">
        <v>2022</v>
      </c>
      <c r="L1162" s="234">
        <v>16901.96</v>
      </c>
      <c r="M1162" s="234" t="s">
        <v>630</v>
      </c>
      <c r="N1162" s="234">
        <v>44931</v>
      </c>
      <c r="O1162" s="128">
        <f t="shared" si="63"/>
        <v>0</v>
      </c>
      <c r="P1162" s="261"/>
      <c r="Q1162" s="234" t="s">
        <v>2220</v>
      </c>
      <c r="R1162" s="220" t="s">
        <v>1888</v>
      </c>
      <c r="S1162" s="220" t="s">
        <v>1861</v>
      </c>
      <c r="T1162" s="234" t="s">
        <v>1945</v>
      </c>
      <c r="U1162" t="s">
        <v>1972</v>
      </c>
      <c r="V1162" t="s">
        <v>2832</v>
      </c>
    </row>
    <row r="1163" spans="1:22" ht="15.75" thickBot="1" x14ac:dyDescent="0.3">
      <c r="A1163" s="234" t="s">
        <v>1934</v>
      </c>
      <c r="B1163" s="234" t="s">
        <v>1934</v>
      </c>
      <c r="C1163" s="234" t="s">
        <v>1934</v>
      </c>
      <c r="D1163" s="249" t="s">
        <v>1939</v>
      </c>
      <c r="E1163" s="267" t="s">
        <v>2250</v>
      </c>
      <c r="F1163" s="234" t="s">
        <v>620</v>
      </c>
      <c r="G1163" s="261">
        <v>2023</v>
      </c>
      <c r="H1163" s="342" t="s">
        <v>733</v>
      </c>
      <c r="I1163" s="337" t="str">
        <f t="shared" si="62"/>
        <v>Pesado de Mercadorias N3: Geral : Gasóleo : E6</v>
      </c>
      <c r="J1163" s="234"/>
      <c r="K1163" s="260">
        <v>2022</v>
      </c>
      <c r="L1163" s="234">
        <v>12760.95</v>
      </c>
      <c r="M1163" s="234" t="s">
        <v>630</v>
      </c>
      <c r="N1163" s="234">
        <v>35069</v>
      </c>
      <c r="O1163" s="128">
        <f t="shared" si="63"/>
        <v>0</v>
      </c>
      <c r="P1163" s="261"/>
      <c r="Q1163" s="234" t="s">
        <v>2220</v>
      </c>
      <c r="R1163" s="220" t="s">
        <v>1888</v>
      </c>
      <c r="S1163" s="220" t="s">
        <v>1861</v>
      </c>
      <c r="T1163" s="234" t="s">
        <v>1945</v>
      </c>
      <c r="U1163" t="s">
        <v>1972</v>
      </c>
      <c r="V1163" t="s">
        <v>2832</v>
      </c>
    </row>
    <row r="1164" spans="1:22" ht="15.75" thickBot="1" x14ac:dyDescent="0.3">
      <c r="A1164" t="s">
        <v>1935</v>
      </c>
      <c r="B1164" t="s">
        <v>1935</v>
      </c>
      <c r="C1164" t="s">
        <v>1935</v>
      </c>
      <c r="D1164" t="s">
        <v>629</v>
      </c>
      <c r="E1164" s="259" t="s">
        <v>1853</v>
      </c>
      <c r="F1164" t="s">
        <v>620</v>
      </c>
      <c r="G1164" s="89">
        <v>1996</v>
      </c>
      <c r="H1164" s="341" t="s">
        <v>736</v>
      </c>
      <c r="I1164" s="337" t="str">
        <f t="shared" si="62"/>
        <v>Pesado de Passageiros M3: III : Gasóleo : E1</v>
      </c>
      <c r="J1164" s="125">
        <v>54</v>
      </c>
      <c r="K1164" s="264">
        <v>2022</v>
      </c>
      <c r="L1164" s="85">
        <v>2662.3</v>
      </c>
      <c r="M1164" s="85" t="s">
        <v>630</v>
      </c>
      <c r="N1164" s="128">
        <v>8682</v>
      </c>
      <c r="O1164" s="128">
        <f t="shared" si="63"/>
        <v>468828</v>
      </c>
      <c r="P1164" s="89">
        <v>8103</v>
      </c>
      <c r="Q1164" t="s">
        <v>47</v>
      </c>
      <c r="R1164" s="220" t="s">
        <v>1888</v>
      </c>
      <c r="S1164" s="220" t="s">
        <v>1861</v>
      </c>
      <c r="U1164" t="s">
        <v>1972</v>
      </c>
      <c r="V1164" t="s">
        <v>2832</v>
      </c>
    </row>
    <row r="1165" spans="1:22" ht="15.75" thickBot="1" x14ac:dyDescent="0.3">
      <c r="A1165" t="s">
        <v>1935</v>
      </c>
      <c r="B1165" t="s">
        <v>1935</v>
      </c>
      <c r="C1165" t="s">
        <v>1935</v>
      </c>
      <c r="D1165" t="s">
        <v>629</v>
      </c>
      <c r="E1165" s="259" t="s">
        <v>1853</v>
      </c>
      <c r="F1165" t="s">
        <v>620</v>
      </c>
      <c r="G1165" s="89">
        <v>2004</v>
      </c>
      <c r="H1165" s="341" t="s">
        <v>732</v>
      </c>
      <c r="I1165" s="337" t="str">
        <f t="shared" si="62"/>
        <v>Pesado de Passageiros M3: III : Gasóleo : E3</v>
      </c>
      <c r="J1165" s="125">
        <v>67</v>
      </c>
      <c r="K1165" s="264">
        <v>2022</v>
      </c>
      <c r="L1165" s="85">
        <v>11342.400000000001</v>
      </c>
      <c r="M1165" s="85" t="s">
        <v>630</v>
      </c>
      <c r="N1165" s="128">
        <v>37938</v>
      </c>
      <c r="O1165" s="128">
        <f t="shared" si="63"/>
        <v>2541846</v>
      </c>
      <c r="P1165" s="89">
        <v>8105</v>
      </c>
      <c r="Q1165" t="s">
        <v>47</v>
      </c>
      <c r="R1165" s="220" t="s">
        <v>1888</v>
      </c>
      <c r="S1165" s="220" t="s">
        <v>1861</v>
      </c>
      <c r="U1165" t="s">
        <v>1972</v>
      </c>
      <c r="V1165" t="s">
        <v>2832</v>
      </c>
    </row>
    <row r="1166" spans="1:22" ht="15.75" thickBot="1" x14ac:dyDescent="0.3">
      <c r="A1166" t="s">
        <v>1935</v>
      </c>
      <c r="B1166" t="s">
        <v>1935</v>
      </c>
      <c r="C1166" t="s">
        <v>1935</v>
      </c>
      <c r="D1166" t="s">
        <v>629</v>
      </c>
      <c r="E1166" s="259" t="s">
        <v>1853</v>
      </c>
      <c r="F1166" t="s">
        <v>620</v>
      </c>
      <c r="G1166" s="89">
        <v>2005</v>
      </c>
      <c r="H1166" s="341" t="s">
        <v>732</v>
      </c>
      <c r="I1166" s="337" t="str">
        <f t="shared" si="62"/>
        <v>Pesado de Passageiros M3: III : Gasóleo : E3</v>
      </c>
      <c r="J1166" s="125">
        <v>69</v>
      </c>
      <c r="K1166" s="264">
        <v>2022</v>
      </c>
      <c r="L1166" s="85">
        <v>12404.099999999999</v>
      </c>
      <c r="M1166" s="85" t="s">
        <v>630</v>
      </c>
      <c r="N1166" s="128">
        <v>43831</v>
      </c>
      <c r="O1166" s="128">
        <f t="shared" si="63"/>
        <v>3024339</v>
      </c>
      <c r="P1166" s="89">
        <v>8106</v>
      </c>
      <c r="Q1166" t="s">
        <v>47</v>
      </c>
      <c r="R1166" s="220" t="s">
        <v>1888</v>
      </c>
      <c r="S1166" s="220" t="s">
        <v>1861</v>
      </c>
      <c r="U1166" t="s">
        <v>1972</v>
      </c>
      <c r="V1166" t="s">
        <v>2832</v>
      </c>
    </row>
    <row r="1167" spans="1:22" ht="15.75" thickBot="1" x14ac:dyDescent="0.3">
      <c r="A1167" t="s">
        <v>1935</v>
      </c>
      <c r="B1167" t="s">
        <v>1935</v>
      </c>
      <c r="C1167" t="s">
        <v>1935</v>
      </c>
      <c r="D1167" t="s">
        <v>629</v>
      </c>
      <c r="E1167" s="259" t="s">
        <v>1853</v>
      </c>
      <c r="F1167" t="s">
        <v>620</v>
      </c>
      <c r="G1167" s="89">
        <v>2004</v>
      </c>
      <c r="H1167" s="341" t="s">
        <v>732</v>
      </c>
      <c r="I1167" s="337" t="str">
        <f t="shared" si="62"/>
        <v>Pesado de Passageiros M3: III : Gasóleo : E3</v>
      </c>
      <c r="J1167" s="125">
        <v>69</v>
      </c>
      <c r="K1167" s="264">
        <v>2022</v>
      </c>
      <c r="L1167" s="85">
        <v>15485.5</v>
      </c>
      <c r="M1167" s="85" t="s">
        <v>630</v>
      </c>
      <c r="N1167" s="128">
        <v>50962</v>
      </c>
      <c r="O1167" s="128">
        <f t="shared" si="63"/>
        <v>3516378</v>
      </c>
      <c r="P1167" s="89">
        <v>8107</v>
      </c>
      <c r="Q1167" t="s">
        <v>47</v>
      </c>
      <c r="R1167" s="220" t="s">
        <v>1888</v>
      </c>
      <c r="S1167" s="220" t="s">
        <v>1861</v>
      </c>
      <c r="U1167" t="s">
        <v>1972</v>
      </c>
      <c r="V1167" t="s">
        <v>2832</v>
      </c>
    </row>
    <row r="1168" spans="1:22" ht="15.75" thickBot="1" x14ac:dyDescent="0.3">
      <c r="A1168" t="s">
        <v>1935</v>
      </c>
      <c r="B1168" t="s">
        <v>1935</v>
      </c>
      <c r="C1168" t="s">
        <v>1935</v>
      </c>
      <c r="D1168" t="s">
        <v>629</v>
      </c>
      <c r="E1168" s="259" t="s">
        <v>1853</v>
      </c>
      <c r="F1168" t="s">
        <v>620</v>
      </c>
      <c r="G1168" s="89">
        <v>2005</v>
      </c>
      <c r="H1168" s="341" t="s">
        <v>732</v>
      </c>
      <c r="I1168" s="337" t="str">
        <f t="shared" si="62"/>
        <v>Pesado de Passageiros M3: III : Gasóleo : E3</v>
      </c>
      <c r="J1168" s="125">
        <v>69</v>
      </c>
      <c r="K1168" s="264">
        <v>2022</v>
      </c>
      <c r="L1168" s="85">
        <v>15256.999999999998</v>
      </c>
      <c r="M1168" s="85" t="s">
        <v>630</v>
      </c>
      <c r="N1168" s="128">
        <v>52693</v>
      </c>
      <c r="O1168" s="128">
        <f t="shared" si="63"/>
        <v>3635817</v>
      </c>
      <c r="P1168" s="89">
        <v>8108</v>
      </c>
      <c r="Q1168" t="s">
        <v>47</v>
      </c>
      <c r="R1168" s="220" t="s">
        <v>1888</v>
      </c>
      <c r="S1168" s="220" t="s">
        <v>1861</v>
      </c>
      <c r="U1168" t="s">
        <v>1972</v>
      </c>
      <c r="V1168" t="s">
        <v>2832</v>
      </c>
    </row>
    <row r="1169" spans="1:22" ht="15.75" thickBot="1" x14ac:dyDescent="0.3">
      <c r="A1169" t="s">
        <v>1935</v>
      </c>
      <c r="B1169" t="s">
        <v>1935</v>
      </c>
      <c r="C1169" t="s">
        <v>1935</v>
      </c>
      <c r="D1169" t="s">
        <v>629</v>
      </c>
      <c r="E1169" s="259" t="s">
        <v>1853</v>
      </c>
      <c r="F1169" t="s">
        <v>620</v>
      </c>
      <c r="G1169" s="89">
        <v>2004</v>
      </c>
      <c r="H1169" s="341" t="s">
        <v>732</v>
      </c>
      <c r="I1169" s="337" t="str">
        <f t="shared" si="62"/>
        <v>Pesado de Passageiros M3: III : Gasóleo : E3</v>
      </c>
      <c r="J1169" s="125">
        <v>69</v>
      </c>
      <c r="K1169" s="264">
        <v>2022</v>
      </c>
      <c r="L1169" s="85">
        <v>14058</v>
      </c>
      <c r="M1169" s="85" t="s">
        <v>630</v>
      </c>
      <c r="N1169" s="128">
        <v>44163</v>
      </c>
      <c r="O1169" s="128">
        <f t="shared" si="63"/>
        <v>3047247</v>
      </c>
      <c r="P1169" s="89">
        <v>8109</v>
      </c>
      <c r="Q1169" t="s">
        <v>47</v>
      </c>
      <c r="R1169" s="220" t="s">
        <v>1888</v>
      </c>
      <c r="S1169" s="220" t="s">
        <v>1861</v>
      </c>
      <c r="U1169" t="s">
        <v>1972</v>
      </c>
      <c r="V1169" t="s">
        <v>2832</v>
      </c>
    </row>
    <row r="1170" spans="1:22" ht="15.75" thickBot="1" x14ac:dyDescent="0.3">
      <c r="A1170" t="s">
        <v>1935</v>
      </c>
      <c r="B1170" t="s">
        <v>1935</v>
      </c>
      <c r="C1170" t="s">
        <v>1935</v>
      </c>
      <c r="D1170" t="s">
        <v>629</v>
      </c>
      <c r="E1170" s="259" t="s">
        <v>1853</v>
      </c>
      <c r="F1170" t="s">
        <v>620</v>
      </c>
      <c r="G1170" s="89">
        <v>1994</v>
      </c>
      <c r="H1170" s="341" t="s">
        <v>736</v>
      </c>
      <c r="I1170" s="337" t="str">
        <f t="shared" si="62"/>
        <v>Pesado de Passageiros M3: III : Gasóleo : E1</v>
      </c>
      <c r="J1170" s="125">
        <v>50</v>
      </c>
      <c r="K1170" s="264">
        <v>2022</v>
      </c>
      <c r="L1170" s="85">
        <v>0</v>
      </c>
      <c r="M1170" s="85" t="s">
        <v>630</v>
      </c>
      <c r="N1170" s="128">
        <v>0</v>
      </c>
      <c r="O1170" s="128">
        <f t="shared" si="63"/>
        <v>0</v>
      </c>
      <c r="P1170" s="89">
        <v>8110</v>
      </c>
      <c r="Q1170" t="s">
        <v>47</v>
      </c>
      <c r="R1170" s="220" t="s">
        <v>1888</v>
      </c>
      <c r="S1170" s="220" t="s">
        <v>1861</v>
      </c>
      <c r="U1170" t="s">
        <v>1972</v>
      </c>
      <c r="V1170" t="s">
        <v>2832</v>
      </c>
    </row>
    <row r="1171" spans="1:22" ht="15.75" thickBot="1" x14ac:dyDescent="0.3">
      <c r="A1171" t="s">
        <v>1935</v>
      </c>
      <c r="B1171" t="s">
        <v>1935</v>
      </c>
      <c r="C1171" t="s">
        <v>1935</v>
      </c>
      <c r="D1171" t="s">
        <v>629</v>
      </c>
      <c r="E1171" s="259" t="s">
        <v>1853</v>
      </c>
      <c r="F1171" t="s">
        <v>620</v>
      </c>
      <c r="G1171" s="89">
        <v>2010</v>
      </c>
      <c r="H1171" s="341" t="s">
        <v>734</v>
      </c>
      <c r="I1171" s="337" t="str">
        <f t="shared" si="62"/>
        <v>Pesado de Passageiros M3: III : Gasóleo : E5</v>
      </c>
      <c r="J1171" s="125">
        <v>31</v>
      </c>
      <c r="K1171" s="264">
        <v>2022</v>
      </c>
      <c r="L1171" s="85">
        <v>9350.5</v>
      </c>
      <c r="M1171" s="85" t="s">
        <v>630</v>
      </c>
      <c r="N1171" s="128">
        <v>37768</v>
      </c>
      <c r="O1171" s="128">
        <f t="shared" si="63"/>
        <v>1170808</v>
      </c>
      <c r="P1171" s="89">
        <v>8111</v>
      </c>
      <c r="Q1171" t="s">
        <v>47</v>
      </c>
      <c r="R1171" s="220" t="s">
        <v>1888</v>
      </c>
      <c r="S1171" s="220" t="s">
        <v>1861</v>
      </c>
      <c r="U1171" t="s">
        <v>1972</v>
      </c>
      <c r="V1171" t="s">
        <v>2832</v>
      </c>
    </row>
    <row r="1172" spans="1:22" ht="15.75" thickBot="1" x14ac:dyDescent="0.3">
      <c r="A1172" t="s">
        <v>1935</v>
      </c>
      <c r="B1172" t="s">
        <v>1935</v>
      </c>
      <c r="C1172" t="s">
        <v>1935</v>
      </c>
      <c r="D1172" t="s">
        <v>629</v>
      </c>
      <c r="E1172" s="259" t="s">
        <v>1853</v>
      </c>
      <c r="F1172" t="s">
        <v>620</v>
      </c>
      <c r="G1172" s="89">
        <v>2010</v>
      </c>
      <c r="H1172" s="341" t="s">
        <v>734</v>
      </c>
      <c r="I1172" s="337" t="str">
        <f t="shared" si="62"/>
        <v>Pesado de Passageiros M3: III : Gasóleo : E5</v>
      </c>
      <c r="J1172" s="125">
        <v>31</v>
      </c>
      <c r="K1172" s="264">
        <v>2022</v>
      </c>
      <c r="L1172" s="85">
        <v>7047.5999999999995</v>
      </c>
      <c r="M1172" s="85" t="s">
        <v>630</v>
      </c>
      <c r="N1172" s="128">
        <v>27433</v>
      </c>
      <c r="O1172" s="128">
        <f t="shared" si="63"/>
        <v>850423</v>
      </c>
      <c r="P1172" s="89">
        <v>8112</v>
      </c>
      <c r="Q1172" t="s">
        <v>47</v>
      </c>
      <c r="R1172" s="220" t="s">
        <v>1888</v>
      </c>
      <c r="S1172" s="220" t="s">
        <v>1861</v>
      </c>
      <c r="U1172" t="s">
        <v>1972</v>
      </c>
      <c r="V1172" t="s">
        <v>2832</v>
      </c>
    </row>
    <row r="1173" spans="1:22" ht="15.75" thickBot="1" x14ac:dyDescent="0.3">
      <c r="A1173" t="s">
        <v>1935</v>
      </c>
      <c r="B1173" t="s">
        <v>1935</v>
      </c>
      <c r="C1173" t="s">
        <v>1935</v>
      </c>
      <c r="D1173" t="s">
        <v>629</v>
      </c>
      <c r="E1173" s="259" t="s">
        <v>1853</v>
      </c>
      <c r="F1173" t="s">
        <v>620</v>
      </c>
      <c r="G1173" s="89">
        <v>2010</v>
      </c>
      <c r="H1173" s="341" t="s">
        <v>734</v>
      </c>
      <c r="I1173" s="337" t="str">
        <f t="shared" si="62"/>
        <v>Pesado de Passageiros M3: III : Gasóleo : E5</v>
      </c>
      <c r="J1173" s="125">
        <v>31</v>
      </c>
      <c r="K1173" s="264">
        <v>2022</v>
      </c>
      <c r="L1173" s="85">
        <v>6535.9000000000005</v>
      </c>
      <c r="M1173" s="85" t="s">
        <v>630</v>
      </c>
      <c r="N1173" s="128">
        <v>21118</v>
      </c>
      <c r="O1173" s="128">
        <f t="shared" si="63"/>
        <v>654658</v>
      </c>
      <c r="P1173" s="89">
        <v>8113</v>
      </c>
      <c r="Q1173" t="s">
        <v>47</v>
      </c>
      <c r="R1173" s="220" t="s">
        <v>1888</v>
      </c>
      <c r="S1173" s="220" t="s">
        <v>1861</v>
      </c>
      <c r="U1173" t="s">
        <v>1972</v>
      </c>
      <c r="V1173" t="s">
        <v>2832</v>
      </c>
    </row>
    <row r="1174" spans="1:22" ht="15.75" thickBot="1" x14ac:dyDescent="0.3">
      <c r="A1174" t="s">
        <v>1935</v>
      </c>
      <c r="B1174" t="s">
        <v>1935</v>
      </c>
      <c r="C1174" t="s">
        <v>1935</v>
      </c>
      <c r="D1174" t="s">
        <v>629</v>
      </c>
      <c r="E1174" s="259" t="s">
        <v>1853</v>
      </c>
      <c r="F1174" t="s">
        <v>620</v>
      </c>
      <c r="G1174" s="89">
        <v>2010</v>
      </c>
      <c r="H1174" s="341" t="s">
        <v>734</v>
      </c>
      <c r="I1174" s="337" t="str">
        <f t="shared" si="62"/>
        <v>Pesado de Passageiros M3: III : Gasóleo : E5</v>
      </c>
      <c r="J1174" s="125">
        <v>31</v>
      </c>
      <c r="K1174" s="264">
        <v>2022</v>
      </c>
      <c r="L1174" s="85">
        <v>7973.4</v>
      </c>
      <c r="M1174" s="85" t="s">
        <v>630</v>
      </c>
      <c r="N1174" s="128">
        <v>31469</v>
      </c>
      <c r="O1174" s="128">
        <f t="shared" si="63"/>
        <v>975539</v>
      </c>
      <c r="P1174" s="89">
        <v>8114</v>
      </c>
      <c r="Q1174" t="s">
        <v>47</v>
      </c>
      <c r="R1174" s="220" t="s">
        <v>1888</v>
      </c>
      <c r="S1174" s="220" t="s">
        <v>1861</v>
      </c>
      <c r="U1174" t="s">
        <v>1972</v>
      </c>
      <c r="V1174" t="s">
        <v>2832</v>
      </c>
    </row>
    <row r="1175" spans="1:22" ht="15.75" thickBot="1" x14ac:dyDescent="0.3">
      <c r="A1175" t="s">
        <v>1935</v>
      </c>
      <c r="B1175" t="s">
        <v>1935</v>
      </c>
      <c r="C1175" t="s">
        <v>1935</v>
      </c>
      <c r="D1175" t="s">
        <v>629</v>
      </c>
      <c r="E1175" s="259" t="s">
        <v>1853</v>
      </c>
      <c r="F1175" t="s">
        <v>620</v>
      </c>
      <c r="G1175" s="89">
        <v>2010</v>
      </c>
      <c r="H1175" s="341" t="s">
        <v>734</v>
      </c>
      <c r="I1175" s="337" t="str">
        <f t="shared" si="62"/>
        <v>Pesado de Passageiros M3: III : Gasóleo : E5</v>
      </c>
      <c r="J1175" s="125">
        <v>31</v>
      </c>
      <c r="K1175" s="264">
        <v>2022</v>
      </c>
      <c r="L1175" s="85">
        <v>3259.7999999999997</v>
      </c>
      <c r="M1175" s="85" t="s">
        <v>630</v>
      </c>
      <c r="N1175" s="128">
        <v>12648</v>
      </c>
      <c r="O1175" s="128">
        <f t="shared" si="63"/>
        <v>392088</v>
      </c>
      <c r="P1175" s="89">
        <v>8115</v>
      </c>
      <c r="Q1175" t="s">
        <v>47</v>
      </c>
      <c r="R1175" s="220" t="s">
        <v>1888</v>
      </c>
      <c r="S1175" s="220" t="s">
        <v>1861</v>
      </c>
      <c r="U1175" t="s">
        <v>1972</v>
      </c>
      <c r="V1175" t="s">
        <v>2832</v>
      </c>
    </row>
    <row r="1176" spans="1:22" ht="15.75" thickBot="1" x14ac:dyDescent="0.3">
      <c r="A1176" t="s">
        <v>1935</v>
      </c>
      <c r="B1176" t="s">
        <v>1935</v>
      </c>
      <c r="C1176" t="s">
        <v>1935</v>
      </c>
      <c r="D1176" t="s">
        <v>629</v>
      </c>
      <c r="E1176" s="259" t="s">
        <v>1853</v>
      </c>
      <c r="F1176" t="s">
        <v>620</v>
      </c>
      <c r="G1176" s="89">
        <v>2007</v>
      </c>
      <c r="H1176" s="341" t="s">
        <v>731</v>
      </c>
      <c r="I1176" s="337" t="str">
        <f t="shared" si="62"/>
        <v>Pesado de Passageiros M3: III : Gasóleo : E4</v>
      </c>
      <c r="J1176" s="125">
        <v>55</v>
      </c>
      <c r="K1176" s="264">
        <v>2022</v>
      </c>
      <c r="L1176" s="85">
        <v>8086.0000000000009</v>
      </c>
      <c r="M1176" s="85" t="s">
        <v>630</v>
      </c>
      <c r="N1176" s="128">
        <v>25873</v>
      </c>
      <c r="O1176" s="128">
        <f t="shared" si="63"/>
        <v>1423015</v>
      </c>
      <c r="P1176" s="89">
        <v>8117</v>
      </c>
      <c r="Q1176" t="s">
        <v>47</v>
      </c>
      <c r="R1176" s="220" t="s">
        <v>1888</v>
      </c>
      <c r="S1176" s="220" t="s">
        <v>1861</v>
      </c>
      <c r="U1176" t="s">
        <v>1972</v>
      </c>
      <c r="V1176" t="s">
        <v>2832</v>
      </c>
    </row>
    <row r="1177" spans="1:22" ht="15.75" thickBot="1" x14ac:dyDescent="0.3">
      <c r="A1177" t="s">
        <v>1935</v>
      </c>
      <c r="B1177" t="s">
        <v>1935</v>
      </c>
      <c r="C1177" t="s">
        <v>1935</v>
      </c>
      <c r="D1177" t="s">
        <v>629</v>
      </c>
      <c r="E1177" s="259" t="s">
        <v>1853</v>
      </c>
      <c r="F1177" t="s">
        <v>620</v>
      </c>
      <c r="G1177" s="89">
        <v>2004</v>
      </c>
      <c r="H1177" s="341" t="s">
        <v>732</v>
      </c>
      <c r="I1177" s="337" t="str">
        <f t="shared" si="62"/>
        <v>Pesado de Passageiros M3: III : Gasóleo : E3</v>
      </c>
      <c r="J1177" s="125">
        <v>107</v>
      </c>
      <c r="K1177" s="264">
        <v>2022</v>
      </c>
      <c r="L1177" s="85">
        <v>20116.099999999999</v>
      </c>
      <c r="M1177" s="85" t="s">
        <v>630</v>
      </c>
      <c r="N1177" s="128">
        <v>57175</v>
      </c>
      <c r="O1177" s="128">
        <f t="shared" si="63"/>
        <v>6117725</v>
      </c>
      <c r="P1177" s="89">
        <v>8118</v>
      </c>
      <c r="Q1177" t="s">
        <v>47</v>
      </c>
      <c r="R1177" s="220" t="s">
        <v>1888</v>
      </c>
      <c r="S1177" s="220" t="s">
        <v>1861</v>
      </c>
      <c r="U1177" t="s">
        <v>1972</v>
      </c>
      <c r="V1177" t="s">
        <v>2832</v>
      </c>
    </row>
    <row r="1178" spans="1:22" ht="15.75" thickBot="1" x14ac:dyDescent="0.3">
      <c r="A1178" t="s">
        <v>1935</v>
      </c>
      <c r="B1178" t="s">
        <v>1935</v>
      </c>
      <c r="C1178" t="s">
        <v>1935</v>
      </c>
      <c r="D1178" t="s">
        <v>629</v>
      </c>
      <c r="E1178" s="259" t="s">
        <v>1853</v>
      </c>
      <c r="F1178" t="s">
        <v>620</v>
      </c>
      <c r="G1178" s="89">
        <v>2000</v>
      </c>
      <c r="H1178" s="341" t="s">
        <v>735</v>
      </c>
      <c r="I1178" s="337" t="str">
        <f t="shared" si="62"/>
        <v>Pesado de Passageiros M3: III : Gasóleo : E2</v>
      </c>
      <c r="J1178" s="125">
        <v>52</v>
      </c>
      <c r="K1178" s="264">
        <v>2022</v>
      </c>
      <c r="L1178" s="85">
        <v>18785.2</v>
      </c>
      <c r="M1178" s="85" t="s">
        <v>630</v>
      </c>
      <c r="N1178" s="128">
        <v>51366</v>
      </c>
      <c r="O1178" s="128">
        <f t="shared" si="63"/>
        <v>2671032</v>
      </c>
      <c r="P1178" s="89">
        <v>8119</v>
      </c>
      <c r="Q1178" t="s">
        <v>47</v>
      </c>
      <c r="R1178" s="220" t="s">
        <v>1888</v>
      </c>
      <c r="S1178" s="220" t="s">
        <v>1861</v>
      </c>
      <c r="U1178" t="s">
        <v>1972</v>
      </c>
      <c r="V1178" t="s">
        <v>2832</v>
      </c>
    </row>
    <row r="1179" spans="1:22" ht="15.75" thickBot="1" x14ac:dyDescent="0.3">
      <c r="A1179" t="s">
        <v>1935</v>
      </c>
      <c r="B1179" t="s">
        <v>1935</v>
      </c>
      <c r="C1179" t="s">
        <v>1935</v>
      </c>
      <c r="D1179" t="s">
        <v>629</v>
      </c>
      <c r="E1179" s="259" t="s">
        <v>1853</v>
      </c>
      <c r="F1179" t="s">
        <v>620</v>
      </c>
      <c r="G1179" s="89">
        <v>2003</v>
      </c>
      <c r="H1179" s="341" t="s">
        <v>732</v>
      </c>
      <c r="I1179" s="337" t="str">
        <f t="shared" si="62"/>
        <v>Pesado de Passageiros M3: III : Gasóleo : E3</v>
      </c>
      <c r="J1179" s="125">
        <v>73</v>
      </c>
      <c r="K1179" s="264">
        <v>2022</v>
      </c>
      <c r="L1179" s="85">
        <v>13875.999999999998</v>
      </c>
      <c r="M1179" s="85" t="s">
        <v>630</v>
      </c>
      <c r="N1179" s="128">
        <v>41998</v>
      </c>
      <c r="O1179" s="128">
        <f t="shared" si="63"/>
        <v>3065854</v>
      </c>
      <c r="P1179" s="89">
        <v>8120</v>
      </c>
      <c r="Q1179" t="s">
        <v>47</v>
      </c>
      <c r="R1179" s="220" t="s">
        <v>1888</v>
      </c>
      <c r="S1179" s="220" t="s">
        <v>1861</v>
      </c>
      <c r="U1179" t="s">
        <v>1972</v>
      </c>
      <c r="V1179" t="s">
        <v>2832</v>
      </c>
    </row>
    <row r="1180" spans="1:22" ht="15.75" thickBot="1" x14ac:dyDescent="0.3">
      <c r="A1180" t="s">
        <v>1935</v>
      </c>
      <c r="B1180" t="s">
        <v>1935</v>
      </c>
      <c r="C1180" t="s">
        <v>1935</v>
      </c>
      <c r="D1180" t="s">
        <v>629</v>
      </c>
      <c r="E1180" s="259" t="s">
        <v>1853</v>
      </c>
      <c r="F1180" t="s">
        <v>620</v>
      </c>
      <c r="G1180" s="89">
        <v>2005</v>
      </c>
      <c r="H1180" s="341" t="s">
        <v>732</v>
      </c>
      <c r="I1180" s="337" t="str">
        <f t="shared" si="62"/>
        <v>Pesado de Passageiros M3: III : Gasóleo : E3</v>
      </c>
      <c r="J1180" s="125">
        <v>74</v>
      </c>
      <c r="K1180" s="264">
        <v>2022</v>
      </c>
      <c r="L1180" s="85">
        <v>15430.900000000001</v>
      </c>
      <c r="M1180" s="85" t="s">
        <v>630</v>
      </c>
      <c r="N1180" s="128">
        <v>50054</v>
      </c>
      <c r="O1180" s="128">
        <f t="shared" si="63"/>
        <v>3703996</v>
      </c>
      <c r="P1180" s="89">
        <v>8121</v>
      </c>
      <c r="Q1180" t="s">
        <v>47</v>
      </c>
      <c r="R1180" s="220" t="s">
        <v>1888</v>
      </c>
      <c r="S1180" s="220" t="s">
        <v>1861</v>
      </c>
      <c r="U1180" t="s">
        <v>1972</v>
      </c>
      <c r="V1180" t="s">
        <v>2832</v>
      </c>
    </row>
    <row r="1181" spans="1:22" ht="15.75" thickBot="1" x14ac:dyDescent="0.3">
      <c r="A1181" t="s">
        <v>1935</v>
      </c>
      <c r="B1181" t="s">
        <v>1935</v>
      </c>
      <c r="C1181" t="s">
        <v>1935</v>
      </c>
      <c r="D1181" t="s">
        <v>629</v>
      </c>
      <c r="E1181" s="259" t="s">
        <v>1853</v>
      </c>
      <c r="F1181" t="s">
        <v>620</v>
      </c>
      <c r="G1181" s="89">
        <v>2003</v>
      </c>
      <c r="H1181" s="341" t="s">
        <v>732</v>
      </c>
      <c r="I1181" s="337" t="str">
        <f t="shared" si="62"/>
        <v>Pesado de Passageiros M3: III : Gasóleo : E3</v>
      </c>
      <c r="J1181" s="125">
        <v>73</v>
      </c>
      <c r="K1181" s="264">
        <v>2022</v>
      </c>
      <c r="L1181" s="85">
        <v>15892.4</v>
      </c>
      <c r="M1181" s="85" t="s">
        <v>630</v>
      </c>
      <c r="N1181" s="128">
        <v>52325</v>
      </c>
      <c r="O1181" s="128">
        <f t="shared" si="63"/>
        <v>3819725</v>
      </c>
      <c r="P1181" s="89">
        <v>8122</v>
      </c>
      <c r="Q1181" t="s">
        <v>47</v>
      </c>
      <c r="R1181" s="220" t="s">
        <v>1888</v>
      </c>
      <c r="S1181" s="220" t="s">
        <v>1861</v>
      </c>
      <c r="U1181" t="s">
        <v>1972</v>
      </c>
      <c r="V1181" t="s">
        <v>2832</v>
      </c>
    </row>
    <row r="1182" spans="1:22" ht="15.75" thickBot="1" x14ac:dyDescent="0.3">
      <c r="A1182" t="s">
        <v>1935</v>
      </c>
      <c r="B1182" t="s">
        <v>1935</v>
      </c>
      <c r="C1182" t="s">
        <v>1935</v>
      </c>
      <c r="D1182" t="s">
        <v>629</v>
      </c>
      <c r="E1182" s="259" t="s">
        <v>1853</v>
      </c>
      <c r="F1182" t="s">
        <v>620</v>
      </c>
      <c r="G1182" s="89">
        <v>2008</v>
      </c>
      <c r="H1182" s="341" t="s">
        <v>731</v>
      </c>
      <c r="I1182" s="337" t="str">
        <f t="shared" si="62"/>
        <v>Pesado de Passageiros M3: III : Gasóleo : E4</v>
      </c>
      <c r="J1182" s="125">
        <v>80</v>
      </c>
      <c r="K1182" s="264">
        <v>2022</v>
      </c>
      <c r="L1182" s="85">
        <v>12742.5</v>
      </c>
      <c r="M1182" s="85" t="s">
        <v>630</v>
      </c>
      <c r="N1182" s="128">
        <v>40031</v>
      </c>
      <c r="O1182" s="128">
        <f t="shared" si="63"/>
        <v>3202480</v>
      </c>
      <c r="P1182" s="89">
        <v>8123</v>
      </c>
      <c r="Q1182" t="s">
        <v>47</v>
      </c>
      <c r="R1182" s="220" t="s">
        <v>1888</v>
      </c>
      <c r="S1182" s="220" t="s">
        <v>1861</v>
      </c>
      <c r="U1182" t="s">
        <v>1972</v>
      </c>
      <c r="V1182" t="s">
        <v>2832</v>
      </c>
    </row>
    <row r="1183" spans="1:22" ht="15.75" thickBot="1" x14ac:dyDescent="0.3">
      <c r="A1183" t="s">
        <v>1935</v>
      </c>
      <c r="B1183" t="s">
        <v>1935</v>
      </c>
      <c r="C1183" t="s">
        <v>1935</v>
      </c>
      <c r="D1183" t="s">
        <v>629</v>
      </c>
      <c r="E1183" s="259" t="s">
        <v>1853</v>
      </c>
      <c r="F1183" t="s">
        <v>620</v>
      </c>
      <c r="G1183" s="89">
        <v>2011</v>
      </c>
      <c r="H1183" s="341" t="s">
        <v>734</v>
      </c>
      <c r="I1183" s="337" t="str">
        <f t="shared" si="62"/>
        <v>Pesado de Passageiros M3: III : Gasóleo : E5</v>
      </c>
      <c r="J1183" s="125">
        <v>46</v>
      </c>
      <c r="K1183" s="264">
        <v>2022</v>
      </c>
      <c r="L1183" s="85">
        <v>16709.3</v>
      </c>
      <c r="M1183" s="85" t="s">
        <v>630</v>
      </c>
      <c r="N1183" s="128">
        <v>50178</v>
      </c>
      <c r="O1183" s="128">
        <f t="shared" si="63"/>
        <v>2308188</v>
      </c>
      <c r="P1183" s="89">
        <v>8124</v>
      </c>
      <c r="Q1183" t="s">
        <v>47</v>
      </c>
      <c r="R1183" s="220" t="s">
        <v>1888</v>
      </c>
      <c r="S1183" s="220" t="s">
        <v>1861</v>
      </c>
      <c r="U1183" t="s">
        <v>1972</v>
      </c>
      <c r="V1183" t="s">
        <v>2832</v>
      </c>
    </row>
    <row r="1184" spans="1:22" ht="15.75" thickBot="1" x14ac:dyDescent="0.3">
      <c r="A1184" t="s">
        <v>1935</v>
      </c>
      <c r="B1184" t="s">
        <v>1935</v>
      </c>
      <c r="C1184" t="s">
        <v>1935</v>
      </c>
      <c r="D1184" t="s">
        <v>629</v>
      </c>
      <c r="E1184" s="259" t="s">
        <v>1853</v>
      </c>
      <c r="F1184" t="s">
        <v>620</v>
      </c>
      <c r="G1184" s="89">
        <v>2011</v>
      </c>
      <c r="H1184" s="341" t="s">
        <v>734</v>
      </c>
      <c r="I1184" s="337" t="str">
        <f t="shared" si="62"/>
        <v>Pesado de Passageiros M3: III : Gasóleo : E5</v>
      </c>
      <c r="J1184" s="125">
        <v>46</v>
      </c>
      <c r="K1184" s="264">
        <v>2022</v>
      </c>
      <c r="L1184" s="85">
        <v>18687.599999999999</v>
      </c>
      <c r="M1184" s="85" t="s">
        <v>630</v>
      </c>
      <c r="N1184" s="128">
        <v>51182</v>
      </c>
      <c r="O1184" s="128">
        <f t="shared" si="63"/>
        <v>2354372</v>
      </c>
      <c r="P1184" s="89">
        <v>8125</v>
      </c>
      <c r="Q1184" t="s">
        <v>47</v>
      </c>
      <c r="R1184" s="220" t="s">
        <v>1888</v>
      </c>
      <c r="S1184" s="220" t="s">
        <v>1861</v>
      </c>
      <c r="U1184" t="s">
        <v>1972</v>
      </c>
      <c r="V1184" t="s">
        <v>2832</v>
      </c>
    </row>
    <row r="1185" spans="1:22" ht="15.75" thickBot="1" x14ac:dyDescent="0.3">
      <c r="A1185" t="s">
        <v>1935</v>
      </c>
      <c r="B1185" t="s">
        <v>1935</v>
      </c>
      <c r="C1185" t="s">
        <v>1935</v>
      </c>
      <c r="D1185" t="s">
        <v>629</v>
      </c>
      <c r="E1185" s="259" t="s">
        <v>1853</v>
      </c>
      <c r="F1185" t="s">
        <v>620</v>
      </c>
      <c r="G1185" s="89">
        <v>2012</v>
      </c>
      <c r="H1185" s="341" t="s">
        <v>734</v>
      </c>
      <c r="I1185" s="337" t="str">
        <f t="shared" si="62"/>
        <v>Pesado de Passageiros M3: III : Gasóleo : E5</v>
      </c>
      <c r="J1185" s="125">
        <v>46</v>
      </c>
      <c r="K1185" s="264">
        <v>2022</v>
      </c>
      <c r="L1185" s="85">
        <v>17942.199999999997</v>
      </c>
      <c r="M1185" s="85" t="s">
        <v>630</v>
      </c>
      <c r="N1185" s="128">
        <v>54857</v>
      </c>
      <c r="O1185" s="128">
        <f t="shared" si="63"/>
        <v>2523422</v>
      </c>
      <c r="P1185" s="89">
        <v>8126</v>
      </c>
      <c r="Q1185" t="s">
        <v>47</v>
      </c>
      <c r="R1185" s="220" t="s">
        <v>1888</v>
      </c>
      <c r="S1185" s="220" t="s">
        <v>1861</v>
      </c>
      <c r="U1185" t="s">
        <v>1972</v>
      </c>
      <c r="V1185" t="s">
        <v>2832</v>
      </c>
    </row>
    <row r="1186" spans="1:22" ht="15.75" thickBot="1" x14ac:dyDescent="0.3">
      <c r="A1186" t="s">
        <v>1935</v>
      </c>
      <c r="B1186" t="s">
        <v>1935</v>
      </c>
      <c r="C1186" t="s">
        <v>1935</v>
      </c>
      <c r="D1186" t="s">
        <v>629</v>
      </c>
      <c r="E1186" s="259" t="s">
        <v>1853</v>
      </c>
      <c r="F1186" t="s">
        <v>620</v>
      </c>
      <c r="G1186" s="89">
        <v>2011</v>
      </c>
      <c r="H1186" s="341" t="s">
        <v>734</v>
      </c>
      <c r="I1186" s="337" t="str">
        <f t="shared" si="62"/>
        <v>Pesado de Passageiros M3: III : Gasóleo : E5</v>
      </c>
      <c r="J1186" s="125">
        <v>46</v>
      </c>
      <c r="K1186" s="264">
        <v>2022</v>
      </c>
      <c r="L1186" s="85">
        <v>19359.899999999998</v>
      </c>
      <c r="M1186" s="85" t="s">
        <v>630</v>
      </c>
      <c r="N1186" s="128">
        <v>52933</v>
      </c>
      <c r="O1186" s="128">
        <f t="shared" si="63"/>
        <v>2434918</v>
      </c>
      <c r="P1186" s="89">
        <v>8127</v>
      </c>
      <c r="Q1186" t="s">
        <v>47</v>
      </c>
      <c r="R1186" s="220" t="s">
        <v>1888</v>
      </c>
      <c r="S1186" s="220" t="s">
        <v>1861</v>
      </c>
      <c r="U1186" t="s">
        <v>1972</v>
      </c>
      <c r="V1186" t="s">
        <v>2832</v>
      </c>
    </row>
    <row r="1187" spans="1:22" ht="15.75" thickBot="1" x14ac:dyDescent="0.3">
      <c r="A1187" t="s">
        <v>1935</v>
      </c>
      <c r="B1187" t="s">
        <v>1935</v>
      </c>
      <c r="C1187" t="s">
        <v>1935</v>
      </c>
      <c r="D1187" t="s">
        <v>629</v>
      </c>
      <c r="E1187" s="259" t="s">
        <v>1853</v>
      </c>
      <c r="F1187" t="s">
        <v>620</v>
      </c>
      <c r="G1187" s="89">
        <v>2007</v>
      </c>
      <c r="H1187" s="341" t="s">
        <v>731</v>
      </c>
      <c r="I1187" s="337" t="str">
        <f t="shared" si="62"/>
        <v>Pesado de Passageiros M3: III : Gasóleo : E4</v>
      </c>
      <c r="J1187" s="125">
        <v>94</v>
      </c>
      <c r="K1187" s="264">
        <v>2022</v>
      </c>
      <c r="L1187" s="85">
        <v>13368.1</v>
      </c>
      <c r="M1187" s="85" t="s">
        <v>630</v>
      </c>
      <c r="N1187" s="128">
        <v>36847</v>
      </c>
      <c r="O1187" s="128">
        <f t="shared" si="63"/>
        <v>3463618</v>
      </c>
      <c r="P1187" s="89">
        <v>8129</v>
      </c>
      <c r="Q1187" t="s">
        <v>47</v>
      </c>
      <c r="R1187" s="220" t="s">
        <v>1888</v>
      </c>
      <c r="S1187" s="220" t="s">
        <v>1861</v>
      </c>
      <c r="U1187" t="s">
        <v>1972</v>
      </c>
      <c r="V1187" t="s">
        <v>2832</v>
      </c>
    </row>
    <row r="1188" spans="1:22" ht="15.75" thickBot="1" x14ac:dyDescent="0.3">
      <c r="A1188" t="s">
        <v>1935</v>
      </c>
      <c r="B1188" t="s">
        <v>1935</v>
      </c>
      <c r="C1188" t="s">
        <v>1935</v>
      </c>
      <c r="D1188" t="s">
        <v>629</v>
      </c>
      <c r="E1188" s="259" t="s">
        <v>1853</v>
      </c>
      <c r="F1188" t="s">
        <v>620</v>
      </c>
      <c r="G1188" s="89">
        <v>2009</v>
      </c>
      <c r="H1188" s="341" t="s">
        <v>734</v>
      </c>
      <c r="I1188" s="337" t="str">
        <f t="shared" si="62"/>
        <v>Pesado de Passageiros M3: III : Gasóleo : E5</v>
      </c>
      <c r="J1188" s="125">
        <v>122</v>
      </c>
      <c r="K1188" s="264">
        <v>2022</v>
      </c>
      <c r="L1188" s="85">
        <v>10745.7</v>
      </c>
      <c r="M1188" s="85" t="s">
        <v>630</v>
      </c>
      <c r="N1188" s="128">
        <v>31937</v>
      </c>
      <c r="O1188" s="128">
        <f t="shared" si="63"/>
        <v>3896314</v>
      </c>
      <c r="P1188" s="89">
        <v>8132</v>
      </c>
      <c r="Q1188" t="s">
        <v>47</v>
      </c>
      <c r="R1188" s="220" t="s">
        <v>1888</v>
      </c>
      <c r="S1188" s="220" t="s">
        <v>1861</v>
      </c>
      <c r="U1188" t="s">
        <v>1972</v>
      </c>
      <c r="V1188" t="s">
        <v>2832</v>
      </c>
    </row>
    <row r="1189" spans="1:22" ht="15.75" thickBot="1" x14ac:dyDescent="0.3">
      <c r="A1189" t="s">
        <v>1935</v>
      </c>
      <c r="B1189" t="s">
        <v>1935</v>
      </c>
      <c r="C1189" t="s">
        <v>1935</v>
      </c>
      <c r="D1189" t="s">
        <v>629</v>
      </c>
      <c r="E1189" s="259" t="s">
        <v>1853</v>
      </c>
      <c r="F1189" t="s">
        <v>620</v>
      </c>
      <c r="G1189" s="89">
        <v>2018</v>
      </c>
      <c r="H1189" s="341" t="s">
        <v>733</v>
      </c>
      <c r="I1189" s="337" t="str">
        <f t="shared" si="62"/>
        <v>Pesado de Passageiros M3: III : Gasóleo : E6</v>
      </c>
      <c r="J1189" s="125">
        <v>32</v>
      </c>
      <c r="K1189" s="264">
        <v>2022</v>
      </c>
      <c r="L1189" s="85">
        <v>7220.8</v>
      </c>
      <c r="M1189" s="85" t="s">
        <v>630</v>
      </c>
      <c r="N1189" s="128">
        <v>48312</v>
      </c>
      <c r="O1189" s="128">
        <f t="shared" si="63"/>
        <v>1545984</v>
      </c>
      <c r="P1189" s="89">
        <v>8133</v>
      </c>
      <c r="Q1189" t="s">
        <v>47</v>
      </c>
      <c r="R1189" s="220" t="s">
        <v>1888</v>
      </c>
      <c r="S1189" s="220" t="s">
        <v>1861</v>
      </c>
      <c r="U1189" t="s">
        <v>1972</v>
      </c>
      <c r="V1189" t="s">
        <v>2832</v>
      </c>
    </row>
    <row r="1190" spans="1:22" ht="15.75" thickBot="1" x14ac:dyDescent="0.3">
      <c r="A1190" t="s">
        <v>1935</v>
      </c>
      <c r="B1190" t="s">
        <v>1935</v>
      </c>
      <c r="C1190" t="s">
        <v>1935</v>
      </c>
      <c r="D1190" t="s">
        <v>629</v>
      </c>
      <c r="E1190" s="259" t="s">
        <v>1853</v>
      </c>
      <c r="F1190" t="s">
        <v>620</v>
      </c>
      <c r="G1190" s="89">
        <v>2009</v>
      </c>
      <c r="H1190" s="341" t="s">
        <v>731</v>
      </c>
      <c r="I1190" s="337" t="str">
        <f t="shared" si="62"/>
        <v>Pesado de Passageiros M3: III : Gasóleo : E4</v>
      </c>
      <c r="J1190" s="125">
        <v>22</v>
      </c>
      <c r="K1190" s="264">
        <v>2022</v>
      </c>
      <c r="L1190" s="85">
        <v>3932.4</v>
      </c>
      <c r="M1190" s="85" t="s">
        <v>630</v>
      </c>
      <c r="N1190" s="128">
        <v>25607</v>
      </c>
      <c r="O1190" s="128">
        <f t="shared" si="63"/>
        <v>563354</v>
      </c>
      <c r="P1190" s="89">
        <v>8134</v>
      </c>
      <c r="Q1190" t="s">
        <v>47</v>
      </c>
      <c r="R1190" s="220" t="s">
        <v>1888</v>
      </c>
      <c r="S1190" s="220" t="s">
        <v>1861</v>
      </c>
      <c r="U1190" t="s">
        <v>1972</v>
      </c>
      <c r="V1190" t="s">
        <v>2832</v>
      </c>
    </row>
    <row r="1191" spans="1:22" ht="15.75" thickBot="1" x14ac:dyDescent="0.3">
      <c r="A1191" t="s">
        <v>1935</v>
      </c>
      <c r="B1191" t="s">
        <v>1935</v>
      </c>
      <c r="C1191" t="s">
        <v>1935</v>
      </c>
      <c r="D1191" t="s">
        <v>629</v>
      </c>
      <c r="E1191" s="259" t="s">
        <v>1853</v>
      </c>
      <c r="F1191" t="s">
        <v>620</v>
      </c>
      <c r="G1191" s="89">
        <v>2001</v>
      </c>
      <c r="H1191" s="341" t="s">
        <v>735</v>
      </c>
      <c r="I1191" s="337" t="str">
        <f t="shared" si="62"/>
        <v>Pesado de Passageiros M3: III : Gasóleo : E2</v>
      </c>
      <c r="J1191" s="125">
        <v>55</v>
      </c>
      <c r="K1191" s="264">
        <v>2022</v>
      </c>
      <c r="L1191" s="85">
        <v>14001.4</v>
      </c>
      <c r="M1191" s="85" t="s">
        <v>630</v>
      </c>
      <c r="N1191" s="128">
        <v>41785</v>
      </c>
      <c r="O1191" s="128">
        <f t="shared" si="63"/>
        <v>2298175</v>
      </c>
      <c r="P1191" s="89">
        <v>8135</v>
      </c>
      <c r="Q1191" t="s">
        <v>47</v>
      </c>
      <c r="R1191" s="220" t="s">
        <v>1888</v>
      </c>
      <c r="S1191" s="220" t="s">
        <v>1861</v>
      </c>
      <c r="U1191" t="s">
        <v>1972</v>
      </c>
      <c r="V1191" t="s">
        <v>2832</v>
      </c>
    </row>
    <row r="1192" spans="1:22" ht="15.75" thickBot="1" x14ac:dyDescent="0.3">
      <c r="A1192" t="s">
        <v>1935</v>
      </c>
      <c r="B1192" t="s">
        <v>1935</v>
      </c>
      <c r="C1192" t="s">
        <v>1935</v>
      </c>
      <c r="D1192" t="s">
        <v>629</v>
      </c>
      <c r="E1192" s="259" t="s">
        <v>1853</v>
      </c>
      <c r="F1192" t="s">
        <v>620</v>
      </c>
      <c r="G1192" s="89">
        <v>2006</v>
      </c>
      <c r="H1192" s="341" t="s">
        <v>732</v>
      </c>
      <c r="I1192" s="337" t="str">
        <f t="shared" si="62"/>
        <v>Pesado de Passageiros M3: III : Gasóleo : E3</v>
      </c>
      <c r="J1192" s="125">
        <v>74</v>
      </c>
      <c r="K1192" s="264">
        <v>2022</v>
      </c>
      <c r="L1192" s="85">
        <v>10385.200000000003</v>
      </c>
      <c r="M1192" s="85" t="s">
        <v>630</v>
      </c>
      <c r="N1192" s="128">
        <v>32572</v>
      </c>
      <c r="O1192" s="128">
        <f t="shared" si="63"/>
        <v>2410328</v>
      </c>
      <c r="P1192" s="89">
        <v>8136</v>
      </c>
      <c r="Q1192" t="s">
        <v>47</v>
      </c>
      <c r="R1192" s="220" t="s">
        <v>1888</v>
      </c>
      <c r="S1192" s="220" t="s">
        <v>1861</v>
      </c>
      <c r="U1192" t="s">
        <v>1972</v>
      </c>
      <c r="V1192" t="s">
        <v>2832</v>
      </c>
    </row>
    <row r="1193" spans="1:22" ht="15.75" thickBot="1" x14ac:dyDescent="0.3">
      <c r="A1193" t="s">
        <v>1935</v>
      </c>
      <c r="B1193" t="s">
        <v>1935</v>
      </c>
      <c r="C1193" t="s">
        <v>1935</v>
      </c>
      <c r="D1193" t="s">
        <v>629</v>
      </c>
      <c r="E1193" s="259" t="s">
        <v>1853</v>
      </c>
      <c r="F1193" t="s">
        <v>620</v>
      </c>
      <c r="G1193" s="89">
        <v>2002</v>
      </c>
      <c r="H1193" s="341" t="s">
        <v>732</v>
      </c>
      <c r="I1193" s="337" t="str">
        <f t="shared" si="62"/>
        <v>Pesado de Passageiros M3: III : Gasóleo : E3</v>
      </c>
      <c r="J1193" s="125">
        <v>71</v>
      </c>
      <c r="K1193" s="264">
        <v>2022</v>
      </c>
      <c r="L1193" s="85">
        <v>21076.7</v>
      </c>
      <c r="M1193" s="85" t="s">
        <v>630</v>
      </c>
      <c r="N1193" s="128">
        <v>68158</v>
      </c>
      <c r="O1193" s="128">
        <f t="shared" si="63"/>
        <v>4839218</v>
      </c>
      <c r="P1193" s="89">
        <v>8137</v>
      </c>
      <c r="Q1193" t="s">
        <v>47</v>
      </c>
      <c r="R1193" s="220" t="s">
        <v>1888</v>
      </c>
      <c r="S1193" s="220" t="s">
        <v>1861</v>
      </c>
      <c r="U1193" t="s">
        <v>1972</v>
      </c>
      <c r="V1193" t="s">
        <v>2832</v>
      </c>
    </row>
    <row r="1194" spans="1:22" ht="15.75" thickBot="1" x14ac:dyDescent="0.3">
      <c r="A1194" t="s">
        <v>1935</v>
      </c>
      <c r="B1194" t="s">
        <v>1935</v>
      </c>
      <c r="C1194" t="s">
        <v>1935</v>
      </c>
      <c r="D1194" t="s">
        <v>629</v>
      </c>
      <c r="E1194" s="259" t="s">
        <v>1853</v>
      </c>
      <c r="F1194" t="s">
        <v>620</v>
      </c>
      <c r="G1194" s="89">
        <v>2002</v>
      </c>
      <c r="H1194" s="341" t="s">
        <v>732</v>
      </c>
      <c r="I1194" s="337" t="str">
        <f t="shared" si="62"/>
        <v>Pesado de Passageiros M3: III : Gasóleo : E3</v>
      </c>
      <c r="J1194" s="125">
        <v>84</v>
      </c>
      <c r="K1194" s="264">
        <v>2022</v>
      </c>
      <c r="L1194" s="85">
        <v>12199.2</v>
      </c>
      <c r="M1194" s="85" t="s">
        <v>630</v>
      </c>
      <c r="N1194" s="128">
        <v>38199</v>
      </c>
      <c r="O1194" s="128">
        <f t="shared" si="63"/>
        <v>3208716</v>
      </c>
      <c r="P1194" s="89">
        <v>8138</v>
      </c>
      <c r="Q1194" t="s">
        <v>47</v>
      </c>
      <c r="R1194" s="220" t="s">
        <v>1888</v>
      </c>
      <c r="S1194" s="220" t="s">
        <v>1861</v>
      </c>
      <c r="U1194" t="s">
        <v>1972</v>
      </c>
      <c r="V1194" t="s">
        <v>2832</v>
      </c>
    </row>
    <row r="1195" spans="1:22" ht="15.75" thickBot="1" x14ac:dyDescent="0.3">
      <c r="A1195" t="s">
        <v>1935</v>
      </c>
      <c r="B1195" t="s">
        <v>1935</v>
      </c>
      <c r="C1195" t="s">
        <v>1935</v>
      </c>
      <c r="D1195" t="s">
        <v>629</v>
      </c>
      <c r="E1195" s="259" t="s">
        <v>1853</v>
      </c>
      <c r="F1195" t="s">
        <v>620</v>
      </c>
      <c r="G1195" s="89">
        <v>2002</v>
      </c>
      <c r="H1195" s="341" t="s">
        <v>732</v>
      </c>
      <c r="I1195" s="337" t="str">
        <f t="shared" si="62"/>
        <v>Pesado de Passageiros M3: III : Gasóleo : E3</v>
      </c>
      <c r="J1195" s="125">
        <v>83</v>
      </c>
      <c r="K1195" s="264">
        <v>2022</v>
      </c>
      <c r="L1195" s="85">
        <v>13460.3</v>
      </c>
      <c r="M1195" s="85" t="s">
        <v>630</v>
      </c>
      <c r="N1195" s="128">
        <v>39864</v>
      </c>
      <c r="O1195" s="128">
        <f t="shared" si="63"/>
        <v>3308712</v>
      </c>
      <c r="P1195" s="89">
        <v>8139</v>
      </c>
      <c r="Q1195" t="s">
        <v>47</v>
      </c>
      <c r="R1195" s="220" t="s">
        <v>1888</v>
      </c>
      <c r="S1195" s="220" t="s">
        <v>1861</v>
      </c>
      <c r="U1195" t="s">
        <v>1972</v>
      </c>
      <c r="V1195" t="s">
        <v>2832</v>
      </c>
    </row>
    <row r="1196" spans="1:22" ht="15.75" thickBot="1" x14ac:dyDescent="0.3">
      <c r="A1196" t="s">
        <v>1935</v>
      </c>
      <c r="B1196" t="s">
        <v>1935</v>
      </c>
      <c r="C1196" t="s">
        <v>1935</v>
      </c>
      <c r="D1196" t="s">
        <v>629</v>
      </c>
      <c r="E1196" s="259" t="s">
        <v>1853</v>
      </c>
      <c r="F1196" t="s">
        <v>620</v>
      </c>
      <c r="G1196" s="89">
        <v>2002</v>
      </c>
      <c r="H1196" s="341" t="s">
        <v>732</v>
      </c>
      <c r="I1196" s="337" t="str">
        <f t="shared" si="62"/>
        <v>Pesado de Passageiros M3: III : Gasóleo : E3</v>
      </c>
      <c r="J1196" s="125">
        <v>82</v>
      </c>
      <c r="K1196" s="264">
        <v>2022</v>
      </c>
      <c r="L1196" s="85">
        <v>9897.4</v>
      </c>
      <c r="M1196" s="85" t="s">
        <v>630</v>
      </c>
      <c r="N1196" s="128">
        <v>31671</v>
      </c>
      <c r="O1196" s="128">
        <f t="shared" si="63"/>
        <v>2597022</v>
      </c>
      <c r="P1196" s="89">
        <v>8140</v>
      </c>
      <c r="Q1196" t="s">
        <v>47</v>
      </c>
      <c r="R1196" s="220" t="s">
        <v>1888</v>
      </c>
      <c r="S1196" s="220" t="s">
        <v>1861</v>
      </c>
      <c r="U1196" t="s">
        <v>1972</v>
      </c>
      <c r="V1196" t="s">
        <v>2832</v>
      </c>
    </row>
    <row r="1197" spans="1:22" ht="15.75" thickBot="1" x14ac:dyDescent="0.3">
      <c r="A1197" t="s">
        <v>1935</v>
      </c>
      <c r="B1197" t="s">
        <v>1935</v>
      </c>
      <c r="C1197" t="s">
        <v>1935</v>
      </c>
      <c r="D1197" t="s">
        <v>629</v>
      </c>
      <c r="E1197" s="259" t="s">
        <v>1853</v>
      </c>
      <c r="F1197" t="s">
        <v>620</v>
      </c>
      <c r="G1197" s="89">
        <v>2012</v>
      </c>
      <c r="H1197" s="341" t="s">
        <v>734</v>
      </c>
      <c r="I1197" s="337" t="str">
        <f t="shared" si="62"/>
        <v>Pesado de Passageiros M3: III : Gasóleo : E5</v>
      </c>
      <c r="J1197" s="125">
        <v>61</v>
      </c>
      <c r="K1197" s="264">
        <v>2022</v>
      </c>
      <c r="L1197" s="85">
        <v>15105.600000000002</v>
      </c>
      <c r="M1197" s="85" t="s">
        <v>630</v>
      </c>
      <c r="N1197" s="128">
        <v>49458</v>
      </c>
      <c r="O1197" s="128">
        <f t="shared" si="63"/>
        <v>3016938</v>
      </c>
      <c r="P1197" s="89">
        <v>8141</v>
      </c>
      <c r="Q1197" t="s">
        <v>47</v>
      </c>
      <c r="R1197" s="220" t="s">
        <v>1888</v>
      </c>
      <c r="S1197" s="220" t="s">
        <v>1861</v>
      </c>
      <c r="U1197" t="s">
        <v>1972</v>
      </c>
      <c r="V1197" t="s">
        <v>2832</v>
      </c>
    </row>
    <row r="1198" spans="1:22" ht="15.75" thickBot="1" x14ac:dyDescent="0.3">
      <c r="A1198" t="s">
        <v>1935</v>
      </c>
      <c r="B1198" t="s">
        <v>1935</v>
      </c>
      <c r="C1198" t="s">
        <v>1935</v>
      </c>
      <c r="D1198" t="s">
        <v>629</v>
      </c>
      <c r="E1198" s="259" t="s">
        <v>1853</v>
      </c>
      <c r="F1198" t="s">
        <v>620</v>
      </c>
      <c r="G1198" s="89">
        <v>2012</v>
      </c>
      <c r="H1198" s="341" t="s">
        <v>734</v>
      </c>
      <c r="I1198" s="337" t="str">
        <f t="shared" si="62"/>
        <v>Pesado de Passageiros M3: III : Gasóleo : E5</v>
      </c>
      <c r="J1198" s="125">
        <v>61</v>
      </c>
      <c r="K1198" s="264">
        <v>2022</v>
      </c>
      <c r="L1198" s="85">
        <v>7076.5000000000009</v>
      </c>
      <c r="M1198" s="85" t="s">
        <v>630</v>
      </c>
      <c r="N1198" s="128">
        <v>23502</v>
      </c>
      <c r="O1198" s="128">
        <f t="shared" si="63"/>
        <v>1433622</v>
      </c>
      <c r="P1198" s="89">
        <v>8142</v>
      </c>
      <c r="Q1198" t="s">
        <v>47</v>
      </c>
      <c r="R1198" s="220" t="s">
        <v>1888</v>
      </c>
      <c r="S1198" s="220" t="s">
        <v>1861</v>
      </c>
      <c r="U1198" t="s">
        <v>1972</v>
      </c>
      <c r="V1198" t="s">
        <v>2832</v>
      </c>
    </row>
    <row r="1199" spans="1:22" ht="15.75" thickBot="1" x14ac:dyDescent="0.3">
      <c r="A1199" t="s">
        <v>1935</v>
      </c>
      <c r="B1199" t="s">
        <v>1935</v>
      </c>
      <c r="C1199" t="s">
        <v>1935</v>
      </c>
      <c r="D1199" t="s">
        <v>629</v>
      </c>
      <c r="E1199" s="259" t="s">
        <v>1853</v>
      </c>
      <c r="F1199" t="s">
        <v>620</v>
      </c>
      <c r="G1199" s="89">
        <v>2012</v>
      </c>
      <c r="H1199" s="341" t="s">
        <v>734</v>
      </c>
      <c r="I1199" s="337" t="str">
        <f t="shared" si="62"/>
        <v>Pesado de Passageiros M3: III : Gasóleo : E5</v>
      </c>
      <c r="J1199" s="125">
        <v>61</v>
      </c>
      <c r="K1199" s="264">
        <v>2022</v>
      </c>
      <c r="L1199" s="85">
        <v>18873</v>
      </c>
      <c r="M1199" s="85" t="s">
        <v>630</v>
      </c>
      <c r="N1199" s="128">
        <v>63689</v>
      </c>
      <c r="O1199" s="128">
        <f t="shared" si="63"/>
        <v>3885029</v>
      </c>
      <c r="P1199" s="89">
        <v>8143</v>
      </c>
      <c r="Q1199" t="s">
        <v>47</v>
      </c>
      <c r="R1199" s="220" t="s">
        <v>1888</v>
      </c>
      <c r="S1199" s="220" t="s">
        <v>1861</v>
      </c>
      <c r="U1199" t="s">
        <v>1972</v>
      </c>
      <c r="V1199" t="s">
        <v>2832</v>
      </c>
    </row>
    <row r="1200" spans="1:22" ht="15.75" thickBot="1" x14ac:dyDescent="0.3">
      <c r="A1200" t="s">
        <v>1935</v>
      </c>
      <c r="B1200" t="s">
        <v>1935</v>
      </c>
      <c r="C1200" t="s">
        <v>1935</v>
      </c>
      <c r="D1200" t="s">
        <v>629</v>
      </c>
      <c r="E1200" s="259" t="s">
        <v>1853</v>
      </c>
      <c r="F1200" t="s">
        <v>620</v>
      </c>
      <c r="G1200" s="89">
        <v>2012</v>
      </c>
      <c r="H1200" s="341" t="s">
        <v>734</v>
      </c>
      <c r="I1200" s="337" t="str">
        <f t="shared" si="62"/>
        <v>Pesado de Passageiros M3: III : Gasóleo : E5</v>
      </c>
      <c r="J1200" s="125">
        <v>61</v>
      </c>
      <c r="K1200" s="264">
        <v>2022</v>
      </c>
      <c r="L1200" s="85">
        <v>13030.800000000001</v>
      </c>
      <c r="M1200" s="85" t="s">
        <v>630</v>
      </c>
      <c r="N1200" s="128">
        <v>43558</v>
      </c>
      <c r="O1200" s="128">
        <f t="shared" si="63"/>
        <v>2657038</v>
      </c>
      <c r="P1200" s="89">
        <v>8144</v>
      </c>
      <c r="Q1200" t="s">
        <v>47</v>
      </c>
      <c r="R1200" s="220" t="s">
        <v>1888</v>
      </c>
      <c r="S1200" s="220" t="s">
        <v>1861</v>
      </c>
      <c r="U1200" t="s">
        <v>1972</v>
      </c>
      <c r="V1200" t="s">
        <v>2832</v>
      </c>
    </row>
    <row r="1201" spans="1:22" ht="15.75" thickBot="1" x14ac:dyDescent="0.3">
      <c r="A1201" t="s">
        <v>1935</v>
      </c>
      <c r="B1201" t="s">
        <v>1935</v>
      </c>
      <c r="C1201" t="s">
        <v>1935</v>
      </c>
      <c r="D1201" t="s">
        <v>629</v>
      </c>
      <c r="E1201" s="259" t="s">
        <v>1853</v>
      </c>
      <c r="F1201" t="s">
        <v>620</v>
      </c>
      <c r="G1201" s="89">
        <v>2004</v>
      </c>
      <c r="H1201" s="341" t="s">
        <v>732</v>
      </c>
      <c r="I1201" s="337" t="str">
        <f t="shared" si="62"/>
        <v>Pesado de Passageiros M3: III : Gasóleo : E3</v>
      </c>
      <c r="J1201" s="125">
        <v>54</v>
      </c>
      <c r="K1201" s="264">
        <v>2022</v>
      </c>
      <c r="L1201" s="85">
        <v>12892.2</v>
      </c>
      <c r="M1201" s="85" t="s">
        <v>630</v>
      </c>
      <c r="N1201" s="128">
        <v>37520</v>
      </c>
      <c r="O1201" s="128">
        <f t="shared" si="63"/>
        <v>2026080</v>
      </c>
      <c r="P1201" s="89">
        <v>8145</v>
      </c>
      <c r="Q1201" t="s">
        <v>47</v>
      </c>
      <c r="R1201" s="220" t="s">
        <v>1888</v>
      </c>
      <c r="S1201" s="220" t="s">
        <v>1861</v>
      </c>
      <c r="U1201" t="s">
        <v>1972</v>
      </c>
      <c r="V1201" t="s">
        <v>2832</v>
      </c>
    </row>
    <row r="1202" spans="1:22" ht="15.75" thickBot="1" x14ac:dyDescent="0.3">
      <c r="A1202" t="s">
        <v>1935</v>
      </c>
      <c r="B1202" t="s">
        <v>1935</v>
      </c>
      <c r="C1202" t="s">
        <v>1935</v>
      </c>
      <c r="D1202" t="s">
        <v>629</v>
      </c>
      <c r="E1202" s="259" t="s">
        <v>1853</v>
      </c>
      <c r="F1202" t="s">
        <v>620</v>
      </c>
      <c r="G1202" s="89">
        <v>2004</v>
      </c>
      <c r="H1202" s="341" t="s">
        <v>735</v>
      </c>
      <c r="I1202" s="337" t="str">
        <f t="shared" si="62"/>
        <v>Pesado de Passageiros M3: III : Gasóleo : E2</v>
      </c>
      <c r="J1202" s="125">
        <v>51</v>
      </c>
      <c r="K1202" s="264">
        <v>2022</v>
      </c>
      <c r="L1202" s="85">
        <v>11304.9</v>
      </c>
      <c r="M1202" s="85" t="s">
        <v>630</v>
      </c>
      <c r="N1202" s="128">
        <v>29791</v>
      </c>
      <c r="O1202" s="128">
        <f t="shared" si="63"/>
        <v>1519341</v>
      </c>
      <c r="P1202" s="89">
        <v>8146</v>
      </c>
      <c r="Q1202" t="s">
        <v>47</v>
      </c>
      <c r="R1202" s="220" t="s">
        <v>1888</v>
      </c>
      <c r="S1202" s="220" t="s">
        <v>1861</v>
      </c>
      <c r="U1202" t="s">
        <v>1972</v>
      </c>
      <c r="V1202" t="s">
        <v>2832</v>
      </c>
    </row>
    <row r="1203" spans="1:22" ht="15.75" thickBot="1" x14ac:dyDescent="0.3">
      <c r="A1203" t="s">
        <v>1935</v>
      </c>
      <c r="B1203" t="s">
        <v>1935</v>
      </c>
      <c r="C1203" t="s">
        <v>1935</v>
      </c>
      <c r="D1203" t="s">
        <v>629</v>
      </c>
      <c r="E1203" s="259" t="s">
        <v>1853</v>
      </c>
      <c r="F1203" t="s">
        <v>620</v>
      </c>
      <c r="G1203" s="89">
        <v>2004</v>
      </c>
      <c r="H1203" s="341" t="s">
        <v>732</v>
      </c>
      <c r="I1203" s="337" t="str">
        <f t="shared" si="62"/>
        <v>Pesado de Passageiros M3: III : Gasóleo : E3</v>
      </c>
      <c r="J1203" s="125">
        <v>51</v>
      </c>
      <c r="K1203" s="264">
        <v>2022</v>
      </c>
      <c r="L1203" s="85">
        <v>23993.7</v>
      </c>
      <c r="M1203" s="85" t="s">
        <v>630</v>
      </c>
      <c r="N1203" s="128">
        <v>67446</v>
      </c>
      <c r="O1203" s="128">
        <f t="shared" si="63"/>
        <v>3439746</v>
      </c>
      <c r="P1203" s="89">
        <v>8147</v>
      </c>
      <c r="Q1203" t="s">
        <v>47</v>
      </c>
      <c r="R1203" s="220" t="s">
        <v>1888</v>
      </c>
      <c r="S1203" s="220" t="s">
        <v>1861</v>
      </c>
      <c r="U1203" t="s">
        <v>1972</v>
      </c>
      <c r="V1203" t="s">
        <v>2832</v>
      </c>
    </row>
    <row r="1204" spans="1:22" ht="15.75" thickBot="1" x14ac:dyDescent="0.3">
      <c r="A1204" t="s">
        <v>1935</v>
      </c>
      <c r="B1204" t="s">
        <v>1935</v>
      </c>
      <c r="C1204" t="s">
        <v>1935</v>
      </c>
      <c r="D1204" t="s">
        <v>629</v>
      </c>
      <c r="E1204" s="259" t="s">
        <v>1853</v>
      </c>
      <c r="F1204" t="s">
        <v>620</v>
      </c>
      <c r="G1204" s="89">
        <v>2003</v>
      </c>
      <c r="H1204" s="341" t="s">
        <v>732</v>
      </c>
      <c r="I1204" s="337" t="str">
        <f t="shared" si="62"/>
        <v>Pesado de Passageiros M3: III : Gasóleo : E3</v>
      </c>
      <c r="J1204" s="125">
        <v>53</v>
      </c>
      <c r="K1204" s="264">
        <v>2022</v>
      </c>
      <c r="L1204" s="85">
        <v>20058.199999999997</v>
      </c>
      <c r="M1204" s="85" t="s">
        <v>630</v>
      </c>
      <c r="N1204" s="128">
        <v>51335</v>
      </c>
      <c r="O1204" s="128">
        <f t="shared" si="63"/>
        <v>2720755</v>
      </c>
      <c r="P1204" s="89">
        <v>8148</v>
      </c>
      <c r="Q1204" t="s">
        <v>47</v>
      </c>
      <c r="R1204" s="220" t="s">
        <v>1888</v>
      </c>
      <c r="S1204" s="220" t="s">
        <v>1861</v>
      </c>
      <c r="U1204" t="s">
        <v>1972</v>
      </c>
      <c r="V1204" t="s">
        <v>2832</v>
      </c>
    </row>
    <row r="1205" spans="1:22" ht="15.75" thickBot="1" x14ac:dyDescent="0.3">
      <c r="A1205" t="s">
        <v>1935</v>
      </c>
      <c r="B1205" t="s">
        <v>1935</v>
      </c>
      <c r="C1205" t="s">
        <v>1935</v>
      </c>
      <c r="D1205" t="s">
        <v>629</v>
      </c>
      <c r="E1205" s="259" t="s">
        <v>1853</v>
      </c>
      <c r="F1205" t="s">
        <v>620</v>
      </c>
      <c r="G1205" s="89">
        <v>2003</v>
      </c>
      <c r="H1205" s="341" t="s">
        <v>734</v>
      </c>
      <c r="I1205" s="337" t="str">
        <f t="shared" si="62"/>
        <v>Pesado de Passageiros M3: III : Gasóleo : E5</v>
      </c>
      <c r="J1205" s="125">
        <v>60</v>
      </c>
      <c r="K1205" s="264">
        <v>2022</v>
      </c>
      <c r="L1205" s="85">
        <v>17525.2</v>
      </c>
      <c r="M1205" s="85" t="s">
        <v>630</v>
      </c>
      <c r="N1205" s="128">
        <v>56779</v>
      </c>
      <c r="O1205" s="128">
        <f t="shared" si="63"/>
        <v>3406740</v>
      </c>
      <c r="P1205" s="89">
        <v>8149</v>
      </c>
      <c r="Q1205" t="s">
        <v>47</v>
      </c>
      <c r="R1205" s="220" t="s">
        <v>1888</v>
      </c>
      <c r="S1205" s="220" t="s">
        <v>1861</v>
      </c>
      <c r="U1205" t="s">
        <v>1972</v>
      </c>
      <c r="V1205" t="s">
        <v>2832</v>
      </c>
    </row>
    <row r="1206" spans="1:22" ht="15.75" thickBot="1" x14ac:dyDescent="0.3">
      <c r="A1206" t="s">
        <v>1935</v>
      </c>
      <c r="B1206" t="s">
        <v>1935</v>
      </c>
      <c r="C1206" t="s">
        <v>1935</v>
      </c>
      <c r="D1206" t="s">
        <v>629</v>
      </c>
      <c r="E1206" s="259" t="s">
        <v>1853</v>
      </c>
      <c r="F1206" t="s">
        <v>620</v>
      </c>
      <c r="G1206" s="89">
        <v>2003</v>
      </c>
      <c r="H1206" s="341" t="s">
        <v>732</v>
      </c>
      <c r="I1206" s="337" t="str">
        <f t="shared" si="62"/>
        <v>Pesado de Passageiros M3: III : Gasóleo : E3</v>
      </c>
      <c r="J1206" s="125">
        <v>50</v>
      </c>
      <c r="K1206" s="264">
        <v>2022</v>
      </c>
      <c r="L1206" s="85">
        <v>23142.900000000005</v>
      </c>
      <c r="M1206" s="85" t="s">
        <v>630</v>
      </c>
      <c r="N1206" s="128">
        <v>69345</v>
      </c>
      <c r="O1206" s="128">
        <f t="shared" si="63"/>
        <v>3467250</v>
      </c>
      <c r="P1206" s="89">
        <v>8150</v>
      </c>
      <c r="Q1206" t="s">
        <v>47</v>
      </c>
      <c r="R1206" s="220" t="s">
        <v>1888</v>
      </c>
      <c r="S1206" s="220" t="s">
        <v>1861</v>
      </c>
      <c r="U1206" t="s">
        <v>1972</v>
      </c>
      <c r="V1206" t="s">
        <v>2832</v>
      </c>
    </row>
    <row r="1207" spans="1:22" ht="15.75" thickBot="1" x14ac:dyDescent="0.3">
      <c r="A1207" t="s">
        <v>1935</v>
      </c>
      <c r="B1207" t="s">
        <v>1935</v>
      </c>
      <c r="C1207" t="s">
        <v>1935</v>
      </c>
      <c r="D1207" t="s">
        <v>629</v>
      </c>
      <c r="E1207" s="259" t="s">
        <v>1853</v>
      </c>
      <c r="F1207" t="s">
        <v>620</v>
      </c>
      <c r="G1207" s="89">
        <v>2003</v>
      </c>
      <c r="H1207" s="341" t="s">
        <v>732</v>
      </c>
      <c r="I1207" s="337" t="str">
        <f t="shared" si="62"/>
        <v>Pesado de Passageiros M3: III : Gasóleo : E3</v>
      </c>
      <c r="J1207" s="125">
        <v>50</v>
      </c>
      <c r="K1207" s="264">
        <v>2022</v>
      </c>
      <c r="L1207" s="85">
        <v>19656.900000000001</v>
      </c>
      <c r="M1207" s="85" t="s">
        <v>630</v>
      </c>
      <c r="N1207" s="128">
        <v>58576</v>
      </c>
      <c r="O1207" s="128">
        <f t="shared" si="63"/>
        <v>2928800</v>
      </c>
      <c r="P1207" s="89">
        <v>8151</v>
      </c>
      <c r="Q1207" t="s">
        <v>47</v>
      </c>
      <c r="R1207" s="220" t="s">
        <v>1888</v>
      </c>
      <c r="S1207" s="220" t="s">
        <v>1861</v>
      </c>
      <c r="U1207" t="s">
        <v>1972</v>
      </c>
      <c r="V1207" t="s">
        <v>2832</v>
      </c>
    </row>
    <row r="1208" spans="1:22" ht="15.75" thickBot="1" x14ac:dyDescent="0.3">
      <c r="A1208" t="s">
        <v>1935</v>
      </c>
      <c r="B1208" t="s">
        <v>1935</v>
      </c>
      <c r="C1208" t="s">
        <v>1935</v>
      </c>
      <c r="D1208" t="s">
        <v>629</v>
      </c>
      <c r="E1208" s="259" t="s">
        <v>1853</v>
      </c>
      <c r="F1208" t="s">
        <v>620</v>
      </c>
      <c r="G1208" s="89">
        <v>2012</v>
      </c>
      <c r="H1208" s="341" t="s">
        <v>734</v>
      </c>
      <c r="I1208" s="337" t="str">
        <f t="shared" si="62"/>
        <v>Pesado de Passageiros M3: III : Gasóleo : E5</v>
      </c>
      <c r="J1208" s="125">
        <v>81</v>
      </c>
      <c r="K1208" s="264">
        <v>2022</v>
      </c>
      <c r="L1208" s="85">
        <v>10500.199999999999</v>
      </c>
      <c r="M1208" s="85" t="s">
        <v>630</v>
      </c>
      <c r="N1208" s="128">
        <v>32648</v>
      </c>
      <c r="O1208" s="128">
        <f t="shared" si="63"/>
        <v>2644488</v>
      </c>
      <c r="P1208" s="89">
        <v>8152</v>
      </c>
      <c r="Q1208" t="s">
        <v>47</v>
      </c>
      <c r="R1208" s="220" t="s">
        <v>1888</v>
      </c>
      <c r="S1208" s="220" t="s">
        <v>1861</v>
      </c>
      <c r="U1208" t="s">
        <v>1972</v>
      </c>
      <c r="V1208" t="s">
        <v>2832</v>
      </c>
    </row>
    <row r="1209" spans="1:22" ht="15.75" thickBot="1" x14ac:dyDescent="0.3">
      <c r="A1209" t="s">
        <v>1935</v>
      </c>
      <c r="B1209" t="s">
        <v>1935</v>
      </c>
      <c r="C1209" t="s">
        <v>1935</v>
      </c>
      <c r="D1209" t="s">
        <v>629</v>
      </c>
      <c r="E1209" s="259" t="s">
        <v>1853</v>
      </c>
      <c r="F1209" t="s">
        <v>620</v>
      </c>
      <c r="G1209" s="89">
        <v>2012</v>
      </c>
      <c r="H1209" s="341" t="s">
        <v>734</v>
      </c>
      <c r="I1209" s="337" t="str">
        <f t="shared" si="62"/>
        <v>Pesado de Passageiros M3: III : Gasóleo : E5</v>
      </c>
      <c r="J1209" s="125">
        <v>60</v>
      </c>
      <c r="K1209" s="264">
        <v>2022</v>
      </c>
      <c r="L1209" s="85">
        <v>11673.599999999999</v>
      </c>
      <c r="M1209" s="85" t="s">
        <v>630</v>
      </c>
      <c r="N1209" s="128">
        <v>42631</v>
      </c>
      <c r="O1209" s="128">
        <f t="shared" si="63"/>
        <v>2557860</v>
      </c>
      <c r="P1209" s="89">
        <v>8153</v>
      </c>
      <c r="Q1209" t="s">
        <v>47</v>
      </c>
      <c r="R1209" s="220" t="s">
        <v>1888</v>
      </c>
      <c r="S1209" s="220" t="s">
        <v>1861</v>
      </c>
      <c r="U1209" t="s">
        <v>1972</v>
      </c>
      <c r="V1209" t="s">
        <v>2832</v>
      </c>
    </row>
    <row r="1210" spans="1:22" ht="15.75" thickBot="1" x14ac:dyDescent="0.3">
      <c r="A1210" t="s">
        <v>1935</v>
      </c>
      <c r="B1210" t="s">
        <v>1935</v>
      </c>
      <c r="C1210" t="s">
        <v>1935</v>
      </c>
      <c r="D1210" t="s">
        <v>629</v>
      </c>
      <c r="E1210" s="259" t="s">
        <v>1853</v>
      </c>
      <c r="F1210" t="s">
        <v>620</v>
      </c>
      <c r="G1210" s="89">
        <v>2012</v>
      </c>
      <c r="H1210" s="341" t="s">
        <v>734</v>
      </c>
      <c r="I1210" s="337" t="str">
        <f t="shared" si="62"/>
        <v>Pesado de Passageiros M3: III : Gasóleo : E5</v>
      </c>
      <c r="J1210" s="125">
        <v>80</v>
      </c>
      <c r="K1210" s="264">
        <v>2022</v>
      </c>
      <c r="L1210" s="85">
        <v>19224.400000000001</v>
      </c>
      <c r="M1210" s="85" t="s">
        <v>630</v>
      </c>
      <c r="N1210" s="128">
        <v>69442</v>
      </c>
      <c r="O1210" s="128">
        <f t="shared" si="63"/>
        <v>5555360</v>
      </c>
      <c r="P1210" s="89">
        <v>8154</v>
      </c>
      <c r="Q1210" t="s">
        <v>47</v>
      </c>
      <c r="R1210" s="220" t="s">
        <v>1888</v>
      </c>
      <c r="S1210" s="220" t="s">
        <v>1861</v>
      </c>
      <c r="U1210" t="s">
        <v>1972</v>
      </c>
      <c r="V1210" t="s">
        <v>2832</v>
      </c>
    </row>
    <row r="1211" spans="1:22" ht="15.75" thickBot="1" x14ac:dyDescent="0.3">
      <c r="A1211" t="s">
        <v>1935</v>
      </c>
      <c r="B1211" t="s">
        <v>1935</v>
      </c>
      <c r="C1211" t="s">
        <v>1935</v>
      </c>
      <c r="D1211" t="s">
        <v>629</v>
      </c>
      <c r="E1211" s="259" t="s">
        <v>1853</v>
      </c>
      <c r="F1211" t="s">
        <v>620</v>
      </c>
      <c r="G1211" s="89">
        <v>2012</v>
      </c>
      <c r="H1211" s="341" t="s">
        <v>734</v>
      </c>
      <c r="I1211" s="337" t="str">
        <f t="shared" si="62"/>
        <v>Pesado de Passageiros M3: III : Gasóleo : E5</v>
      </c>
      <c r="J1211" s="125">
        <v>81</v>
      </c>
      <c r="K1211" s="264">
        <v>2022</v>
      </c>
      <c r="L1211" s="85">
        <v>14748.7</v>
      </c>
      <c r="M1211" s="85" t="s">
        <v>630</v>
      </c>
      <c r="N1211" s="128">
        <v>47467</v>
      </c>
      <c r="O1211" s="128">
        <f t="shared" si="63"/>
        <v>3844827</v>
      </c>
      <c r="P1211" s="89">
        <v>8155</v>
      </c>
      <c r="Q1211" t="s">
        <v>47</v>
      </c>
      <c r="R1211" s="220" t="s">
        <v>1888</v>
      </c>
      <c r="S1211" s="220" t="s">
        <v>1861</v>
      </c>
      <c r="U1211" t="s">
        <v>1972</v>
      </c>
      <c r="V1211" t="s">
        <v>2832</v>
      </c>
    </row>
    <row r="1212" spans="1:22" ht="15.75" thickBot="1" x14ac:dyDescent="0.3">
      <c r="A1212" t="s">
        <v>1935</v>
      </c>
      <c r="B1212" t="s">
        <v>1935</v>
      </c>
      <c r="C1212" t="s">
        <v>1935</v>
      </c>
      <c r="D1212" t="s">
        <v>629</v>
      </c>
      <c r="E1212" s="259" t="s">
        <v>1853</v>
      </c>
      <c r="F1212" t="s">
        <v>620</v>
      </c>
      <c r="G1212" s="89">
        <v>2012</v>
      </c>
      <c r="H1212" s="341" t="s">
        <v>734</v>
      </c>
      <c r="I1212" s="337" t="str">
        <f t="shared" si="62"/>
        <v>Pesado de Passageiros M3: III : Gasóleo : E5</v>
      </c>
      <c r="J1212" s="125">
        <v>81</v>
      </c>
      <c r="K1212" s="264">
        <v>2022</v>
      </c>
      <c r="L1212" s="85">
        <v>13498.7</v>
      </c>
      <c r="M1212" s="85" t="s">
        <v>630</v>
      </c>
      <c r="N1212" s="128">
        <v>44468</v>
      </c>
      <c r="O1212" s="128">
        <f t="shared" si="63"/>
        <v>3601908</v>
      </c>
      <c r="P1212" s="89">
        <v>8156</v>
      </c>
      <c r="Q1212" t="s">
        <v>47</v>
      </c>
      <c r="R1212" s="220" t="s">
        <v>1888</v>
      </c>
      <c r="S1212" s="220" t="s">
        <v>1861</v>
      </c>
      <c r="U1212" t="s">
        <v>1972</v>
      </c>
      <c r="V1212" t="s">
        <v>2832</v>
      </c>
    </row>
    <row r="1213" spans="1:22" ht="15.75" thickBot="1" x14ac:dyDescent="0.3">
      <c r="A1213" t="s">
        <v>1935</v>
      </c>
      <c r="B1213" t="s">
        <v>1935</v>
      </c>
      <c r="C1213" t="s">
        <v>1935</v>
      </c>
      <c r="D1213" t="s">
        <v>629</v>
      </c>
      <c r="E1213" s="259" t="s">
        <v>1853</v>
      </c>
      <c r="F1213" t="s">
        <v>620</v>
      </c>
      <c r="G1213" s="89">
        <v>2012</v>
      </c>
      <c r="H1213" s="341" t="s">
        <v>734</v>
      </c>
      <c r="I1213" s="337" t="str">
        <f t="shared" si="62"/>
        <v>Pesado de Passageiros M3: III : Gasóleo : E5</v>
      </c>
      <c r="J1213" s="125">
        <v>81</v>
      </c>
      <c r="K1213" s="264">
        <v>2022</v>
      </c>
      <c r="L1213" s="85">
        <v>12820.4</v>
      </c>
      <c r="M1213" s="85" t="s">
        <v>630</v>
      </c>
      <c r="N1213" s="128">
        <v>48803</v>
      </c>
      <c r="O1213" s="128">
        <f t="shared" si="63"/>
        <v>3953043</v>
      </c>
      <c r="P1213" s="89">
        <v>8157</v>
      </c>
      <c r="Q1213" t="s">
        <v>47</v>
      </c>
      <c r="R1213" s="220" t="s">
        <v>1888</v>
      </c>
      <c r="S1213" s="220" t="s">
        <v>1861</v>
      </c>
      <c r="U1213" t="s">
        <v>1972</v>
      </c>
      <c r="V1213" t="s">
        <v>2832</v>
      </c>
    </row>
    <row r="1214" spans="1:22" ht="15.75" thickBot="1" x14ac:dyDescent="0.3">
      <c r="A1214" t="s">
        <v>1935</v>
      </c>
      <c r="B1214" t="s">
        <v>1935</v>
      </c>
      <c r="C1214" t="s">
        <v>1935</v>
      </c>
      <c r="D1214" t="s">
        <v>629</v>
      </c>
      <c r="E1214" s="259" t="s">
        <v>1853</v>
      </c>
      <c r="F1214" t="s">
        <v>620</v>
      </c>
      <c r="G1214" s="89">
        <v>2012</v>
      </c>
      <c r="H1214" s="341" t="s">
        <v>734</v>
      </c>
      <c r="I1214" s="337" t="str">
        <f t="shared" si="62"/>
        <v>Pesado de Passageiros M3: III : Gasóleo : E5</v>
      </c>
      <c r="J1214" s="125">
        <v>81</v>
      </c>
      <c r="K1214" s="264">
        <v>2022</v>
      </c>
      <c r="L1214" s="85">
        <v>15356.7</v>
      </c>
      <c r="M1214" s="85" t="s">
        <v>630</v>
      </c>
      <c r="N1214" s="128">
        <v>53526</v>
      </c>
      <c r="O1214" s="128">
        <f t="shared" si="63"/>
        <v>4335606</v>
      </c>
      <c r="P1214" s="89">
        <v>8158</v>
      </c>
      <c r="Q1214" t="s">
        <v>47</v>
      </c>
      <c r="R1214" s="220" t="s">
        <v>1888</v>
      </c>
      <c r="S1214" s="220" t="s">
        <v>1861</v>
      </c>
      <c r="U1214" t="s">
        <v>1972</v>
      </c>
      <c r="V1214" t="s">
        <v>2832</v>
      </c>
    </row>
    <row r="1215" spans="1:22" ht="15.75" thickBot="1" x14ac:dyDescent="0.3">
      <c r="A1215" t="s">
        <v>1935</v>
      </c>
      <c r="B1215" t="s">
        <v>1935</v>
      </c>
      <c r="C1215" t="s">
        <v>1935</v>
      </c>
      <c r="D1215" t="s">
        <v>629</v>
      </c>
      <c r="E1215" s="259" t="s">
        <v>1853</v>
      </c>
      <c r="F1215" t="s">
        <v>620</v>
      </c>
      <c r="G1215" s="89">
        <v>2012</v>
      </c>
      <c r="H1215" s="341" t="s">
        <v>734</v>
      </c>
      <c r="I1215" s="337" t="str">
        <f t="shared" si="62"/>
        <v>Pesado de Passageiros M3: III : Gasóleo : E5</v>
      </c>
      <c r="J1215" s="125">
        <v>81</v>
      </c>
      <c r="K1215" s="264">
        <v>2022</v>
      </c>
      <c r="L1215" s="85">
        <v>12577</v>
      </c>
      <c r="M1215" s="85" t="s">
        <v>630</v>
      </c>
      <c r="N1215" s="128">
        <v>45240</v>
      </c>
      <c r="O1215" s="128">
        <f t="shared" si="63"/>
        <v>3664440</v>
      </c>
      <c r="P1215" s="89">
        <v>8159</v>
      </c>
      <c r="Q1215" t="s">
        <v>47</v>
      </c>
      <c r="R1215" s="220" t="s">
        <v>1888</v>
      </c>
      <c r="S1215" s="220" t="s">
        <v>1861</v>
      </c>
      <c r="U1215" t="s">
        <v>1972</v>
      </c>
      <c r="V1215" t="s">
        <v>2832</v>
      </c>
    </row>
    <row r="1216" spans="1:22" ht="15.75" thickBot="1" x14ac:dyDescent="0.3">
      <c r="A1216" t="s">
        <v>1935</v>
      </c>
      <c r="B1216" t="s">
        <v>1935</v>
      </c>
      <c r="C1216" t="s">
        <v>1935</v>
      </c>
      <c r="D1216" t="s">
        <v>629</v>
      </c>
      <c r="E1216" s="259" t="s">
        <v>1853</v>
      </c>
      <c r="F1216" t="s">
        <v>620</v>
      </c>
      <c r="G1216" s="89">
        <v>2012</v>
      </c>
      <c r="H1216" s="341" t="s">
        <v>734</v>
      </c>
      <c r="I1216" s="337" t="str">
        <f t="shared" si="62"/>
        <v>Pesado de Passageiros M3: III : Gasóleo : E5</v>
      </c>
      <c r="J1216" s="125">
        <v>81</v>
      </c>
      <c r="K1216" s="264">
        <v>2022</v>
      </c>
      <c r="L1216" s="85">
        <v>14430.5</v>
      </c>
      <c r="M1216" s="85" t="s">
        <v>630</v>
      </c>
      <c r="N1216" s="128">
        <v>48852</v>
      </c>
      <c r="O1216" s="128">
        <f t="shared" si="63"/>
        <v>3957012</v>
      </c>
      <c r="P1216" s="89">
        <v>8160</v>
      </c>
      <c r="Q1216" t="s">
        <v>47</v>
      </c>
      <c r="R1216" s="220" t="s">
        <v>1888</v>
      </c>
      <c r="S1216" s="220" t="s">
        <v>1861</v>
      </c>
      <c r="U1216" t="s">
        <v>1972</v>
      </c>
      <c r="V1216" t="s">
        <v>2832</v>
      </c>
    </row>
    <row r="1217" spans="1:22" ht="15.75" thickBot="1" x14ac:dyDescent="0.3">
      <c r="A1217" t="s">
        <v>1935</v>
      </c>
      <c r="B1217" t="s">
        <v>1935</v>
      </c>
      <c r="C1217" t="s">
        <v>1935</v>
      </c>
      <c r="D1217" t="s">
        <v>629</v>
      </c>
      <c r="E1217" s="259" t="s">
        <v>1853</v>
      </c>
      <c r="F1217" t="s">
        <v>620</v>
      </c>
      <c r="G1217" s="89">
        <v>2012</v>
      </c>
      <c r="H1217" s="341" t="s">
        <v>734</v>
      </c>
      <c r="I1217" s="337" t="str">
        <f t="shared" si="62"/>
        <v>Pesado de Passageiros M3: III : Gasóleo : E5</v>
      </c>
      <c r="J1217" s="125">
        <v>81</v>
      </c>
      <c r="K1217" s="264">
        <v>2022</v>
      </c>
      <c r="L1217" s="85">
        <v>15056.9</v>
      </c>
      <c r="M1217" s="85" t="s">
        <v>630</v>
      </c>
      <c r="N1217" s="128">
        <v>52872</v>
      </c>
      <c r="O1217" s="128">
        <f t="shared" si="63"/>
        <v>4282632</v>
      </c>
      <c r="P1217" s="89">
        <v>8162</v>
      </c>
      <c r="Q1217" t="s">
        <v>47</v>
      </c>
      <c r="R1217" s="220" t="s">
        <v>1888</v>
      </c>
      <c r="S1217" s="220" t="s">
        <v>1861</v>
      </c>
      <c r="U1217" t="s">
        <v>1972</v>
      </c>
      <c r="V1217" t="s">
        <v>2832</v>
      </c>
    </row>
    <row r="1218" spans="1:22" ht="15.75" thickBot="1" x14ac:dyDescent="0.3">
      <c r="A1218" t="s">
        <v>1935</v>
      </c>
      <c r="B1218" t="s">
        <v>1935</v>
      </c>
      <c r="C1218" t="s">
        <v>1935</v>
      </c>
      <c r="D1218" t="s">
        <v>629</v>
      </c>
      <c r="E1218" s="259" t="s">
        <v>1853</v>
      </c>
      <c r="F1218" t="s">
        <v>620</v>
      </c>
      <c r="G1218" s="89">
        <v>2008</v>
      </c>
      <c r="H1218" s="341" t="s">
        <v>731</v>
      </c>
      <c r="I1218" s="337" t="str">
        <f t="shared" si="62"/>
        <v>Pesado de Passageiros M3: III : Gasóleo : E4</v>
      </c>
      <c r="J1218" s="125">
        <v>107</v>
      </c>
      <c r="K1218" s="264">
        <v>2022</v>
      </c>
      <c r="L1218" s="85">
        <v>5112.8</v>
      </c>
      <c r="M1218" s="85" t="s">
        <v>630</v>
      </c>
      <c r="N1218" s="128">
        <v>12772</v>
      </c>
      <c r="O1218" s="128">
        <f t="shared" si="63"/>
        <v>1366604</v>
      </c>
      <c r="P1218" s="89">
        <v>8163</v>
      </c>
      <c r="Q1218" t="s">
        <v>47</v>
      </c>
      <c r="R1218" s="220" t="s">
        <v>1888</v>
      </c>
      <c r="S1218" s="220" t="s">
        <v>1861</v>
      </c>
      <c r="U1218" t="s">
        <v>1972</v>
      </c>
      <c r="V1218" t="s">
        <v>2832</v>
      </c>
    </row>
    <row r="1219" spans="1:22" ht="15.75" thickBot="1" x14ac:dyDescent="0.3">
      <c r="A1219" t="s">
        <v>1935</v>
      </c>
      <c r="B1219" t="s">
        <v>1935</v>
      </c>
      <c r="C1219" t="s">
        <v>1935</v>
      </c>
      <c r="D1219" t="s">
        <v>629</v>
      </c>
      <c r="E1219" s="259" t="s">
        <v>1853</v>
      </c>
      <c r="F1219" t="s">
        <v>620</v>
      </c>
      <c r="G1219" s="89">
        <v>2008</v>
      </c>
      <c r="H1219" s="341" t="s">
        <v>731</v>
      </c>
      <c r="I1219" s="337" t="str">
        <f t="shared" si="62"/>
        <v>Pesado de Passageiros M3: III : Gasóleo : E4</v>
      </c>
      <c r="J1219" s="125">
        <v>107</v>
      </c>
      <c r="K1219" s="264">
        <v>2022</v>
      </c>
      <c r="L1219" s="85">
        <v>4956.8999999999996</v>
      </c>
      <c r="M1219" s="85" t="s">
        <v>630</v>
      </c>
      <c r="N1219" s="128">
        <v>12918</v>
      </c>
      <c r="O1219" s="128">
        <f t="shared" si="63"/>
        <v>1382226</v>
      </c>
      <c r="P1219" s="89">
        <v>8164</v>
      </c>
      <c r="Q1219" t="s">
        <v>47</v>
      </c>
      <c r="R1219" s="220" t="s">
        <v>1888</v>
      </c>
      <c r="S1219" s="220" t="s">
        <v>1861</v>
      </c>
      <c r="U1219" t="s">
        <v>1972</v>
      </c>
      <c r="V1219" t="s">
        <v>2832</v>
      </c>
    </row>
    <row r="1220" spans="1:22" ht="15.75" thickBot="1" x14ac:dyDescent="0.3">
      <c r="A1220" t="s">
        <v>1935</v>
      </c>
      <c r="B1220" t="s">
        <v>1935</v>
      </c>
      <c r="C1220" t="s">
        <v>1935</v>
      </c>
      <c r="D1220" t="s">
        <v>629</v>
      </c>
      <c r="E1220" s="259" t="s">
        <v>1853</v>
      </c>
      <c r="F1220" t="s">
        <v>620</v>
      </c>
      <c r="G1220" s="89">
        <v>2009</v>
      </c>
      <c r="H1220" s="341" t="s">
        <v>731</v>
      </c>
      <c r="I1220" s="337" t="str">
        <f t="shared" ref="I1220:I1283" si="64">D1220&amp;": "&amp;E1220&amp;" : "&amp;F1220&amp;" : "&amp;H1220</f>
        <v>Pesado de Passageiros M3: III : Gasóleo : E4</v>
      </c>
      <c r="J1220" s="125">
        <v>107</v>
      </c>
      <c r="K1220" s="264">
        <v>2022</v>
      </c>
      <c r="L1220" s="85">
        <v>3057.2</v>
      </c>
      <c r="M1220" s="85" t="s">
        <v>630</v>
      </c>
      <c r="N1220" s="128">
        <v>8016</v>
      </c>
      <c r="O1220" s="128">
        <f t="shared" ref="O1220:O1283" si="65">N1220*J1220</f>
        <v>857712</v>
      </c>
      <c r="P1220" s="89">
        <v>8165</v>
      </c>
      <c r="Q1220" t="s">
        <v>47</v>
      </c>
      <c r="R1220" s="220" t="s">
        <v>1888</v>
      </c>
      <c r="S1220" s="220" t="s">
        <v>1861</v>
      </c>
      <c r="U1220" t="s">
        <v>1972</v>
      </c>
      <c r="V1220" t="s">
        <v>2832</v>
      </c>
    </row>
    <row r="1221" spans="1:22" ht="15.75" thickBot="1" x14ac:dyDescent="0.3">
      <c r="A1221" t="s">
        <v>1935</v>
      </c>
      <c r="B1221" t="s">
        <v>1935</v>
      </c>
      <c r="C1221" t="s">
        <v>1935</v>
      </c>
      <c r="D1221" t="s">
        <v>629</v>
      </c>
      <c r="E1221" s="259" t="s">
        <v>1853</v>
      </c>
      <c r="F1221" t="s">
        <v>620</v>
      </c>
      <c r="G1221" s="89">
        <v>2008</v>
      </c>
      <c r="H1221" s="341" t="s">
        <v>731</v>
      </c>
      <c r="I1221" s="337" t="str">
        <f t="shared" si="64"/>
        <v>Pesado de Passageiros M3: III : Gasóleo : E4</v>
      </c>
      <c r="J1221" s="125">
        <v>75</v>
      </c>
      <c r="K1221" s="264">
        <v>2022</v>
      </c>
      <c r="L1221" s="85">
        <v>3871.8</v>
      </c>
      <c r="M1221" s="85" t="s">
        <v>630</v>
      </c>
      <c r="N1221" s="128">
        <v>10975</v>
      </c>
      <c r="O1221" s="128">
        <f t="shared" si="65"/>
        <v>823125</v>
      </c>
      <c r="P1221" s="89">
        <v>8166</v>
      </c>
      <c r="Q1221" t="s">
        <v>47</v>
      </c>
      <c r="R1221" s="220" t="s">
        <v>1888</v>
      </c>
      <c r="S1221" s="220" t="s">
        <v>1861</v>
      </c>
      <c r="U1221" t="s">
        <v>1972</v>
      </c>
      <c r="V1221" t="s">
        <v>2832</v>
      </c>
    </row>
    <row r="1222" spans="1:22" ht="15.75" thickBot="1" x14ac:dyDescent="0.3">
      <c r="A1222" t="s">
        <v>1935</v>
      </c>
      <c r="B1222" t="s">
        <v>1935</v>
      </c>
      <c r="C1222" t="s">
        <v>1935</v>
      </c>
      <c r="D1222" t="s">
        <v>629</v>
      </c>
      <c r="E1222" s="259" t="s">
        <v>1853</v>
      </c>
      <c r="F1222" t="s">
        <v>620</v>
      </c>
      <c r="G1222" s="89">
        <v>2008</v>
      </c>
      <c r="H1222" s="341" t="s">
        <v>731</v>
      </c>
      <c r="I1222" s="337" t="str">
        <f t="shared" si="64"/>
        <v>Pesado de Passageiros M3: III : Gasóleo : E4</v>
      </c>
      <c r="J1222" s="125">
        <v>72</v>
      </c>
      <c r="K1222" s="264">
        <v>2022</v>
      </c>
      <c r="L1222" s="85">
        <v>2729.5</v>
      </c>
      <c r="M1222" s="85" t="s">
        <v>630</v>
      </c>
      <c r="N1222" s="128">
        <v>5897</v>
      </c>
      <c r="O1222" s="128">
        <f t="shared" si="65"/>
        <v>424584</v>
      </c>
      <c r="P1222" s="89">
        <v>8167</v>
      </c>
      <c r="Q1222" t="s">
        <v>47</v>
      </c>
      <c r="R1222" s="220" t="s">
        <v>1888</v>
      </c>
      <c r="S1222" s="220" t="s">
        <v>1861</v>
      </c>
      <c r="U1222" t="s">
        <v>1972</v>
      </c>
      <c r="V1222" t="s">
        <v>2832</v>
      </c>
    </row>
    <row r="1223" spans="1:22" ht="15.75" thickBot="1" x14ac:dyDescent="0.3">
      <c r="A1223" t="s">
        <v>1935</v>
      </c>
      <c r="B1223" t="s">
        <v>1935</v>
      </c>
      <c r="C1223" t="s">
        <v>1935</v>
      </c>
      <c r="D1223" t="s">
        <v>629</v>
      </c>
      <c r="E1223" s="259" t="s">
        <v>1853</v>
      </c>
      <c r="F1223" t="s">
        <v>620</v>
      </c>
      <c r="G1223" s="89">
        <v>2009</v>
      </c>
      <c r="H1223" s="341" t="s">
        <v>731</v>
      </c>
      <c r="I1223" s="337" t="str">
        <f t="shared" si="64"/>
        <v>Pesado de Passageiros M3: III : Gasóleo : E4</v>
      </c>
      <c r="J1223" s="125">
        <v>92</v>
      </c>
      <c r="K1223" s="264">
        <v>2022</v>
      </c>
      <c r="L1223" s="85">
        <v>1537</v>
      </c>
      <c r="M1223" s="85" t="s">
        <v>630</v>
      </c>
      <c r="N1223" s="128">
        <v>3850</v>
      </c>
      <c r="O1223" s="128">
        <f t="shared" si="65"/>
        <v>354200</v>
      </c>
      <c r="P1223" s="89">
        <v>8168</v>
      </c>
      <c r="Q1223" t="s">
        <v>47</v>
      </c>
      <c r="R1223" s="220" t="s">
        <v>1888</v>
      </c>
      <c r="S1223" s="220" t="s">
        <v>1861</v>
      </c>
      <c r="U1223" t="s">
        <v>1972</v>
      </c>
      <c r="V1223" t="s">
        <v>2832</v>
      </c>
    </row>
    <row r="1224" spans="1:22" ht="15.75" thickBot="1" x14ac:dyDescent="0.3">
      <c r="A1224" t="s">
        <v>1935</v>
      </c>
      <c r="B1224" t="s">
        <v>1935</v>
      </c>
      <c r="C1224" t="s">
        <v>1935</v>
      </c>
      <c r="D1224" t="s">
        <v>629</v>
      </c>
      <c r="E1224" s="259" t="s">
        <v>1853</v>
      </c>
      <c r="F1224" t="s">
        <v>620</v>
      </c>
      <c r="G1224" s="89">
        <v>2008</v>
      </c>
      <c r="H1224" s="341" t="s">
        <v>731</v>
      </c>
      <c r="I1224" s="337" t="str">
        <f t="shared" si="64"/>
        <v>Pesado de Passageiros M3: III : Gasóleo : E4</v>
      </c>
      <c r="J1224" s="125">
        <v>104</v>
      </c>
      <c r="K1224" s="264">
        <v>2022</v>
      </c>
      <c r="L1224" s="85">
        <v>0</v>
      </c>
      <c r="M1224" s="85" t="s">
        <v>630</v>
      </c>
      <c r="N1224" s="128">
        <v>0</v>
      </c>
      <c r="O1224" s="128">
        <f t="shared" si="65"/>
        <v>0</v>
      </c>
      <c r="P1224" s="89">
        <v>8169</v>
      </c>
      <c r="Q1224" t="s">
        <v>47</v>
      </c>
      <c r="R1224" s="220" t="s">
        <v>1888</v>
      </c>
      <c r="S1224" s="220" t="s">
        <v>1861</v>
      </c>
      <c r="U1224" t="s">
        <v>1972</v>
      </c>
      <c r="V1224" t="s">
        <v>2832</v>
      </c>
    </row>
    <row r="1225" spans="1:22" ht="15.75" thickBot="1" x14ac:dyDescent="0.3">
      <c r="A1225" t="s">
        <v>1935</v>
      </c>
      <c r="B1225" t="s">
        <v>1935</v>
      </c>
      <c r="C1225" t="s">
        <v>1935</v>
      </c>
      <c r="D1225" t="s">
        <v>629</v>
      </c>
      <c r="E1225" s="259" t="s">
        <v>1853</v>
      </c>
      <c r="F1225" t="s">
        <v>620</v>
      </c>
      <c r="G1225" s="89">
        <v>1990</v>
      </c>
      <c r="H1225" s="341" t="s">
        <v>2249</v>
      </c>
      <c r="I1225" s="337" t="str">
        <f t="shared" si="64"/>
        <v>Pesado de Passageiros M3: III : Gasóleo : E0</v>
      </c>
      <c r="J1225" s="125">
        <v>80</v>
      </c>
      <c r="K1225" s="264">
        <v>2022</v>
      </c>
      <c r="L1225" s="85">
        <v>0</v>
      </c>
      <c r="M1225" s="85" t="s">
        <v>630</v>
      </c>
      <c r="N1225" s="128">
        <v>209</v>
      </c>
      <c r="O1225" s="128">
        <f t="shared" si="65"/>
        <v>16720</v>
      </c>
      <c r="P1225" s="89">
        <v>8171</v>
      </c>
      <c r="Q1225" t="s">
        <v>47</v>
      </c>
      <c r="R1225" s="220" t="s">
        <v>3736</v>
      </c>
      <c r="S1225" s="220" t="s">
        <v>3126</v>
      </c>
      <c r="U1225" t="s">
        <v>1972</v>
      </c>
      <c r="V1225" t="s">
        <v>2832</v>
      </c>
    </row>
    <row r="1226" spans="1:22" ht="15.75" thickBot="1" x14ac:dyDescent="0.3">
      <c r="A1226" t="s">
        <v>1935</v>
      </c>
      <c r="B1226" t="s">
        <v>1935</v>
      </c>
      <c r="C1226" t="s">
        <v>1935</v>
      </c>
      <c r="D1226" t="s">
        <v>629</v>
      </c>
      <c r="E1226" s="259" t="s">
        <v>1853</v>
      </c>
      <c r="F1226" t="s">
        <v>620</v>
      </c>
      <c r="G1226" s="89">
        <v>1993</v>
      </c>
      <c r="H1226" s="341" t="s">
        <v>736</v>
      </c>
      <c r="I1226" s="337" t="str">
        <f t="shared" si="64"/>
        <v>Pesado de Passageiros M3: III : Gasóleo : E1</v>
      </c>
      <c r="J1226" s="125">
        <v>80</v>
      </c>
      <c r="K1226" s="264">
        <v>2022</v>
      </c>
      <c r="L1226" s="85">
        <v>11914.699999999999</v>
      </c>
      <c r="M1226" s="85" t="s">
        <v>630</v>
      </c>
      <c r="N1226" s="128">
        <v>39149</v>
      </c>
      <c r="O1226" s="128">
        <f t="shared" si="65"/>
        <v>3131920</v>
      </c>
      <c r="P1226" s="89">
        <v>8179</v>
      </c>
      <c r="Q1226" t="s">
        <v>47</v>
      </c>
      <c r="R1226" s="220" t="s">
        <v>1888</v>
      </c>
      <c r="S1226" s="220" t="s">
        <v>1861</v>
      </c>
      <c r="U1226" t="s">
        <v>1972</v>
      </c>
      <c r="V1226" t="s">
        <v>2832</v>
      </c>
    </row>
    <row r="1227" spans="1:22" ht="15.75" thickBot="1" x14ac:dyDescent="0.3">
      <c r="A1227" t="s">
        <v>1935</v>
      </c>
      <c r="B1227" t="s">
        <v>1935</v>
      </c>
      <c r="C1227" t="s">
        <v>1935</v>
      </c>
      <c r="D1227" t="s">
        <v>629</v>
      </c>
      <c r="E1227" s="259" t="s">
        <v>1853</v>
      </c>
      <c r="F1227" t="s">
        <v>620</v>
      </c>
      <c r="G1227" s="89">
        <v>2005</v>
      </c>
      <c r="H1227" s="341" t="s">
        <v>732</v>
      </c>
      <c r="I1227" s="337" t="str">
        <f t="shared" si="64"/>
        <v>Pesado de Passageiros M3: III : Gasóleo : E3</v>
      </c>
      <c r="J1227" s="125">
        <v>24</v>
      </c>
      <c r="K1227" s="264">
        <v>2022</v>
      </c>
      <c r="L1227" s="85">
        <v>759.6</v>
      </c>
      <c r="M1227" s="85" t="s">
        <v>630</v>
      </c>
      <c r="N1227" s="128">
        <v>4239</v>
      </c>
      <c r="O1227" s="128">
        <f t="shared" si="65"/>
        <v>101736</v>
      </c>
      <c r="P1227" s="89">
        <v>8180</v>
      </c>
      <c r="Q1227" t="s">
        <v>47</v>
      </c>
      <c r="R1227" s="220" t="s">
        <v>1888</v>
      </c>
      <c r="S1227" s="220" t="s">
        <v>1861</v>
      </c>
      <c r="U1227" t="s">
        <v>1972</v>
      </c>
      <c r="V1227" t="s">
        <v>2832</v>
      </c>
    </row>
    <row r="1228" spans="1:22" ht="15.75" thickBot="1" x14ac:dyDescent="0.3">
      <c r="A1228" t="s">
        <v>1935</v>
      </c>
      <c r="B1228" t="s">
        <v>1935</v>
      </c>
      <c r="C1228" t="s">
        <v>1935</v>
      </c>
      <c r="D1228" t="s">
        <v>629</v>
      </c>
      <c r="E1228" s="259" t="s">
        <v>1853</v>
      </c>
      <c r="F1228" t="s">
        <v>620</v>
      </c>
      <c r="G1228" s="89">
        <v>2005</v>
      </c>
      <c r="H1228" s="341" t="s">
        <v>732</v>
      </c>
      <c r="I1228" s="337" t="str">
        <f t="shared" si="64"/>
        <v>Pesado de Passageiros M3: III : Gasóleo : E3</v>
      </c>
      <c r="J1228" s="125">
        <v>24</v>
      </c>
      <c r="K1228" s="264">
        <v>2022</v>
      </c>
      <c r="L1228" s="85">
        <v>9431</v>
      </c>
      <c r="M1228" s="85" t="s">
        <v>630</v>
      </c>
      <c r="N1228" s="128">
        <v>54480</v>
      </c>
      <c r="O1228" s="128">
        <f t="shared" si="65"/>
        <v>1307520</v>
      </c>
      <c r="P1228" s="89">
        <v>8181</v>
      </c>
      <c r="Q1228" t="s">
        <v>47</v>
      </c>
      <c r="R1228" s="220" t="s">
        <v>1888</v>
      </c>
      <c r="S1228" s="220" t="s">
        <v>1861</v>
      </c>
      <c r="U1228" t="s">
        <v>1972</v>
      </c>
      <c r="V1228" t="s">
        <v>2832</v>
      </c>
    </row>
    <row r="1229" spans="1:22" ht="15.75" thickBot="1" x14ac:dyDescent="0.3">
      <c r="A1229" t="s">
        <v>1935</v>
      </c>
      <c r="B1229" t="s">
        <v>1935</v>
      </c>
      <c r="C1229" t="s">
        <v>1935</v>
      </c>
      <c r="D1229" t="s">
        <v>629</v>
      </c>
      <c r="E1229" s="259" t="s">
        <v>1853</v>
      </c>
      <c r="F1229" t="s">
        <v>620</v>
      </c>
      <c r="G1229" s="89">
        <v>1998</v>
      </c>
      <c r="H1229" s="341" t="s">
        <v>735</v>
      </c>
      <c r="I1229" s="337" t="str">
        <f t="shared" si="64"/>
        <v>Pesado de Passageiros M3: III : Gasóleo : E2</v>
      </c>
      <c r="J1229" s="125">
        <v>107</v>
      </c>
      <c r="K1229" s="264">
        <v>2022</v>
      </c>
      <c r="L1229" s="85">
        <v>377.9</v>
      </c>
      <c r="M1229" s="85" t="s">
        <v>630</v>
      </c>
      <c r="N1229" s="128">
        <v>1181</v>
      </c>
      <c r="O1229" s="128">
        <f t="shared" si="65"/>
        <v>126367</v>
      </c>
      <c r="P1229" s="89">
        <v>8182</v>
      </c>
      <c r="Q1229" t="s">
        <v>47</v>
      </c>
      <c r="R1229" s="220" t="s">
        <v>1888</v>
      </c>
      <c r="S1229" s="220" t="s">
        <v>1861</v>
      </c>
      <c r="U1229" t="s">
        <v>1972</v>
      </c>
      <c r="V1229" t="s">
        <v>2832</v>
      </c>
    </row>
    <row r="1230" spans="1:22" ht="15.75" thickBot="1" x14ac:dyDescent="0.3">
      <c r="A1230" t="s">
        <v>1935</v>
      </c>
      <c r="B1230" t="s">
        <v>1935</v>
      </c>
      <c r="C1230" t="s">
        <v>1935</v>
      </c>
      <c r="D1230" t="s">
        <v>629</v>
      </c>
      <c r="E1230" s="259" t="s">
        <v>1853</v>
      </c>
      <c r="F1230" t="s">
        <v>620</v>
      </c>
      <c r="G1230" s="89">
        <v>2008</v>
      </c>
      <c r="H1230" s="341" t="s">
        <v>731</v>
      </c>
      <c r="I1230" s="337" t="str">
        <f t="shared" si="64"/>
        <v>Pesado de Passageiros M3: III : Gasóleo : E4</v>
      </c>
      <c r="J1230" s="125">
        <v>53</v>
      </c>
      <c r="K1230" s="264">
        <v>2022</v>
      </c>
      <c r="L1230" s="85">
        <v>7211.3</v>
      </c>
      <c r="M1230" s="85" t="s">
        <v>630</v>
      </c>
      <c r="N1230" s="128">
        <v>25533</v>
      </c>
      <c r="O1230" s="128">
        <f t="shared" si="65"/>
        <v>1353249</v>
      </c>
      <c r="P1230" s="89">
        <v>8183</v>
      </c>
      <c r="Q1230" t="s">
        <v>47</v>
      </c>
      <c r="R1230" s="220" t="s">
        <v>1888</v>
      </c>
      <c r="S1230" s="220" t="s">
        <v>1861</v>
      </c>
      <c r="U1230" t="s">
        <v>1972</v>
      </c>
      <c r="V1230" t="s">
        <v>2832</v>
      </c>
    </row>
    <row r="1231" spans="1:22" ht="15.75" thickBot="1" x14ac:dyDescent="0.3">
      <c r="A1231" t="s">
        <v>1935</v>
      </c>
      <c r="B1231" t="s">
        <v>1935</v>
      </c>
      <c r="C1231" t="s">
        <v>1935</v>
      </c>
      <c r="D1231" t="s">
        <v>629</v>
      </c>
      <c r="E1231" s="259" t="s">
        <v>1853</v>
      </c>
      <c r="F1231" t="s">
        <v>620</v>
      </c>
      <c r="G1231" s="89">
        <v>2009</v>
      </c>
      <c r="H1231" s="341" t="s">
        <v>731</v>
      </c>
      <c r="I1231" s="337" t="str">
        <f t="shared" si="64"/>
        <v>Pesado de Passageiros M3: III : Gasóleo : E4</v>
      </c>
      <c r="J1231" s="125">
        <v>32</v>
      </c>
      <c r="K1231" s="264">
        <v>2022</v>
      </c>
      <c r="L1231" s="85">
        <v>2902.7</v>
      </c>
      <c r="M1231" s="85" t="s">
        <v>630</v>
      </c>
      <c r="N1231" s="128">
        <v>17238</v>
      </c>
      <c r="O1231" s="128">
        <f t="shared" si="65"/>
        <v>551616</v>
      </c>
      <c r="P1231" s="89">
        <v>8184</v>
      </c>
      <c r="Q1231" t="s">
        <v>47</v>
      </c>
      <c r="R1231" s="220" t="s">
        <v>1888</v>
      </c>
      <c r="S1231" s="220" t="s">
        <v>1861</v>
      </c>
      <c r="U1231" t="s">
        <v>1972</v>
      </c>
      <c r="V1231" t="s">
        <v>2832</v>
      </c>
    </row>
    <row r="1232" spans="1:22" ht="15.75" thickBot="1" x14ac:dyDescent="0.3">
      <c r="A1232" t="s">
        <v>1935</v>
      </c>
      <c r="B1232" t="s">
        <v>1935</v>
      </c>
      <c r="C1232" t="s">
        <v>1935</v>
      </c>
      <c r="D1232" t="s">
        <v>629</v>
      </c>
      <c r="E1232" s="259" t="s">
        <v>1853</v>
      </c>
      <c r="F1232" t="s">
        <v>620</v>
      </c>
      <c r="G1232" s="89">
        <v>2009</v>
      </c>
      <c r="H1232" s="341" t="s">
        <v>731</v>
      </c>
      <c r="I1232" s="337" t="str">
        <f t="shared" si="64"/>
        <v>Pesado de Passageiros M3: III : Gasóleo : E4</v>
      </c>
      <c r="J1232" s="125">
        <v>32</v>
      </c>
      <c r="K1232" s="264">
        <v>2022</v>
      </c>
      <c r="L1232" s="85">
        <v>4491.7000000000007</v>
      </c>
      <c r="M1232" s="85" t="s">
        <v>630</v>
      </c>
      <c r="N1232" s="128">
        <v>31059</v>
      </c>
      <c r="O1232" s="128">
        <f t="shared" si="65"/>
        <v>993888</v>
      </c>
      <c r="P1232" s="89">
        <v>8185</v>
      </c>
      <c r="Q1232" t="s">
        <v>47</v>
      </c>
      <c r="R1232" s="220" t="s">
        <v>1888</v>
      </c>
      <c r="S1232" s="220" t="s">
        <v>1861</v>
      </c>
      <c r="U1232" t="s">
        <v>1972</v>
      </c>
      <c r="V1232" t="s">
        <v>2832</v>
      </c>
    </row>
    <row r="1233" spans="1:22" ht="15.75" thickBot="1" x14ac:dyDescent="0.3">
      <c r="A1233" t="s">
        <v>1935</v>
      </c>
      <c r="B1233" t="s">
        <v>1935</v>
      </c>
      <c r="C1233" t="s">
        <v>1935</v>
      </c>
      <c r="D1233" t="s">
        <v>629</v>
      </c>
      <c r="E1233" s="259" t="s">
        <v>1853</v>
      </c>
      <c r="F1233" t="s">
        <v>620</v>
      </c>
      <c r="G1233" s="89">
        <v>2009</v>
      </c>
      <c r="H1233" s="341" t="s">
        <v>731</v>
      </c>
      <c r="I1233" s="337" t="str">
        <f t="shared" si="64"/>
        <v>Pesado de Passageiros M3: III : Gasóleo : E4</v>
      </c>
      <c r="J1233" s="125">
        <v>32</v>
      </c>
      <c r="K1233" s="264">
        <v>2022</v>
      </c>
      <c r="L1233" s="85">
        <v>5684.2999999999993</v>
      </c>
      <c r="M1233" s="85" t="s">
        <v>630</v>
      </c>
      <c r="N1233" s="128">
        <v>38455</v>
      </c>
      <c r="O1233" s="128">
        <f t="shared" si="65"/>
        <v>1230560</v>
      </c>
      <c r="P1233" s="89">
        <v>8186</v>
      </c>
      <c r="Q1233" t="s">
        <v>47</v>
      </c>
      <c r="R1233" s="220" t="s">
        <v>1888</v>
      </c>
      <c r="S1233" s="220" t="s">
        <v>1861</v>
      </c>
      <c r="U1233" t="s">
        <v>1972</v>
      </c>
      <c r="V1233" t="s">
        <v>2832</v>
      </c>
    </row>
    <row r="1234" spans="1:22" ht="15.75" thickBot="1" x14ac:dyDescent="0.3">
      <c r="A1234" t="s">
        <v>1935</v>
      </c>
      <c r="B1234" t="s">
        <v>1935</v>
      </c>
      <c r="C1234" t="s">
        <v>1935</v>
      </c>
      <c r="D1234" t="s">
        <v>629</v>
      </c>
      <c r="E1234" s="259" t="s">
        <v>1853</v>
      </c>
      <c r="F1234" t="s">
        <v>620</v>
      </c>
      <c r="G1234" s="89">
        <v>2009</v>
      </c>
      <c r="H1234" s="341" t="s">
        <v>731</v>
      </c>
      <c r="I1234" s="337" t="str">
        <f t="shared" si="64"/>
        <v>Pesado de Passageiros M3: III : Gasóleo : E4</v>
      </c>
      <c r="J1234" s="125">
        <v>31</v>
      </c>
      <c r="K1234" s="264">
        <v>2022</v>
      </c>
      <c r="L1234" s="85">
        <v>7228.4</v>
      </c>
      <c r="M1234" s="85" t="s">
        <v>630</v>
      </c>
      <c r="N1234" s="128">
        <v>48865</v>
      </c>
      <c r="O1234" s="128">
        <f t="shared" si="65"/>
        <v>1514815</v>
      </c>
      <c r="P1234" s="89">
        <v>8187</v>
      </c>
      <c r="Q1234" t="s">
        <v>47</v>
      </c>
      <c r="R1234" s="220" t="s">
        <v>1888</v>
      </c>
      <c r="S1234" s="220" t="s">
        <v>1861</v>
      </c>
      <c r="U1234" t="s">
        <v>1972</v>
      </c>
      <c r="V1234" t="s">
        <v>2832</v>
      </c>
    </row>
    <row r="1235" spans="1:22" ht="15.75" thickBot="1" x14ac:dyDescent="0.3">
      <c r="A1235" t="s">
        <v>1935</v>
      </c>
      <c r="B1235" t="s">
        <v>1935</v>
      </c>
      <c r="C1235" t="s">
        <v>1935</v>
      </c>
      <c r="D1235" t="s">
        <v>629</v>
      </c>
      <c r="E1235" s="259" t="s">
        <v>1853</v>
      </c>
      <c r="F1235" t="s">
        <v>620</v>
      </c>
      <c r="G1235" s="89">
        <v>2011</v>
      </c>
      <c r="H1235" s="341" t="s">
        <v>734</v>
      </c>
      <c r="I1235" s="337" t="str">
        <f t="shared" si="64"/>
        <v>Pesado de Passageiros M3: III : Gasóleo : E5</v>
      </c>
      <c r="J1235" s="125">
        <v>33</v>
      </c>
      <c r="K1235" s="264">
        <v>2022</v>
      </c>
      <c r="L1235" s="85">
        <v>6336.2</v>
      </c>
      <c r="M1235" s="85" t="s">
        <v>630</v>
      </c>
      <c r="N1235" s="128">
        <v>32144</v>
      </c>
      <c r="O1235" s="128">
        <f t="shared" si="65"/>
        <v>1060752</v>
      </c>
      <c r="P1235" s="89">
        <v>8188</v>
      </c>
      <c r="Q1235" t="s">
        <v>47</v>
      </c>
      <c r="R1235" s="220" t="s">
        <v>1888</v>
      </c>
      <c r="S1235" s="220" t="s">
        <v>1861</v>
      </c>
      <c r="U1235" t="s">
        <v>1972</v>
      </c>
      <c r="V1235" t="s">
        <v>2832</v>
      </c>
    </row>
    <row r="1236" spans="1:22" ht="15.75" thickBot="1" x14ac:dyDescent="0.3">
      <c r="A1236" t="s">
        <v>1935</v>
      </c>
      <c r="B1236" t="s">
        <v>1935</v>
      </c>
      <c r="C1236" t="s">
        <v>1935</v>
      </c>
      <c r="D1236" t="s">
        <v>629</v>
      </c>
      <c r="E1236" s="259" t="s">
        <v>1853</v>
      </c>
      <c r="F1236" t="s">
        <v>620</v>
      </c>
      <c r="G1236" s="89">
        <v>2000</v>
      </c>
      <c r="H1236" s="341" t="s">
        <v>735</v>
      </c>
      <c r="I1236" s="337" t="str">
        <f t="shared" si="64"/>
        <v>Pesado de Passageiros M3: III : Gasóleo : E2</v>
      </c>
      <c r="J1236" s="125">
        <v>65</v>
      </c>
      <c r="K1236" s="264">
        <v>2022</v>
      </c>
      <c r="L1236" s="85">
        <v>14199.5</v>
      </c>
      <c r="M1236" s="85" t="s">
        <v>630</v>
      </c>
      <c r="N1236" s="128">
        <v>40143</v>
      </c>
      <c r="O1236" s="128">
        <f t="shared" si="65"/>
        <v>2609295</v>
      </c>
      <c r="P1236" s="89">
        <v>8189</v>
      </c>
      <c r="Q1236" t="s">
        <v>47</v>
      </c>
      <c r="R1236" s="220" t="s">
        <v>1888</v>
      </c>
      <c r="S1236" s="220" t="s">
        <v>1861</v>
      </c>
      <c r="U1236" t="s">
        <v>1972</v>
      </c>
      <c r="V1236" t="s">
        <v>2832</v>
      </c>
    </row>
    <row r="1237" spans="1:22" ht="15.75" thickBot="1" x14ac:dyDescent="0.3">
      <c r="A1237" t="s">
        <v>1935</v>
      </c>
      <c r="B1237" t="s">
        <v>1935</v>
      </c>
      <c r="C1237" t="s">
        <v>1935</v>
      </c>
      <c r="D1237" t="s">
        <v>629</v>
      </c>
      <c r="E1237" s="259" t="s">
        <v>1853</v>
      </c>
      <c r="F1237" t="s">
        <v>620</v>
      </c>
      <c r="G1237" s="89">
        <v>2001</v>
      </c>
      <c r="H1237" s="341" t="s">
        <v>735</v>
      </c>
      <c r="I1237" s="337" t="str">
        <f t="shared" si="64"/>
        <v>Pesado de Passageiros M3: III : Gasóleo : E2</v>
      </c>
      <c r="J1237" s="125">
        <v>68</v>
      </c>
      <c r="K1237" s="264">
        <v>2022</v>
      </c>
      <c r="L1237" s="85">
        <v>7297.6</v>
      </c>
      <c r="M1237" s="85" t="s">
        <v>630</v>
      </c>
      <c r="N1237" s="128">
        <v>22794</v>
      </c>
      <c r="O1237" s="128">
        <f t="shared" si="65"/>
        <v>1549992</v>
      </c>
      <c r="P1237" s="89">
        <v>8190</v>
      </c>
      <c r="Q1237" t="s">
        <v>47</v>
      </c>
      <c r="R1237" s="220" t="s">
        <v>1888</v>
      </c>
      <c r="S1237" s="220" t="s">
        <v>1861</v>
      </c>
      <c r="U1237" t="s">
        <v>1972</v>
      </c>
      <c r="V1237" t="s">
        <v>2832</v>
      </c>
    </row>
    <row r="1238" spans="1:22" ht="15.75" thickBot="1" x14ac:dyDescent="0.3">
      <c r="A1238" t="s">
        <v>1935</v>
      </c>
      <c r="B1238" t="s">
        <v>1935</v>
      </c>
      <c r="C1238" t="s">
        <v>1935</v>
      </c>
      <c r="D1238" t="s">
        <v>629</v>
      </c>
      <c r="E1238" s="259" t="s">
        <v>1853</v>
      </c>
      <c r="F1238" t="s">
        <v>620</v>
      </c>
      <c r="G1238" s="89">
        <v>2015</v>
      </c>
      <c r="H1238" s="341" t="s">
        <v>733</v>
      </c>
      <c r="I1238" s="337" t="str">
        <f t="shared" si="64"/>
        <v>Pesado de Passageiros M3: III : Gasóleo : E6</v>
      </c>
      <c r="J1238" s="125">
        <v>27</v>
      </c>
      <c r="K1238" s="264">
        <v>2022</v>
      </c>
      <c r="L1238" s="85">
        <v>0</v>
      </c>
      <c r="M1238" s="85" t="s">
        <v>630</v>
      </c>
      <c r="N1238" s="128">
        <v>0</v>
      </c>
      <c r="O1238" s="128">
        <f t="shared" si="65"/>
        <v>0</v>
      </c>
      <c r="P1238" s="89">
        <v>8192</v>
      </c>
      <c r="Q1238" t="s">
        <v>47</v>
      </c>
      <c r="R1238" s="220" t="s">
        <v>1888</v>
      </c>
      <c r="S1238" s="220" t="s">
        <v>1861</v>
      </c>
      <c r="U1238" t="s">
        <v>1972</v>
      </c>
      <c r="V1238" t="s">
        <v>2832</v>
      </c>
    </row>
    <row r="1239" spans="1:22" ht="15.75" thickBot="1" x14ac:dyDescent="0.3">
      <c r="A1239" t="s">
        <v>1935</v>
      </c>
      <c r="B1239" t="s">
        <v>1935</v>
      </c>
      <c r="C1239" t="s">
        <v>1935</v>
      </c>
      <c r="D1239" t="s">
        <v>629</v>
      </c>
      <c r="E1239" s="259" t="s">
        <v>1853</v>
      </c>
      <c r="F1239" t="s">
        <v>620</v>
      </c>
      <c r="G1239" s="89">
        <v>2015</v>
      </c>
      <c r="H1239" s="341" t="s">
        <v>733</v>
      </c>
      <c r="I1239" s="337" t="str">
        <f t="shared" si="64"/>
        <v>Pesado de Passageiros M3: III : Gasóleo : E6</v>
      </c>
      <c r="J1239" s="125">
        <v>27</v>
      </c>
      <c r="K1239" s="264">
        <v>2022</v>
      </c>
      <c r="L1239" s="85">
        <v>0</v>
      </c>
      <c r="M1239" s="85" t="s">
        <v>630</v>
      </c>
      <c r="N1239" s="128">
        <v>0</v>
      </c>
      <c r="O1239" s="128">
        <f t="shared" si="65"/>
        <v>0</v>
      </c>
      <c r="P1239" s="89">
        <v>8193</v>
      </c>
      <c r="Q1239" t="s">
        <v>47</v>
      </c>
      <c r="R1239" s="220" t="s">
        <v>1888</v>
      </c>
      <c r="S1239" s="220" t="s">
        <v>1861</v>
      </c>
      <c r="U1239" t="s">
        <v>1972</v>
      </c>
      <c r="V1239" t="s">
        <v>2832</v>
      </c>
    </row>
    <row r="1240" spans="1:22" ht="15.75" thickBot="1" x14ac:dyDescent="0.3">
      <c r="A1240" t="s">
        <v>1935</v>
      </c>
      <c r="B1240" t="s">
        <v>1935</v>
      </c>
      <c r="C1240" t="s">
        <v>1935</v>
      </c>
      <c r="D1240" t="s">
        <v>629</v>
      </c>
      <c r="E1240" s="259" t="s">
        <v>1853</v>
      </c>
      <c r="F1240" t="s">
        <v>620</v>
      </c>
      <c r="G1240" s="89">
        <v>2019</v>
      </c>
      <c r="H1240" s="341" t="s">
        <v>733</v>
      </c>
      <c r="I1240" s="337" t="str">
        <f t="shared" si="64"/>
        <v>Pesado de Passageiros M3: III : Gasóleo : E6</v>
      </c>
      <c r="J1240" s="125">
        <v>72</v>
      </c>
      <c r="K1240" s="264">
        <v>2022</v>
      </c>
      <c r="L1240" s="85">
        <v>0</v>
      </c>
      <c r="M1240" s="85" t="s">
        <v>630</v>
      </c>
      <c r="N1240" s="128">
        <v>0</v>
      </c>
      <c r="O1240" s="128">
        <f t="shared" si="65"/>
        <v>0</v>
      </c>
      <c r="P1240" s="89">
        <v>8197</v>
      </c>
      <c r="Q1240" t="s">
        <v>47</v>
      </c>
      <c r="R1240" s="220" t="s">
        <v>1888</v>
      </c>
      <c r="S1240" s="220" t="s">
        <v>1861</v>
      </c>
      <c r="U1240" t="s">
        <v>1972</v>
      </c>
      <c r="V1240" t="s">
        <v>2832</v>
      </c>
    </row>
    <row r="1241" spans="1:22" ht="15.75" thickBot="1" x14ac:dyDescent="0.3">
      <c r="A1241" t="s">
        <v>1935</v>
      </c>
      <c r="B1241" t="s">
        <v>1935</v>
      </c>
      <c r="C1241" t="s">
        <v>1935</v>
      </c>
      <c r="D1241" t="s">
        <v>629</v>
      </c>
      <c r="E1241" s="259" t="s">
        <v>1853</v>
      </c>
      <c r="F1241" t="s">
        <v>620</v>
      </c>
      <c r="G1241" s="89">
        <v>2001</v>
      </c>
      <c r="H1241" s="341" t="s">
        <v>735</v>
      </c>
      <c r="I1241" s="337" t="str">
        <f t="shared" si="64"/>
        <v>Pesado de Passageiros M3: III : Gasóleo : E2</v>
      </c>
      <c r="J1241" s="125">
        <v>71</v>
      </c>
      <c r="K1241" s="264">
        <v>2022</v>
      </c>
      <c r="L1241" s="85">
        <v>6900.5000000000009</v>
      </c>
      <c r="M1241" s="85" t="s">
        <v>630</v>
      </c>
      <c r="N1241" s="128">
        <v>18908</v>
      </c>
      <c r="O1241" s="128">
        <f t="shared" si="65"/>
        <v>1342468</v>
      </c>
      <c r="P1241" s="89">
        <v>8198</v>
      </c>
      <c r="Q1241" t="s">
        <v>47</v>
      </c>
      <c r="R1241" s="220" t="s">
        <v>1888</v>
      </c>
      <c r="S1241" s="220" t="s">
        <v>1861</v>
      </c>
      <c r="U1241" t="s">
        <v>1972</v>
      </c>
      <c r="V1241" t="s">
        <v>2832</v>
      </c>
    </row>
    <row r="1242" spans="1:22" ht="15.75" thickBot="1" x14ac:dyDescent="0.3">
      <c r="A1242" t="s">
        <v>1935</v>
      </c>
      <c r="B1242" t="s">
        <v>1935</v>
      </c>
      <c r="C1242" t="s">
        <v>1935</v>
      </c>
      <c r="D1242" t="s">
        <v>629</v>
      </c>
      <c r="E1242" s="259" t="s">
        <v>1853</v>
      </c>
      <c r="F1242" t="s">
        <v>620</v>
      </c>
      <c r="G1242" s="89">
        <v>1997</v>
      </c>
      <c r="H1242" s="341" t="s">
        <v>735</v>
      </c>
      <c r="I1242" s="337" t="str">
        <f t="shared" si="64"/>
        <v>Pesado de Passageiros M3: III : Gasóleo : E2</v>
      </c>
      <c r="J1242" s="125">
        <v>52</v>
      </c>
      <c r="K1242" s="264">
        <v>2022</v>
      </c>
      <c r="L1242" s="85">
        <v>1255.1999999999998</v>
      </c>
      <c r="M1242" s="85" t="s">
        <v>630</v>
      </c>
      <c r="N1242" s="128">
        <v>3659</v>
      </c>
      <c r="O1242" s="128">
        <f t="shared" si="65"/>
        <v>190268</v>
      </c>
      <c r="P1242" s="89">
        <v>8221</v>
      </c>
      <c r="Q1242" t="s">
        <v>47</v>
      </c>
      <c r="R1242" s="220" t="s">
        <v>1888</v>
      </c>
      <c r="S1242" s="220" t="s">
        <v>1861</v>
      </c>
      <c r="U1242" t="s">
        <v>1972</v>
      </c>
      <c r="V1242" t="s">
        <v>2832</v>
      </c>
    </row>
    <row r="1243" spans="1:22" ht="15.75" thickBot="1" x14ac:dyDescent="0.3">
      <c r="A1243" t="s">
        <v>1935</v>
      </c>
      <c r="B1243" t="s">
        <v>1935</v>
      </c>
      <c r="C1243" t="s">
        <v>1935</v>
      </c>
      <c r="D1243" t="s">
        <v>629</v>
      </c>
      <c r="E1243" s="259" t="s">
        <v>1853</v>
      </c>
      <c r="F1243" t="s">
        <v>620</v>
      </c>
      <c r="G1243" s="89">
        <v>1997</v>
      </c>
      <c r="H1243" s="341" t="s">
        <v>735</v>
      </c>
      <c r="I1243" s="337" t="str">
        <f t="shared" si="64"/>
        <v>Pesado de Passageiros M3: III : Gasóleo : E2</v>
      </c>
      <c r="J1243" s="125">
        <v>52</v>
      </c>
      <c r="K1243" s="264">
        <v>2022</v>
      </c>
      <c r="L1243" s="85">
        <v>2185.6999999999998</v>
      </c>
      <c r="M1243" s="85" t="s">
        <v>630</v>
      </c>
      <c r="N1243" s="128">
        <v>7190</v>
      </c>
      <c r="O1243" s="128">
        <f t="shared" si="65"/>
        <v>373880</v>
      </c>
      <c r="P1243" s="89">
        <v>8222</v>
      </c>
      <c r="Q1243" t="s">
        <v>47</v>
      </c>
      <c r="R1243" s="220" t="s">
        <v>1888</v>
      </c>
      <c r="S1243" s="220" t="s">
        <v>1861</v>
      </c>
      <c r="U1243" t="s">
        <v>1972</v>
      </c>
      <c r="V1243" t="s">
        <v>2832</v>
      </c>
    </row>
    <row r="1244" spans="1:22" ht="15.75" thickBot="1" x14ac:dyDescent="0.3">
      <c r="A1244" t="s">
        <v>1935</v>
      </c>
      <c r="B1244" t="s">
        <v>1935</v>
      </c>
      <c r="C1244" t="s">
        <v>1935</v>
      </c>
      <c r="D1244" t="s">
        <v>629</v>
      </c>
      <c r="E1244" s="259" t="s">
        <v>1853</v>
      </c>
      <c r="F1244" t="s">
        <v>620</v>
      </c>
      <c r="G1244" s="89">
        <v>2001</v>
      </c>
      <c r="H1244" s="341" t="s">
        <v>735</v>
      </c>
      <c r="I1244" s="337" t="str">
        <f t="shared" si="64"/>
        <v>Pesado de Passageiros M3: III : Gasóleo : E2</v>
      </c>
      <c r="J1244" s="125">
        <v>52</v>
      </c>
      <c r="K1244" s="264">
        <v>2022</v>
      </c>
      <c r="L1244" s="85">
        <v>20121.400000000001</v>
      </c>
      <c r="M1244" s="85" t="s">
        <v>630</v>
      </c>
      <c r="N1244" s="128">
        <v>59448</v>
      </c>
      <c r="O1244" s="128">
        <f t="shared" si="65"/>
        <v>3091296</v>
      </c>
      <c r="P1244" s="89">
        <v>8223</v>
      </c>
      <c r="Q1244" t="s">
        <v>47</v>
      </c>
      <c r="R1244" s="220" t="s">
        <v>1888</v>
      </c>
      <c r="S1244" s="220" t="s">
        <v>1861</v>
      </c>
      <c r="U1244" t="s">
        <v>1972</v>
      </c>
      <c r="V1244" t="s">
        <v>2832</v>
      </c>
    </row>
    <row r="1245" spans="1:22" ht="15.75" thickBot="1" x14ac:dyDescent="0.3">
      <c r="A1245" t="s">
        <v>1935</v>
      </c>
      <c r="B1245" t="s">
        <v>1935</v>
      </c>
      <c r="C1245" t="s">
        <v>1935</v>
      </c>
      <c r="D1245" t="s">
        <v>629</v>
      </c>
      <c r="E1245" s="259" t="s">
        <v>1853</v>
      </c>
      <c r="F1245" t="s">
        <v>620</v>
      </c>
      <c r="G1245" s="89">
        <v>1999</v>
      </c>
      <c r="H1245" s="341" t="s">
        <v>735</v>
      </c>
      <c r="I1245" s="337" t="str">
        <f t="shared" si="64"/>
        <v>Pesado de Passageiros M3: III : Gasóleo : E2</v>
      </c>
      <c r="J1245" s="125">
        <v>51</v>
      </c>
      <c r="K1245" s="264">
        <v>2022</v>
      </c>
      <c r="L1245" s="85">
        <v>16411.599999999999</v>
      </c>
      <c r="M1245" s="85" t="s">
        <v>630</v>
      </c>
      <c r="N1245" s="128">
        <v>50422</v>
      </c>
      <c r="O1245" s="128">
        <f t="shared" si="65"/>
        <v>2571522</v>
      </c>
      <c r="P1245" s="89">
        <v>8224</v>
      </c>
      <c r="Q1245" t="s">
        <v>47</v>
      </c>
      <c r="R1245" s="220" t="s">
        <v>1888</v>
      </c>
      <c r="S1245" s="220" t="s">
        <v>1861</v>
      </c>
      <c r="U1245" t="s">
        <v>1972</v>
      </c>
      <c r="V1245" t="s">
        <v>2832</v>
      </c>
    </row>
    <row r="1246" spans="1:22" ht="15.75" thickBot="1" x14ac:dyDescent="0.3">
      <c r="A1246" t="s">
        <v>1935</v>
      </c>
      <c r="B1246" t="s">
        <v>1935</v>
      </c>
      <c r="C1246" t="s">
        <v>1935</v>
      </c>
      <c r="D1246" t="s">
        <v>629</v>
      </c>
      <c r="E1246" s="259" t="s">
        <v>1853</v>
      </c>
      <c r="F1246" t="s">
        <v>620</v>
      </c>
      <c r="G1246" s="89">
        <v>1999</v>
      </c>
      <c r="H1246" s="341" t="s">
        <v>735</v>
      </c>
      <c r="I1246" s="337" t="str">
        <f t="shared" si="64"/>
        <v>Pesado de Passageiros M3: III : Gasóleo : E2</v>
      </c>
      <c r="J1246" s="125">
        <v>53</v>
      </c>
      <c r="K1246" s="264">
        <v>2022</v>
      </c>
      <c r="L1246" s="85">
        <v>5240.0999999999995</v>
      </c>
      <c r="M1246" s="85" t="s">
        <v>630</v>
      </c>
      <c r="N1246" s="128">
        <v>16495</v>
      </c>
      <c r="O1246" s="128">
        <f t="shared" si="65"/>
        <v>874235</v>
      </c>
      <c r="P1246" s="89">
        <v>8225</v>
      </c>
      <c r="Q1246" t="s">
        <v>47</v>
      </c>
      <c r="R1246" s="220" t="s">
        <v>1888</v>
      </c>
      <c r="S1246" s="220" t="s">
        <v>1861</v>
      </c>
      <c r="U1246" t="s">
        <v>1972</v>
      </c>
      <c r="V1246" t="s">
        <v>2832</v>
      </c>
    </row>
    <row r="1247" spans="1:22" ht="15.75" thickBot="1" x14ac:dyDescent="0.3">
      <c r="A1247" t="s">
        <v>1935</v>
      </c>
      <c r="B1247" t="s">
        <v>1935</v>
      </c>
      <c r="C1247" t="s">
        <v>1935</v>
      </c>
      <c r="D1247" t="s">
        <v>629</v>
      </c>
      <c r="E1247" s="259" t="s">
        <v>1853</v>
      </c>
      <c r="F1247" t="s">
        <v>620</v>
      </c>
      <c r="G1247" s="89">
        <v>1999</v>
      </c>
      <c r="H1247" s="341" t="s">
        <v>735</v>
      </c>
      <c r="I1247" s="337" t="str">
        <f t="shared" si="64"/>
        <v>Pesado de Passageiros M3: III : Gasóleo : E2</v>
      </c>
      <c r="J1247" s="125">
        <v>50</v>
      </c>
      <c r="K1247" s="264">
        <v>2022</v>
      </c>
      <c r="L1247" s="85">
        <v>9677.9000000000015</v>
      </c>
      <c r="M1247" s="85" t="s">
        <v>630</v>
      </c>
      <c r="N1247" s="128">
        <v>28956</v>
      </c>
      <c r="O1247" s="128">
        <f t="shared" si="65"/>
        <v>1447800</v>
      </c>
      <c r="P1247" s="89">
        <v>8227</v>
      </c>
      <c r="Q1247" t="s">
        <v>47</v>
      </c>
      <c r="R1247" s="220" t="s">
        <v>1888</v>
      </c>
      <c r="S1247" s="220" t="s">
        <v>1861</v>
      </c>
      <c r="U1247" t="s">
        <v>1972</v>
      </c>
      <c r="V1247" t="s">
        <v>2832</v>
      </c>
    </row>
    <row r="1248" spans="1:22" ht="15.75" thickBot="1" x14ac:dyDescent="0.3">
      <c r="A1248" t="s">
        <v>1935</v>
      </c>
      <c r="B1248" t="s">
        <v>1935</v>
      </c>
      <c r="C1248" t="s">
        <v>1935</v>
      </c>
      <c r="D1248" t="s">
        <v>629</v>
      </c>
      <c r="E1248" s="259" t="s">
        <v>1853</v>
      </c>
      <c r="F1248" t="s">
        <v>620</v>
      </c>
      <c r="G1248" s="89">
        <v>2001</v>
      </c>
      <c r="H1248" s="341" t="s">
        <v>735</v>
      </c>
      <c r="I1248" s="337" t="str">
        <f t="shared" si="64"/>
        <v>Pesado de Passageiros M3: III : Gasóleo : E2</v>
      </c>
      <c r="J1248" s="125">
        <v>55</v>
      </c>
      <c r="K1248" s="264">
        <v>2022</v>
      </c>
      <c r="L1248" s="85">
        <v>14263.8</v>
      </c>
      <c r="M1248" s="85" t="s">
        <v>630</v>
      </c>
      <c r="N1248" s="128">
        <v>45477</v>
      </c>
      <c r="O1248" s="128">
        <f t="shared" si="65"/>
        <v>2501235</v>
      </c>
      <c r="P1248" s="89">
        <v>8228</v>
      </c>
      <c r="Q1248" t="s">
        <v>47</v>
      </c>
      <c r="R1248" s="220" t="s">
        <v>1888</v>
      </c>
      <c r="S1248" s="220" t="s">
        <v>1861</v>
      </c>
      <c r="U1248" t="s">
        <v>1972</v>
      </c>
      <c r="V1248" t="s">
        <v>2832</v>
      </c>
    </row>
    <row r="1249" spans="1:22" ht="15.75" thickBot="1" x14ac:dyDescent="0.3">
      <c r="A1249" t="s">
        <v>1935</v>
      </c>
      <c r="B1249" t="s">
        <v>1935</v>
      </c>
      <c r="C1249" t="s">
        <v>1935</v>
      </c>
      <c r="D1249" t="s">
        <v>629</v>
      </c>
      <c r="E1249" s="259" t="s">
        <v>1853</v>
      </c>
      <c r="F1249" t="s">
        <v>620</v>
      </c>
      <c r="G1249" s="89">
        <v>2001</v>
      </c>
      <c r="H1249" s="341" t="s">
        <v>735</v>
      </c>
      <c r="I1249" s="337" t="str">
        <f t="shared" si="64"/>
        <v>Pesado de Passageiros M3: III : Gasóleo : E2</v>
      </c>
      <c r="J1249" s="125">
        <v>55</v>
      </c>
      <c r="K1249" s="264">
        <v>2022</v>
      </c>
      <c r="L1249" s="85">
        <v>9394.1</v>
      </c>
      <c r="M1249" s="85" t="s">
        <v>630</v>
      </c>
      <c r="N1249" s="128">
        <v>27998</v>
      </c>
      <c r="O1249" s="128">
        <f t="shared" si="65"/>
        <v>1539890</v>
      </c>
      <c r="P1249" s="89">
        <v>8229</v>
      </c>
      <c r="Q1249" t="s">
        <v>47</v>
      </c>
      <c r="R1249" s="220" t="s">
        <v>1888</v>
      </c>
      <c r="S1249" s="220" t="s">
        <v>1861</v>
      </c>
      <c r="U1249" t="s">
        <v>1972</v>
      </c>
      <c r="V1249" t="s">
        <v>2832</v>
      </c>
    </row>
    <row r="1250" spans="1:22" ht="15.75" thickBot="1" x14ac:dyDescent="0.3">
      <c r="A1250" t="s">
        <v>1935</v>
      </c>
      <c r="B1250" t="s">
        <v>1935</v>
      </c>
      <c r="C1250" t="s">
        <v>1935</v>
      </c>
      <c r="D1250" t="s">
        <v>629</v>
      </c>
      <c r="E1250" s="259" t="s">
        <v>1853</v>
      </c>
      <c r="F1250" t="s">
        <v>620</v>
      </c>
      <c r="G1250" s="89">
        <v>1997</v>
      </c>
      <c r="H1250" s="341" t="s">
        <v>735</v>
      </c>
      <c r="I1250" s="337" t="str">
        <f t="shared" si="64"/>
        <v>Pesado de Passageiros M3: III : Gasóleo : E2</v>
      </c>
      <c r="J1250" s="125">
        <v>52</v>
      </c>
      <c r="K1250" s="264">
        <v>2022</v>
      </c>
      <c r="L1250" s="85">
        <v>0</v>
      </c>
      <c r="M1250" s="85" t="s">
        <v>630</v>
      </c>
      <c r="N1250" s="128">
        <v>0</v>
      </c>
      <c r="O1250" s="128">
        <f t="shared" si="65"/>
        <v>0</v>
      </c>
      <c r="P1250" s="89">
        <v>8230</v>
      </c>
      <c r="Q1250" t="s">
        <v>47</v>
      </c>
      <c r="R1250" s="220" t="s">
        <v>1888</v>
      </c>
      <c r="S1250" s="220" t="s">
        <v>1861</v>
      </c>
      <c r="U1250" t="s">
        <v>1972</v>
      </c>
      <c r="V1250" t="s">
        <v>2832</v>
      </c>
    </row>
    <row r="1251" spans="1:22" ht="15.75" thickBot="1" x14ac:dyDescent="0.3">
      <c r="A1251" t="s">
        <v>1935</v>
      </c>
      <c r="B1251" t="s">
        <v>1935</v>
      </c>
      <c r="C1251" t="s">
        <v>1935</v>
      </c>
      <c r="D1251" t="s">
        <v>629</v>
      </c>
      <c r="E1251" s="259" t="s">
        <v>1853</v>
      </c>
      <c r="F1251" t="s">
        <v>620</v>
      </c>
      <c r="G1251" s="89">
        <v>2009</v>
      </c>
      <c r="H1251" s="341" t="s">
        <v>731</v>
      </c>
      <c r="I1251" s="337" t="str">
        <f t="shared" si="64"/>
        <v>Pesado de Passageiros M3: III : Gasóleo : E4</v>
      </c>
      <c r="J1251" s="125">
        <v>57</v>
      </c>
      <c r="K1251" s="264">
        <v>2022</v>
      </c>
      <c r="L1251" s="85">
        <v>23636.1</v>
      </c>
      <c r="M1251" s="85" t="s">
        <v>630</v>
      </c>
      <c r="N1251" s="128">
        <v>74346</v>
      </c>
      <c r="O1251" s="128">
        <f t="shared" si="65"/>
        <v>4237722</v>
      </c>
      <c r="P1251" s="89">
        <v>8235</v>
      </c>
      <c r="Q1251" t="s">
        <v>47</v>
      </c>
      <c r="R1251" s="220" t="s">
        <v>1888</v>
      </c>
      <c r="S1251" s="220" t="s">
        <v>1861</v>
      </c>
      <c r="U1251" t="s">
        <v>1972</v>
      </c>
      <c r="V1251" t="s">
        <v>2832</v>
      </c>
    </row>
    <row r="1252" spans="1:22" ht="15.75" thickBot="1" x14ac:dyDescent="0.3">
      <c r="A1252" t="s">
        <v>1935</v>
      </c>
      <c r="B1252" t="s">
        <v>1935</v>
      </c>
      <c r="C1252" t="s">
        <v>1935</v>
      </c>
      <c r="D1252" t="s">
        <v>629</v>
      </c>
      <c r="E1252" s="259" t="s">
        <v>1853</v>
      </c>
      <c r="F1252" t="s">
        <v>620</v>
      </c>
      <c r="G1252" s="89">
        <v>2009</v>
      </c>
      <c r="H1252" s="341" t="s">
        <v>731</v>
      </c>
      <c r="I1252" s="337" t="str">
        <f t="shared" si="64"/>
        <v>Pesado de Passageiros M3: III : Gasóleo : E4</v>
      </c>
      <c r="J1252" s="125">
        <v>57</v>
      </c>
      <c r="K1252" s="264">
        <v>2022</v>
      </c>
      <c r="L1252" s="85">
        <v>15435.2</v>
      </c>
      <c r="M1252" s="85" t="s">
        <v>630</v>
      </c>
      <c r="N1252" s="128">
        <v>46527</v>
      </c>
      <c r="O1252" s="128">
        <f t="shared" si="65"/>
        <v>2652039</v>
      </c>
      <c r="P1252" s="89">
        <v>8236</v>
      </c>
      <c r="Q1252" t="s">
        <v>47</v>
      </c>
      <c r="R1252" s="220" t="s">
        <v>1888</v>
      </c>
      <c r="S1252" s="220" t="s">
        <v>1861</v>
      </c>
      <c r="U1252" t="s">
        <v>1972</v>
      </c>
      <c r="V1252" t="s">
        <v>2832</v>
      </c>
    </row>
    <row r="1253" spans="1:22" ht="15.75" thickBot="1" x14ac:dyDescent="0.3">
      <c r="A1253" t="s">
        <v>1935</v>
      </c>
      <c r="B1253" t="s">
        <v>1935</v>
      </c>
      <c r="C1253" t="s">
        <v>1935</v>
      </c>
      <c r="D1253" t="s">
        <v>629</v>
      </c>
      <c r="E1253" s="259" t="s">
        <v>1853</v>
      </c>
      <c r="F1253" t="s">
        <v>620</v>
      </c>
      <c r="G1253" s="89">
        <v>2009</v>
      </c>
      <c r="H1253" s="341" t="s">
        <v>731</v>
      </c>
      <c r="I1253" s="337" t="str">
        <f t="shared" si="64"/>
        <v>Pesado de Passageiros M3: III : Gasóleo : E4</v>
      </c>
      <c r="J1253" s="125">
        <v>57</v>
      </c>
      <c r="K1253" s="264">
        <v>2022</v>
      </c>
      <c r="L1253" s="85">
        <v>16997.599999999999</v>
      </c>
      <c r="M1253" s="85" t="s">
        <v>630</v>
      </c>
      <c r="N1253" s="128">
        <v>50617</v>
      </c>
      <c r="O1253" s="128">
        <f t="shared" si="65"/>
        <v>2885169</v>
      </c>
      <c r="P1253" s="89">
        <v>8237</v>
      </c>
      <c r="Q1253" t="s">
        <v>47</v>
      </c>
      <c r="R1253" s="220" t="s">
        <v>1888</v>
      </c>
      <c r="S1253" s="220" t="s">
        <v>1861</v>
      </c>
      <c r="U1253" t="s">
        <v>1972</v>
      </c>
      <c r="V1253" t="s">
        <v>2832</v>
      </c>
    </row>
    <row r="1254" spans="1:22" ht="15.75" thickBot="1" x14ac:dyDescent="0.3">
      <c r="A1254" t="s">
        <v>1935</v>
      </c>
      <c r="B1254" t="s">
        <v>1935</v>
      </c>
      <c r="C1254" t="s">
        <v>1935</v>
      </c>
      <c r="D1254" t="s">
        <v>629</v>
      </c>
      <c r="E1254" s="259" t="s">
        <v>1853</v>
      </c>
      <c r="F1254" t="s">
        <v>620</v>
      </c>
      <c r="G1254" s="89">
        <v>2009</v>
      </c>
      <c r="H1254" s="341" t="s">
        <v>731</v>
      </c>
      <c r="I1254" s="337" t="str">
        <f t="shared" si="64"/>
        <v>Pesado de Passageiros M3: III : Gasóleo : E4</v>
      </c>
      <c r="J1254" s="125">
        <v>51</v>
      </c>
      <c r="K1254" s="264">
        <v>2022</v>
      </c>
      <c r="L1254" s="85">
        <v>17949.7</v>
      </c>
      <c r="M1254" s="85" t="s">
        <v>630</v>
      </c>
      <c r="N1254" s="128">
        <v>59458</v>
      </c>
      <c r="O1254" s="128">
        <f t="shared" si="65"/>
        <v>3032358</v>
      </c>
      <c r="P1254" s="89">
        <v>8238</v>
      </c>
      <c r="Q1254" t="s">
        <v>47</v>
      </c>
      <c r="R1254" s="220" t="s">
        <v>1888</v>
      </c>
      <c r="S1254" s="220" t="s">
        <v>1861</v>
      </c>
      <c r="U1254" t="s">
        <v>1972</v>
      </c>
      <c r="V1254" t="s">
        <v>2832</v>
      </c>
    </row>
    <row r="1255" spans="1:22" ht="15.75" thickBot="1" x14ac:dyDescent="0.3">
      <c r="A1255" t="s">
        <v>1935</v>
      </c>
      <c r="B1255" t="s">
        <v>1935</v>
      </c>
      <c r="C1255" t="s">
        <v>1935</v>
      </c>
      <c r="D1255" t="s">
        <v>629</v>
      </c>
      <c r="E1255" s="259" t="s">
        <v>1853</v>
      </c>
      <c r="F1255" t="s">
        <v>620</v>
      </c>
      <c r="G1255" s="89">
        <v>1997</v>
      </c>
      <c r="H1255" s="341" t="s">
        <v>735</v>
      </c>
      <c r="I1255" s="337" t="str">
        <f t="shared" si="64"/>
        <v>Pesado de Passageiros M3: III : Gasóleo : E2</v>
      </c>
      <c r="J1255" s="125">
        <v>52</v>
      </c>
      <c r="K1255" s="264">
        <v>2022</v>
      </c>
      <c r="L1255" s="85">
        <v>0</v>
      </c>
      <c r="M1255" s="85" t="s">
        <v>630</v>
      </c>
      <c r="N1255" s="128">
        <v>0</v>
      </c>
      <c r="O1255" s="128">
        <f t="shared" si="65"/>
        <v>0</v>
      </c>
      <c r="P1255" s="89">
        <v>8240</v>
      </c>
      <c r="Q1255" t="s">
        <v>47</v>
      </c>
      <c r="R1255" s="220" t="s">
        <v>1888</v>
      </c>
      <c r="S1255" s="220" t="s">
        <v>1861</v>
      </c>
      <c r="U1255" t="s">
        <v>1972</v>
      </c>
      <c r="V1255" t="s">
        <v>2832</v>
      </c>
    </row>
    <row r="1256" spans="1:22" ht="15.75" thickBot="1" x14ac:dyDescent="0.3">
      <c r="A1256" t="s">
        <v>1935</v>
      </c>
      <c r="B1256" t="s">
        <v>1935</v>
      </c>
      <c r="C1256" t="s">
        <v>1935</v>
      </c>
      <c r="D1256" t="s">
        <v>629</v>
      </c>
      <c r="E1256" s="259" t="s">
        <v>1853</v>
      </c>
      <c r="F1256" t="s">
        <v>620</v>
      </c>
      <c r="G1256" s="89">
        <v>2001</v>
      </c>
      <c r="H1256" s="341" t="s">
        <v>735</v>
      </c>
      <c r="I1256" s="337" t="str">
        <f t="shared" si="64"/>
        <v>Pesado de Passageiros M3: III : Gasóleo : E2</v>
      </c>
      <c r="J1256" s="125">
        <v>55</v>
      </c>
      <c r="K1256" s="264">
        <v>2022</v>
      </c>
      <c r="L1256" s="85">
        <v>14078.099999999999</v>
      </c>
      <c r="M1256" s="85" t="s">
        <v>630</v>
      </c>
      <c r="N1256" s="128">
        <v>46513</v>
      </c>
      <c r="O1256" s="128">
        <f t="shared" si="65"/>
        <v>2558215</v>
      </c>
      <c r="P1256" s="89">
        <v>8241</v>
      </c>
      <c r="Q1256" t="s">
        <v>47</v>
      </c>
      <c r="R1256" s="220" t="s">
        <v>1888</v>
      </c>
      <c r="S1256" s="220" t="s">
        <v>1861</v>
      </c>
      <c r="U1256" t="s">
        <v>1972</v>
      </c>
      <c r="V1256" t="s">
        <v>2832</v>
      </c>
    </row>
    <row r="1257" spans="1:22" ht="15.75" thickBot="1" x14ac:dyDescent="0.3">
      <c r="A1257" t="s">
        <v>1935</v>
      </c>
      <c r="B1257" t="s">
        <v>1935</v>
      </c>
      <c r="C1257" t="s">
        <v>1935</v>
      </c>
      <c r="D1257" t="s">
        <v>629</v>
      </c>
      <c r="E1257" s="259" t="s">
        <v>1853</v>
      </c>
      <c r="F1257" t="s">
        <v>620</v>
      </c>
      <c r="G1257" s="89">
        <v>2009</v>
      </c>
      <c r="H1257" s="341" t="s">
        <v>731</v>
      </c>
      <c r="I1257" s="337" t="str">
        <f t="shared" si="64"/>
        <v>Pesado de Passageiros M3: III : Gasóleo : E4</v>
      </c>
      <c r="J1257" s="125">
        <v>55</v>
      </c>
      <c r="K1257" s="264">
        <v>2022</v>
      </c>
      <c r="L1257" s="85">
        <v>24817.8</v>
      </c>
      <c r="M1257" s="85" t="s">
        <v>630</v>
      </c>
      <c r="N1257" s="128">
        <v>87082</v>
      </c>
      <c r="O1257" s="128">
        <f t="shared" si="65"/>
        <v>4789510</v>
      </c>
      <c r="P1257" s="89">
        <v>8242</v>
      </c>
      <c r="Q1257" t="s">
        <v>47</v>
      </c>
      <c r="R1257" s="220" t="s">
        <v>1888</v>
      </c>
      <c r="S1257" s="220" t="s">
        <v>1861</v>
      </c>
      <c r="U1257" t="s">
        <v>1972</v>
      </c>
      <c r="V1257" t="s">
        <v>2832</v>
      </c>
    </row>
    <row r="1258" spans="1:22" ht="15.75" thickBot="1" x14ac:dyDescent="0.3">
      <c r="A1258" t="s">
        <v>1935</v>
      </c>
      <c r="B1258" t="s">
        <v>1935</v>
      </c>
      <c r="C1258" t="s">
        <v>1935</v>
      </c>
      <c r="D1258" t="s">
        <v>629</v>
      </c>
      <c r="E1258" s="259" t="s">
        <v>1853</v>
      </c>
      <c r="F1258" t="s">
        <v>620</v>
      </c>
      <c r="G1258" s="89">
        <v>2009</v>
      </c>
      <c r="H1258" s="341" t="s">
        <v>731</v>
      </c>
      <c r="I1258" s="337" t="str">
        <f t="shared" si="64"/>
        <v>Pesado de Passageiros M3: III : Gasóleo : E4</v>
      </c>
      <c r="J1258" s="125">
        <v>55</v>
      </c>
      <c r="K1258" s="264">
        <v>2022</v>
      </c>
      <c r="L1258" s="85">
        <v>24085.699999999997</v>
      </c>
      <c r="M1258" s="85" t="s">
        <v>630</v>
      </c>
      <c r="N1258" s="128">
        <v>77346</v>
      </c>
      <c r="O1258" s="128">
        <f t="shared" si="65"/>
        <v>4254030</v>
      </c>
      <c r="P1258" s="89">
        <v>8243</v>
      </c>
      <c r="Q1258" t="s">
        <v>47</v>
      </c>
      <c r="R1258" s="220" t="s">
        <v>1888</v>
      </c>
      <c r="S1258" s="220" t="s">
        <v>1861</v>
      </c>
      <c r="U1258" t="s">
        <v>1972</v>
      </c>
      <c r="V1258" t="s">
        <v>2832</v>
      </c>
    </row>
    <row r="1259" spans="1:22" ht="15.75" thickBot="1" x14ac:dyDescent="0.3">
      <c r="A1259" t="s">
        <v>1935</v>
      </c>
      <c r="B1259" t="s">
        <v>1935</v>
      </c>
      <c r="C1259" t="s">
        <v>1935</v>
      </c>
      <c r="D1259" t="s">
        <v>629</v>
      </c>
      <c r="E1259" s="259" t="s">
        <v>1853</v>
      </c>
      <c r="F1259" t="s">
        <v>620</v>
      </c>
      <c r="G1259" s="89">
        <v>2008</v>
      </c>
      <c r="H1259" s="341" t="s">
        <v>731</v>
      </c>
      <c r="I1259" s="337" t="str">
        <f t="shared" si="64"/>
        <v>Pesado de Passageiros M3: III : Gasóleo : E4</v>
      </c>
      <c r="J1259" s="125">
        <v>57</v>
      </c>
      <c r="K1259" s="264">
        <v>2022</v>
      </c>
      <c r="L1259" s="85">
        <v>16450.3</v>
      </c>
      <c r="M1259" s="85" t="s">
        <v>630</v>
      </c>
      <c r="N1259" s="128">
        <v>49168</v>
      </c>
      <c r="O1259" s="128">
        <f t="shared" si="65"/>
        <v>2802576</v>
      </c>
      <c r="P1259" s="89">
        <v>8244</v>
      </c>
      <c r="Q1259" t="s">
        <v>47</v>
      </c>
      <c r="R1259" s="220" t="s">
        <v>1888</v>
      </c>
      <c r="S1259" s="220" t="s">
        <v>1861</v>
      </c>
      <c r="U1259" t="s">
        <v>1972</v>
      </c>
      <c r="V1259" t="s">
        <v>2832</v>
      </c>
    </row>
    <row r="1260" spans="1:22" ht="15.75" thickBot="1" x14ac:dyDescent="0.3">
      <c r="A1260" t="s">
        <v>1935</v>
      </c>
      <c r="B1260" t="s">
        <v>1935</v>
      </c>
      <c r="C1260" t="s">
        <v>1935</v>
      </c>
      <c r="D1260" t="s">
        <v>629</v>
      </c>
      <c r="E1260" s="259" t="s">
        <v>1853</v>
      </c>
      <c r="F1260" t="s">
        <v>620</v>
      </c>
      <c r="G1260" s="89">
        <v>2011</v>
      </c>
      <c r="H1260" s="341" t="s">
        <v>734</v>
      </c>
      <c r="I1260" s="337" t="str">
        <f t="shared" si="64"/>
        <v>Pesado de Passageiros M3: III : Gasóleo : E5</v>
      </c>
      <c r="J1260" s="125">
        <v>55</v>
      </c>
      <c r="K1260" s="264">
        <v>2022</v>
      </c>
      <c r="L1260" s="85">
        <v>29308.199999999997</v>
      </c>
      <c r="M1260" s="85" t="s">
        <v>630</v>
      </c>
      <c r="N1260" s="128">
        <v>101138</v>
      </c>
      <c r="O1260" s="128">
        <f t="shared" si="65"/>
        <v>5562590</v>
      </c>
      <c r="P1260" s="89">
        <v>8245</v>
      </c>
      <c r="Q1260" t="s">
        <v>47</v>
      </c>
      <c r="R1260" s="220" t="s">
        <v>1888</v>
      </c>
      <c r="S1260" s="220" t="s">
        <v>1861</v>
      </c>
      <c r="U1260" t="s">
        <v>1972</v>
      </c>
      <c r="V1260" t="s">
        <v>2832</v>
      </c>
    </row>
    <row r="1261" spans="1:22" ht="15.75" thickBot="1" x14ac:dyDescent="0.3">
      <c r="A1261" t="s">
        <v>1935</v>
      </c>
      <c r="B1261" t="s">
        <v>1935</v>
      </c>
      <c r="C1261" t="s">
        <v>1935</v>
      </c>
      <c r="D1261" t="s">
        <v>629</v>
      </c>
      <c r="E1261" s="259" t="s">
        <v>1853</v>
      </c>
      <c r="F1261" t="s">
        <v>620</v>
      </c>
      <c r="G1261" s="89">
        <v>2016</v>
      </c>
      <c r="H1261" s="341" t="s">
        <v>733</v>
      </c>
      <c r="I1261" s="337" t="str">
        <f t="shared" si="64"/>
        <v>Pesado de Passageiros M3: III : Gasóleo : E6</v>
      </c>
      <c r="J1261" s="125">
        <v>55</v>
      </c>
      <c r="K1261" s="264">
        <v>2022</v>
      </c>
      <c r="L1261" s="85">
        <v>43781.599999999999</v>
      </c>
      <c r="M1261" s="85" t="s">
        <v>630</v>
      </c>
      <c r="N1261" s="128">
        <v>157282</v>
      </c>
      <c r="O1261" s="128">
        <f t="shared" si="65"/>
        <v>8650510</v>
      </c>
      <c r="P1261" s="89">
        <v>8246</v>
      </c>
      <c r="Q1261" t="s">
        <v>47</v>
      </c>
      <c r="R1261" s="220" t="s">
        <v>1888</v>
      </c>
      <c r="S1261" s="220" t="s">
        <v>1861</v>
      </c>
      <c r="U1261" t="s">
        <v>1972</v>
      </c>
      <c r="V1261" t="s">
        <v>2832</v>
      </c>
    </row>
    <row r="1262" spans="1:22" ht="15.75" thickBot="1" x14ac:dyDescent="0.3">
      <c r="A1262" t="s">
        <v>1935</v>
      </c>
      <c r="B1262" t="s">
        <v>1935</v>
      </c>
      <c r="C1262" t="s">
        <v>1935</v>
      </c>
      <c r="D1262" t="s">
        <v>629</v>
      </c>
      <c r="E1262" s="259" t="s">
        <v>1853</v>
      </c>
      <c r="F1262" t="s">
        <v>620</v>
      </c>
      <c r="G1262" s="89">
        <v>2016</v>
      </c>
      <c r="H1262" s="341" t="s">
        <v>733</v>
      </c>
      <c r="I1262" s="337" t="str">
        <f t="shared" si="64"/>
        <v>Pesado de Passageiros M3: III : Gasóleo : E6</v>
      </c>
      <c r="J1262" s="125">
        <v>55</v>
      </c>
      <c r="K1262" s="264">
        <v>2022</v>
      </c>
      <c r="L1262" s="85">
        <v>40356.700000000004</v>
      </c>
      <c r="M1262" s="85" t="s">
        <v>630</v>
      </c>
      <c r="N1262" s="128">
        <v>145626</v>
      </c>
      <c r="O1262" s="128">
        <f t="shared" si="65"/>
        <v>8009430</v>
      </c>
      <c r="P1262" s="89">
        <v>8247</v>
      </c>
      <c r="Q1262" t="s">
        <v>47</v>
      </c>
      <c r="R1262" s="220" t="s">
        <v>1888</v>
      </c>
      <c r="S1262" s="220" t="s">
        <v>1861</v>
      </c>
      <c r="U1262" t="s">
        <v>1972</v>
      </c>
      <c r="V1262" t="s">
        <v>2832</v>
      </c>
    </row>
    <row r="1263" spans="1:22" ht="15.75" thickBot="1" x14ac:dyDescent="0.3">
      <c r="A1263" t="s">
        <v>1935</v>
      </c>
      <c r="B1263" t="s">
        <v>1935</v>
      </c>
      <c r="C1263" t="s">
        <v>1935</v>
      </c>
      <c r="D1263" t="s">
        <v>629</v>
      </c>
      <c r="E1263" s="259" t="s">
        <v>1853</v>
      </c>
      <c r="F1263" t="s">
        <v>620</v>
      </c>
      <c r="G1263" s="89">
        <v>2016</v>
      </c>
      <c r="H1263" s="341" t="s">
        <v>733</v>
      </c>
      <c r="I1263" s="337" t="str">
        <f t="shared" si="64"/>
        <v>Pesado de Passageiros M3: III : Gasóleo : E6</v>
      </c>
      <c r="J1263" s="125">
        <v>55</v>
      </c>
      <c r="K1263" s="264">
        <v>2022</v>
      </c>
      <c r="L1263" s="85">
        <v>38512.600000000006</v>
      </c>
      <c r="M1263" s="85" t="s">
        <v>630</v>
      </c>
      <c r="N1263" s="128">
        <v>146599</v>
      </c>
      <c r="O1263" s="128">
        <f t="shared" si="65"/>
        <v>8062945</v>
      </c>
      <c r="P1263" s="89">
        <v>8248</v>
      </c>
      <c r="Q1263" t="s">
        <v>47</v>
      </c>
      <c r="R1263" s="220" t="s">
        <v>1888</v>
      </c>
      <c r="S1263" s="220" t="s">
        <v>1861</v>
      </c>
      <c r="U1263" t="s">
        <v>1972</v>
      </c>
      <c r="V1263" t="s">
        <v>2832</v>
      </c>
    </row>
    <row r="1264" spans="1:22" ht="15.75" thickBot="1" x14ac:dyDescent="0.3">
      <c r="A1264" t="s">
        <v>1935</v>
      </c>
      <c r="B1264" t="s">
        <v>1935</v>
      </c>
      <c r="C1264" t="s">
        <v>1935</v>
      </c>
      <c r="D1264" t="s">
        <v>629</v>
      </c>
      <c r="E1264" s="259" t="s">
        <v>1853</v>
      </c>
      <c r="F1264" t="s">
        <v>620</v>
      </c>
      <c r="G1264" s="89">
        <v>2016</v>
      </c>
      <c r="H1264" s="341" t="s">
        <v>733</v>
      </c>
      <c r="I1264" s="337" t="str">
        <f t="shared" si="64"/>
        <v>Pesado de Passageiros M3: III : Gasóleo : E6</v>
      </c>
      <c r="J1264" s="125">
        <v>55</v>
      </c>
      <c r="K1264" s="264">
        <v>2022</v>
      </c>
      <c r="L1264" s="85">
        <v>46647.1</v>
      </c>
      <c r="M1264" s="85" t="s">
        <v>630</v>
      </c>
      <c r="N1264" s="128">
        <v>171163</v>
      </c>
      <c r="O1264" s="128">
        <f t="shared" si="65"/>
        <v>9413965</v>
      </c>
      <c r="P1264" s="89">
        <v>8249</v>
      </c>
      <c r="Q1264" t="s">
        <v>47</v>
      </c>
      <c r="R1264" s="220" t="s">
        <v>1888</v>
      </c>
      <c r="S1264" s="220" t="s">
        <v>1861</v>
      </c>
      <c r="U1264" t="s">
        <v>1972</v>
      </c>
      <c r="V1264" t="s">
        <v>2832</v>
      </c>
    </row>
    <row r="1265" spans="1:22" ht="15.75" thickBot="1" x14ac:dyDescent="0.3">
      <c r="A1265" t="s">
        <v>1935</v>
      </c>
      <c r="B1265" t="s">
        <v>1935</v>
      </c>
      <c r="C1265" t="s">
        <v>1935</v>
      </c>
      <c r="D1265" t="s">
        <v>629</v>
      </c>
      <c r="E1265" s="259" t="s">
        <v>1853</v>
      </c>
      <c r="F1265" t="s">
        <v>620</v>
      </c>
      <c r="G1265" s="89">
        <v>2014</v>
      </c>
      <c r="H1265" s="341" t="s">
        <v>734</v>
      </c>
      <c r="I1265" s="337" t="str">
        <f t="shared" si="64"/>
        <v>Pesado de Passageiros M3: III : Gasóleo : E5</v>
      </c>
      <c r="J1265" s="125">
        <v>55</v>
      </c>
      <c r="K1265" s="264">
        <v>2022</v>
      </c>
      <c r="L1265" s="85">
        <v>38063.9</v>
      </c>
      <c r="M1265" s="85" t="s">
        <v>630</v>
      </c>
      <c r="N1265" s="128">
        <v>129613</v>
      </c>
      <c r="O1265" s="128">
        <f t="shared" si="65"/>
        <v>7128715</v>
      </c>
      <c r="P1265" s="89">
        <v>8250</v>
      </c>
      <c r="Q1265" t="s">
        <v>47</v>
      </c>
      <c r="R1265" s="220" t="s">
        <v>1888</v>
      </c>
      <c r="S1265" s="220" t="s">
        <v>1861</v>
      </c>
      <c r="U1265" t="s">
        <v>1972</v>
      </c>
      <c r="V1265" t="s">
        <v>2832</v>
      </c>
    </row>
    <row r="1266" spans="1:22" ht="15.75" thickBot="1" x14ac:dyDescent="0.3">
      <c r="A1266" t="s">
        <v>1935</v>
      </c>
      <c r="B1266" t="s">
        <v>1935</v>
      </c>
      <c r="C1266" t="s">
        <v>1935</v>
      </c>
      <c r="D1266" t="s">
        <v>629</v>
      </c>
      <c r="E1266" s="259" t="s">
        <v>1853</v>
      </c>
      <c r="F1266" t="s">
        <v>620</v>
      </c>
      <c r="G1266" s="89">
        <v>2019</v>
      </c>
      <c r="H1266" s="341" t="s">
        <v>733</v>
      </c>
      <c r="I1266" s="337" t="str">
        <f t="shared" si="64"/>
        <v>Pesado de Passageiros M3: III : Gasóleo : E6</v>
      </c>
      <c r="J1266" s="125">
        <v>55</v>
      </c>
      <c r="K1266" s="264">
        <v>2022</v>
      </c>
      <c r="L1266" s="85">
        <v>39549.1</v>
      </c>
      <c r="M1266" s="85" t="s">
        <v>630</v>
      </c>
      <c r="N1266" s="128">
        <v>159961</v>
      </c>
      <c r="O1266" s="128">
        <f t="shared" si="65"/>
        <v>8797855</v>
      </c>
      <c r="P1266" s="89">
        <v>8251</v>
      </c>
      <c r="Q1266" t="s">
        <v>47</v>
      </c>
      <c r="R1266" s="220" t="s">
        <v>1888</v>
      </c>
      <c r="S1266" s="220" t="s">
        <v>1861</v>
      </c>
      <c r="U1266" t="s">
        <v>1972</v>
      </c>
      <c r="V1266" t="s">
        <v>2832</v>
      </c>
    </row>
    <row r="1267" spans="1:22" ht="15.75" thickBot="1" x14ac:dyDescent="0.3">
      <c r="A1267" t="s">
        <v>1935</v>
      </c>
      <c r="B1267" t="s">
        <v>1935</v>
      </c>
      <c r="C1267" t="s">
        <v>1935</v>
      </c>
      <c r="D1267" t="s">
        <v>629</v>
      </c>
      <c r="E1267" s="259" t="s">
        <v>1853</v>
      </c>
      <c r="F1267" t="s">
        <v>620</v>
      </c>
      <c r="G1267" s="89">
        <v>2016</v>
      </c>
      <c r="H1267" s="341" t="s">
        <v>733</v>
      </c>
      <c r="I1267" s="337" t="str">
        <f t="shared" si="64"/>
        <v>Pesado de Passageiros M3: III : Gasóleo : E6</v>
      </c>
      <c r="J1267" s="125">
        <v>55</v>
      </c>
      <c r="K1267" s="264">
        <v>2022</v>
      </c>
      <c r="L1267" s="85">
        <v>19457.7</v>
      </c>
      <c r="M1267" s="85" t="s">
        <v>630</v>
      </c>
      <c r="N1267" s="128">
        <v>66662</v>
      </c>
      <c r="O1267" s="128">
        <f t="shared" si="65"/>
        <v>3666410</v>
      </c>
      <c r="P1267" s="89">
        <v>8252</v>
      </c>
      <c r="Q1267" t="s">
        <v>47</v>
      </c>
      <c r="R1267" s="220" t="s">
        <v>1888</v>
      </c>
      <c r="S1267" s="220" t="s">
        <v>1861</v>
      </c>
      <c r="U1267" t="s">
        <v>1972</v>
      </c>
      <c r="V1267" t="s">
        <v>2832</v>
      </c>
    </row>
    <row r="1268" spans="1:22" ht="15.75" thickBot="1" x14ac:dyDescent="0.3">
      <c r="A1268" t="s">
        <v>1935</v>
      </c>
      <c r="B1268" t="s">
        <v>1935</v>
      </c>
      <c r="C1268" t="s">
        <v>1935</v>
      </c>
      <c r="D1268" t="s">
        <v>629</v>
      </c>
      <c r="E1268" s="259" t="s">
        <v>1853</v>
      </c>
      <c r="F1268" t="s">
        <v>620</v>
      </c>
      <c r="G1268" s="89">
        <v>2006</v>
      </c>
      <c r="H1268" s="341" t="s">
        <v>732</v>
      </c>
      <c r="I1268" s="337" t="str">
        <f t="shared" si="64"/>
        <v>Pesado de Passageiros M3: III : Gasóleo : E3</v>
      </c>
      <c r="J1268" s="125">
        <v>51</v>
      </c>
      <c r="K1268" s="264">
        <v>2022</v>
      </c>
      <c r="L1268" s="85">
        <v>20684.8</v>
      </c>
      <c r="M1268" s="85" t="s">
        <v>630</v>
      </c>
      <c r="N1268" s="128">
        <v>61480</v>
      </c>
      <c r="O1268" s="128">
        <f t="shared" si="65"/>
        <v>3135480</v>
      </c>
      <c r="P1268" s="89">
        <v>8301</v>
      </c>
      <c r="Q1268" t="s">
        <v>47</v>
      </c>
      <c r="R1268" s="220" t="s">
        <v>1888</v>
      </c>
      <c r="S1268" s="220" t="s">
        <v>1861</v>
      </c>
      <c r="U1268" t="s">
        <v>1972</v>
      </c>
      <c r="V1268" t="s">
        <v>2832</v>
      </c>
    </row>
    <row r="1269" spans="1:22" ht="15.75" thickBot="1" x14ac:dyDescent="0.3">
      <c r="A1269" t="s">
        <v>1935</v>
      </c>
      <c r="B1269" t="s">
        <v>1935</v>
      </c>
      <c r="C1269" t="s">
        <v>1935</v>
      </c>
      <c r="D1269" t="s">
        <v>629</v>
      </c>
      <c r="E1269" s="259" t="s">
        <v>1853</v>
      </c>
      <c r="F1269" t="s">
        <v>620</v>
      </c>
      <c r="G1269" s="89">
        <v>2003</v>
      </c>
      <c r="H1269" s="341" t="s">
        <v>732</v>
      </c>
      <c r="I1269" s="337" t="str">
        <f t="shared" si="64"/>
        <v>Pesado de Passageiros M3: III : Gasóleo : E3</v>
      </c>
      <c r="J1269" s="125">
        <v>51</v>
      </c>
      <c r="K1269" s="264">
        <v>2022</v>
      </c>
      <c r="L1269" s="85">
        <v>17975.600000000002</v>
      </c>
      <c r="M1269" s="85" t="s">
        <v>630</v>
      </c>
      <c r="N1269" s="128">
        <v>55046</v>
      </c>
      <c r="O1269" s="128">
        <f t="shared" si="65"/>
        <v>2807346</v>
      </c>
      <c r="P1269" s="89">
        <v>8302</v>
      </c>
      <c r="Q1269" t="s">
        <v>47</v>
      </c>
      <c r="R1269" s="220" t="s">
        <v>1888</v>
      </c>
      <c r="S1269" s="220" t="s">
        <v>1861</v>
      </c>
      <c r="U1269" t="s">
        <v>1972</v>
      </c>
      <c r="V1269" t="s">
        <v>2832</v>
      </c>
    </row>
    <row r="1270" spans="1:22" ht="15.75" thickBot="1" x14ac:dyDescent="0.3">
      <c r="A1270" t="s">
        <v>1935</v>
      </c>
      <c r="B1270" t="s">
        <v>1935</v>
      </c>
      <c r="C1270" t="s">
        <v>1935</v>
      </c>
      <c r="D1270" t="s">
        <v>629</v>
      </c>
      <c r="E1270" s="259" t="s">
        <v>1853</v>
      </c>
      <c r="F1270" t="s">
        <v>620</v>
      </c>
      <c r="G1270" s="89">
        <v>2006</v>
      </c>
      <c r="H1270" s="341" t="s">
        <v>732</v>
      </c>
      <c r="I1270" s="337" t="str">
        <f t="shared" si="64"/>
        <v>Pesado de Passageiros M3: III : Gasóleo : E3</v>
      </c>
      <c r="J1270" s="125">
        <v>79</v>
      </c>
      <c r="K1270" s="264">
        <v>2022</v>
      </c>
      <c r="L1270" s="85">
        <v>9699.5</v>
      </c>
      <c r="M1270" s="85" t="s">
        <v>630</v>
      </c>
      <c r="N1270" s="128">
        <v>32191</v>
      </c>
      <c r="O1270" s="128">
        <f t="shared" si="65"/>
        <v>2543089</v>
      </c>
      <c r="P1270" s="89">
        <v>8303</v>
      </c>
      <c r="Q1270" t="s">
        <v>47</v>
      </c>
      <c r="R1270" s="220" t="s">
        <v>1888</v>
      </c>
      <c r="S1270" s="220" t="s">
        <v>1861</v>
      </c>
      <c r="U1270" t="s">
        <v>1972</v>
      </c>
      <c r="V1270" t="s">
        <v>2832</v>
      </c>
    </row>
    <row r="1271" spans="1:22" ht="15.75" thickBot="1" x14ac:dyDescent="0.3">
      <c r="A1271" t="s">
        <v>1935</v>
      </c>
      <c r="B1271" t="s">
        <v>1935</v>
      </c>
      <c r="C1271" t="s">
        <v>1935</v>
      </c>
      <c r="D1271" t="s">
        <v>629</v>
      </c>
      <c r="E1271" s="259" t="s">
        <v>1853</v>
      </c>
      <c r="F1271" t="s">
        <v>620</v>
      </c>
      <c r="G1271" s="89">
        <v>2002</v>
      </c>
      <c r="H1271" s="341" t="s">
        <v>732</v>
      </c>
      <c r="I1271" s="337" t="str">
        <f t="shared" si="64"/>
        <v>Pesado de Passageiros M3: III : Gasóleo : E3</v>
      </c>
      <c r="J1271" s="125">
        <v>79</v>
      </c>
      <c r="K1271" s="264">
        <v>2022</v>
      </c>
      <c r="L1271" s="85">
        <v>12350.099999999999</v>
      </c>
      <c r="M1271" s="85" t="s">
        <v>630</v>
      </c>
      <c r="N1271" s="128">
        <v>41427</v>
      </c>
      <c r="O1271" s="128">
        <f t="shared" si="65"/>
        <v>3272733</v>
      </c>
      <c r="P1271" s="89">
        <v>8304</v>
      </c>
      <c r="Q1271" t="s">
        <v>47</v>
      </c>
      <c r="R1271" s="220" t="s">
        <v>1888</v>
      </c>
      <c r="S1271" s="220" t="s">
        <v>1861</v>
      </c>
      <c r="U1271" t="s">
        <v>1972</v>
      </c>
      <c r="V1271" t="s">
        <v>2832</v>
      </c>
    </row>
    <row r="1272" spans="1:22" ht="15.75" thickBot="1" x14ac:dyDescent="0.3">
      <c r="A1272" t="s">
        <v>1935</v>
      </c>
      <c r="B1272" t="s">
        <v>1935</v>
      </c>
      <c r="C1272" t="s">
        <v>1935</v>
      </c>
      <c r="D1272" t="s">
        <v>629</v>
      </c>
      <c r="E1272" s="259" t="s">
        <v>1853</v>
      </c>
      <c r="F1272" t="s">
        <v>620</v>
      </c>
      <c r="G1272" s="89">
        <v>2003</v>
      </c>
      <c r="H1272" s="341" t="s">
        <v>732</v>
      </c>
      <c r="I1272" s="337" t="str">
        <f t="shared" si="64"/>
        <v>Pesado de Passageiros M3: III : Gasóleo : E3</v>
      </c>
      <c r="J1272" s="125">
        <v>72</v>
      </c>
      <c r="K1272" s="264">
        <v>2022</v>
      </c>
      <c r="L1272" s="85">
        <v>9332.4000000000015</v>
      </c>
      <c r="M1272" s="85" t="s">
        <v>630</v>
      </c>
      <c r="N1272" s="128">
        <v>30569</v>
      </c>
      <c r="O1272" s="128">
        <f t="shared" si="65"/>
        <v>2200968</v>
      </c>
      <c r="P1272" s="89">
        <v>8305</v>
      </c>
      <c r="Q1272" t="s">
        <v>47</v>
      </c>
      <c r="R1272" s="220" t="s">
        <v>1888</v>
      </c>
      <c r="S1272" s="220" t="s">
        <v>1861</v>
      </c>
      <c r="U1272" t="s">
        <v>1972</v>
      </c>
      <c r="V1272" t="s">
        <v>2832</v>
      </c>
    </row>
    <row r="1273" spans="1:22" ht="15.75" thickBot="1" x14ac:dyDescent="0.3">
      <c r="A1273" t="s">
        <v>1935</v>
      </c>
      <c r="B1273" t="s">
        <v>1935</v>
      </c>
      <c r="C1273" t="s">
        <v>1935</v>
      </c>
      <c r="D1273" t="s">
        <v>629</v>
      </c>
      <c r="E1273" s="259" t="s">
        <v>1853</v>
      </c>
      <c r="F1273" t="s">
        <v>620</v>
      </c>
      <c r="G1273" s="89">
        <v>2000</v>
      </c>
      <c r="H1273" s="341" t="s">
        <v>735</v>
      </c>
      <c r="I1273" s="337" t="str">
        <f t="shared" si="64"/>
        <v>Pesado de Passageiros M3: III : Gasóleo : E2</v>
      </c>
      <c r="J1273" s="125">
        <v>69</v>
      </c>
      <c r="K1273" s="264">
        <v>2022</v>
      </c>
      <c r="L1273" s="85">
        <v>12952.300000000001</v>
      </c>
      <c r="M1273" s="85" t="s">
        <v>630</v>
      </c>
      <c r="N1273" s="128">
        <v>37446</v>
      </c>
      <c r="O1273" s="128">
        <f t="shared" si="65"/>
        <v>2583774</v>
      </c>
      <c r="P1273" s="89">
        <v>8306</v>
      </c>
      <c r="Q1273" t="s">
        <v>47</v>
      </c>
      <c r="R1273" s="220" t="s">
        <v>1888</v>
      </c>
      <c r="S1273" s="220" t="s">
        <v>1861</v>
      </c>
      <c r="U1273" t="s">
        <v>1972</v>
      </c>
      <c r="V1273" t="s">
        <v>2832</v>
      </c>
    </row>
    <row r="1274" spans="1:22" ht="15.75" thickBot="1" x14ac:dyDescent="0.3">
      <c r="A1274" t="s">
        <v>1935</v>
      </c>
      <c r="B1274" t="s">
        <v>1935</v>
      </c>
      <c r="C1274" t="s">
        <v>1935</v>
      </c>
      <c r="D1274" t="s">
        <v>629</v>
      </c>
      <c r="E1274" s="259" t="s">
        <v>1853</v>
      </c>
      <c r="F1274" t="s">
        <v>620</v>
      </c>
      <c r="G1274" s="89">
        <v>2005</v>
      </c>
      <c r="H1274" s="341" t="s">
        <v>732</v>
      </c>
      <c r="I1274" s="337" t="str">
        <f t="shared" si="64"/>
        <v>Pesado de Passageiros M3: III : Gasóleo : E3</v>
      </c>
      <c r="J1274" s="125">
        <v>68</v>
      </c>
      <c r="K1274" s="264">
        <v>2022</v>
      </c>
      <c r="L1274" s="85">
        <v>16009.9</v>
      </c>
      <c r="M1274" s="85" t="s">
        <v>630</v>
      </c>
      <c r="N1274" s="128">
        <v>49576</v>
      </c>
      <c r="O1274" s="128">
        <f t="shared" si="65"/>
        <v>3371168</v>
      </c>
      <c r="P1274" s="89">
        <v>8307</v>
      </c>
      <c r="Q1274" t="s">
        <v>47</v>
      </c>
      <c r="R1274" s="220" t="s">
        <v>1888</v>
      </c>
      <c r="S1274" s="220" t="s">
        <v>1861</v>
      </c>
      <c r="U1274" t="s">
        <v>1972</v>
      </c>
      <c r="V1274" t="s">
        <v>2832</v>
      </c>
    </row>
    <row r="1275" spans="1:22" ht="15.75" thickBot="1" x14ac:dyDescent="0.3">
      <c r="A1275" t="s">
        <v>1935</v>
      </c>
      <c r="B1275" t="s">
        <v>1935</v>
      </c>
      <c r="C1275" t="s">
        <v>1935</v>
      </c>
      <c r="D1275" t="s">
        <v>629</v>
      </c>
      <c r="E1275" s="259" t="s">
        <v>1853</v>
      </c>
      <c r="F1275" t="s">
        <v>620</v>
      </c>
      <c r="G1275" s="89">
        <v>1997</v>
      </c>
      <c r="H1275" s="341" t="s">
        <v>736</v>
      </c>
      <c r="I1275" s="337" t="str">
        <f t="shared" si="64"/>
        <v>Pesado de Passageiros M3: III : Gasóleo : E1</v>
      </c>
      <c r="J1275" s="125">
        <v>75</v>
      </c>
      <c r="K1275" s="264">
        <v>2022</v>
      </c>
      <c r="L1275" s="85">
        <v>10793.9</v>
      </c>
      <c r="M1275" s="85" t="s">
        <v>630</v>
      </c>
      <c r="N1275" s="128">
        <v>34714</v>
      </c>
      <c r="O1275" s="128">
        <f t="shared" si="65"/>
        <v>2603550</v>
      </c>
      <c r="P1275" s="89">
        <v>8308</v>
      </c>
      <c r="Q1275" t="s">
        <v>47</v>
      </c>
      <c r="R1275" s="220" t="s">
        <v>1888</v>
      </c>
      <c r="S1275" s="220" t="s">
        <v>1861</v>
      </c>
      <c r="U1275" t="s">
        <v>1972</v>
      </c>
      <c r="V1275" t="s">
        <v>2832</v>
      </c>
    </row>
    <row r="1276" spans="1:22" ht="15.75" thickBot="1" x14ac:dyDescent="0.3">
      <c r="A1276" t="s">
        <v>1935</v>
      </c>
      <c r="B1276" t="s">
        <v>1935</v>
      </c>
      <c r="C1276" t="s">
        <v>1935</v>
      </c>
      <c r="D1276" t="s">
        <v>629</v>
      </c>
      <c r="E1276" s="259" t="s">
        <v>1853</v>
      </c>
      <c r="F1276" t="s">
        <v>620</v>
      </c>
      <c r="G1276" s="89">
        <v>1999</v>
      </c>
      <c r="H1276" s="341" t="s">
        <v>735</v>
      </c>
      <c r="I1276" s="337" t="str">
        <f t="shared" si="64"/>
        <v>Pesado de Passageiros M3: III : Gasóleo : E2</v>
      </c>
      <c r="J1276" s="125">
        <v>83</v>
      </c>
      <c r="K1276" s="264">
        <v>2022</v>
      </c>
      <c r="L1276" s="85">
        <v>19789.300000000003</v>
      </c>
      <c r="M1276" s="85" t="s">
        <v>630</v>
      </c>
      <c r="N1276" s="128">
        <v>63665</v>
      </c>
      <c r="O1276" s="128">
        <f t="shared" si="65"/>
        <v>5284195</v>
      </c>
      <c r="P1276" s="89">
        <v>8309</v>
      </c>
      <c r="Q1276" t="s">
        <v>47</v>
      </c>
      <c r="R1276" s="220" t="s">
        <v>1888</v>
      </c>
      <c r="S1276" s="220" t="s">
        <v>1861</v>
      </c>
      <c r="U1276" t="s">
        <v>1972</v>
      </c>
      <c r="V1276" t="s">
        <v>2832</v>
      </c>
    </row>
    <row r="1277" spans="1:22" ht="15.75" thickBot="1" x14ac:dyDescent="0.3">
      <c r="A1277" t="s">
        <v>1935</v>
      </c>
      <c r="B1277" t="s">
        <v>1935</v>
      </c>
      <c r="C1277" t="s">
        <v>1935</v>
      </c>
      <c r="D1277" t="s">
        <v>629</v>
      </c>
      <c r="E1277" s="259" t="s">
        <v>1853</v>
      </c>
      <c r="F1277" t="s">
        <v>620</v>
      </c>
      <c r="G1277" s="89">
        <v>2001</v>
      </c>
      <c r="H1277" s="341" t="s">
        <v>735</v>
      </c>
      <c r="I1277" s="337" t="str">
        <f t="shared" si="64"/>
        <v>Pesado de Passageiros M3: III : Gasóleo : E2</v>
      </c>
      <c r="J1277" s="125">
        <v>68</v>
      </c>
      <c r="K1277" s="264">
        <v>2022</v>
      </c>
      <c r="L1277" s="85">
        <v>14886.500000000004</v>
      </c>
      <c r="M1277" s="85" t="s">
        <v>630</v>
      </c>
      <c r="N1277" s="128">
        <v>53294</v>
      </c>
      <c r="O1277" s="128">
        <f t="shared" si="65"/>
        <v>3623992</v>
      </c>
      <c r="P1277" s="89">
        <v>8310</v>
      </c>
      <c r="Q1277" t="s">
        <v>47</v>
      </c>
      <c r="R1277" s="220" t="s">
        <v>1888</v>
      </c>
      <c r="S1277" s="220" t="s">
        <v>1861</v>
      </c>
      <c r="U1277" t="s">
        <v>1972</v>
      </c>
      <c r="V1277" t="s">
        <v>2832</v>
      </c>
    </row>
    <row r="1278" spans="1:22" ht="15.75" thickBot="1" x14ac:dyDescent="0.3">
      <c r="A1278" t="s">
        <v>1935</v>
      </c>
      <c r="B1278" t="s">
        <v>1935</v>
      </c>
      <c r="C1278" t="s">
        <v>1935</v>
      </c>
      <c r="D1278" t="s">
        <v>629</v>
      </c>
      <c r="E1278" s="259" t="s">
        <v>1853</v>
      </c>
      <c r="F1278" t="s">
        <v>620</v>
      </c>
      <c r="G1278" s="89">
        <v>2003</v>
      </c>
      <c r="H1278" s="341" t="s">
        <v>732</v>
      </c>
      <c r="I1278" s="337" t="str">
        <f t="shared" si="64"/>
        <v>Pesado de Passageiros M3: III : Gasóleo : E3</v>
      </c>
      <c r="J1278" s="125">
        <v>50</v>
      </c>
      <c r="K1278" s="264">
        <v>2022</v>
      </c>
      <c r="L1278" s="85">
        <v>14297.499999999998</v>
      </c>
      <c r="M1278" s="85" t="s">
        <v>630</v>
      </c>
      <c r="N1278" s="128">
        <v>44272</v>
      </c>
      <c r="O1278" s="128">
        <f t="shared" si="65"/>
        <v>2213600</v>
      </c>
      <c r="P1278" s="89">
        <v>8312</v>
      </c>
      <c r="Q1278" t="s">
        <v>47</v>
      </c>
      <c r="R1278" s="220" t="s">
        <v>1888</v>
      </c>
      <c r="S1278" s="220" t="s">
        <v>1861</v>
      </c>
      <c r="U1278" t="s">
        <v>1972</v>
      </c>
      <c r="V1278" t="s">
        <v>2832</v>
      </c>
    </row>
    <row r="1279" spans="1:22" ht="15.75" thickBot="1" x14ac:dyDescent="0.3">
      <c r="A1279" t="s">
        <v>1935</v>
      </c>
      <c r="B1279" t="s">
        <v>1935</v>
      </c>
      <c r="C1279" t="s">
        <v>1935</v>
      </c>
      <c r="D1279" t="s">
        <v>629</v>
      </c>
      <c r="E1279" s="259" t="s">
        <v>1853</v>
      </c>
      <c r="F1279" t="s">
        <v>620</v>
      </c>
      <c r="G1279" s="89">
        <v>1997</v>
      </c>
      <c r="H1279" s="341" t="s">
        <v>735</v>
      </c>
      <c r="I1279" s="337" t="str">
        <f t="shared" si="64"/>
        <v>Pesado de Passageiros M3: III : Gasóleo : E2</v>
      </c>
      <c r="J1279" s="125">
        <v>51</v>
      </c>
      <c r="K1279" s="264">
        <v>2022</v>
      </c>
      <c r="L1279" s="85">
        <v>0</v>
      </c>
      <c r="M1279" s="85" t="s">
        <v>630</v>
      </c>
      <c r="N1279" s="128">
        <v>0</v>
      </c>
      <c r="O1279" s="128">
        <f t="shared" si="65"/>
        <v>0</v>
      </c>
      <c r="P1279" s="89">
        <v>8313</v>
      </c>
      <c r="Q1279" t="s">
        <v>47</v>
      </c>
      <c r="R1279" s="220" t="s">
        <v>1888</v>
      </c>
      <c r="S1279" s="220" t="s">
        <v>1861</v>
      </c>
      <c r="U1279" t="s">
        <v>1972</v>
      </c>
      <c r="V1279" t="s">
        <v>2832</v>
      </c>
    </row>
    <row r="1280" spans="1:22" ht="15.75" thickBot="1" x14ac:dyDescent="0.3">
      <c r="A1280" t="s">
        <v>1935</v>
      </c>
      <c r="B1280" t="s">
        <v>1935</v>
      </c>
      <c r="C1280" t="s">
        <v>1935</v>
      </c>
      <c r="D1280" t="s">
        <v>629</v>
      </c>
      <c r="E1280" s="259" t="s">
        <v>1853</v>
      </c>
      <c r="F1280" t="s">
        <v>620</v>
      </c>
      <c r="G1280" s="89">
        <v>2002</v>
      </c>
      <c r="H1280" s="341" t="s">
        <v>732</v>
      </c>
      <c r="I1280" s="337" t="str">
        <f t="shared" si="64"/>
        <v>Pesado de Passageiros M3: III : Gasóleo : E3</v>
      </c>
      <c r="J1280" s="125">
        <v>70</v>
      </c>
      <c r="K1280" s="264">
        <v>2022</v>
      </c>
      <c r="L1280" s="85">
        <v>16161.300000000001</v>
      </c>
      <c r="M1280" s="85" t="s">
        <v>630</v>
      </c>
      <c r="N1280" s="128">
        <v>48287</v>
      </c>
      <c r="O1280" s="128">
        <f t="shared" si="65"/>
        <v>3380090</v>
      </c>
      <c r="P1280" s="89">
        <v>8314</v>
      </c>
      <c r="Q1280" t="s">
        <v>47</v>
      </c>
      <c r="R1280" s="220" t="s">
        <v>1888</v>
      </c>
      <c r="S1280" s="220" t="s">
        <v>1861</v>
      </c>
      <c r="U1280" t="s">
        <v>1972</v>
      </c>
      <c r="V1280" t="s">
        <v>2832</v>
      </c>
    </row>
    <row r="1281" spans="1:22" ht="15.75" thickBot="1" x14ac:dyDescent="0.3">
      <c r="A1281" t="s">
        <v>1935</v>
      </c>
      <c r="B1281" t="s">
        <v>1935</v>
      </c>
      <c r="C1281" t="s">
        <v>1935</v>
      </c>
      <c r="D1281" t="s">
        <v>629</v>
      </c>
      <c r="E1281" s="259" t="s">
        <v>1853</v>
      </c>
      <c r="F1281" t="s">
        <v>620</v>
      </c>
      <c r="G1281" s="89">
        <v>2009</v>
      </c>
      <c r="H1281" s="341" t="s">
        <v>731</v>
      </c>
      <c r="I1281" s="337" t="str">
        <f t="shared" si="64"/>
        <v>Pesado de Passageiros M3: III : Gasóleo : E4</v>
      </c>
      <c r="J1281" s="125">
        <v>31</v>
      </c>
      <c r="K1281" s="264">
        <v>2022</v>
      </c>
      <c r="L1281" s="85">
        <v>8919.9</v>
      </c>
      <c r="M1281" s="85" t="s">
        <v>630</v>
      </c>
      <c r="N1281" s="128">
        <v>54058</v>
      </c>
      <c r="O1281" s="128">
        <f t="shared" si="65"/>
        <v>1675798</v>
      </c>
      <c r="P1281" s="89">
        <v>8315</v>
      </c>
      <c r="Q1281" t="s">
        <v>47</v>
      </c>
      <c r="R1281" s="220" t="s">
        <v>1888</v>
      </c>
      <c r="S1281" s="220" t="s">
        <v>1861</v>
      </c>
      <c r="U1281" t="s">
        <v>1972</v>
      </c>
      <c r="V1281" t="s">
        <v>2832</v>
      </c>
    </row>
    <row r="1282" spans="1:22" ht="15.75" thickBot="1" x14ac:dyDescent="0.3">
      <c r="A1282" t="s">
        <v>1935</v>
      </c>
      <c r="B1282" t="s">
        <v>1935</v>
      </c>
      <c r="C1282" t="s">
        <v>1935</v>
      </c>
      <c r="D1282" t="s">
        <v>629</v>
      </c>
      <c r="E1282" s="259" t="s">
        <v>1853</v>
      </c>
      <c r="F1282" t="s">
        <v>620</v>
      </c>
      <c r="G1282" s="89">
        <v>2009</v>
      </c>
      <c r="H1282" s="341" t="s">
        <v>731</v>
      </c>
      <c r="I1282" s="337" t="str">
        <f t="shared" si="64"/>
        <v>Pesado de Passageiros M3: III : Gasóleo : E4</v>
      </c>
      <c r="J1282" s="125">
        <v>53</v>
      </c>
      <c r="K1282" s="264">
        <v>2022</v>
      </c>
      <c r="L1282" s="85">
        <v>11926.800000000001</v>
      </c>
      <c r="M1282" s="85" t="s">
        <v>630</v>
      </c>
      <c r="N1282" s="128">
        <v>42797</v>
      </c>
      <c r="O1282" s="128">
        <f t="shared" si="65"/>
        <v>2268241</v>
      </c>
      <c r="P1282" s="89">
        <v>8316</v>
      </c>
      <c r="Q1282" t="s">
        <v>47</v>
      </c>
      <c r="R1282" s="220" t="s">
        <v>1888</v>
      </c>
      <c r="S1282" s="220" t="s">
        <v>1861</v>
      </c>
      <c r="U1282" t="s">
        <v>1972</v>
      </c>
      <c r="V1282" t="s">
        <v>2832</v>
      </c>
    </row>
    <row r="1283" spans="1:22" ht="15.75" thickBot="1" x14ac:dyDescent="0.3">
      <c r="A1283" t="s">
        <v>1935</v>
      </c>
      <c r="B1283" t="s">
        <v>1935</v>
      </c>
      <c r="C1283" t="s">
        <v>1935</v>
      </c>
      <c r="D1283" t="s">
        <v>629</v>
      </c>
      <c r="E1283" s="259" t="s">
        <v>1853</v>
      </c>
      <c r="F1283" t="s">
        <v>620</v>
      </c>
      <c r="G1283" s="89">
        <v>2009</v>
      </c>
      <c r="H1283" s="341" t="s">
        <v>731</v>
      </c>
      <c r="I1283" s="337" t="str">
        <f t="shared" si="64"/>
        <v>Pesado de Passageiros M3: III : Gasóleo : E4</v>
      </c>
      <c r="J1283" s="125">
        <v>31</v>
      </c>
      <c r="K1283" s="264">
        <v>2022</v>
      </c>
      <c r="L1283" s="85">
        <v>6967.5000000000009</v>
      </c>
      <c r="M1283" s="85" t="s">
        <v>630</v>
      </c>
      <c r="N1283" s="128">
        <v>45974</v>
      </c>
      <c r="O1283" s="128">
        <f t="shared" si="65"/>
        <v>1425194</v>
      </c>
      <c r="P1283" s="89">
        <v>8317</v>
      </c>
      <c r="Q1283" t="s">
        <v>47</v>
      </c>
      <c r="R1283" s="220" t="s">
        <v>1888</v>
      </c>
      <c r="S1283" s="220" t="s">
        <v>1861</v>
      </c>
      <c r="U1283" t="s">
        <v>1972</v>
      </c>
      <c r="V1283" t="s">
        <v>2832</v>
      </c>
    </row>
    <row r="1284" spans="1:22" ht="15.75" thickBot="1" x14ac:dyDescent="0.3">
      <c r="A1284" t="s">
        <v>1935</v>
      </c>
      <c r="B1284" t="s">
        <v>1935</v>
      </c>
      <c r="C1284" t="s">
        <v>1935</v>
      </c>
      <c r="D1284" t="s">
        <v>629</v>
      </c>
      <c r="E1284" s="259" t="s">
        <v>1853</v>
      </c>
      <c r="F1284" t="s">
        <v>620</v>
      </c>
      <c r="G1284" s="89">
        <v>2009</v>
      </c>
      <c r="H1284" s="341" t="s">
        <v>731</v>
      </c>
      <c r="I1284" s="337" t="str">
        <f t="shared" ref="I1284:I1347" si="66">D1284&amp;": "&amp;E1284&amp;" : "&amp;F1284&amp;" : "&amp;H1284</f>
        <v>Pesado de Passageiros M3: III : Gasóleo : E4</v>
      </c>
      <c r="J1284" s="125">
        <v>31</v>
      </c>
      <c r="K1284" s="264">
        <v>2022</v>
      </c>
      <c r="L1284" s="85">
        <v>3090.7</v>
      </c>
      <c r="M1284" s="85" t="s">
        <v>630</v>
      </c>
      <c r="N1284" s="128">
        <v>19929</v>
      </c>
      <c r="O1284" s="128">
        <f t="shared" ref="O1284:O1347" si="67">N1284*J1284</f>
        <v>617799</v>
      </c>
      <c r="P1284" s="89">
        <v>8318</v>
      </c>
      <c r="Q1284" t="s">
        <v>47</v>
      </c>
      <c r="R1284" s="220" t="s">
        <v>1888</v>
      </c>
      <c r="S1284" s="220" t="s">
        <v>1861</v>
      </c>
      <c r="U1284" t="s">
        <v>1972</v>
      </c>
      <c r="V1284" t="s">
        <v>2832</v>
      </c>
    </row>
    <row r="1285" spans="1:22" ht="15.75" thickBot="1" x14ac:dyDescent="0.3">
      <c r="A1285" t="s">
        <v>1935</v>
      </c>
      <c r="B1285" t="s">
        <v>1935</v>
      </c>
      <c r="C1285" t="s">
        <v>1935</v>
      </c>
      <c r="D1285" t="s">
        <v>629</v>
      </c>
      <c r="E1285" s="259" t="s">
        <v>1853</v>
      </c>
      <c r="F1285" t="s">
        <v>620</v>
      </c>
      <c r="G1285" s="89">
        <v>2011</v>
      </c>
      <c r="H1285" s="341" t="s">
        <v>734</v>
      </c>
      <c r="I1285" s="337" t="str">
        <f t="shared" si="66"/>
        <v>Pesado de Passageiros M3: III : Gasóleo : E5</v>
      </c>
      <c r="J1285" s="125">
        <v>32</v>
      </c>
      <c r="K1285" s="264">
        <v>2022</v>
      </c>
      <c r="L1285" s="85">
        <v>9069.9999999999982</v>
      </c>
      <c r="M1285" s="85" t="s">
        <v>630</v>
      </c>
      <c r="N1285" s="128">
        <v>52950</v>
      </c>
      <c r="O1285" s="128">
        <f t="shared" si="67"/>
        <v>1694400</v>
      </c>
      <c r="P1285" s="89">
        <v>8319</v>
      </c>
      <c r="Q1285" t="s">
        <v>47</v>
      </c>
      <c r="R1285" s="220" t="s">
        <v>1888</v>
      </c>
      <c r="S1285" s="220" t="s">
        <v>1861</v>
      </c>
      <c r="U1285" t="s">
        <v>1972</v>
      </c>
      <c r="V1285" t="s">
        <v>2832</v>
      </c>
    </row>
    <row r="1286" spans="1:22" ht="15.75" thickBot="1" x14ac:dyDescent="0.3">
      <c r="A1286" t="s">
        <v>1935</v>
      </c>
      <c r="B1286" t="s">
        <v>1935</v>
      </c>
      <c r="C1286" t="s">
        <v>1935</v>
      </c>
      <c r="D1286" t="s">
        <v>629</v>
      </c>
      <c r="E1286" s="259" t="s">
        <v>1853</v>
      </c>
      <c r="F1286" t="s">
        <v>620</v>
      </c>
      <c r="G1286" s="89">
        <v>1999</v>
      </c>
      <c r="H1286" s="341" t="s">
        <v>735</v>
      </c>
      <c r="I1286" s="337" t="str">
        <f t="shared" si="66"/>
        <v>Pesado de Passageiros M3: III : Gasóleo : E2</v>
      </c>
      <c r="J1286" s="125">
        <v>75</v>
      </c>
      <c r="K1286" s="264">
        <v>2022</v>
      </c>
      <c r="L1286" s="85">
        <v>11269.1</v>
      </c>
      <c r="M1286" s="85" t="s">
        <v>630</v>
      </c>
      <c r="N1286" s="128">
        <v>38582</v>
      </c>
      <c r="O1286" s="128">
        <f t="shared" si="67"/>
        <v>2893650</v>
      </c>
      <c r="P1286" s="89">
        <v>8320</v>
      </c>
      <c r="Q1286" t="s">
        <v>47</v>
      </c>
      <c r="R1286" s="220" t="s">
        <v>1888</v>
      </c>
      <c r="S1286" s="220" t="s">
        <v>1861</v>
      </c>
      <c r="U1286" t="s">
        <v>1972</v>
      </c>
      <c r="V1286" t="s">
        <v>2832</v>
      </c>
    </row>
    <row r="1287" spans="1:22" ht="15.75" thickBot="1" x14ac:dyDescent="0.3">
      <c r="A1287" t="s">
        <v>1935</v>
      </c>
      <c r="B1287" t="s">
        <v>1935</v>
      </c>
      <c r="C1287" t="s">
        <v>1935</v>
      </c>
      <c r="D1287" t="s">
        <v>629</v>
      </c>
      <c r="E1287" s="259" t="s">
        <v>1853</v>
      </c>
      <c r="F1287" t="s">
        <v>620</v>
      </c>
      <c r="G1287" s="89">
        <v>2000</v>
      </c>
      <c r="H1287" s="341" t="s">
        <v>735</v>
      </c>
      <c r="I1287" s="337" t="str">
        <f t="shared" si="66"/>
        <v>Pesado de Passageiros M3: III : Gasóleo : E2</v>
      </c>
      <c r="J1287" s="125">
        <v>70</v>
      </c>
      <c r="K1287" s="264">
        <v>2022</v>
      </c>
      <c r="L1287" s="85">
        <v>14576.2</v>
      </c>
      <c r="M1287" s="85" t="s">
        <v>630</v>
      </c>
      <c r="N1287" s="128">
        <v>44183</v>
      </c>
      <c r="O1287" s="128">
        <f t="shared" si="67"/>
        <v>3092810</v>
      </c>
      <c r="P1287" s="89">
        <v>8321</v>
      </c>
      <c r="Q1287" t="s">
        <v>47</v>
      </c>
      <c r="R1287" s="220" t="s">
        <v>1888</v>
      </c>
      <c r="S1287" s="220" t="s">
        <v>1861</v>
      </c>
      <c r="U1287" t="s">
        <v>1972</v>
      </c>
      <c r="V1287" t="s">
        <v>2832</v>
      </c>
    </row>
    <row r="1288" spans="1:22" ht="15.75" thickBot="1" x14ac:dyDescent="0.3">
      <c r="A1288" t="s">
        <v>1935</v>
      </c>
      <c r="B1288" t="s">
        <v>1935</v>
      </c>
      <c r="C1288" t="s">
        <v>1935</v>
      </c>
      <c r="D1288" t="s">
        <v>629</v>
      </c>
      <c r="E1288" s="259" t="s">
        <v>1853</v>
      </c>
      <c r="F1288" t="s">
        <v>620</v>
      </c>
      <c r="G1288" s="89">
        <v>2011</v>
      </c>
      <c r="H1288" s="341" t="s">
        <v>734</v>
      </c>
      <c r="I1288" s="337" t="str">
        <f t="shared" si="66"/>
        <v>Pesado de Passageiros M3: III : Gasóleo : E5</v>
      </c>
      <c r="J1288" s="125">
        <v>32</v>
      </c>
      <c r="K1288" s="264">
        <v>2022</v>
      </c>
      <c r="L1288" s="85">
        <v>7213.6999999999989</v>
      </c>
      <c r="M1288" s="85" t="s">
        <v>630</v>
      </c>
      <c r="N1288" s="128">
        <v>46829</v>
      </c>
      <c r="O1288" s="128">
        <f t="shared" si="67"/>
        <v>1498528</v>
      </c>
      <c r="P1288" s="89">
        <v>8322</v>
      </c>
      <c r="Q1288" t="s">
        <v>47</v>
      </c>
      <c r="R1288" s="220" t="s">
        <v>1888</v>
      </c>
      <c r="S1288" s="220" t="s">
        <v>1861</v>
      </c>
      <c r="U1288" t="s">
        <v>1972</v>
      </c>
      <c r="V1288" t="s">
        <v>2832</v>
      </c>
    </row>
    <row r="1289" spans="1:22" ht="15.75" thickBot="1" x14ac:dyDescent="0.3">
      <c r="A1289" t="s">
        <v>1935</v>
      </c>
      <c r="B1289" t="s">
        <v>1935</v>
      </c>
      <c r="C1289" t="s">
        <v>1935</v>
      </c>
      <c r="D1289" t="s">
        <v>629</v>
      </c>
      <c r="E1289" s="259" t="s">
        <v>1853</v>
      </c>
      <c r="F1289" t="s">
        <v>620</v>
      </c>
      <c r="G1289" s="89">
        <v>2006</v>
      </c>
      <c r="H1289" s="341" t="s">
        <v>732</v>
      </c>
      <c r="I1289" s="337" t="str">
        <f t="shared" si="66"/>
        <v>Pesado de Passageiros M3: III : Gasóleo : E3</v>
      </c>
      <c r="J1289" s="125">
        <v>79</v>
      </c>
      <c r="K1289" s="264">
        <v>2022</v>
      </c>
      <c r="L1289" s="85">
        <v>14330.5</v>
      </c>
      <c r="M1289" s="85" t="s">
        <v>630</v>
      </c>
      <c r="N1289" s="128">
        <v>53238</v>
      </c>
      <c r="O1289" s="128">
        <f t="shared" si="67"/>
        <v>4205802</v>
      </c>
      <c r="P1289" s="89">
        <v>8323</v>
      </c>
      <c r="Q1289" t="s">
        <v>47</v>
      </c>
      <c r="R1289" s="220" t="s">
        <v>1888</v>
      </c>
      <c r="S1289" s="220" t="s">
        <v>1861</v>
      </c>
      <c r="U1289" t="s">
        <v>1972</v>
      </c>
      <c r="V1289" t="s">
        <v>2832</v>
      </c>
    </row>
    <row r="1290" spans="1:22" ht="15.75" thickBot="1" x14ac:dyDescent="0.3">
      <c r="A1290" t="s">
        <v>1935</v>
      </c>
      <c r="B1290" t="s">
        <v>1935</v>
      </c>
      <c r="C1290" t="s">
        <v>1935</v>
      </c>
      <c r="D1290" t="s">
        <v>629</v>
      </c>
      <c r="E1290" s="259" t="s">
        <v>1853</v>
      </c>
      <c r="F1290" t="s">
        <v>620</v>
      </c>
      <c r="G1290" s="89">
        <v>2006</v>
      </c>
      <c r="H1290" s="341" t="s">
        <v>732</v>
      </c>
      <c r="I1290" s="337" t="str">
        <f t="shared" si="66"/>
        <v>Pesado de Passageiros M3: III : Gasóleo : E3</v>
      </c>
      <c r="J1290" s="125">
        <v>79</v>
      </c>
      <c r="K1290" s="264">
        <v>2022</v>
      </c>
      <c r="L1290" s="85">
        <v>15636.5</v>
      </c>
      <c r="M1290" s="85" t="s">
        <v>630</v>
      </c>
      <c r="N1290" s="128">
        <v>52887</v>
      </c>
      <c r="O1290" s="128">
        <f t="shared" si="67"/>
        <v>4178073</v>
      </c>
      <c r="P1290" s="89">
        <v>8324</v>
      </c>
      <c r="Q1290" t="s">
        <v>47</v>
      </c>
      <c r="R1290" s="220" t="s">
        <v>1888</v>
      </c>
      <c r="S1290" s="220" t="s">
        <v>1861</v>
      </c>
      <c r="U1290" t="s">
        <v>1972</v>
      </c>
      <c r="V1290" t="s">
        <v>2832</v>
      </c>
    </row>
    <row r="1291" spans="1:22" ht="15.75" thickBot="1" x14ac:dyDescent="0.3">
      <c r="A1291" t="s">
        <v>1935</v>
      </c>
      <c r="B1291" t="s">
        <v>1935</v>
      </c>
      <c r="C1291" t="s">
        <v>1935</v>
      </c>
      <c r="D1291" t="s">
        <v>629</v>
      </c>
      <c r="E1291" s="259" t="s">
        <v>1853</v>
      </c>
      <c r="F1291" t="s">
        <v>620</v>
      </c>
      <c r="G1291" s="89">
        <v>2006</v>
      </c>
      <c r="H1291" s="341" t="s">
        <v>732</v>
      </c>
      <c r="I1291" s="337" t="str">
        <f t="shared" si="66"/>
        <v>Pesado de Passageiros M3: III : Gasóleo : E3</v>
      </c>
      <c r="J1291" s="125">
        <v>79</v>
      </c>
      <c r="K1291" s="264">
        <v>2022</v>
      </c>
      <c r="L1291" s="85">
        <v>12319.999999999998</v>
      </c>
      <c r="M1291" s="85" t="s">
        <v>630</v>
      </c>
      <c r="N1291" s="128">
        <v>38040</v>
      </c>
      <c r="O1291" s="128">
        <f t="shared" si="67"/>
        <v>3005160</v>
      </c>
      <c r="P1291" s="89">
        <v>8325</v>
      </c>
      <c r="Q1291" t="s">
        <v>47</v>
      </c>
      <c r="R1291" s="220" t="s">
        <v>1888</v>
      </c>
      <c r="S1291" s="220" t="s">
        <v>1861</v>
      </c>
      <c r="U1291" t="s">
        <v>1972</v>
      </c>
      <c r="V1291" t="s">
        <v>2832</v>
      </c>
    </row>
    <row r="1292" spans="1:22" ht="15.75" thickBot="1" x14ac:dyDescent="0.3">
      <c r="A1292" t="s">
        <v>1935</v>
      </c>
      <c r="B1292" t="s">
        <v>1935</v>
      </c>
      <c r="C1292" t="s">
        <v>1935</v>
      </c>
      <c r="D1292" t="s">
        <v>629</v>
      </c>
      <c r="E1292" s="259" t="s">
        <v>1853</v>
      </c>
      <c r="F1292" t="s">
        <v>620</v>
      </c>
      <c r="G1292" s="89">
        <v>2006</v>
      </c>
      <c r="H1292" s="341" t="s">
        <v>732</v>
      </c>
      <c r="I1292" s="337" t="str">
        <f t="shared" si="66"/>
        <v>Pesado de Passageiros M3: III : Gasóleo : E3</v>
      </c>
      <c r="J1292" s="125">
        <v>78</v>
      </c>
      <c r="K1292" s="264">
        <v>2022</v>
      </c>
      <c r="L1292" s="85">
        <v>10377.399999999998</v>
      </c>
      <c r="M1292" s="85" t="s">
        <v>630</v>
      </c>
      <c r="N1292" s="128">
        <v>31191</v>
      </c>
      <c r="O1292" s="128">
        <f t="shared" si="67"/>
        <v>2432898</v>
      </c>
      <c r="P1292" s="89">
        <v>8326</v>
      </c>
      <c r="Q1292" t="s">
        <v>47</v>
      </c>
      <c r="R1292" s="220" t="s">
        <v>1888</v>
      </c>
      <c r="S1292" s="220" t="s">
        <v>1861</v>
      </c>
      <c r="U1292" t="s">
        <v>1972</v>
      </c>
      <c r="V1292" t="s">
        <v>2832</v>
      </c>
    </row>
    <row r="1293" spans="1:22" ht="15.75" thickBot="1" x14ac:dyDescent="0.3">
      <c r="A1293" t="s">
        <v>1935</v>
      </c>
      <c r="B1293" t="s">
        <v>1935</v>
      </c>
      <c r="C1293" t="s">
        <v>1935</v>
      </c>
      <c r="D1293" t="s">
        <v>629</v>
      </c>
      <c r="E1293" s="259" t="s">
        <v>1853</v>
      </c>
      <c r="F1293" t="s">
        <v>620</v>
      </c>
      <c r="G1293" s="89">
        <v>2006</v>
      </c>
      <c r="H1293" s="341" t="s">
        <v>732</v>
      </c>
      <c r="I1293" s="337" t="str">
        <f t="shared" si="66"/>
        <v>Pesado de Passageiros M3: III : Gasóleo : E3</v>
      </c>
      <c r="J1293" s="125">
        <v>78</v>
      </c>
      <c r="K1293" s="264">
        <v>2022</v>
      </c>
      <c r="L1293" s="85">
        <v>10713.9</v>
      </c>
      <c r="M1293" s="85" t="s">
        <v>630</v>
      </c>
      <c r="N1293" s="128">
        <v>30568</v>
      </c>
      <c r="O1293" s="128">
        <f t="shared" si="67"/>
        <v>2384304</v>
      </c>
      <c r="P1293" s="89">
        <v>8327</v>
      </c>
      <c r="Q1293" t="s">
        <v>47</v>
      </c>
      <c r="R1293" s="220" t="s">
        <v>1888</v>
      </c>
      <c r="S1293" s="220" t="s">
        <v>1861</v>
      </c>
      <c r="U1293" t="s">
        <v>1972</v>
      </c>
      <c r="V1293" t="s">
        <v>2832</v>
      </c>
    </row>
    <row r="1294" spans="1:22" ht="15.75" thickBot="1" x14ac:dyDescent="0.3">
      <c r="A1294" t="s">
        <v>1935</v>
      </c>
      <c r="B1294" t="s">
        <v>1935</v>
      </c>
      <c r="C1294" t="s">
        <v>1935</v>
      </c>
      <c r="D1294" t="s">
        <v>629</v>
      </c>
      <c r="E1294" s="259" t="s">
        <v>1853</v>
      </c>
      <c r="F1294" t="s">
        <v>620</v>
      </c>
      <c r="G1294" s="89">
        <v>2004</v>
      </c>
      <c r="H1294" s="341" t="s">
        <v>732</v>
      </c>
      <c r="I1294" s="337" t="str">
        <f t="shared" si="66"/>
        <v>Pesado de Passageiros M3: III : Gasóleo : E3</v>
      </c>
      <c r="J1294" s="125">
        <v>68</v>
      </c>
      <c r="K1294" s="264">
        <v>2022</v>
      </c>
      <c r="L1294" s="85">
        <v>27384.2</v>
      </c>
      <c r="M1294" s="85" t="s">
        <v>630</v>
      </c>
      <c r="N1294" s="128">
        <v>95144</v>
      </c>
      <c r="O1294" s="128">
        <f t="shared" si="67"/>
        <v>6469792</v>
      </c>
      <c r="P1294" s="89">
        <v>8328</v>
      </c>
      <c r="Q1294" t="s">
        <v>47</v>
      </c>
      <c r="R1294" s="220" t="s">
        <v>1888</v>
      </c>
      <c r="S1294" s="220" t="s">
        <v>1861</v>
      </c>
      <c r="U1294" t="s">
        <v>1972</v>
      </c>
      <c r="V1294" t="s">
        <v>2832</v>
      </c>
    </row>
    <row r="1295" spans="1:22" ht="15.75" thickBot="1" x14ac:dyDescent="0.3">
      <c r="A1295" t="s">
        <v>1935</v>
      </c>
      <c r="B1295" t="s">
        <v>1935</v>
      </c>
      <c r="C1295" t="s">
        <v>1935</v>
      </c>
      <c r="D1295" t="s">
        <v>629</v>
      </c>
      <c r="E1295" s="259" t="s">
        <v>1853</v>
      </c>
      <c r="F1295" t="s">
        <v>620</v>
      </c>
      <c r="G1295" s="89">
        <v>2003</v>
      </c>
      <c r="H1295" s="341" t="s">
        <v>732</v>
      </c>
      <c r="I1295" s="337" t="str">
        <f t="shared" si="66"/>
        <v>Pesado de Passageiros M3: III : Gasóleo : E3</v>
      </c>
      <c r="J1295" s="125">
        <v>70</v>
      </c>
      <c r="K1295" s="264">
        <v>2022</v>
      </c>
      <c r="L1295" s="85">
        <v>14380.399999999998</v>
      </c>
      <c r="M1295" s="85" t="s">
        <v>630</v>
      </c>
      <c r="N1295" s="128">
        <v>44943</v>
      </c>
      <c r="O1295" s="128">
        <f t="shared" si="67"/>
        <v>3146010</v>
      </c>
      <c r="P1295" s="89">
        <v>8329</v>
      </c>
      <c r="Q1295" t="s">
        <v>47</v>
      </c>
      <c r="R1295" s="220" t="s">
        <v>1888</v>
      </c>
      <c r="S1295" s="220" t="s">
        <v>1861</v>
      </c>
      <c r="U1295" t="s">
        <v>1972</v>
      </c>
      <c r="V1295" t="s">
        <v>2832</v>
      </c>
    </row>
    <row r="1296" spans="1:22" ht="15.75" thickBot="1" x14ac:dyDescent="0.3">
      <c r="A1296" t="s">
        <v>1935</v>
      </c>
      <c r="B1296" t="s">
        <v>1935</v>
      </c>
      <c r="C1296" t="s">
        <v>1935</v>
      </c>
      <c r="D1296" t="s">
        <v>629</v>
      </c>
      <c r="E1296" s="259" t="s">
        <v>1853</v>
      </c>
      <c r="F1296" t="s">
        <v>620</v>
      </c>
      <c r="G1296" s="89">
        <v>1987</v>
      </c>
      <c r="H1296" s="341" t="s">
        <v>2249</v>
      </c>
      <c r="I1296" s="337" t="str">
        <f t="shared" si="66"/>
        <v>Pesado de Passageiros M3: III : Gasóleo : E0</v>
      </c>
      <c r="J1296" s="125">
        <v>88</v>
      </c>
      <c r="K1296" s="264">
        <v>2022</v>
      </c>
      <c r="L1296" s="85">
        <v>0</v>
      </c>
      <c r="M1296" s="85" t="s">
        <v>630</v>
      </c>
      <c r="N1296" s="128">
        <v>0</v>
      </c>
      <c r="O1296" s="128">
        <f t="shared" si="67"/>
        <v>0</v>
      </c>
      <c r="P1296" s="89">
        <v>8330</v>
      </c>
      <c r="Q1296" t="s">
        <v>47</v>
      </c>
      <c r="R1296" s="220" t="s">
        <v>1888</v>
      </c>
      <c r="S1296" s="220" t="s">
        <v>1861</v>
      </c>
      <c r="U1296" t="s">
        <v>1972</v>
      </c>
      <c r="V1296" t="s">
        <v>2832</v>
      </c>
    </row>
    <row r="1297" spans="1:22" ht="15.75" thickBot="1" x14ac:dyDescent="0.3">
      <c r="A1297" t="s">
        <v>1935</v>
      </c>
      <c r="B1297" t="s">
        <v>1935</v>
      </c>
      <c r="C1297" t="s">
        <v>1935</v>
      </c>
      <c r="D1297" t="s">
        <v>629</v>
      </c>
      <c r="E1297" s="259" t="s">
        <v>1853</v>
      </c>
      <c r="F1297" t="s">
        <v>620</v>
      </c>
      <c r="G1297" s="89">
        <v>2002</v>
      </c>
      <c r="H1297" s="341" t="s">
        <v>732</v>
      </c>
      <c r="I1297" s="337" t="str">
        <f t="shared" si="66"/>
        <v>Pesado de Passageiros M3: III : Gasóleo : E3</v>
      </c>
      <c r="J1297" s="125">
        <v>72</v>
      </c>
      <c r="K1297" s="264">
        <v>2022</v>
      </c>
      <c r="L1297" s="85">
        <v>10403.1</v>
      </c>
      <c r="M1297" s="85" t="s">
        <v>630</v>
      </c>
      <c r="N1297" s="128">
        <v>33139</v>
      </c>
      <c r="O1297" s="128">
        <f t="shared" si="67"/>
        <v>2386008</v>
      </c>
      <c r="P1297" s="89">
        <v>8331</v>
      </c>
      <c r="Q1297" t="s">
        <v>47</v>
      </c>
      <c r="R1297" s="220" t="s">
        <v>1888</v>
      </c>
      <c r="S1297" s="220" t="s">
        <v>1861</v>
      </c>
      <c r="U1297" t="s">
        <v>1972</v>
      </c>
      <c r="V1297" t="s">
        <v>2832</v>
      </c>
    </row>
    <row r="1298" spans="1:22" ht="15.75" thickBot="1" x14ac:dyDescent="0.3">
      <c r="A1298" t="s">
        <v>1935</v>
      </c>
      <c r="B1298" t="s">
        <v>1935</v>
      </c>
      <c r="C1298" t="s">
        <v>1935</v>
      </c>
      <c r="D1298" t="s">
        <v>629</v>
      </c>
      <c r="E1298" s="259" t="s">
        <v>1853</v>
      </c>
      <c r="F1298" t="s">
        <v>620</v>
      </c>
      <c r="G1298" s="89">
        <v>2021</v>
      </c>
      <c r="H1298" s="341" t="s">
        <v>733</v>
      </c>
      <c r="I1298" s="337" t="str">
        <f t="shared" si="66"/>
        <v>Pesado de Passageiros M3: III : Gasóleo : E6</v>
      </c>
      <c r="J1298" s="125">
        <v>27</v>
      </c>
      <c r="K1298" s="264">
        <v>2022</v>
      </c>
      <c r="L1298" s="85">
        <v>2349.6</v>
      </c>
      <c r="M1298" s="85" t="s">
        <v>630</v>
      </c>
      <c r="N1298" s="128">
        <v>14815</v>
      </c>
      <c r="O1298" s="128">
        <f t="shared" si="67"/>
        <v>400005</v>
      </c>
      <c r="P1298" s="89">
        <v>8332</v>
      </c>
      <c r="Q1298" t="s">
        <v>47</v>
      </c>
      <c r="R1298" s="220" t="s">
        <v>1888</v>
      </c>
      <c r="S1298" s="220" t="s">
        <v>1861</v>
      </c>
      <c r="U1298" t="s">
        <v>1972</v>
      </c>
      <c r="V1298" t="s">
        <v>2832</v>
      </c>
    </row>
    <row r="1299" spans="1:22" ht="15.75" thickBot="1" x14ac:dyDescent="0.3">
      <c r="A1299" t="s">
        <v>1935</v>
      </c>
      <c r="B1299" t="s">
        <v>1935</v>
      </c>
      <c r="C1299" t="s">
        <v>1935</v>
      </c>
      <c r="D1299" t="s">
        <v>629</v>
      </c>
      <c r="E1299" s="259" t="s">
        <v>1853</v>
      </c>
      <c r="F1299" t="s">
        <v>620</v>
      </c>
      <c r="G1299" s="89">
        <v>2008</v>
      </c>
      <c r="H1299" s="341" t="s">
        <v>731</v>
      </c>
      <c r="I1299" s="337" t="str">
        <f t="shared" si="66"/>
        <v>Pesado de Passageiros M3: III : Gasóleo : E4</v>
      </c>
      <c r="J1299" s="125">
        <v>106</v>
      </c>
      <c r="K1299" s="264">
        <v>2022</v>
      </c>
      <c r="L1299" s="85">
        <v>3015.3</v>
      </c>
      <c r="M1299" s="85" t="s">
        <v>630</v>
      </c>
      <c r="N1299" s="128">
        <v>7811</v>
      </c>
      <c r="O1299" s="128">
        <f t="shared" si="67"/>
        <v>827966</v>
      </c>
      <c r="P1299" s="89">
        <v>8333</v>
      </c>
      <c r="Q1299" t="s">
        <v>47</v>
      </c>
      <c r="R1299" s="220" t="s">
        <v>1888</v>
      </c>
      <c r="S1299" s="220" t="s">
        <v>1861</v>
      </c>
      <c r="U1299" t="s">
        <v>1972</v>
      </c>
      <c r="V1299" t="s">
        <v>2832</v>
      </c>
    </row>
    <row r="1300" spans="1:22" ht="15.75" thickBot="1" x14ac:dyDescent="0.3">
      <c r="A1300" t="s">
        <v>1935</v>
      </c>
      <c r="B1300" t="s">
        <v>1935</v>
      </c>
      <c r="C1300" t="s">
        <v>1935</v>
      </c>
      <c r="D1300" t="s">
        <v>629</v>
      </c>
      <c r="E1300" s="259" t="s">
        <v>1853</v>
      </c>
      <c r="F1300" t="s">
        <v>620</v>
      </c>
      <c r="G1300" s="89">
        <v>1989</v>
      </c>
      <c r="H1300" s="341" t="s">
        <v>2249</v>
      </c>
      <c r="I1300" s="337" t="str">
        <f t="shared" si="66"/>
        <v>Pesado de Passageiros M3: III : Gasóleo : E0</v>
      </c>
      <c r="J1300" s="125">
        <v>93</v>
      </c>
      <c r="K1300" s="264">
        <v>2022</v>
      </c>
      <c r="L1300" s="85">
        <v>8498.9000000000015</v>
      </c>
      <c r="M1300" s="85" t="s">
        <v>630</v>
      </c>
      <c r="N1300" s="128">
        <v>22829</v>
      </c>
      <c r="O1300" s="128">
        <f t="shared" si="67"/>
        <v>2123097</v>
      </c>
      <c r="P1300" s="89">
        <v>8334</v>
      </c>
      <c r="Q1300" t="s">
        <v>47</v>
      </c>
      <c r="R1300" s="220" t="s">
        <v>1888</v>
      </c>
      <c r="S1300" s="220" t="s">
        <v>1861</v>
      </c>
      <c r="U1300" t="s">
        <v>1972</v>
      </c>
      <c r="V1300" t="s">
        <v>2832</v>
      </c>
    </row>
    <row r="1301" spans="1:22" ht="15.75" thickBot="1" x14ac:dyDescent="0.3">
      <c r="A1301" t="s">
        <v>1935</v>
      </c>
      <c r="B1301" t="s">
        <v>1935</v>
      </c>
      <c r="C1301" t="s">
        <v>1935</v>
      </c>
      <c r="D1301" t="s">
        <v>629</v>
      </c>
      <c r="E1301" s="259" t="s">
        <v>1853</v>
      </c>
      <c r="F1301" t="s">
        <v>620</v>
      </c>
      <c r="G1301" s="89">
        <v>2001</v>
      </c>
      <c r="H1301" s="341" t="s">
        <v>736</v>
      </c>
      <c r="I1301" s="337" t="str">
        <f t="shared" si="66"/>
        <v>Pesado de Passageiros M3: III : Gasóleo : E1</v>
      </c>
      <c r="J1301" s="125">
        <v>50</v>
      </c>
      <c r="K1301" s="264">
        <v>2022</v>
      </c>
      <c r="L1301" s="85">
        <v>470</v>
      </c>
      <c r="M1301" s="85" t="s">
        <v>630</v>
      </c>
      <c r="N1301" s="128">
        <v>1902</v>
      </c>
      <c r="O1301" s="128">
        <f t="shared" si="67"/>
        <v>95100</v>
      </c>
      <c r="P1301" s="89">
        <v>8335</v>
      </c>
      <c r="Q1301" t="s">
        <v>47</v>
      </c>
      <c r="R1301" s="220" t="s">
        <v>1888</v>
      </c>
      <c r="S1301" s="220" t="s">
        <v>1861</v>
      </c>
      <c r="U1301" t="s">
        <v>1972</v>
      </c>
      <c r="V1301" t="s">
        <v>2832</v>
      </c>
    </row>
    <row r="1302" spans="1:22" ht="15.75" thickBot="1" x14ac:dyDescent="0.3">
      <c r="A1302" t="s">
        <v>1935</v>
      </c>
      <c r="B1302" t="s">
        <v>1935</v>
      </c>
      <c r="C1302" t="s">
        <v>1935</v>
      </c>
      <c r="D1302" t="s">
        <v>629</v>
      </c>
      <c r="E1302" s="259" t="s">
        <v>1853</v>
      </c>
      <c r="F1302" t="s">
        <v>620</v>
      </c>
      <c r="G1302" s="89">
        <v>2004</v>
      </c>
      <c r="H1302" s="341" t="s">
        <v>732</v>
      </c>
      <c r="I1302" s="337" t="str">
        <f t="shared" si="66"/>
        <v>Pesado de Passageiros M3: III : Gasóleo : E3</v>
      </c>
      <c r="J1302" s="125">
        <v>92</v>
      </c>
      <c r="K1302" s="264">
        <v>2022</v>
      </c>
      <c r="L1302" s="85">
        <v>11836</v>
      </c>
      <c r="M1302" s="85" t="s">
        <v>630</v>
      </c>
      <c r="N1302" s="128">
        <v>29002</v>
      </c>
      <c r="O1302" s="128">
        <f t="shared" si="67"/>
        <v>2668184</v>
      </c>
      <c r="P1302" s="89">
        <v>8336</v>
      </c>
      <c r="Q1302" t="s">
        <v>47</v>
      </c>
      <c r="R1302" s="220" t="s">
        <v>1888</v>
      </c>
      <c r="S1302" s="220" t="s">
        <v>1861</v>
      </c>
      <c r="U1302" t="s">
        <v>1972</v>
      </c>
      <c r="V1302" t="s">
        <v>2832</v>
      </c>
    </row>
    <row r="1303" spans="1:22" ht="15.75" thickBot="1" x14ac:dyDescent="0.3">
      <c r="A1303" t="s">
        <v>1935</v>
      </c>
      <c r="B1303" t="s">
        <v>1935</v>
      </c>
      <c r="C1303" t="s">
        <v>1935</v>
      </c>
      <c r="D1303" t="s">
        <v>629</v>
      </c>
      <c r="E1303" s="259" t="s">
        <v>1853</v>
      </c>
      <c r="F1303" t="s">
        <v>620</v>
      </c>
      <c r="G1303" s="89">
        <v>2011</v>
      </c>
      <c r="H1303" s="341" t="s">
        <v>731</v>
      </c>
      <c r="I1303" s="337" t="str">
        <f t="shared" si="66"/>
        <v>Pesado de Passageiros M3: III : Gasóleo : E4</v>
      </c>
      <c r="J1303" s="125">
        <v>70</v>
      </c>
      <c r="K1303" s="264">
        <v>2022</v>
      </c>
      <c r="L1303" s="85">
        <v>4480.0999999999995</v>
      </c>
      <c r="M1303" s="85" t="s">
        <v>630</v>
      </c>
      <c r="N1303" s="128">
        <v>12743</v>
      </c>
      <c r="O1303" s="128">
        <f t="shared" si="67"/>
        <v>892010</v>
      </c>
      <c r="P1303" s="89">
        <v>8337</v>
      </c>
      <c r="Q1303" t="s">
        <v>47</v>
      </c>
      <c r="R1303" s="220" t="s">
        <v>1888</v>
      </c>
      <c r="S1303" s="220" t="s">
        <v>1861</v>
      </c>
      <c r="U1303" t="s">
        <v>1972</v>
      </c>
      <c r="V1303" t="s">
        <v>2832</v>
      </c>
    </row>
    <row r="1304" spans="1:22" ht="15.75" thickBot="1" x14ac:dyDescent="0.3">
      <c r="A1304" t="s">
        <v>1935</v>
      </c>
      <c r="B1304" t="s">
        <v>1935</v>
      </c>
      <c r="C1304" t="s">
        <v>1935</v>
      </c>
      <c r="D1304" t="s">
        <v>629</v>
      </c>
      <c r="E1304" s="259" t="s">
        <v>1853</v>
      </c>
      <c r="F1304" t="s">
        <v>620</v>
      </c>
      <c r="G1304" s="89">
        <v>2010</v>
      </c>
      <c r="H1304" s="341" t="s">
        <v>731</v>
      </c>
      <c r="I1304" s="337" t="str">
        <f t="shared" si="66"/>
        <v>Pesado de Passageiros M3: III : Gasóleo : E4</v>
      </c>
      <c r="J1304" s="125">
        <v>116</v>
      </c>
      <c r="K1304" s="264">
        <v>2022</v>
      </c>
      <c r="L1304" s="85">
        <v>5694.5</v>
      </c>
      <c r="M1304" s="85" t="s">
        <v>630</v>
      </c>
      <c r="N1304" s="128">
        <v>16646</v>
      </c>
      <c r="O1304" s="128">
        <f t="shared" si="67"/>
        <v>1930936</v>
      </c>
      <c r="P1304" s="89">
        <v>8338</v>
      </c>
      <c r="Q1304" t="s">
        <v>47</v>
      </c>
      <c r="R1304" s="220" t="s">
        <v>1888</v>
      </c>
      <c r="S1304" s="220" t="s">
        <v>1861</v>
      </c>
      <c r="U1304" t="s">
        <v>1972</v>
      </c>
      <c r="V1304" t="s">
        <v>2832</v>
      </c>
    </row>
    <row r="1305" spans="1:22" ht="15.75" thickBot="1" x14ac:dyDescent="0.3">
      <c r="A1305" t="s">
        <v>1935</v>
      </c>
      <c r="B1305" t="s">
        <v>1935</v>
      </c>
      <c r="C1305" t="s">
        <v>1935</v>
      </c>
      <c r="D1305" t="s">
        <v>629</v>
      </c>
      <c r="E1305" s="259" t="s">
        <v>1853</v>
      </c>
      <c r="F1305" t="s">
        <v>620</v>
      </c>
      <c r="G1305" s="89">
        <v>2008</v>
      </c>
      <c r="H1305" s="341" t="s">
        <v>731</v>
      </c>
      <c r="I1305" s="337" t="str">
        <f t="shared" si="66"/>
        <v>Pesado de Passageiros M3: III : Gasóleo : E4</v>
      </c>
      <c r="J1305" s="125">
        <v>85</v>
      </c>
      <c r="K1305" s="264">
        <v>2022</v>
      </c>
      <c r="L1305" s="85">
        <v>4119.7</v>
      </c>
      <c r="M1305" s="85" t="s">
        <v>630</v>
      </c>
      <c r="N1305" s="128">
        <v>13432</v>
      </c>
      <c r="O1305" s="128">
        <f t="shared" si="67"/>
        <v>1141720</v>
      </c>
      <c r="P1305" s="89">
        <v>8339</v>
      </c>
      <c r="Q1305" t="s">
        <v>47</v>
      </c>
      <c r="R1305" s="220" t="s">
        <v>1888</v>
      </c>
      <c r="S1305" s="220" t="s">
        <v>1861</v>
      </c>
      <c r="U1305" t="s">
        <v>1972</v>
      </c>
      <c r="V1305" t="s">
        <v>2832</v>
      </c>
    </row>
    <row r="1306" spans="1:22" ht="15.75" thickBot="1" x14ac:dyDescent="0.3">
      <c r="A1306" t="s">
        <v>1935</v>
      </c>
      <c r="B1306" t="s">
        <v>1935</v>
      </c>
      <c r="C1306" t="s">
        <v>1935</v>
      </c>
      <c r="D1306" t="s">
        <v>629</v>
      </c>
      <c r="E1306" s="259" t="s">
        <v>1853</v>
      </c>
      <c r="F1306" t="s">
        <v>620</v>
      </c>
      <c r="G1306" s="89">
        <v>2008</v>
      </c>
      <c r="H1306" s="341" t="s">
        <v>731</v>
      </c>
      <c r="I1306" s="337" t="str">
        <f t="shared" si="66"/>
        <v>Pesado de Passageiros M3: III : Gasóleo : E4</v>
      </c>
      <c r="J1306" s="125">
        <v>57</v>
      </c>
      <c r="K1306" s="264">
        <v>2022</v>
      </c>
      <c r="L1306" s="85">
        <v>0</v>
      </c>
      <c r="M1306" s="85" t="s">
        <v>630</v>
      </c>
      <c r="N1306" s="128">
        <v>0</v>
      </c>
      <c r="O1306" s="128">
        <f t="shared" si="67"/>
        <v>0</v>
      </c>
      <c r="P1306" s="89">
        <v>8340</v>
      </c>
      <c r="Q1306" t="s">
        <v>47</v>
      </c>
      <c r="R1306" s="220" t="s">
        <v>1888</v>
      </c>
      <c r="S1306" s="220" t="s">
        <v>1861</v>
      </c>
      <c r="U1306" t="s">
        <v>1972</v>
      </c>
      <c r="V1306" t="s">
        <v>2832</v>
      </c>
    </row>
    <row r="1307" spans="1:22" ht="15.75" thickBot="1" x14ac:dyDescent="0.3">
      <c r="A1307" t="s">
        <v>1935</v>
      </c>
      <c r="B1307" t="s">
        <v>1935</v>
      </c>
      <c r="C1307" t="s">
        <v>1935</v>
      </c>
      <c r="D1307" t="s">
        <v>629</v>
      </c>
      <c r="E1307" s="259" t="s">
        <v>1853</v>
      </c>
      <c r="F1307" t="s">
        <v>620</v>
      </c>
      <c r="G1307" s="89">
        <v>2005</v>
      </c>
      <c r="H1307" s="341" t="s">
        <v>732</v>
      </c>
      <c r="I1307" s="337" t="str">
        <f t="shared" si="66"/>
        <v>Pesado de Passageiros M3: III : Gasóleo : E3</v>
      </c>
      <c r="J1307" s="125">
        <v>93</v>
      </c>
      <c r="K1307" s="264">
        <v>2022</v>
      </c>
      <c r="L1307" s="85">
        <v>17863.5</v>
      </c>
      <c r="M1307" s="85" t="s">
        <v>630</v>
      </c>
      <c r="N1307" s="128">
        <v>53719</v>
      </c>
      <c r="O1307" s="128">
        <f t="shared" si="67"/>
        <v>4995867</v>
      </c>
      <c r="P1307" s="89">
        <v>8341</v>
      </c>
      <c r="Q1307" t="s">
        <v>47</v>
      </c>
      <c r="R1307" s="220" t="s">
        <v>1888</v>
      </c>
      <c r="S1307" s="220" t="s">
        <v>1861</v>
      </c>
      <c r="U1307" t="s">
        <v>1972</v>
      </c>
      <c r="V1307" t="s">
        <v>2832</v>
      </c>
    </row>
    <row r="1308" spans="1:22" ht="15.75" thickBot="1" x14ac:dyDescent="0.3">
      <c r="A1308" t="s">
        <v>1935</v>
      </c>
      <c r="B1308" t="s">
        <v>1935</v>
      </c>
      <c r="C1308" t="s">
        <v>1935</v>
      </c>
      <c r="D1308" t="s">
        <v>629</v>
      </c>
      <c r="E1308" s="259" t="s">
        <v>1853</v>
      </c>
      <c r="F1308" t="s">
        <v>620</v>
      </c>
      <c r="G1308" s="89">
        <v>1990</v>
      </c>
      <c r="H1308" s="341" t="s">
        <v>2249</v>
      </c>
      <c r="I1308" s="337" t="str">
        <f t="shared" si="66"/>
        <v>Pesado de Passageiros M3: III : Gasóleo : E0</v>
      </c>
      <c r="J1308" s="125">
        <v>93</v>
      </c>
      <c r="K1308" s="264">
        <v>2022</v>
      </c>
      <c r="L1308" s="85">
        <v>7468.5999999999995</v>
      </c>
      <c r="M1308" s="85" t="s">
        <v>630</v>
      </c>
      <c r="N1308" s="128">
        <v>23507</v>
      </c>
      <c r="O1308" s="128">
        <f t="shared" si="67"/>
        <v>2186151</v>
      </c>
      <c r="P1308" s="89">
        <v>8342</v>
      </c>
      <c r="Q1308" t="s">
        <v>47</v>
      </c>
      <c r="R1308" s="220" t="s">
        <v>1888</v>
      </c>
      <c r="S1308" s="220" t="s">
        <v>1861</v>
      </c>
      <c r="U1308" t="s">
        <v>1972</v>
      </c>
      <c r="V1308" t="s">
        <v>2832</v>
      </c>
    </row>
    <row r="1309" spans="1:22" ht="15.75" thickBot="1" x14ac:dyDescent="0.3">
      <c r="A1309" t="s">
        <v>1935</v>
      </c>
      <c r="B1309" t="s">
        <v>1935</v>
      </c>
      <c r="C1309" t="s">
        <v>1935</v>
      </c>
      <c r="D1309" t="s">
        <v>629</v>
      </c>
      <c r="E1309" s="259" t="s">
        <v>1853</v>
      </c>
      <c r="F1309" t="s">
        <v>620</v>
      </c>
      <c r="G1309" s="89">
        <v>2008</v>
      </c>
      <c r="H1309" s="341" t="s">
        <v>731</v>
      </c>
      <c r="I1309" s="337" t="str">
        <f t="shared" si="66"/>
        <v>Pesado de Passageiros M3: III : Gasóleo : E4</v>
      </c>
      <c r="J1309" s="125">
        <v>57</v>
      </c>
      <c r="K1309" s="264">
        <v>2022</v>
      </c>
      <c r="L1309" s="85">
        <v>360.9</v>
      </c>
      <c r="M1309" s="85" t="s">
        <v>630</v>
      </c>
      <c r="N1309" s="128">
        <v>0</v>
      </c>
      <c r="O1309" s="128">
        <f t="shared" si="67"/>
        <v>0</v>
      </c>
      <c r="P1309" s="89">
        <v>8343</v>
      </c>
      <c r="Q1309" t="s">
        <v>47</v>
      </c>
      <c r="R1309" s="220" t="s">
        <v>1888</v>
      </c>
      <c r="S1309" s="220" t="s">
        <v>1861</v>
      </c>
      <c r="U1309" t="s">
        <v>1972</v>
      </c>
      <c r="V1309" t="s">
        <v>2832</v>
      </c>
    </row>
    <row r="1310" spans="1:22" ht="15.75" thickBot="1" x14ac:dyDescent="0.3">
      <c r="A1310" t="s">
        <v>1935</v>
      </c>
      <c r="B1310" t="s">
        <v>1935</v>
      </c>
      <c r="C1310" t="s">
        <v>1935</v>
      </c>
      <c r="D1310" t="s">
        <v>629</v>
      </c>
      <c r="E1310" s="259" t="s">
        <v>1853</v>
      </c>
      <c r="F1310" t="s">
        <v>620</v>
      </c>
      <c r="G1310" s="89">
        <v>2009</v>
      </c>
      <c r="H1310" s="341" t="s">
        <v>731</v>
      </c>
      <c r="I1310" s="337" t="str">
        <f t="shared" si="66"/>
        <v>Pesado de Passageiros M3: III : Gasóleo : E4</v>
      </c>
      <c r="J1310" s="125">
        <v>100</v>
      </c>
      <c r="K1310" s="264">
        <v>2022</v>
      </c>
      <c r="L1310" s="85">
        <v>133.19999999999999</v>
      </c>
      <c r="M1310" s="85" t="s">
        <v>630</v>
      </c>
      <c r="N1310" s="128">
        <v>0</v>
      </c>
      <c r="O1310" s="128">
        <f t="shared" si="67"/>
        <v>0</v>
      </c>
      <c r="P1310" s="89">
        <v>8344</v>
      </c>
      <c r="Q1310" t="s">
        <v>47</v>
      </c>
      <c r="R1310" s="220" t="s">
        <v>1888</v>
      </c>
      <c r="S1310" s="220" t="s">
        <v>1861</v>
      </c>
      <c r="U1310" t="s">
        <v>1972</v>
      </c>
      <c r="V1310" t="s">
        <v>2832</v>
      </c>
    </row>
    <row r="1311" spans="1:22" ht="15.75" thickBot="1" x14ac:dyDescent="0.3">
      <c r="A1311" t="s">
        <v>1935</v>
      </c>
      <c r="B1311" t="s">
        <v>1935</v>
      </c>
      <c r="C1311" t="s">
        <v>1935</v>
      </c>
      <c r="D1311" t="s">
        <v>629</v>
      </c>
      <c r="E1311" s="259" t="s">
        <v>1853</v>
      </c>
      <c r="F1311" t="s">
        <v>620</v>
      </c>
      <c r="G1311" s="89">
        <v>2015</v>
      </c>
      <c r="H1311" s="341" t="s">
        <v>733</v>
      </c>
      <c r="I1311" s="337" t="str">
        <f t="shared" si="66"/>
        <v>Pesado de Passageiros M3: III : Gasóleo : E6</v>
      </c>
      <c r="J1311" s="125">
        <v>22</v>
      </c>
      <c r="K1311" s="264">
        <v>2022</v>
      </c>
      <c r="L1311" s="85">
        <v>157</v>
      </c>
      <c r="M1311" s="85" t="s">
        <v>630</v>
      </c>
      <c r="N1311" s="128">
        <v>56</v>
      </c>
      <c r="O1311" s="128">
        <f t="shared" si="67"/>
        <v>1232</v>
      </c>
      <c r="P1311" s="89">
        <v>8345</v>
      </c>
      <c r="Q1311" t="s">
        <v>47</v>
      </c>
      <c r="R1311" s="220" t="s">
        <v>1888</v>
      </c>
      <c r="S1311" s="220" t="s">
        <v>1861</v>
      </c>
      <c r="U1311" t="s">
        <v>1972</v>
      </c>
      <c r="V1311" t="s">
        <v>2832</v>
      </c>
    </row>
    <row r="1312" spans="1:22" ht="15.75" thickBot="1" x14ac:dyDescent="0.3">
      <c r="A1312" t="s">
        <v>1935</v>
      </c>
      <c r="B1312" t="s">
        <v>1935</v>
      </c>
      <c r="C1312" t="s">
        <v>1935</v>
      </c>
      <c r="D1312" t="s">
        <v>629</v>
      </c>
      <c r="E1312" s="259" t="s">
        <v>1853</v>
      </c>
      <c r="F1312" t="s">
        <v>620</v>
      </c>
      <c r="G1312" s="89">
        <v>2009</v>
      </c>
      <c r="H1312" s="341" t="s">
        <v>731</v>
      </c>
      <c r="I1312" s="337" t="str">
        <f t="shared" si="66"/>
        <v>Pesado de Passageiros M3: III : Gasóleo : E4</v>
      </c>
      <c r="J1312" s="125">
        <v>100</v>
      </c>
      <c r="K1312" s="264">
        <v>2022</v>
      </c>
      <c r="L1312" s="85">
        <v>2530.1</v>
      </c>
      <c r="M1312" s="85" t="s">
        <v>630</v>
      </c>
      <c r="N1312" s="128">
        <v>6889</v>
      </c>
      <c r="O1312" s="128">
        <f t="shared" si="67"/>
        <v>688900</v>
      </c>
      <c r="P1312" s="89">
        <v>8347</v>
      </c>
      <c r="Q1312" t="s">
        <v>47</v>
      </c>
      <c r="R1312" s="220" t="s">
        <v>1888</v>
      </c>
      <c r="S1312" s="220" t="s">
        <v>1861</v>
      </c>
      <c r="U1312" t="s">
        <v>1972</v>
      </c>
      <c r="V1312" t="s">
        <v>2832</v>
      </c>
    </row>
    <row r="1313" spans="1:22" ht="15.75" thickBot="1" x14ac:dyDescent="0.3">
      <c r="A1313" t="s">
        <v>1935</v>
      </c>
      <c r="B1313" t="s">
        <v>1935</v>
      </c>
      <c r="C1313" t="s">
        <v>1935</v>
      </c>
      <c r="D1313" t="s">
        <v>629</v>
      </c>
      <c r="E1313" s="259" t="s">
        <v>1853</v>
      </c>
      <c r="F1313" t="s">
        <v>620</v>
      </c>
      <c r="G1313" s="89">
        <v>2004</v>
      </c>
      <c r="H1313" s="341" t="s">
        <v>732</v>
      </c>
      <c r="I1313" s="337" t="str">
        <f t="shared" si="66"/>
        <v>Pesado de Passageiros M3: III : Gasóleo : E3</v>
      </c>
      <c r="J1313" s="125">
        <v>106</v>
      </c>
      <c r="K1313" s="264">
        <v>2022</v>
      </c>
      <c r="L1313" s="85">
        <v>13265.7</v>
      </c>
      <c r="M1313" s="85" t="s">
        <v>630</v>
      </c>
      <c r="N1313" s="128">
        <v>31058</v>
      </c>
      <c r="O1313" s="128">
        <f t="shared" si="67"/>
        <v>3292148</v>
      </c>
      <c r="P1313" s="89">
        <v>8348</v>
      </c>
      <c r="Q1313" t="s">
        <v>47</v>
      </c>
      <c r="R1313" s="220" t="s">
        <v>1888</v>
      </c>
      <c r="S1313" s="220" t="s">
        <v>1861</v>
      </c>
      <c r="U1313" t="s">
        <v>1972</v>
      </c>
      <c r="V1313" t="s">
        <v>2832</v>
      </c>
    </row>
    <row r="1314" spans="1:22" ht="15.75" thickBot="1" x14ac:dyDescent="0.3">
      <c r="A1314" t="s">
        <v>1935</v>
      </c>
      <c r="B1314" t="s">
        <v>1935</v>
      </c>
      <c r="C1314" t="s">
        <v>1935</v>
      </c>
      <c r="D1314" t="s">
        <v>629</v>
      </c>
      <c r="E1314" s="259" t="s">
        <v>1853</v>
      </c>
      <c r="F1314" t="s">
        <v>620</v>
      </c>
      <c r="G1314" s="89">
        <v>2009</v>
      </c>
      <c r="H1314" s="341" t="s">
        <v>731</v>
      </c>
      <c r="I1314" s="337" t="str">
        <f t="shared" si="66"/>
        <v>Pesado de Passageiros M3: III : Gasóleo : E4</v>
      </c>
      <c r="J1314" s="125">
        <v>100</v>
      </c>
      <c r="K1314" s="264">
        <v>2022</v>
      </c>
      <c r="L1314" s="85">
        <v>0</v>
      </c>
      <c r="M1314" s="85" t="s">
        <v>630</v>
      </c>
      <c r="N1314" s="128">
        <v>0</v>
      </c>
      <c r="O1314" s="128">
        <f t="shared" si="67"/>
        <v>0</v>
      </c>
      <c r="P1314" s="89">
        <v>8349</v>
      </c>
      <c r="Q1314" t="s">
        <v>47</v>
      </c>
      <c r="R1314" s="220" t="s">
        <v>1888</v>
      </c>
      <c r="S1314" s="220" t="s">
        <v>1861</v>
      </c>
      <c r="U1314" t="s">
        <v>1972</v>
      </c>
      <c r="V1314" t="s">
        <v>2832</v>
      </c>
    </row>
    <row r="1315" spans="1:22" ht="15.75" thickBot="1" x14ac:dyDescent="0.3">
      <c r="A1315" t="s">
        <v>1935</v>
      </c>
      <c r="B1315" t="s">
        <v>1935</v>
      </c>
      <c r="C1315" t="s">
        <v>1935</v>
      </c>
      <c r="D1315" t="s">
        <v>629</v>
      </c>
      <c r="E1315" s="259" t="s">
        <v>1853</v>
      </c>
      <c r="F1315" t="s">
        <v>620</v>
      </c>
      <c r="G1315" s="89">
        <v>2003</v>
      </c>
      <c r="H1315" s="341" t="s">
        <v>732</v>
      </c>
      <c r="I1315" s="337" t="str">
        <f t="shared" si="66"/>
        <v>Pesado de Passageiros M3: III : Gasóleo : E3</v>
      </c>
      <c r="J1315" s="125">
        <v>72</v>
      </c>
      <c r="K1315" s="264">
        <v>2022</v>
      </c>
      <c r="L1315" s="85">
        <v>19474.899999999998</v>
      </c>
      <c r="M1315" s="85" t="s">
        <v>630</v>
      </c>
      <c r="N1315" s="128">
        <v>65766</v>
      </c>
      <c r="O1315" s="128">
        <f t="shared" si="67"/>
        <v>4735152</v>
      </c>
      <c r="P1315" s="89">
        <v>8350</v>
      </c>
      <c r="Q1315" t="s">
        <v>47</v>
      </c>
      <c r="R1315" s="220" t="s">
        <v>1888</v>
      </c>
      <c r="S1315" s="220" t="s">
        <v>1861</v>
      </c>
      <c r="U1315" t="s">
        <v>1972</v>
      </c>
      <c r="V1315" t="s">
        <v>2832</v>
      </c>
    </row>
    <row r="1316" spans="1:22" ht="15.75" thickBot="1" x14ac:dyDescent="0.3">
      <c r="A1316" t="s">
        <v>1935</v>
      </c>
      <c r="B1316" t="s">
        <v>1935</v>
      </c>
      <c r="C1316" t="s">
        <v>1935</v>
      </c>
      <c r="D1316" t="s">
        <v>629</v>
      </c>
      <c r="E1316" s="259" t="s">
        <v>1853</v>
      </c>
      <c r="F1316" t="s">
        <v>620</v>
      </c>
      <c r="G1316" s="89">
        <v>2008</v>
      </c>
      <c r="H1316" s="341" t="s">
        <v>731</v>
      </c>
      <c r="I1316" s="337" t="str">
        <f t="shared" si="66"/>
        <v>Pesado de Passageiros M3: III : Gasóleo : E4</v>
      </c>
      <c r="J1316" s="125">
        <v>83</v>
      </c>
      <c r="K1316" s="264">
        <v>2022</v>
      </c>
      <c r="L1316" s="85">
        <v>19423.3</v>
      </c>
      <c r="M1316" s="85" t="s">
        <v>630</v>
      </c>
      <c r="N1316" s="128">
        <v>61024</v>
      </c>
      <c r="O1316" s="128">
        <f t="shared" si="67"/>
        <v>5064992</v>
      </c>
      <c r="P1316" s="89">
        <v>8351</v>
      </c>
      <c r="Q1316" t="s">
        <v>47</v>
      </c>
      <c r="R1316" s="220" t="s">
        <v>1888</v>
      </c>
      <c r="S1316" s="220" t="s">
        <v>1861</v>
      </c>
      <c r="U1316" t="s">
        <v>1972</v>
      </c>
      <c r="V1316" t="s">
        <v>2832</v>
      </c>
    </row>
    <row r="1317" spans="1:22" ht="15.75" thickBot="1" x14ac:dyDescent="0.3">
      <c r="A1317" t="s">
        <v>1935</v>
      </c>
      <c r="B1317" t="s">
        <v>1935</v>
      </c>
      <c r="C1317" t="s">
        <v>1935</v>
      </c>
      <c r="D1317" t="s">
        <v>629</v>
      </c>
      <c r="E1317" s="259" t="s">
        <v>1853</v>
      </c>
      <c r="F1317" t="s">
        <v>620</v>
      </c>
      <c r="G1317" s="89">
        <v>2009</v>
      </c>
      <c r="H1317" s="341" t="s">
        <v>731</v>
      </c>
      <c r="I1317" s="337" t="str">
        <f t="shared" si="66"/>
        <v>Pesado de Passageiros M3: III : Gasóleo : E4</v>
      </c>
      <c r="J1317" s="125">
        <v>100</v>
      </c>
      <c r="K1317" s="264">
        <v>2022</v>
      </c>
      <c r="L1317" s="85">
        <v>3481.9</v>
      </c>
      <c r="M1317" s="85" t="s">
        <v>630</v>
      </c>
      <c r="N1317" s="128">
        <v>7366</v>
      </c>
      <c r="O1317" s="128">
        <f t="shared" si="67"/>
        <v>736600</v>
      </c>
      <c r="P1317" s="89">
        <v>8352</v>
      </c>
      <c r="Q1317" t="s">
        <v>47</v>
      </c>
      <c r="R1317" s="220" t="s">
        <v>1888</v>
      </c>
      <c r="S1317" s="220" t="s">
        <v>1861</v>
      </c>
      <c r="U1317" t="s">
        <v>1972</v>
      </c>
      <c r="V1317" t="s">
        <v>2832</v>
      </c>
    </row>
    <row r="1318" spans="1:22" ht="15.75" thickBot="1" x14ac:dyDescent="0.3">
      <c r="A1318" t="s">
        <v>1935</v>
      </c>
      <c r="B1318" t="s">
        <v>1935</v>
      </c>
      <c r="C1318" t="s">
        <v>1935</v>
      </c>
      <c r="D1318" t="s">
        <v>629</v>
      </c>
      <c r="E1318" s="259" t="s">
        <v>1853</v>
      </c>
      <c r="F1318" t="s">
        <v>620</v>
      </c>
      <c r="G1318" s="89">
        <v>2009</v>
      </c>
      <c r="H1318" s="341" t="s">
        <v>731</v>
      </c>
      <c r="I1318" s="337" t="str">
        <f t="shared" si="66"/>
        <v>Pesado de Passageiros M3: III : Gasóleo : E4</v>
      </c>
      <c r="J1318" s="125">
        <v>21</v>
      </c>
      <c r="K1318" s="264">
        <v>2022</v>
      </c>
      <c r="L1318" s="85">
        <v>3617.1000000000004</v>
      </c>
      <c r="M1318" s="85" t="s">
        <v>630</v>
      </c>
      <c r="N1318" s="128">
        <v>22804</v>
      </c>
      <c r="O1318" s="128">
        <f t="shared" si="67"/>
        <v>478884</v>
      </c>
      <c r="P1318" s="89">
        <v>8353</v>
      </c>
      <c r="Q1318" t="s">
        <v>47</v>
      </c>
      <c r="R1318" s="220" t="s">
        <v>1888</v>
      </c>
      <c r="S1318" s="220" t="s">
        <v>1861</v>
      </c>
      <c r="U1318" t="s">
        <v>1972</v>
      </c>
      <c r="V1318" t="s">
        <v>2832</v>
      </c>
    </row>
    <row r="1319" spans="1:22" ht="15.75" thickBot="1" x14ac:dyDescent="0.3">
      <c r="A1319" t="s">
        <v>1935</v>
      </c>
      <c r="B1319" t="s">
        <v>1935</v>
      </c>
      <c r="C1319" t="s">
        <v>1935</v>
      </c>
      <c r="D1319" t="s">
        <v>629</v>
      </c>
      <c r="E1319" s="259" t="s">
        <v>1853</v>
      </c>
      <c r="F1319" t="s">
        <v>620</v>
      </c>
      <c r="G1319" s="89">
        <v>1989</v>
      </c>
      <c r="H1319" s="341" t="s">
        <v>2249</v>
      </c>
      <c r="I1319" s="337" t="str">
        <f t="shared" si="66"/>
        <v>Pesado de Passageiros M3: III : Gasóleo : E0</v>
      </c>
      <c r="J1319" s="125">
        <v>80</v>
      </c>
      <c r="K1319" s="264">
        <v>2022</v>
      </c>
      <c r="L1319" s="85">
        <v>110.4</v>
      </c>
      <c r="M1319" s="85" t="s">
        <v>630</v>
      </c>
      <c r="N1319" s="128">
        <v>0</v>
      </c>
      <c r="O1319" s="128">
        <f t="shared" si="67"/>
        <v>0</v>
      </c>
      <c r="P1319" s="89">
        <v>8354</v>
      </c>
      <c r="Q1319" t="s">
        <v>47</v>
      </c>
      <c r="R1319" s="220" t="s">
        <v>1888</v>
      </c>
      <c r="S1319" s="220" t="s">
        <v>1861</v>
      </c>
      <c r="U1319" t="s">
        <v>1972</v>
      </c>
      <c r="V1319" t="s">
        <v>2832</v>
      </c>
    </row>
    <row r="1320" spans="1:22" ht="15.75" thickBot="1" x14ac:dyDescent="0.3">
      <c r="A1320" t="s">
        <v>1935</v>
      </c>
      <c r="B1320" t="s">
        <v>1935</v>
      </c>
      <c r="C1320" t="s">
        <v>1935</v>
      </c>
      <c r="D1320" t="s">
        <v>629</v>
      </c>
      <c r="E1320" s="259" t="s">
        <v>1853</v>
      </c>
      <c r="F1320" t="s">
        <v>620</v>
      </c>
      <c r="G1320" s="89">
        <v>2002</v>
      </c>
      <c r="H1320" s="341" t="s">
        <v>732</v>
      </c>
      <c r="I1320" s="337" t="str">
        <f t="shared" si="66"/>
        <v>Pesado de Passageiros M3: III : Gasóleo : E3</v>
      </c>
      <c r="J1320" s="125">
        <v>76</v>
      </c>
      <c r="K1320" s="264">
        <v>2022</v>
      </c>
      <c r="L1320" s="85">
        <v>15269.800000000001</v>
      </c>
      <c r="M1320" s="85" t="s">
        <v>630</v>
      </c>
      <c r="N1320" s="128">
        <v>52351</v>
      </c>
      <c r="O1320" s="128">
        <f t="shared" si="67"/>
        <v>3978676</v>
      </c>
      <c r="P1320" s="89">
        <v>8355</v>
      </c>
      <c r="Q1320" t="s">
        <v>47</v>
      </c>
      <c r="R1320" s="220" t="s">
        <v>1888</v>
      </c>
      <c r="S1320" s="220" t="s">
        <v>1861</v>
      </c>
      <c r="U1320" t="s">
        <v>1972</v>
      </c>
      <c r="V1320" t="s">
        <v>2832</v>
      </c>
    </row>
    <row r="1321" spans="1:22" ht="15.75" thickBot="1" x14ac:dyDescent="0.3">
      <c r="A1321" t="s">
        <v>1935</v>
      </c>
      <c r="B1321" t="s">
        <v>1935</v>
      </c>
      <c r="C1321" t="s">
        <v>1935</v>
      </c>
      <c r="D1321" t="s">
        <v>629</v>
      </c>
      <c r="E1321" s="259" t="s">
        <v>1853</v>
      </c>
      <c r="F1321" t="s">
        <v>620</v>
      </c>
      <c r="G1321" s="89">
        <v>1991</v>
      </c>
      <c r="H1321" s="341" t="s">
        <v>2249</v>
      </c>
      <c r="I1321" s="337" t="str">
        <f t="shared" si="66"/>
        <v>Pesado de Passageiros M3: III : Gasóleo : E0</v>
      </c>
      <c r="J1321" s="125">
        <v>70</v>
      </c>
      <c r="K1321" s="264">
        <v>2022</v>
      </c>
      <c r="L1321" s="85">
        <v>6970.9</v>
      </c>
      <c r="M1321" s="85" t="s">
        <v>630</v>
      </c>
      <c r="N1321" s="128">
        <v>22151</v>
      </c>
      <c r="O1321" s="128">
        <f t="shared" si="67"/>
        <v>1550570</v>
      </c>
      <c r="P1321" s="89">
        <v>8356</v>
      </c>
      <c r="Q1321" t="s">
        <v>47</v>
      </c>
      <c r="R1321" s="220" t="s">
        <v>1888</v>
      </c>
      <c r="S1321" s="220" t="s">
        <v>1861</v>
      </c>
      <c r="U1321" t="s">
        <v>1972</v>
      </c>
      <c r="V1321" t="s">
        <v>2832</v>
      </c>
    </row>
    <row r="1322" spans="1:22" ht="15.75" thickBot="1" x14ac:dyDescent="0.3">
      <c r="A1322" t="s">
        <v>1935</v>
      </c>
      <c r="B1322" t="s">
        <v>1935</v>
      </c>
      <c r="C1322" t="s">
        <v>1935</v>
      </c>
      <c r="D1322" t="s">
        <v>629</v>
      </c>
      <c r="E1322" s="259" t="s">
        <v>1853</v>
      </c>
      <c r="F1322" t="s">
        <v>620</v>
      </c>
      <c r="G1322" s="89">
        <v>2005</v>
      </c>
      <c r="H1322" s="341" t="s">
        <v>732</v>
      </c>
      <c r="I1322" s="337" t="str">
        <f t="shared" si="66"/>
        <v>Pesado de Passageiros M3: III : Gasóleo : E3</v>
      </c>
      <c r="J1322" s="125">
        <v>73</v>
      </c>
      <c r="K1322" s="264">
        <v>2022</v>
      </c>
      <c r="L1322" s="85">
        <v>13790</v>
      </c>
      <c r="M1322" s="85" t="s">
        <v>630</v>
      </c>
      <c r="N1322" s="128">
        <v>47614</v>
      </c>
      <c r="O1322" s="128">
        <f t="shared" si="67"/>
        <v>3475822</v>
      </c>
      <c r="P1322" s="89">
        <v>8357</v>
      </c>
      <c r="Q1322" t="s">
        <v>47</v>
      </c>
      <c r="R1322" s="220" t="s">
        <v>1888</v>
      </c>
      <c r="S1322" s="220" t="s">
        <v>1861</v>
      </c>
      <c r="U1322" t="s">
        <v>1972</v>
      </c>
      <c r="V1322" t="s">
        <v>2832</v>
      </c>
    </row>
    <row r="1323" spans="1:22" ht="15.75" thickBot="1" x14ac:dyDescent="0.3">
      <c r="A1323" t="s">
        <v>1935</v>
      </c>
      <c r="B1323" t="s">
        <v>1935</v>
      </c>
      <c r="C1323" t="s">
        <v>1935</v>
      </c>
      <c r="D1323" t="s">
        <v>629</v>
      </c>
      <c r="E1323" s="259" t="s">
        <v>1853</v>
      </c>
      <c r="F1323" t="s">
        <v>620</v>
      </c>
      <c r="G1323" s="89">
        <v>2003</v>
      </c>
      <c r="H1323" s="341" t="s">
        <v>732</v>
      </c>
      <c r="I1323" s="337" t="str">
        <f t="shared" si="66"/>
        <v>Pesado de Passageiros M3: III : Gasóleo : E3</v>
      </c>
      <c r="J1323" s="125">
        <v>72</v>
      </c>
      <c r="K1323" s="264">
        <v>2022</v>
      </c>
      <c r="L1323" s="85">
        <v>15945.8</v>
      </c>
      <c r="M1323" s="85" t="s">
        <v>630</v>
      </c>
      <c r="N1323" s="128">
        <v>63433</v>
      </c>
      <c r="O1323" s="128">
        <f t="shared" si="67"/>
        <v>4567176</v>
      </c>
      <c r="P1323" s="89">
        <v>8358</v>
      </c>
      <c r="Q1323" t="s">
        <v>47</v>
      </c>
      <c r="R1323" s="220" t="s">
        <v>1888</v>
      </c>
      <c r="S1323" s="220" t="s">
        <v>1861</v>
      </c>
      <c r="U1323" t="s">
        <v>1972</v>
      </c>
      <c r="V1323" t="s">
        <v>2832</v>
      </c>
    </row>
    <row r="1324" spans="1:22" ht="15.75" thickBot="1" x14ac:dyDescent="0.3">
      <c r="A1324" t="s">
        <v>1935</v>
      </c>
      <c r="B1324" t="s">
        <v>1935</v>
      </c>
      <c r="C1324" t="s">
        <v>1935</v>
      </c>
      <c r="D1324" t="s">
        <v>629</v>
      </c>
      <c r="E1324" s="259" t="s">
        <v>1853</v>
      </c>
      <c r="F1324" t="s">
        <v>620</v>
      </c>
      <c r="G1324" s="89">
        <v>2001</v>
      </c>
      <c r="H1324" s="341" t="s">
        <v>735</v>
      </c>
      <c r="I1324" s="337" t="str">
        <f t="shared" si="66"/>
        <v>Pesado de Passageiros M3: III : Gasóleo : E2</v>
      </c>
      <c r="J1324" s="125">
        <v>51</v>
      </c>
      <c r="K1324" s="264">
        <v>2022</v>
      </c>
      <c r="L1324" s="85">
        <v>11010.7</v>
      </c>
      <c r="M1324" s="85" t="s">
        <v>630</v>
      </c>
      <c r="N1324" s="128">
        <v>27088</v>
      </c>
      <c r="O1324" s="128">
        <f t="shared" si="67"/>
        <v>1381488</v>
      </c>
      <c r="P1324" s="89">
        <v>8359</v>
      </c>
      <c r="Q1324" t="s">
        <v>47</v>
      </c>
      <c r="R1324" s="220" t="s">
        <v>1888</v>
      </c>
      <c r="S1324" s="220" t="s">
        <v>1861</v>
      </c>
      <c r="U1324" t="s">
        <v>1972</v>
      </c>
      <c r="V1324" t="s">
        <v>2832</v>
      </c>
    </row>
    <row r="1325" spans="1:22" ht="15.75" thickBot="1" x14ac:dyDescent="0.3">
      <c r="A1325" t="s">
        <v>1935</v>
      </c>
      <c r="B1325" t="s">
        <v>1935</v>
      </c>
      <c r="C1325" t="s">
        <v>1935</v>
      </c>
      <c r="D1325" t="s">
        <v>629</v>
      </c>
      <c r="E1325" s="259" t="s">
        <v>1853</v>
      </c>
      <c r="F1325" t="s">
        <v>620</v>
      </c>
      <c r="G1325" s="89">
        <v>2009</v>
      </c>
      <c r="H1325" s="341" t="s">
        <v>734</v>
      </c>
      <c r="I1325" s="337" t="str">
        <f t="shared" si="66"/>
        <v>Pesado de Passageiros M3: III : Gasóleo : E5</v>
      </c>
      <c r="J1325" s="125">
        <v>85</v>
      </c>
      <c r="K1325" s="264">
        <v>2022</v>
      </c>
      <c r="L1325" s="85">
        <v>15479.400000000003</v>
      </c>
      <c r="M1325" s="85" t="s">
        <v>630</v>
      </c>
      <c r="N1325" s="128">
        <v>50338</v>
      </c>
      <c r="O1325" s="128">
        <f t="shared" si="67"/>
        <v>4278730</v>
      </c>
      <c r="P1325" s="89">
        <v>8360</v>
      </c>
      <c r="Q1325" t="s">
        <v>47</v>
      </c>
      <c r="R1325" s="220" t="s">
        <v>1888</v>
      </c>
      <c r="S1325" s="220" t="s">
        <v>1861</v>
      </c>
      <c r="U1325" t="s">
        <v>1972</v>
      </c>
      <c r="V1325" t="s">
        <v>2832</v>
      </c>
    </row>
    <row r="1326" spans="1:22" ht="15.75" thickBot="1" x14ac:dyDescent="0.3">
      <c r="A1326" t="s">
        <v>1935</v>
      </c>
      <c r="B1326" t="s">
        <v>1935</v>
      </c>
      <c r="C1326" t="s">
        <v>1935</v>
      </c>
      <c r="D1326" t="s">
        <v>629</v>
      </c>
      <c r="E1326" s="259" t="s">
        <v>1853</v>
      </c>
      <c r="F1326" t="s">
        <v>620</v>
      </c>
      <c r="G1326" s="89">
        <v>2009</v>
      </c>
      <c r="H1326" s="341" t="s">
        <v>731</v>
      </c>
      <c r="I1326" s="337" t="str">
        <f t="shared" si="66"/>
        <v>Pesado de Passageiros M3: III : Gasóleo : E4</v>
      </c>
      <c r="J1326" s="125">
        <v>84</v>
      </c>
      <c r="K1326" s="264">
        <v>2022</v>
      </c>
      <c r="L1326" s="85">
        <v>17679.399999999998</v>
      </c>
      <c r="M1326" s="85" t="s">
        <v>630</v>
      </c>
      <c r="N1326" s="128">
        <v>53622</v>
      </c>
      <c r="O1326" s="128">
        <f t="shared" si="67"/>
        <v>4504248</v>
      </c>
      <c r="P1326" s="89">
        <v>8361</v>
      </c>
      <c r="Q1326" t="s">
        <v>47</v>
      </c>
      <c r="R1326" s="220" t="s">
        <v>1888</v>
      </c>
      <c r="S1326" s="220" t="s">
        <v>1861</v>
      </c>
      <c r="U1326" t="s">
        <v>1972</v>
      </c>
      <c r="V1326" t="s">
        <v>2832</v>
      </c>
    </row>
    <row r="1327" spans="1:22" ht="15.75" thickBot="1" x14ac:dyDescent="0.3">
      <c r="A1327" t="s">
        <v>1935</v>
      </c>
      <c r="B1327" t="s">
        <v>1935</v>
      </c>
      <c r="C1327" t="s">
        <v>1935</v>
      </c>
      <c r="D1327" t="s">
        <v>629</v>
      </c>
      <c r="E1327" s="259" t="s">
        <v>1853</v>
      </c>
      <c r="F1327" t="s">
        <v>620</v>
      </c>
      <c r="G1327" s="89">
        <v>2006</v>
      </c>
      <c r="H1327" s="341" t="s">
        <v>732</v>
      </c>
      <c r="I1327" s="337" t="str">
        <f t="shared" si="66"/>
        <v>Pesado de Passageiros M3: III : Gasóleo : E3</v>
      </c>
      <c r="J1327" s="125">
        <v>72</v>
      </c>
      <c r="K1327" s="264">
        <v>2022</v>
      </c>
      <c r="L1327" s="85">
        <v>15973.7</v>
      </c>
      <c r="M1327" s="85" t="s">
        <v>630</v>
      </c>
      <c r="N1327" s="128">
        <v>50270</v>
      </c>
      <c r="O1327" s="128">
        <f t="shared" si="67"/>
        <v>3619440</v>
      </c>
      <c r="P1327" s="89">
        <v>8362</v>
      </c>
      <c r="Q1327" t="s">
        <v>47</v>
      </c>
      <c r="R1327" s="220" t="s">
        <v>1888</v>
      </c>
      <c r="S1327" s="220" t="s">
        <v>1861</v>
      </c>
      <c r="U1327" t="s">
        <v>1972</v>
      </c>
      <c r="V1327" t="s">
        <v>2832</v>
      </c>
    </row>
    <row r="1328" spans="1:22" ht="15.75" thickBot="1" x14ac:dyDescent="0.3">
      <c r="A1328" t="s">
        <v>1935</v>
      </c>
      <c r="B1328" t="s">
        <v>1935</v>
      </c>
      <c r="C1328" t="s">
        <v>1935</v>
      </c>
      <c r="D1328" t="s">
        <v>629</v>
      </c>
      <c r="E1328" s="259" t="s">
        <v>1853</v>
      </c>
      <c r="F1328" t="s">
        <v>620</v>
      </c>
      <c r="G1328" s="89">
        <v>2018</v>
      </c>
      <c r="H1328" s="341" t="s">
        <v>733</v>
      </c>
      <c r="I1328" s="337" t="str">
        <f t="shared" si="66"/>
        <v>Pesado de Passageiros M3: III : Gasóleo : E6</v>
      </c>
      <c r="J1328" s="125">
        <v>30</v>
      </c>
      <c r="K1328" s="264">
        <v>2022</v>
      </c>
      <c r="L1328" s="85">
        <v>7487.2999999999993</v>
      </c>
      <c r="M1328" s="85" t="s">
        <v>630</v>
      </c>
      <c r="N1328" s="128">
        <v>43136</v>
      </c>
      <c r="O1328" s="128">
        <f t="shared" si="67"/>
        <v>1294080</v>
      </c>
      <c r="P1328" s="89">
        <v>8363</v>
      </c>
      <c r="Q1328" t="s">
        <v>47</v>
      </c>
      <c r="R1328" s="220" t="s">
        <v>1888</v>
      </c>
      <c r="S1328" s="220" t="s">
        <v>1861</v>
      </c>
      <c r="U1328" t="s">
        <v>1972</v>
      </c>
      <c r="V1328" t="s">
        <v>2832</v>
      </c>
    </row>
    <row r="1329" spans="1:22" ht="15.75" thickBot="1" x14ac:dyDescent="0.3">
      <c r="A1329" t="s">
        <v>1935</v>
      </c>
      <c r="B1329" t="s">
        <v>1935</v>
      </c>
      <c r="C1329" t="s">
        <v>1935</v>
      </c>
      <c r="D1329" t="s">
        <v>629</v>
      </c>
      <c r="E1329" s="259" t="s">
        <v>1853</v>
      </c>
      <c r="F1329" t="s">
        <v>620</v>
      </c>
      <c r="G1329" s="89">
        <v>2008</v>
      </c>
      <c r="H1329" s="341" t="s">
        <v>731</v>
      </c>
      <c r="I1329" s="337" t="str">
        <f t="shared" si="66"/>
        <v>Pesado de Passageiros M3: III : Gasóleo : E4</v>
      </c>
      <c r="J1329" s="125">
        <v>75</v>
      </c>
      <c r="K1329" s="264">
        <v>2022</v>
      </c>
      <c r="L1329" s="85">
        <v>0</v>
      </c>
      <c r="M1329" s="85" t="s">
        <v>630</v>
      </c>
      <c r="N1329" s="128">
        <v>0</v>
      </c>
      <c r="O1329" s="128">
        <f t="shared" si="67"/>
        <v>0</v>
      </c>
      <c r="P1329" s="89">
        <v>8364</v>
      </c>
      <c r="Q1329" t="s">
        <v>47</v>
      </c>
      <c r="R1329" s="220" t="s">
        <v>1888</v>
      </c>
      <c r="S1329" s="220" t="s">
        <v>1861</v>
      </c>
      <c r="U1329" t="s">
        <v>1972</v>
      </c>
      <c r="V1329" t="s">
        <v>2832</v>
      </c>
    </row>
    <row r="1330" spans="1:22" ht="15.75" thickBot="1" x14ac:dyDescent="0.3">
      <c r="A1330" t="s">
        <v>1935</v>
      </c>
      <c r="B1330" t="s">
        <v>1935</v>
      </c>
      <c r="C1330" t="s">
        <v>1935</v>
      </c>
      <c r="D1330" t="s">
        <v>629</v>
      </c>
      <c r="E1330" s="259" t="s">
        <v>1853</v>
      </c>
      <c r="F1330" t="s">
        <v>620</v>
      </c>
      <c r="G1330" s="89">
        <v>2007</v>
      </c>
      <c r="H1330" s="341" t="s">
        <v>731</v>
      </c>
      <c r="I1330" s="337" t="str">
        <f t="shared" si="66"/>
        <v>Pesado de Passageiros M3: III : Gasóleo : E4</v>
      </c>
      <c r="J1330" s="125">
        <v>121</v>
      </c>
      <c r="K1330" s="264">
        <v>2022</v>
      </c>
      <c r="L1330" s="85">
        <v>11624.8</v>
      </c>
      <c r="M1330" s="85" t="s">
        <v>630</v>
      </c>
      <c r="N1330" s="128">
        <v>32121</v>
      </c>
      <c r="O1330" s="128">
        <f t="shared" si="67"/>
        <v>3886641</v>
      </c>
      <c r="P1330" s="89">
        <v>8365</v>
      </c>
      <c r="Q1330" t="s">
        <v>47</v>
      </c>
      <c r="R1330" s="220" t="s">
        <v>1888</v>
      </c>
      <c r="S1330" s="220" t="s">
        <v>1861</v>
      </c>
      <c r="U1330" t="s">
        <v>1972</v>
      </c>
      <c r="V1330" t="s">
        <v>2832</v>
      </c>
    </row>
    <row r="1331" spans="1:22" ht="15.75" thickBot="1" x14ac:dyDescent="0.3">
      <c r="A1331" t="s">
        <v>1935</v>
      </c>
      <c r="B1331" t="s">
        <v>1935</v>
      </c>
      <c r="C1331" t="s">
        <v>1935</v>
      </c>
      <c r="D1331" t="s">
        <v>629</v>
      </c>
      <c r="E1331" s="259" t="s">
        <v>1853</v>
      </c>
      <c r="F1331" t="s">
        <v>620</v>
      </c>
      <c r="G1331" s="89">
        <v>2019</v>
      </c>
      <c r="H1331" s="341" t="s">
        <v>733</v>
      </c>
      <c r="I1331" s="337" t="str">
        <f t="shared" si="66"/>
        <v>Pesado de Passageiros M3: III : Gasóleo : E6</v>
      </c>
      <c r="J1331" s="125">
        <v>53</v>
      </c>
      <c r="K1331" s="264">
        <v>2022</v>
      </c>
      <c r="L1331" s="85">
        <v>7776.9000000000015</v>
      </c>
      <c r="M1331" s="85" t="s">
        <v>630</v>
      </c>
      <c r="N1331" s="128">
        <v>28656</v>
      </c>
      <c r="O1331" s="128">
        <f t="shared" si="67"/>
        <v>1518768</v>
      </c>
      <c r="P1331" s="89">
        <v>8367</v>
      </c>
      <c r="Q1331" t="s">
        <v>47</v>
      </c>
      <c r="R1331" s="220" t="s">
        <v>1888</v>
      </c>
      <c r="S1331" s="220" t="s">
        <v>1861</v>
      </c>
      <c r="U1331" t="s">
        <v>1972</v>
      </c>
      <c r="V1331" t="s">
        <v>2832</v>
      </c>
    </row>
    <row r="1332" spans="1:22" ht="15.75" thickBot="1" x14ac:dyDescent="0.3">
      <c r="A1332" t="s">
        <v>1935</v>
      </c>
      <c r="B1332" t="s">
        <v>1935</v>
      </c>
      <c r="C1332" t="s">
        <v>1935</v>
      </c>
      <c r="D1332" t="s">
        <v>629</v>
      </c>
      <c r="E1332" s="259" t="s">
        <v>1853</v>
      </c>
      <c r="F1332" t="s">
        <v>620</v>
      </c>
      <c r="G1332" s="89">
        <v>2001</v>
      </c>
      <c r="H1332" s="341" t="s">
        <v>735</v>
      </c>
      <c r="I1332" s="337" t="str">
        <f t="shared" si="66"/>
        <v>Pesado de Passageiros M3: III : Gasóleo : E2</v>
      </c>
      <c r="J1332" s="125">
        <v>55</v>
      </c>
      <c r="K1332" s="264">
        <v>2022</v>
      </c>
      <c r="L1332" s="85">
        <v>23056.9</v>
      </c>
      <c r="M1332" s="85" t="s">
        <v>630</v>
      </c>
      <c r="N1332" s="128">
        <v>72903</v>
      </c>
      <c r="O1332" s="128">
        <f t="shared" si="67"/>
        <v>4009665</v>
      </c>
      <c r="P1332" s="89">
        <v>8369</v>
      </c>
      <c r="Q1332" t="s">
        <v>47</v>
      </c>
      <c r="R1332" s="220" t="s">
        <v>1888</v>
      </c>
      <c r="S1332" s="220" t="s">
        <v>1861</v>
      </c>
      <c r="U1332" t="s">
        <v>1972</v>
      </c>
      <c r="V1332" t="s">
        <v>2832</v>
      </c>
    </row>
    <row r="1333" spans="1:22" ht="15.75" thickBot="1" x14ac:dyDescent="0.3">
      <c r="A1333" t="s">
        <v>1935</v>
      </c>
      <c r="B1333" t="s">
        <v>1935</v>
      </c>
      <c r="C1333" t="s">
        <v>1935</v>
      </c>
      <c r="D1333" t="s">
        <v>629</v>
      </c>
      <c r="E1333" s="259" t="s">
        <v>1853</v>
      </c>
      <c r="F1333" t="s">
        <v>620</v>
      </c>
      <c r="G1333" s="89">
        <v>2009</v>
      </c>
      <c r="H1333" s="341" t="s">
        <v>731</v>
      </c>
      <c r="I1333" s="337" t="str">
        <f t="shared" si="66"/>
        <v>Pesado de Passageiros M3: III : Gasóleo : E4</v>
      </c>
      <c r="J1333" s="125">
        <v>100</v>
      </c>
      <c r="K1333" s="264">
        <v>2022</v>
      </c>
      <c r="L1333" s="85">
        <v>0</v>
      </c>
      <c r="M1333" s="85" t="s">
        <v>630</v>
      </c>
      <c r="N1333" s="128">
        <v>0</v>
      </c>
      <c r="O1333" s="128">
        <f t="shared" si="67"/>
        <v>0</v>
      </c>
      <c r="P1333" s="89">
        <v>8370</v>
      </c>
      <c r="Q1333" t="s">
        <v>47</v>
      </c>
      <c r="R1333" s="220" t="s">
        <v>1888</v>
      </c>
      <c r="S1333" s="220" t="s">
        <v>1861</v>
      </c>
      <c r="U1333" t="s">
        <v>1972</v>
      </c>
      <c r="V1333" t="s">
        <v>2832</v>
      </c>
    </row>
    <row r="1334" spans="1:22" ht="15.75" thickBot="1" x14ac:dyDescent="0.3">
      <c r="A1334" t="s">
        <v>1935</v>
      </c>
      <c r="B1334" t="s">
        <v>1935</v>
      </c>
      <c r="C1334" t="s">
        <v>1935</v>
      </c>
      <c r="D1334" t="s">
        <v>629</v>
      </c>
      <c r="E1334" s="259" t="s">
        <v>1853</v>
      </c>
      <c r="F1334" t="s">
        <v>620</v>
      </c>
      <c r="G1334" s="89">
        <v>2009</v>
      </c>
      <c r="H1334" s="341" t="s">
        <v>731</v>
      </c>
      <c r="I1334" s="337" t="str">
        <f t="shared" si="66"/>
        <v>Pesado de Passageiros M3: III : Gasóleo : E4</v>
      </c>
      <c r="J1334" s="125">
        <v>100</v>
      </c>
      <c r="K1334" s="264">
        <v>2022</v>
      </c>
      <c r="L1334" s="85">
        <v>249.5</v>
      </c>
      <c r="M1334" s="85" t="s">
        <v>630</v>
      </c>
      <c r="N1334" s="128">
        <v>0</v>
      </c>
      <c r="O1334" s="128">
        <f t="shared" si="67"/>
        <v>0</v>
      </c>
      <c r="P1334" s="89">
        <v>8371</v>
      </c>
      <c r="Q1334" t="s">
        <v>47</v>
      </c>
      <c r="R1334" s="220" t="s">
        <v>1888</v>
      </c>
      <c r="S1334" s="220" t="s">
        <v>1861</v>
      </c>
      <c r="U1334" t="s">
        <v>1972</v>
      </c>
      <c r="V1334" t="s">
        <v>2832</v>
      </c>
    </row>
    <row r="1335" spans="1:22" ht="15.75" thickBot="1" x14ac:dyDescent="0.3">
      <c r="A1335" t="s">
        <v>1935</v>
      </c>
      <c r="B1335" t="s">
        <v>1935</v>
      </c>
      <c r="C1335" t="s">
        <v>1935</v>
      </c>
      <c r="D1335" t="s">
        <v>629</v>
      </c>
      <c r="E1335" s="259" t="s">
        <v>1853</v>
      </c>
      <c r="F1335" t="s">
        <v>620</v>
      </c>
      <c r="G1335" s="89">
        <v>2008</v>
      </c>
      <c r="H1335" s="341" t="s">
        <v>731</v>
      </c>
      <c r="I1335" s="337" t="str">
        <f t="shared" si="66"/>
        <v>Pesado de Passageiros M3: III : Gasóleo : E4</v>
      </c>
      <c r="J1335" s="125">
        <v>57</v>
      </c>
      <c r="K1335" s="264">
        <v>2022</v>
      </c>
      <c r="L1335" s="85">
        <v>0</v>
      </c>
      <c r="M1335" s="85" t="s">
        <v>630</v>
      </c>
      <c r="N1335" s="128">
        <v>0</v>
      </c>
      <c r="O1335" s="128">
        <f t="shared" si="67"/>
        <v>0</v>
      </c>
      <c r="P1335" s="89">
        <v>8372</v>
      </c>
      <c r="Q1335" t="s">
        <v>47</v>
      </c>
      <c r="R1335" s="220" t="s">
        <v>1888</v>
      </c>
      <c r="S1335" s="220" t="s">
        <v>1861</v>
      </c>
      <c r="U1335" t="s">
        <v>1972</v>
      </c>
      <c r="V1335" t="s">
        <v>2832</v>
      </c>
    </row>
    <row r="1336" spans="1:22" ht="15.75" thickBot="1" x14ac:dyDescent="0.3">
      <c r="A1336" t="s">
        <v>1935</v>
      </c>
      <c r="B1336" t="s">
        <v>1935</v>
      </c>
      <c r="C1336" t="s">
        <v>1935</v>
      </c>
      <c r="D1336" t="s">
        <v>629</v>
      </c>
      <c r="E1336" s="259" t="s">
        <v>1853</v>
      </c>
      <c r="F1336" t="s">
        <v>620</v>
      </c>
      <c r="G1336" s="89">
        <v>1991</v>
      </c>
      <c r="H1336" s="341" t="s">
        <v>2249</v>
      </c>
      <c r="I1336" s="337" t="str">
        <f t="shared" si="66"/>
        <v>Pesado de Passageiros M3: III : Gasóleo : E0</v>
      </c>
      <c r="J1336" s="125">
        <v>80</v>
      </c>
      <c r="K1336" s="264">
        <v>2022</v>
      </c>
      <c r="L1336" s="85">
        <v>0</v>
      </c>
      <c r="M1336" s="85" t="s">
        <v>630</v>
      </c>
      <c r="N1336" s="128">
        <v>0</v>
      </c>
      <c r="O1336" s="128">
        <f t="shared" si="67"/>
        <v>0</v>
      </c>
      <c r="P1336" s="89">
        <v>8374</v>
      </c>
      <c r="Q1336" t="s">
        <v>47</v>
      </c>
      <c r="R1336" s="220" t="s">
        <v>1888</v>
      </c>
      <c r="S1336" s="220" t="s">
        <v>1861</v>
      </c>
      <c r="U1336" t="s">
        <v>1972</v>
      </c>
      <c r="V1336" t="s">
        <v>2832</v>
      </c>
    </row>
    <row r="1337" spans="1:22" ht="15.75" thickBot="1" x14ac:dyDescent="0.3">
      <c r="A1337" t="s">
        <v>1935</v>
      </c>
      <c r="B1337" t="s">
        <v>1935</v>
      </c>
      <c r="C1337" t="s">
        <v>1935</v>
      </c>
      <c r="D1337" t="s">
        <v>629</v>
      </c>
      <c r="E1337" s="259" t="s">
        <v>1853</v>
      </c>
      <c r="F1337" t="s">
        <v>620</v>
      </c>
      <c r="G1337" s="89">
        <v>2009</v>
      </c>
      <c r="H1337" s="341" t="s">
        <v>731</v>
      </c>
      <c r="I1337" s="337" t="str">
        <f t="shared" si="66"/>
        <v>Pesado de Passageiros M3: III : Gasóleo : E4</v>
      </c>
      <c r="J1337" s="125">
        <v>71</v>
      </c>
      <c r="K1337" s="264">
        <v>2022</v>
      </c>
      <c r="L1337" s="85">
        <v>4201.6000000000004</v>
      </c>
      <c r="M1337" s="85" t="s">
        <v>630</v>
      </c>
      <c r="N1337" s="128">
        <v>11160</v>
      </c>
      <c r="O1337" s="128">
        <f t="shared" si="67"/>
        <v>792360</v>
      </c>
      <c r="P1337" s="89">
        <v>8375</v>
      </c>
      <c r="Q1337" t="s">
        <v>47</v>
      </c>
      <c r="R1337" s="220" t="s">
        <v>1888</v>
      </c>
      <c r="S1337" s="220" t="s">
        <v>1861</v>
      </c>
      <c r="U1337" t="s">
        <v>1972</v>
      </c>
      <c r="V1337" t="s">
        <v>2832</v>
      </c>
    </row>
    <row r="1338" spans="1:22" ht="15.75" thickBot="1" x14ac:dyDescent="0.3">
      <c r="A1338" t="s">
        <v>1935</v>
      </c>
      <c r="B1338" t="s">
        <v>1935</v>
      </c>
      <c r="C1338" t="s">
        <v>1935</v>
      </c>
      <c r="D1338" t="s">
        <v>629</v>
      </c>
      <c r="E1338" s="259" t="s">
        <v>1853</v>
      </c>
      <c r="F1338" t="s">
        <v>620</v>
      </c>
      <c r="G1338" s="89">
        <v>2009</v>
      </c>
      <c r="H1338" s="341" t="s">
        <v>731</v>
      </c>
      <c r="I1338" s="337" t="str">
        <f t="shared" si="66"/>
        <v>Pesado de Passageiros M3: III : Gasóleo : E4</v>
      </c>
      <c r="J1338" s="125">
        <v>84</v>
      </c>
      <c r="K1338" s="264">
        <v>2022</v>
      </c>
      <c r="L1338" s="85">
        <v>2244.3000000000002</v>
      </c>
      <c r="M1338" s="85" t="s">
        <v>630</v>
      </c>
      <c r="N1338" s="128">
        <v>5911</v>
      </c>
      <c r="O1338" s="128">
        <f t="shared" si="67"/>
        <v>496524</v>
      </c>
      <c r="P1338" s="89">
        <v>8376</v>
      </c>
      <c r="Q1338" t="s">
        <v>47</v>
      </c>
      <c r="R1338" s="220" t="s">
        <v>1888</v>
      </c>
      <c r="S1338" s="220" t="s">
        <v>1861</v>
      </c>
      <c r="U1338" t="s">
        <v>1972</v>
      </c>
      <c r="V1338" t="s">
        <v>2832</v>
      </c>
    </row>
    <row r="1339" spans="1:22" ht="15.75" thickBot="1" x14ac:dyDescent="0.3">
      <c r="A1339" t="s">
        <v>1935</v>
      </c>
      <c r="B1339" t="s">
        <v>1935</v>
      </c>
      <c r="C1339" t="s">
        <v>1935</v>
      </c>
      <c r="D1339" t="s">
        <v>629</v>
      </c>
      <c r="E1339" s="259" t="s">
        <v>1853</v>
      </c>
      <c r="F1339" t="s">
        <v>620</v>
      </c>
      <c r="G1339" s="89">
        <v>2009</v>
      </c>
      <c r="H1339" s="341" t="s">
        <v>731</v>
      </c>
      <c r="I1339" s="337" t="str">
        <f t="shared" si="66"/>
        <v>Pesado de Passageiros M3: III : Gasóleo : E4</v>
      </c>
      <c r="J1339" s="125">
        <v>98</v>
      </c>
      <c r="K1339" s="264">
        <v>2022</v>
      </c>
      <c r="L1339" s="85">
        <v>5377</v>
      </c>
      <c r="M1339" s="85" t="s">
        <v>630</v>
      </c>
      <c r="N1339" s="128">
        <v>12263</v>
      </c>
      <c r="O1339" s="128">
        <f t="shared" si="67"/>
        <v>1201774</v>
      </c>
      <c r="P1339" s="89">
        <v>8377</v>
      </c>
      <c r="Q1339" t="s">
        <v>47</v>
      </c>
      <c r="R1339" s="220" t="s">
        <v>1888</v>
      </c>
      <c r="S1339" s="220" t="s">
        <v>1861</v>
      </c>
      <c r="U1339" t="s">
        <v>1972</v>
      </c>
      <c r="V1339" t="s">
        <v>2832</v>
      </c>
    </row>
    <row r="1340" spans="1:22" ht="15.75" thickBot="1" x14ac:dyDescent="0.3">
      <c r="A1340" t="s">
        <v>1935</v>
      </c>
      <c r="B1340" t="s">
        <v>1935</v>
      </c>
      <c r="C1340" t="s">
        <v>1935</v>
      </c>
      <c r="D1340" t="s">
        <v>629</v>
      </c>
      <c r="E1340" s="259" t="s">
        <v>1853</v>
      </c>
      <c r="F1340" t="s">
        <v>620</v>
      </c>
      <c r="G1340" s="89">
        <v>2008</v>
      </c>
      <c r="H1340" s="341" t="s">
        <v>731</v>
      </c>
      <c r="I1340" s="337" t="str">
        <f t="shared" si="66"/>
        <v>Pesado de Passageiros M3: III : Gasóleo : E4</v>
      </c>
      <c r="J1340" s="125">
        <v>57</v>
      </c>
      <c r="K1340" s="264">
        <v>2022</v>
      </c>
      <c r="L1340" s="85">
        <v>0</v>
      </c>
      <c r="M1340" s="85" t="s">
        <v>630</v>
      </c>
      <c r="N1340" s="128">
        <v>0</v>
      </c>
      <c r="O1340" s="128">
        <f t="shared" si="67"/>
        <v>0</v>
      </c>
      <c r="P1340" s="89">
        <v>8378</v>
      </c>
      <c r="Q1340" t="s">
        <v>47</v>
      </c>
      <c r="R1340" s="220" t="s">
        <v>1888</v>
      </c>
      <c r="S1340" s="220" t="s">
        <v>1861</v>
      </c>
      <c r="U1340" t="s">
        <v>1972</v>
      </c>
      <c r="V1340" t="s">
        <v>2832</v>
      </c>
    </row>
    <row r="1341" spans="1:22" ht="15.75" thickBot="1" x14ac:dyDescent="0.3">
      <c r="A1341" t="s">
        <v>1935</v>
      </c>
      <c r="B1341" t="s">
        <v>1935</v>
      </c>
      <c r="C1341" t="s">
        <v>1935</v>
      </c>
      <c r="D1341" t="s">
        <v>629</v>
      </c>
      <c r="E1341" s="259" t="s">
        <v>1853</v>
      </c>
      <c r="F1341" t="s">
        <v>620</v>
      </c>
      <c r="G1341" s="89">
        <v>2009</v>
      </c>
      <c r="H1341" s="341" t="s">
        <v>731</v>
      </c>
      <c r="I1341" s="337" t="str">
        <f t="shared" si="66"/>
        <v>Pesado de Passageiros M3: III : Gasóleo : E4</v>
      </c>
      <c r="J1341" s="125">
        <v>81</v>
      </c>
      <c r="K1341" s="264">
        <v>2022</v>
      </c>
      <c r="L1341" s="85">
        <v>1454.9</v>
      </c>
      <c r="M1341" s="85" t="s">
        <v>630</v>
      </c>
      <c r="N1341" s="128">
        <v>3618</v>
      </c>
      <c r="O1341" s="128">
        <f t="shared" si="67"/>
        <v>293058</v>
      </c>
      <c r="P1341" s="89">
        <v>8379</v>
      </c>
      <c r="Q1341" t="s">
        <v>47</v>
      </c>
      <c r="R1341" s="220" t="s">
        <v>1888</v>
      </c>
      <c r="S1341" s="220" t="s">
        <v>1861</v>
      </c>
      <c r="U1341" t="s">
        <v>1972</v>
      </c>
      <c r="V1341" t="s">
        <v>2832</v>
      </c>
    </row>
    <row r="1342" spans="1:22" ht="15.75" thickBot="1" x14ac:dyDescent="0.3">
      <c r="A1342" t="s">
        <v>1935</v>
      </c>
      <c r="B1342" t="s">
        <v>1935</v>
      </c>
      <c r="C1342" t="s">
        <v>1935</v>
      </c>
      <c r="D1342" t="s">
        <v>629</v>
      </c>
      <c r="E1342" s="259" t="s">
        <v>1853</v>
      </c>
      <c r="F1342" t="s">
        <v>620</v>
      </c>
      <c r="G1342" s="89">
        <v>1996</v>
      </c>
      <c r="H1342" s="341" t="s">
        <v>735</v>
      </c>
      <c r="I1342" s="337" t="str">
        <f t="shared" si="66"/>
        <v>Pesado de Passageiros M3: III : Gasóleo : E2</v>
      </c>
      <c r="J1342" s="125">
        <v>72</v>
      </c>
      <c r="K1342" s="264">
        <v>2022</v>
      </c>
      <c r="L1342" s="85">
        <v>12606.599999999999</v>
      </c>
      <c r="M1342" s="85" t="s">
        <v>630</v>
      </c>
      <c r="N1342" s="128">
        <v>41616</v>
      </c>
      <c r="O1342" s="128">
        <f t="shared" si="67"/>
        <v>2996352</v>
      </c>
      <c r="P1342" s="89">
        <v>8380</v>
      </c>
      <c r="Q1342" t="s">
        <v>47</v>
      </c>
      <c r="R1342" s="220" t="s">
        <v>1888</v>
      </c>
      <c r="S1342" s="220" t="s">
        <v>1861</v>
      </c>
      <c r="U1342" t="s">
        <v>1972</v>
      </c>
      <c r="V1342" t="s">
        <v>2832</v>
      </c>
    </row>
    <row r="1343" spans="1:22" ht="15.75" thickBot="1" x14ac:dyDescent="0.3">
      <c r="A1343" t="s">
        <v>1935</v>
      </c>
      <c r="B1343" t="s">
        <v>1935</v>
      </c>
      <c r="C1343" t="s">
        <v>1935</v>
      </c>
      <c r="D1343" t="s">
        <v>629</v>
      </c>
      <c r="E1343" s="259" t="s">
        <v>1853</v>
      </c>
      <c r="F1343" t="s">
        <v>620</v>
      </c>
      <c r="G1343" s="89">
        <v>1993</v>
      </c>
      <c r="H1343" s="341" t="s">
        <v>736</v>
      </c>
      <c r="I1343" s="337" t="str">
        <f t="shared" si="66"/>
        <v>Pesado de Passageiros M3: III : Gasóleo : E1</v>
      </c>
      <c r="J1343" s="125">
        <v>70</v>
      </c>
      <c r="K1343" s="264">
        <v>2022</v>
      </c>
      <c r="L1343" s="85">
        <v>14364.5</v>
      </c>
      <c r="M1343" s="85" t="s">
        <v>630</v>
      </c>
      <c r="N1343" s="128">
        <v>42416</v>
      </c>
      <c r="O1343" s="128">
        <f t="shared" si="67"/>
        <v>2969120</v>
      </c>
      <c r="P1343" s="89">
        <v>8381</v>
      </c>
      <c r="Q1343" t="s">
        <v>47</v>
      </c>
      <c r="R1343" s="220" t="s">
        <v>1888</v>
      </c>
      <c r="S1343" s="220" t="s">
        <v>1861</v>
      </c>
      <c r="U1343" t="s">
        <v>1972</v>
      </c>
      <c r="V1343" t="s">
        <v>2832</v>
      </c>
    </row>
    <row r="1344" spans="1:22" ht="15.75" thickBot="1" x14ac:dyDescent="0.3">
      <c r="A1344" t="s">
        <v>1935</v>
      </c>
      <c r="B1344" t="s">
        <v>1935</v>
      </c>
      <c r="C1344" t="s">
        <v>1935</v>
      </c>
      <c r="D1344" t="s">
        <v>629</v>
      </c>
      <c r="E1344" s="259" t="s">
        <v>1853</v>
      </c>
      <c r="F1344" t="s">
        <v>620</v>
      </c>
      <c r="G1344" s="89">
        <v>1993</v>
      </c>
      <c r="H1344" s="341" t="s">
        <v>736</v>
      </c>
      <c r="I1344" s="337" t="str">
        <f t="shared" si="66"/>
        <v>Pesado de Passageiros M3: III : Gasóleo : E1</v>
      </c>
      <c r="J1344" s="125">
        <v>71</v>
      </c>
      <c r="K1344" s="264">
        <v>2022</v>
      </c>
      <c r="L1344" s="85">
        <v>0</v>
      </c>
      <c r="M1344" s="85" t="s">
        <v>630</v>
      </c>
      <c r="N1344" s="128">
        <v>0</v>
      </c>
      <c r="O1344" s="128">
        <f t="shared" si="67"/>
        <v>0</v>
      </c>
      <c r="P1344" s="89">
        <v>8382</v>
      </c>
      <c r="Q1344" t="s">
        <v>47</v>
      </c>
      <c r="R1344" s="220" t="s">
        <v>1888</v>
      </c>
      <c r="S1344" s="220" t="s">
        <v>1861</v>
      </c>
      <c r="U1344" t="s">
        <v>1972</v>
      </c>
      <c r="V1344" t="s">
        <v>2832</v>
      </c>
    </row>
    <row r="1345" spans="1:22" ht="15.75" thickBot="1" x14ac:dyDescent="0.3">
      <c r="A1345" t="s">
        <v>1935</v>
      </c>
      <c r="B1345" t="s">
        <v>1935</v>
      </c>
      <c r="C1345" t="s">
        <v>1935</v>
      </c>
      <c r="D1345" t="s">
        <v>629</v>
      </c>
      <c r="E1345" s="259" t="s">
        <v>1853</v>
      </c>
      <c r="F1345" t="s">
        <v>620</v>
      </c>
      <c r="G1345" s="89">
        <v>2008</v>
      </c>
      <c r="H1345" s="341" t="s">
        <v>731</v>
      </c>
      <c r="I1345" s="337" t="str">
        <f t="shared" si="66"/>
        <v>Pesado de Passageiros M3: III : Gasóleo : E4</v>
      </c>
      <c r="J1345" s="125">
        <v>70</v>
      </c>
      <c r="K1345" s="264">
        <v>2022</v>
      </c>
      <c r="L1345" s="85">
        <v>7591.3</v>
      </c>
      <c r="M1345" s="85" t="s">
        <v>630</v>
      </c>
      <c r="N1345" s="128">
        <v>24572</v>
      </c>
      <c r="O1345" s="128">
        <f t="shared" si="67"/>
        <v>1720040</v>
      </c>
      <c r="P1345" s="89">
        <v>8383</v>
      </c>
      <c r="Q1345" t="s">
        <v>47</v>
      </c>
      <c r="R1345" s="220" t="s">
        <v>1888</v>
      </c>
      <c r="S1345" s="220" t="s">
        <v>1861</v>
      </c>
      <c r="U1345" t="s">
        <v>1972</v>
      </c>
      <c r="V1345" t="s">
        <v>2832</v>
      </c>
    </row>
    <row r="1346" spans="1:22" ht="15.75" thickBot="1" x14ac:dyDescent="0.3">
      <c r="A1346" t="s">
        <v>1935</v>
      </c>
      <c r="B1346" t="s">
        <v>1935</v>
      </c>
      <c r="C1346" t="s">
        <v>1935</v>
      </c>
      <c r="D1346" t="s">
        <v>629</v>
      </c>
      <c r="E1346" s="259" t="s">
        <v>1853</v>
      </c>
      <c r="F1346" t="s">
        <v>620</v>
      </c>
      <c r="G1346" s="89">
        <v>2009</v>
      </c>
      <c r="H1346" s="341" t="s">
        <v>734</v>
      </c>
      <c r="I1346" s="337" t="str">
        <f t="shared" si="66"/>
        <v>Pesado de Passageiros M3: III : Gasóleo : E5</v>
      </c>
      <c r="J1346" s="125">
        <v>71</v>
      </c>
      <c r="K1346" s="264">
        <v>2022</v>
      </c>
      <c r="L1346" s="85">
        <v>352.7</v>
      </c>
      <c r="M1346" s="85" t="s">
        <v>630</v>
      </c>
      <c r="N1346" s="128">
        <v>0</v>
      </c>
      <c r="O1346" s="128">
        <f t="shared" si="67"/>
        <v>0</v>
      </c>
      <c r="P1346" s="89">
        <v>8384</v>
      </c>
      <c r="Q1346" t="s">
        <v>47</v>
      </c>
      <c r="R1346" s="220" t="s">
        <v>1888</v>
      </c>
      <c r="S1346" s="220" t="s">
        <v>1861</v>
      </c>
      <c r="U1346" t="s">
        <v>1972</v>
      </c>
      <c r="V1346" t="s">
        <v>2832</v>
      </c>
    </row>
    <row r="1347" spans="1:22" ht="15.75" thickBot="1" x14ac:dyDescent="0.3">
      <c r="A1347" t="s">
        <v>1935</v>
      </c>
      <c r="B1347" t="s">
        <v>1935</v>
      </c>
      <c r="C1347" t="s">
        <v>1935</v>
      </c>
      <c r="D1347" t="s">
        <v>629</v>
      </c>
      <c r="E1347" s="259" t="s">
        <v>1853</v>
      </c>
      <c r="F1347" t="s">
        <v>620</v>
      </c>
      <c r="G1347" s="89">
        <v>2007</v>
      </c>
      <c r="H1347" s="341" t="s">
        <v>731</v>
      </c>
      <c r="I1347" s="337" t="str">
        <f t="shared" si="66"/>
        <v>Pesado de Passageiros M3: III : Gasóleo : E4</v>
      </c>
      <c r="J1347" s="125">
        <v>74</v>
      </c>
      <c r="K1347" s="264">
        <v>2022</v>
      </c>
      <c r="L1347" s="85">
        <v>0</v>
      </c>
      <c r="M1347" s="85" t="s">
        <v>630</v>
      </c>
      <c r="N1347" s="128">
        <v>0</v>
      </c>
      <c r="O1347" s="128">
        <f t="shared" si="67"/>
        <v>0</v>
      </c>
      <c r="P1347" s="89">
        <v>8385</v>
      </c>
      <c r="Q1347" t="s">
        <v>47</v>
      </c>
      <c r="R1347" s="220" t="s">
        <v>1888</v>
      </c>
      <c r="S1347" s="220" t="s">
        <v>1861</v>
      </c>
      <c r="U1347" t="s">
        <v>1972</v>
      </c>
      <c r="V1347" t="s">
        <v>2832</v>
      </c>
    </row>
    <row r="1348" spans="1:22" ht="15.75" thickBot="1" x14ac:dyDescent="0.3">
      <c r="A1348" t="s">
        <v>1935</v>
      </c>
      <c r="B1348" t="s">
        <v>1935</v>
      </c>
      <c r="C1348" t="s">
        <v>1935</v>
      </c>
      <c r="D1348" t="s">
        <v>629</v>
      </c>
      <c r="E1348" s="259" t="s">
        <v>1853</v>
      </c>
      <c r="F1348" t="s">
        <v>620</v>
      </c>
      <c r="G1348" s="89">
        <v>2006</v>
      </c>
      <c r="H1348" s="341" t="s">
        <v>731</v>
      </c>
      <c r="I1348" s="337" t="str">
        <f t="shared" ref="I1348:I1411" si="68">D1348&amp;": "&amp;E1348&amp;" : "&amp;F1348&amp;" : "&amp;H1348</f>
        <v>Pesado de Passageiros M3: III : Gasóleo : E4</v>
      </c>
      <c r="J1348" s="125">
        <v>70</v>
      </c>
      <c r="K1348" s="264">
        <v>2022</v>
      </c>
      <c r="L1348" s="85">
        <v>2290.4</v>
      </c>
      <c r="M1348" s="85" t="s">
        <v>630</v>
      </c>
      <c r="N1348" s="128">
        <v>6354</v>
      </c>
      <c r="O1348" s="128">
        <f t="shared" ref="O1348:O1411" si="69">N1348*J1348</f>
        <v>444780</v>
      </c>
      <c r="P1348" s="89">
        <v>8386</v>
      </c>
      <c r="Q1348" t="s">
        <v>47</v>
      </c>
      <c r="R1348" s="220" t="s">
        <v>1888</v>
      </c>
      <c r="S1348" s="220" t="s">
        <v>1861</v>
      </c>
      <c r="U1348" t="s">
        <v>1972</v>
      </c>
      <c r="V1348" t="s">
        <v>2832</v>
      </c>
    </row>
    <row r="1349" spans="1:22" ht="15.75" thickBot="1" x14ac:dyDescent="0.3">
      <c r="A1349" t="s">
        <v>1935</v>
      </c>
      <c r="B1349" t="s">
        <v>1935</v>
      </c>
      <c r="C1349" t="s">
        <v>1935</v>
      </c>
      <c r="D1349" t="s">
        <v>629</v>
      </c>
      <c r="E1349" s="259" t="s">
        <v>1853</v>
      </c>
      <c r="F1349" t="s">
        <v>620</v>
      </c>
      <c r="G1349" s="89">
        <v>1998</v>
      </c>
      <c r="H1349" s="341" t="s">
        <v>736</v>
      </c>
      <c r="I1349" s="337" t="str">
        <f t="shared" si="68"/>
        <v>Pesado de Passageiros M3: III : Gasóleo : E1</v>
      </c>
      <c r="J1349" s="125">
        <v>70</v>
      </c>
      <c r="K1349" s="264">
        <v>2022</v>
      </c>
      <c r="L1349" s="85">
        <v>17379.300000000003</v>
      </c>
      <c r="M1349" s="85" t="s">
        <v>630</v>
      </c>
      <c r="N1349" s="128">
        <v>58673</v>
      </c>
      <c r="O1349" s="128">
        <f t="shared" si="69"/>
        <v>4107110</v>
      </c>
      <c r="P1349" s="89">
        <v>8387</v>
      </c>
      <c r="Q1349" t="s">
        <v>47</v>
      </c>
      <c r="R1349" s="220" t="s">
        <v>1888</v>
      </c>
      <c r="S1349" s="220" t="s">
        <v>1861</v>
      </c>
      <c r="U1349" t="s">
        <v>1972</v>
      </c>
      <c r="V1349" t="s">
        <v>2832</v>
      </c>
    </row>
    <row r="1350" spans="1:22" ht="15.75" thickBot="1" x14ac:dyDescent="0.3">
      <c r="A1350" t="s">
        <v>1935</v>
      </c>
      <c r="B1350" t="s">
        <v>1935</v>
      </c>
      <c r="C1350" t="s">
        <v>1935</v>
      </c>
      <c r="D1350" t="s">
        <v>629</v>
      </c>
      <c r="E1350" s="259" t="s">
        <v>1853</v>
      </c>
      <c r="F1350" t="s">
        <v>620</v>
      </c>
      <c r="G1350" s="89">
        <v>2009</v>
      </c>
      <c r="H1350" s="341" t="s">
        <v>731</v>
      </c>
      <c r="I1350" s="337" t="str">
        <f t="shared" si="68"/>
        <v>Pesado de Passageiros M3: III : Gasóleo : E4</v>
      </c>
      <c r="J1350" s="125">
        <v>53</v>
      </c>
      <c r="K1350" s="264">
        <v>2022</v>
      </c>
      <c r="L1350" s="85">
        <v>851.9</v>
      </c>
      <c r="M1350" s="85" t="s">
        <v>630</v>
      </c>
      <c r="N1350" s="128">
        <v>2758</v>
      </c>
      <c r="O1350" s="128">
        <f t="shared" si="69"/>
        <v>146174</v>
      </c>
      <c r="P1350" s="89">
        <v>8388</v>
      </c>
      <c r="Q1350" t="s">
        <v>47</v>
      </c>
      <c r="R1350" s="220" t="s">
        <v>1888</v>
      </c>
      <c r="S1350" s="220" t="s">
        <v>1861</v>
      </c>
      <c r="U1350" t="s">
        <v>1972</v>
      </c>
      <c r="V1350" t="s">
        <v>2832</v>
      </c>
    </row>
    <row r="1351" spans="1:22" ht="15.75" thickBot="1" x14ac:dyDescent="0.3">
      <c r="A1351" t="s">
        <v>1935</v>
      </c>
      <c r="B1351" t="s">
        <v>1935</v>
      </c>
      <c r="C1351" t="s">
        <v>1935</v>
      </c>
      <c r="D1351" t="s">
        <v>629</v>
      </c>
      <c r="E1351" s="259" t="s">
        <v>1853</v>
      </c>
      <c r="F1351" t="s">
        <v>620</v>
      </c>
      <c r="G1351" s="89">
        <v>2007</v>
      </c>
      <c r="H1351" s="341" t="s">
        <v>731</v>
      </c>
      <c r="I1351" s="337" t="str">
        <f t="shared" si="68"/>
        <v>Pesado de Passageiros M3: III : Gasóleo : E4</v>
      </c>
      <c r="J1351" s="125">
        <v>94</v>
      </c>
      <c r="K1351" s="264">
        <v>2022</v>
      </c>
      <c r="L1351" s="85">
        <v>225.1</v>
      </c>
      <c r="M1351" s="85" t="s">
        <v>630</v>
      </c>
      <c r="N1351" s="128">
        <v>0</v>
      </c>
      <c r="O1351" s="128">
        <f t="shared" si="69"/>
        <v>0</v>
      </c>
      <c r="P1351" s="89">
        <v>8389</v>
      </c>
      <c r="Q1351" t="s">
        <v>47</v>
      </c>
      <c r="R1351" s="220" t="s">
        <v>1888</v>
      </c>
      <c r="S1351" s="220" t="s">
        <v>1861</v>
      </c>
      <c r="U1351" t="s">
        <v>1972</v>
      </c>
      <c r="V1351" t="s">
        <v>2832</v>
      </c>
    </row>
    <row r="1352" spans="1:22" ht="15.75" thickBot="1" x14ac:dyDescent="0.3">
      <c r="A1352" t="s">
        <v>1935</v>
      </c>
      <c r="B1352" t="s">
        <v>1935</v>
      </c>
      <c r="C1352" t="s">
        <v>1935</v>
      </c>
      <c r="D1352" t="s">
        <v>629</v>
      </c>
      <c r="E1352" s="259" t="s">
        <v>1853</v>
      </c>
      <c r="F1352" t="s">
        <v>620</v>
      </c>
      <c r="G1352" s="89">
        <v>1996</v>
      </c>
      <c r="H1352" s="341" t="s">
        <v>736</v>
      </c>
      <c r="I1352" s="337" t="str">
        <f t="shared" si="68"/>
        <v>Pesado de Passageiros M3: III : Gasóleo : E1</v>
      </c>
      <c r="J1352" s="125">
        <v>74</v>
      </c>
      <c r="K1352" s="264">
        <v>2022</v>
      </c>
      <c r="L1352" s="85">
        <v>9073.9</v>
      </c>
      <c r="M1352" s="85" t="s">
        <v>630</v>
      </c>
      <c r="N1352" s="128">
        <v>26413</v>
      </c>
      <c r="O1352" s="128">
        <f t="shared" si="69"/>
        <v>1954562</v>
      </c>
      <c r="P1352" s="89">
        <v>8394</v>
      </c>
      <c r="Q1352" t="s">
        <v>47</v>
      </c>
      <c r="R1352" s="220" t="s">
        <v>1888</v>
      </c>
      <c r="S1352" s="220" t="s">
        <v>1861</v>
      </c>
      <c r="U1352" t="s">
        <v>1972</v>
      </c>
      <c r="V1352" t="s">
        <v>2832</v>
      </c>
    </row>
    <row r="1353" spans="1:22" ht="15.75" thickBot="1" x14ac:dyDescent="0.3">
      <c r="A1353" t="s">
        <v>1935</v>
      </c>
      <c r="B1353" t="s">
        <v>1935</v>
      </c>
      <c r="C1353" t="s">
        <v>1935</v>
      </c>
      <c r="D1353" t="s">
        <v>629</v>
      </c>
      <c r="E1353" s="259" t="s">
        <v>1853</v>
      </c>
      <c r="F1353" t="s">
        <v>620</v>
      </c>
      <c r="G1353" s="89">
        <v>1995</v>
      </c>
      <c r="H1353" s="341" t="s">
        <v>736</v>
      </c>
      <c r="I1353" s="337" t="str">
        <f t="shared" si="68"/>
        <v>Pesado de Passageiros M3: III : Gasóleo : E1</v>
      </c>
      <c r="J1353" s="125">
        <v>71</v>
      </c>
      <c r="K1353" s="264">
        <v>2022</v>
      </c>
      <c r="L1353" s="85">
        <v>9182.4</v>
      </c>
      <c r="M1353" s="85" t="s">
        <v>630</v>
      </c>
      <c r="N1353" s="128">
        <v>33606</v>
      </c>
      <c r="O1353" s="128">
        <f t="shared" si="69"/>
        <v>2386026</v>
      </c>
      <c r="P1353" s="89">
        <v>8395</v>
      </c>
      <c r="Q1353" t="s">
        <v>47</v>
      </c>
      <c r="R1353" s="220" t="s">
        <v>1888</v>
      </c>
      <c r="S1353" s="220" t="s">
        <v>1861</v>
      </c>
      <c r="U1353" t="s">
        <v>1972</v>
      </c>
      <c r="V1353" t="s">
        <v>2832</v>
      </c>
    </row>
    <row r="1354" spans="1:22" ht="15.75" thickBot="1" x14ac:dyDescent="0.3">
      <c r="A1354" t="s">
        <v>1935</v>
      </c>
      <c r="B1354" t="s">
        <v>1935</v>
      </c>
      <c r="C1354" t="s">
        <v>1935</v>
      </c>
      <c r="D1354" t="s">
        <v>629</v>
      </c>
      <c r="E1354" s="259" t="s">
        <v>1853</v>
      </c>
      <c r="F1354" t="s">
        <v>620</v>
      </c>
      <c r="G1354" s="89">
        <v>1998</v>
      </c>
      <c r="H1354" s="341" t="s">
        <v>735</v>
      </c>
      <c r="I1354" s="337" t="str">
        <f t="shared" si="68"/>
        <v>Pesado de Passageiros M3: III : Gasóleo : E2</v>
      </c>
      <c r="J1354" s="125">
        <v>65</v>
      </c>
      <c r="K1354" s="264">
        <v>2022</v>
      </c>
      <c r="L1354" s="85">
        <v>8326.4</v>
      </c>
      <c r="M1354" s="85" t="s">
        <v>630</v>
      </c>
      <c r="N1354" s="128">
        <v>23687</v>
      </c>
      <c r="O1354" s="128">
        <f t="shared" si="69"/>
        <v>1539655</v>
      </c>
      <c r="P1354" s="89">
        <v>8396</v>
      </c>
      <c r="Q1354" t="s">
        <v>47</v>
      </c>
      <c r="R1354" s="220" t="s">
        <v>1888</v>
      </c>
      <c r="S1354" s="220" t="s">
        <v>1861</v>
      </c>
      <c r="U1354" t="s">
        <v>1972</v>
      </c>
      <c r="V1354" t="s">
        <v>2832</v>
      </c>
    </row>
    <row r="1355" spans="1:22" ht="15.75" thickBot="1" x14ac:dyDescent="0.3">
      <c r="A1355" t="s">
        <v>1935</v>
      </c>
      <c r="B1355" t="s">
        <v>1935</v>
      </c>
      <c r="C1355" t="s">
        <v>1935</v>
      </c>
      <c r="D1355" t="s">
        <v>629</v>
      </c>
      <c r="E1355" s="259" t="s">
        <v>1853</v>
      </c>
      <c r="F1355" t="s">
        <v>620</v>
      </c>
      <c r="G1355" s="89">
        <v>2008</v>
      </c>
      <c r="H1355" s="341" t="s">
        <v>731</v>
      </c>
      <c r="I1355" s="337" t="str">
        <f t="shared" si="68"/>
        <v>Pesado de Passageiros M3: III : Gasóleo : E4</v>
      </c>
      <c r="J1355" s="125">
        <v>51</v>
      </c>
      <c r="K1355" s="264">
        <v>2022</v>
      </c>
      <c r="L1355" s="85">
        <v>6174.5999999999995</v>
      </c>
      <c r="M1355" s="85" t="s">
        <v>630</v>
      </c>
      <c r="N1355" s="128">
        <v>25177</v>
      </c>
      <c r="O1355" s="128">
        <f t="shared" si="69"/>
        <v>1284027</v>
      </c>
      <c r="P1355" s="89">
        <v>8397</v>
      </c>
      <c r="Q1355" t="s">
        <v>47</v>
      </c>
      <c r="R1355" s="220" t="s">
        <v>1888</v>
      </c>
      <c r="S1355" s="220" t="s">
        <v>1861</v>
      </c>
      <c r="U1355" t="s">
        <v>1972</v>
      </c>
      <c r="V1355" t="s">
        <v>2832</v>
      </c>
    </row>
    <row r="1356" spans="1:22" ht="15.75" thickBot="1" x14ac:dyDescent="0.3">
      <c r="A1356" t="s">
        <v>1935</v>
      </c>
      <c r="B1356" t="s">
        <v>1935</v>
      </c>
      <c r="C1356" t="s">
        <v>1935</v>
      </c>
      <c r="D1356" t="s">
        <v>629</v>
      </c>
      <c r="E1356" s="259" t="s">
        <v>1853</v>
      </c>
      <c r="F1356" t="s">
        <v>620</v>
      </c>
      <c r="G1356" s="89">
        <v>2009</v>
      </c>
      <c r="H1356" s="341" t="s">
        <v>731</v>
      </c>
      <c r="I1356" s="337" t="str">
        <f t="shared" si="68"/>
        <v>Pesado de Passageiros M3: III : Gasóleo : E4</v>
      </c>
      <c r="J1356" s="125">
        <v>78</v>
      </c>
      <c r="K1356" s="264">
        <v>2022</v>
      </c>
      <c r="L1356" s="85">
        <v>11955.6</v>
      </c>
      <c r="M1356" s="85" t="s">
        <v>630</v>
      </c>
      <c r="N1356" s="128">
        <v>44201</v>
      </c>
      <c r="O1356" s="128">
        <f t="shared" si="69"/>
        <v>3447678</v>
      </c>
      <c r="P1356" s="89">
        <v>8399</v>
      </c>
      <c r="Q1356" t="s">
        <v>47</v>
      </c>
      <c r="R1356" s="220" t="s">
        <v>1888</v>
      </c>
      <c r="S1356" s="220" t="s">
        <v>1861</v>
      </c>
      <c r="U1356" t="s">
        <v>1972</v>
      </c>
      <c r="V1356" t="s">
        <v>2832</v>
      </c>
    </row>
    <row r="1357" spans="1:22" ht="15.75" thickBot="1" x14ac:dyDescent="0.3">
      <c r="A1357" t="s">
        <v>1935</v>
      </c>
      <c r="B1357" t="s">
        <v>1935</v>
      </c>
      <c r="C1357" t="s">
        <v>1935</v>
      </c>
      <c r="D1357" t="s">
        <v>629</v>
      </c>
      <c r="E1357" s="259" t="s">
        <v>1853</v>
      </c>
      <c r="F1357" t="s">
        <v>620</v>
      </c>
      <c r="G1357" s="89">
        <v>1996</v>
      </c>
      <c r="H1357" s="341" t="s">
        <v>736</v>
      </c>
      <c r="I1357" s="337" t="str">
        <f t="shared" si="68"/>
        <v>Pesado de Passageiros M3: III : Gasóleo : E1</v>
      </c>
      <c r="J1357" s="125">
        <v>51</v>
      </c>
      <c r="K1357" s="264">
        <v>2022</v>
      </c>
      <c r="L1357" s="85">
        <v>11255.300000000003</v>
      </c>
      <c r="M1357" s="85" t="s">
        <v>630</v>
      </c>
      <c r="N1357" s="128">
        <v>38741</v>
      </c>
      <c r="O1357" s="128">
        <f t="shared" si="69"/>
        <v>1975791</v>
      </c>
      <c r="P1357" s="89">
        <v>8405</v>
      </c>
      <c r="Q1357" t="s">
        <v>47</v>
      </c>
      <c r="R1357" s="220" t="s">
        <v>1888</v>
      </c>
      <c r="S1357" s="220" t="s">
        <v>1861</v>
      </c>
      <c r="U1357" t="s">
        <v>1972</v>
      </c>
      <c r="V1357" t="s">
        <v>2832</v>
      </c>
    </row>
    <row r="1358" spans="1:22" ht="15.75" thickBot="1" x14ac:dyDescent="0.3">
      <c r="A1358" t="s">
        <v>1935</v>
      </c>
      <c r="B1358" t="s">
        <v>1935</v>
      </c>
      <c r="C1358" t="s">
        <v>1935</v>
      </c>
      <c r="D1358" t="s">
        <v>629</v>
      </c>
      <c r="E1358" s="259" t="s">
        <v>1853</v>
      </c>
      <c r="F1358" t="s">
        <v>620</v>
      </c>
      <c r="G1358" s="89">
        <v>1997</v>
      </c>
      <c r="H1358" s="341" t="s">
        <v>735</v>
      </c>
      <c r="I1358" s="337" t="str">
        <f t="shared" si="68"/>
        <v>Pesado de Passageiros M3: III : Gasóleo : E2</v>
      </c>
      <c r="J1358" s="125">
        <v>51</v>
      </c>
      <c r="K1358" s="264">
        <v>2022</v>
      </c>
      <c r="L1358" s="85">
        <v>15159.6</v>
      </c>
      <c r="M1358" s="85" t="s">
        <v>630</v>
      </c>
      <c r="N1358" s="128">
        <v>52027</v>
      </c>
      <c r="O1358" s="128">
        <f t="shared" si="69"/>
        <v>2653377</v>
      </c>
      <c r="P1358" s="89">
        <v>8407</v>
      </c>
      <c r="Q1358" t="s">
        <v>47</v>
      </c>
      <c r="R1358" s="220" t="s">
        <v>1888</v>
      </c>
      <c r="S1358" s="220" t="s">
        <v>1861</v>
      </c>
      <c r="U1358" t="s">
        <v>1972</v>
      </c>
      <c r="V1358" t="s">
        <v>2832</v>
      </c>
    </row>
    <row r="1359" spans="1:22" ht="15.75" thickBot="1" x14ac:dyDescent="0.3">
      <c r="A1359" t="s">
        <v>1935</v>
      </c>
      <c r="B1359" t="s">
        <v>1935</v>
      </c>
      <c r="C1359" t="s">
        <v>1935</v>
      </c>
      <c r="D1359" t="s">
        <v>629</v>
      </c>
      <c r="E1359" s="259" t="s">
        <v>1853</v>
      </c>
      <c r="F1359" t="s">
        <v>620</v>
      </c>
      <c r="G1359" s="89">
        <v>1997</v>
      </c>
      <c r="H1359" s="341" t="s">
        <v>735</v>
      </c>
      <c r="I1359" s="337" t="str">
        <f t="shared" si="68"/>
        <v>Pesado de Passageiros M3: III : Gasóleo : E2</v>
      </c>
      <c r="J1359" s="125">
        <v>51</v>
      </c>
      <c r="K1359" s="264">
        <v>2022</v>
      </c>
      <c r="L1359" s="85">
        <v>13683.1</v>
      </c>
      <c r="M1359" s="85" t="s">
        <v>630</v>
      </c>
      <c r="N1359" s="128">
        <v>42398</v>
      </c>
      <c r="O1359" s="128">
        <f t="shared" si="69"/>
        <v>2162298</v>
      </c>
      <c r="P1359" s="89">
        <v>8408</v>
      </c>
      <c r="Q1359" t="s">
        <v>47</v>
      </c>
      <c r="R1359" s="220" t="s">
        <v>1888</v>
      </c>
      <c r="S1359" s="220" t="s">
        <v>1861</v>
      </c>
      <c r="U1359" t="s">
        <v>1972</v>
      </c>
      <c r="V1359" t="s">
        <v>2832</v>
      </c>
    </row>
    <row r="1360" spans="1:22" ht="15.75" thickBot="1" x14ac:dyDescent="0.3">
      <c r="A1360" t="s">
        <v>1935</v>
      </c>
      <c r="B1360" t="s">
        <v>1935</v>
      </c>
      <c r="C1360" t="s">
        <v>1935</v>
      </c>
      <c r="D1360" t="s">
        <v>629</v>
      </c>
      <c r="E1360" s="259" t="s">
        <v>1853</v>
      </c>
      <c r="F1360" t="s">
        <v>620</v>
      </c>
      <c r="G1360" s="89">
        <v>1997</v>
      </c>
      <c r="H1360" s="341" t="s">
        <v>735</v>
      </c>
      <c r="I1360" s="337" t="str">
        <f t="shared" si="68"/>
        <v>Pesado de Passageiros M3: III : Gasóleo : E2</v>
      </c>
      <c r="J1360" s="125">
        <v>51</v>
      </c>
      <c r="K1360" s="264">
        <v>2022</v>
      </c>
      <c r="L1360" s="85">
        <v>12752.699999999999</v>
      </c>
      <c r="M1360" s="85" t="s">
        <v>630</v>
      </c>
      <c r="N1360" s="128">
        <v>46995</v>
      </c>
      <c r="O1360" s="128">
        <f t="shared" si="69"/>
        <v>2396745</v>
      </c>
      <c r="P1360" s="89">
        <v>8409</v>
      </c>
      <c r="Q1360" t="s">
        <v>47</v>
      </c>
      <c r="R1360" s="220" t="s">
        <v>1888</v>
      </c>
      <c r="S1360" s="220" t="s">
        <v>1861</v>
      </c>
      <c r="U1360" t="s">
        <v>1972</v>
      </c>
      <c r="V1360" t="s">
        <v>2832</v>
      </c>
    </row>
    <row r="1361" spans="1:22" ht="15.75" thickBot="1" x14ac:dyDescent="0.3">
      <c r="A1361" t="s">
        <v>1935</v>
      </c>
      <c r="B1361" t="s">
        <v>1935</v>
      </c>
      <c r="C1361" t="s">
        <v>1935</v>
      </c>
      <c r="D1361" t="s">
        <v>629</v>
      </c>
      <c r="E1361" s="259" t="s">
        <v>1853</v>
      </c>
      <c r="F1361" t="s">
        <v>620</v>
      </c>
      <c r="G1361" s="89">
        <v>1997</v>
      </c>
      <c r="H1361" s="341" t="s">
        <v>735</v>
      </c>
      <c r="I1361" s="337" t="str">
        <f t="shared" si="68"/>
        <v>Pesado de Passageiros M3: III : Gasóleo : E2</v>
      </c>
      <c r="J1361" s="125">
        <v>53</v>
      </c>
      <c r="K1361" s="264">
        <v>2022</v>
      </c>
      <c r="L1361" s="85">
        <v>7435</v>
      </c>
      <c r="M1361" s="85" t="s">
        <v>630</v>
      </c>
      <c r="N1361" s="128">
        <v>25349</v>
      </c>
      <c r="O1361" s="128">
        <f t="shared" si="69"/>
        <v>1343497</v>
      </c>
      <c r="P1361" s="89">
        <v>8410</v>
      </c>
      <c r="Q1361" t="s">
        <v>47</v>
      </c>
      <c r="R1361" s="220" t="s">
        <v>1888</v>
      </c>
      <c r="S1361" s="220" t="s">
        <v>1861</v>
      </c>
      <c r="U1361" t="s">
        <v>1972</v>
      </c>
      <c r="V1361" t="s">
        <v>2832</v>
      </c>
    </row>
    <row r="1362" spans="1:22" ht="15.75" thickBot="1" x14ac:dyDescent="0.3">
      <c r="A1362" t="s">
        <v>1935</v>
      </c>
      <c r="B1362" t="s">
        <v>1935</v>
      </c>
      <c r="C1362" t="s">
        <v>1935</v>
      </c>
      <c r="D1362" t="s">
        <v>629</v>
      </c>
      <c r="E1362" s="259" t="s">
        <v>1853</v>
      </c>
      <c r="F1362" t="s">
        <v>620</v>
      </c>
      <c r="G1362" s="89">
        <v>1998</v>
      </c>
      <c r="H1362" s="341" t="s">
        <v>735</v>
      </c>
      <c r="I1362" s="337" t="str">
        <f t="shared" si="68"/>
        <v>Pesado de Passageiros M3: III : Gasóleo : E2</v>
      </c>
      <c r="J1362" s="125">
        <v>53</v>
      </c>
      <c r="K1362" s="264">
        <v>2022</v>
      </c>
      <c r="L1362" s="85">
        <v>7956.7999999999993</v>
      </c>
      <c r="M1362" s="85" t="s">
        <v>630</v>
      </c>
      <c r="N1362" s="128">
        <v>27136</v>
      </c>
      <c r="O1362" s="128">
        <f t="shared" si="69"/>
        <v>1438208</v>
      </c>
      <c r="P1362" s="89">
        <v>8411</v>
      </c>
      <c r="Q1362" t="s">
        <v>47</v>
      </c>
      <c r="R1362" s="220" t="s">
        <v>1888</v>
      </c>
      <c r="S1362" s="220" t="s">
        <v>1861</v>
      </c>
      <c r="U1362" t="s">
        <v>1972</v>
      </c>
      <c r="V1362" t="s">
        <v>2832</v>
      </c>
    </row>
    <row r="1363" spans="1:22" ht="15.75" thickBot="1" x14ac:dyDescent="0.3">
      <c r="A1363" t="s">
        <v>1935</v>
      </c>
      <c r="B1363" t="s">
        <v>1935</v>
      </c>
      <c r="C1363" t="s">
        <v>1935</v>
      </c>
      <c r="D1363" t="s">
        <v>629</v>
      </c>
      <c r="E1363" s="259" t="s">
        <v>1853</v>
      </c>
      <c r="F1363" t="s">
        <v>620</v>
      </c>
      <c r="G1363" s="89">
        <v>2000</v>
      </c>
      <c r="H1363" s="341" t="s">
        <v>735</v>
      </c>
      <c r="I1363" s="337" t="str">
        <f t="shared" si="68"/>
        <v>Pesado de Passageiros M3: III : Gasóleo : E2</v>
      </c>
      <c r="J1363" s="125">
        <v>51</v>
      </c>
      <c r="K1363" s="264">
        <v>2022</v>
      </c>
      <c r="L1363" s="85">
        <v>19263.8</v>
      </c>
      <c r="M1363" s="85" t="s">
        <v>630</v>
      </c>
      <c r="N1363" s="128">
        <v>64982</v>
      </c>
      <c r="O1363" s="128">
        <f t="shared" si="69"/>
        <v>3314082</v>
      </c>
      <c r="P1363" s="89">
        <v>8412</v>
      </c>
      <c r="Q1363" t="s">
        <v>47</v>
      </c>
      <c r="R1363" s="220" t="s">
        <v>1888</v>
      </c>
      <c r="S1363" s="220" t="s">
        <v>1861</v>
      </c>
      <c r="U1363" t="s">
        <v>1972</v>
      </c>
      <c r="V1363" t="s">
        <v>2832</v>
      </c>
    </row>
    <row r="1364" spans="1:22" ht="15.75" thickBot="1" x14ac:dyDescent="0.3">
      <c r="A1364" t="s">
        <v>1935</v>
      </c>
      <c r="B1364" t="s">
        <v>1935</v>
      </c>
      <c r="C1364" t="s">
        <v>1935</v>
      </c>
      <c r="D1364" t="s">
        <v>629</v>
      </c>
      <c r="E1364" s="259" t="s">
        <v>1853</v>
      </c>
      <c r="F1364" t="s">
        <v>620</v>
      </c>
      <c r="G1364" s="89">
        <v>2000</v>
      </c>
      <c r="H1364" s="341" t="s">
        <v>735</v>
      </c>
      <c r="I1364" s="337" t="str">
        <f t="shared" si="68"/>
        <v>Pesado de Passageiros M3: III : Gasóleo : E2</v>
      </c>
      <c r="J1364" s="125">
        <v>51</v>
      </c>
      <c r="K1364" s="264">
        <v>2022</v>
      </c>
      <c r="L1364" s="85">
        <v>20096.2</v>
      </c>
      <c r="M1364" s="85" t="s">
        <v>630</v>
      </c>
      <c r="N1364" s="128">
        <v>60365</v>
      </c>
      <c r="O1364" s="128">
        <f t="shared" si="69"/>
        <v>3078615</v>
      </c>
      <c r="P1364" s="89">
        <v>8413</v>
      </c>
      <c r="Q1364" t="s">
        <v>47</v>
      </c>
      <c r="R1364" s="220" t="s">
        <v>1888</v>
      </c>
      <c r="S1364" s="220" t="s">
        <v>1861</v>
      </c>
      <c r="U1364" t="s">
        <v>1972</v>
      </c>
      <c r="V1364" t="s">
        <v>2832</v>
      </c>
    </row>
    <row r="1365" spans="1:22" ht="15.75" thickBot="1" x14ac:dyDescent="0.3">
      <c r="A1365" t="s">
        <v>1935</v>
      </c>
      <c r="B1365" t="s">
        <v>1935</v>
      </c>
      <c r="C1365" t="s">
        <v>1935</v>
      </c>
      <c r="D1365" t="s">
        <v>629</v>
      </c>
      <c r="E1365" s="259" t="s">
        <v>1853</v>
      </c>
      <c r="F1365" t="s">
        <v>620</v>
      </c>
      <c r="G1365" s="89">
        <v>2001</v>
      </c>
      <c r="H1365" s="341" t="s">
        <v>735</v>
      </c>
      <c r="I1365" s="337" t="str">
        <f t="shared" si="68"/>
        <v>Pesado de Passageiros M3: III : Gasóleo : E2</v>
      </c>
      <c r="J1365" s="125">
        <v>55</v>
      </c>
      <c r="K1365" s="264">
        <v>2022</v>
      </c>
      <c r="L1365" s="85">
        <v>13770.899999999998</v>
      </c>
      <c r="M1365" s="85" t="s">
        <v>630</v>
      </c>
      <c r="N1365" s="128">
        <v>32157</v>
      </c>
      <c r="O1365" s="128">
        <f t="shared" si="69"/>
        <v>1768635</v>
      </c>
      <c r="P1365" s="89">
        <v>8416</v>
      </c>
      <c r="Q1365" t="s">
        <v>47</v>
      </c>
      <c r="R1365" s="220" t="s">
        <v>1888</v>
      </c>
      <c r="S1365" s="220" t="s">
        <v>1861</v>
      </c>
      <c r="U1365" t="s">
        <v>1972</v>
      </c>
      <c r="V1365" t="s">
        <v>2832</v>
      </c>
    </row>
    <row r="1366" spans="1:22" ht="15.75" thickBot="1" x14ac:dyDescent="0.3">
      <c r="A1366" t="s">
        <v>1935</v>
      </c>
      <c r="B1366" t="s">
        <v>1935</v>
      </c>
      <c r="C1366" t="s">
        <v>1935</v>
      </c>
      <c r="D1366" t="s">
        <v>629</v>
      </c>
      <c r="E1366" s="259" t="s">
        <v>1853</v>
      </c>
      <c r="F1366" t="s">
        <v>620</v>
      </c>
      <c r="G1366" s="89">
        <v>2001</v>
      </c>
      <c r="H1366" s="341" t="s">
        <v>735</v>
      </c>
      <c r="I1366" s="337" t="str">
        <f t="shared" si="68"/>
        <v>Pesado de Passageiros M3: III : Gasóleo : E2</v>
      </c>
      <c r="J1366" s="125">
        <v>55</v>
      </c>
      <c r="K1366" s="264">
        <v>2022</v>
      </c>
      <c r="L1366" s="85">
        <v>18177.399999999998</v>
      </c>
      <c r="M1366" s="85" t="s">
        <v>630</v>
      </c>
      <c r="N1366" s="128">
        <v>60230</v>
      </c>
      <c r="O1366" s="128">
        <f t="shared" si="69"/>
        <v>3312650</v>
      </c>
      <c r="P1366" s="89">
        <v>8417</v>
      </c>
      <c r="Q1366" t="s">
        <v>47</v>
      </c>
      <c r="R1366" s="220" t="s">
        <v>1888</v>
      </c>
      <c r="S1366" s="220" t="s">
        <v>1861</v>
      </c>
      <c r="U1366" t="s">
        <v>1972</v>
      </c>
      <c r="V1366" t="s">
        <v>2832</v>
      </c>
    </row>
    <row r="1367" spans="1:22" ht="15.75" thickBot="1" x14ac:dyDescent="0.3">
      <c r="A1367" t="s">
        <v>1935</v>
      </c>
      <c r="B1367" t="s">
        <v>1935</v>
      </c>
      <c r="C1367" t="s">
        <v>1935</v>
      </c>
      <c r="D1367" t="s">
        <v>629</v>
      </c>
      <c r="E1367" s="259" t="s">
        <v>1853</v>
      </c>
      <c r="F1367" t="s">
        <v>620</v>
      </c>
      <c r="G1367" s="89">
        <v>2001</v>
      </c>
      <c r="H1367" s="341" t="s">
        <v>735</v>
      </c>
      <c r="I1367" s="337" t="str">
        <f t="shared" si="68"/>
        <v>Pesado de Passageiros M3: III : Gasóleo : E2</v>
      </c>
      <c r="J1367" s="125">
        <v>55</v>
      </c>
      <c r="K1367" s="264">
        <v>2022</v>
      </c>
      <c r="L1367" s="85">
        <v>15630.599999999999</v>
      </c>
      <c r="M1367" s="85" t="s">
        <v>630</v>
      </c>
      <c r="N1367" s="128">
        <v>53065</v>
      </c>
      <c r="O1367" s="128">
        <f t="shared" si="69"/>
        <v>2918575</v>
      </c>
      <c r="P1367" s="89">
        <v>8418</v>
      </c>
      <c r="Q1367" t="s">
        <v>47</v>
      </c>
      <c r="R1367" s="220" t="s">
        <v>1888</v>
      </c>
      <c r="S1367" s="220" t="s">
        <v>1861</v>
      </c>
      <c r="U1367" t="s">
        <v>1972</v>
      </c>
      <c r="V1367" t="s">
        <v>2832</v>
      </c>
    </row>
    <row r="1368" spans="1:22" ht="15.75" thickBot="1" x14ac:dyDescent="0.3">
      <c r="A1368" t="s">
        <v>1935</v>
      </c>
      <c r="B1368" t="s">
        <v>1935</v>
      </c>
      <c r="C1368" t="s">
        <v>1935</v>
      </c>
      <c r="D1368" t="s">
        <v>629</v>
      </c>
      <c r="E1368" s="259" t="s">
        <v>1853</v>
      </c>
      <c r="F1368" t="s">
        <v>620</v>
      </c>
      <c r="G1368" s="89">
        <v>1999</v>
      </c>
      <c r="H1368" s="341" t="s">
        <v>735</v>
      </c>
      <c r="I1368" s="337" t="str">
        <f t="shared" si="68"/>
        <v>Pesado de Passageiros M3: III : Gasóleo : E2</v>
      </c>
      <c r="J1368" s="125">
        <v>51</v>
      </c>
      <c r="K1368" s="264">
        <v>2022</v>
      </c>
      <c r="L1368" s="85">
        <v>16979.900000000001</v>
      </c>
      <c r="M1368" s="85" t="s">
        <v>630</v>
      </c>
      <c r="N1368" s="128">
        <v>47456</v>
      </c>
      <c r="O1368" s="128">
        <f t="shared" si="69"/>
        <v>2420256</v>
      </c>
      <c r="P1368" s="89">
        <v>8420</v>
      </c>
      <c r="Q1368" t="s">
        <v>47</v>
      </c>
      <c r="R1368" s="220" t="s">
        <v>1888</v>
      </c>
      <c r="S1368" s="220" t="s">
        <v>1861</v>
      </c>
      <c r="U1368" t="s">
        <v>1972</v>
      </c>
      <c r="V1368" t="s">
        <v>2832</v>
      </c>
    </row>
    <row r="1369" spans="1:22" ht="15.75" thickBot="1" x14ac:dyDescent="0.3">
      <c r="A1369" t="s">
        <v>1935</v>
      </c>
      <c r="B1369" t="s">
        <v>1935</v>
      </c>
      <c r="C1369" t="s">
        <v>1935</v>
      </c>
      <c r="D1369" t="s">
        <v>629</v>
      </c>
      <c r="E1369" s="259" t="s">
        <v>1853</v>
      </c>
      <c r="F1369" t="s">
        <v>620</v>
      </c>
      <c r="G1369" s="89">
        <v>2001</v>
      </c>
      <c r="H1369" s="341" t="s">
        <v>735</v>
      </c>
      <c r="I1369" s="337" t="str">
        <f t="shared" si="68"/>
        <v>Pesado de Passageiros M3: III : Gasóleo : E2</v>
      </c>
      <c r="J1369" s="125">
        <v>52</v>
      </c>
      <c r="K1369" s="264">
        <v>2022</v>
      </c>
      <c r="L1369" s="85">
        <v>11127.499999999998</v>
      </c>
      <c r="M1369" s="85" t="s">
        <v>630</v>
      </c>
      <c r="N1369" s="128">
        <v>33923</v>
      </c>
      <c r="O1369" s="128">
        <f t="shared" si="69"/>
        <v>1763996</v>
      </c>
      <c r="P1369" s="89">
        <v>8422</v>
      </c>
      <c r="Q1369" t="s">
        <v>47</v>
      </c>
      <c r="R1369" s="220" t="s">
        <v>1888</v>
      </c>
      <c r="S1369" s="220" t="s">
        <v>1861</v>
      </c>
      <c r="U1369" t="s">
        <v>1972</v>
      </c>
      <c r="V1369" t="s">
        <v>2832</v>
      </c>
    </row>
    <row r="1370" spans="1:22" ht="15.75" thickBot="1" x14ac:dyDescent="0.3">
      <c r="A1370" t="s">
        <v>1935</v>
      </c>
      <c r="B1370" t="s">
        <v>1935</v>
      </c>
      <c r="C1370" t="s">
        <v>1935</v>
      </c>
      <c r="D1370" t="s">
        <v>629</v>
      </c>
      <c r="E1370" s="259" t="s">
        <v>1853</v>
      </c>
      <c r="F1370" t="s">
        <v>620</v>
      </c>
      <c r="G1370" s="89">
        <v>2001</v>
      </c>
      <c r="H1370" s="341" t="s">
        <v>735</v>
      </c>
      <c r="I1370" s="337" t="str">
        <f t="shared" si="68"/>
        <v>Pesado de Passageiros M3: III : Gasóleo : E2</v>
      </c>
      <c r="J1370" s="125">
        <v>53</v>
      </c>
      <c r="K1370" s="264">
        <v>2022</v>
      </c>
      <c r="L1370" s="85">
        <v>19059.3</v>
      </c>
      <c r="M1370" s="85" t="s">
        <v>630</v>
      </c>
      <c r="N1370" s="128">
        <v>59984</v>
      </c>
      <c r="O1370" s="128">
        <f t="shared" si="69"/>
        <v>3179152</v>
      </c>
      <c r="P1370" s="89">
        <v>8423</v>
      </c>
      <c r="Q1370" t="s">
        <v>47</v>
      </c>
      <c r="R1370" s="220" t="s">
        <v>1888</v>
      </c>
      <c r="S1370" s="220" t="s">
        <v>1861</v>
      </c>
      <c r="U1370" t="s">
        <v>1972</v>
      </c>
      <c r="V1370" t="s">
        <v>2832</v>
      </c>
    </row>
    <row r="1371" spans="1:22" ht="15.75" thickBot="1" x14ac:dyDescent="0.3">
      <c r="A1371" t="s">
        <v>1935</v>
      </c>
      <c r="B1371" t="s">
        <v>1935</v>
      </c>
      <c r="C1371" t="s">
        <v>1935</v>
      </c>
      <c r="D1371" t="s">
        <v>629</v>
      </c>
      <c r="E1371" s="259" t="s">
        <v>1853</v>
      </c>
      <c r="F1371" t="s">
        <v>620</v>
      </c>
      <c r="G1371" s="89">
        <v>2009</v>
      </c>
      <c r="H1371" s="341" t="s">
        <v>731</v>
      </c>
      <c r="I1371" s="337" t="str">
        <f t="shared" si="68"/>
        <v>Pesado de Passageiros M3: III : Gasóleo : E4</v>
      </c>
      <c r="J1371" s="125">
        <v>55</v>
      </c>
      <c r="K1371" s="264">
        <v>2022</v>
      </c>
      <c r="L1371" s="85">
        <v>18211.099999999999</v>
      </c>
      <c r="M1371" s="85" t="s">
        <v>630</v>
      </c>
      <c r="N1371" s="128">
        <v>58895</v>
      </c>
      <c r="O1371" s="128">
        <f t="shared" si="69"/>
        <v>3239225</v>
      </c>
      <c r="P1371" s="89">
        <v>8429</v>
      </c>
      <c r="Q1371" t="s">
        <v>47</v>
      </c>
      <c r="R1371" s="220" t="s">
        <v>1888</v>
      </c>
      <c r="S1371" s="220" t="s">
        <v>1861</v>
      </c>
      <c r="U1371" t="s">
        <v>1972</v>
      </c>
      <c r="V1371" t="s">
        <v>2832</v>
      </c>
    </row>
    <row r="1372" spans="1:22" ht="15.75" thickBot="1" x14ac:dyDescent="0.3">
      <c r="A1372" t="s">
        <v>1935</v>
      </c>
      <c r="B1372" t="s">
        <v>1935</v>
      </c>
      <c r="C1372" t="s">
        <v>1935</v>
      </c>
      <c r="D1372" t="s">
        <v>629</v>
      </c>
      <c r="E1372" s="259" t="s">
        <v>1853</v>
      </c>
      <c r="F1372" t="s">
        <v>620</v>
      </c>
      <c r="G1372" s="89">
        <v>2009</v>
      </c>
      <c r="H1372" s="341" t="s">
        <v>731</v>
      </c>
      <c r="I1372" s="337" t="str">
        <f t="shared" si="68"/>
        <v>Pesado de Passageiros M3: III : Gasóleo : E4</v>
      </c>
      <c r="J1372" s="125">
        <v>55</v>
      </c>
      <c r="K1372" s="264">
        <v>2022</v>
      </c>
      <c r="L1372" s="85">
        <v>31123.600000000002</v>
      </c>
      <c r="M1372" s="85" t="s">
        <v>630</v>
      </c>
      <c r="N1372" s="128">
        <v>78620</v>
      </c>
      <c r="O1372" s="128">
        <f t="shared" si="69"/>
        <v>4324100</v>
      </c>
      <c r="P1372" s="89">
        <v>8432</v>
      </c>
      <c r="Q1372" t="s">
        <v>47</v>
      </c>
      <c r="R1372" s="220" t="s">
        <v>1888</v>
      </c>
      <c r="S1372" s="220" t="s">
        <v>1861</v>
      </c>
      <c r="U1372" t="s">
        <v>1972</v>
      </c>
      <c r="V1372" t="s">
        <v>2832</v>
      </c>
    </row>
    <row r="1373" spans="1:22" ht="15.75" thickBot="1" x14ac:dyDescent="0.3">
      <c r="A1373" t="s">
        <v>1935</v>
      </c>
      <c r="B1373" t="s">
        <v>1935</v>
      </c>
      <c r="C1373" t="s">
        <v>1935</v>
      </c>
      <c r="D1373" t="s">
        <v>629</v>
      </c>
      <c r="E1373" s="259" t="s">
        <v>1853</v>
      </c>
      <c r="F1373" t="s">
        <v>620</v>
      </c>
      <c r="G1373" s="89">
        <v>2009</v>
      </c>
      <c r="H1373" s="341" t="s">
        <v>731</v>
      </c>
      <c r="I1373" s="337" t="str">
        <f t="shared" si="68"/>
        <v>Pesado de Passageiros M3: III : Gasóleo : E4</v>
      </c>
      <c r="J1373" s="125">
        <v>55</v>
      </c>
      <c r="K1373" s="264">
        <v>2022</v>
      </c>
      <c r="L1373" s="85">
        <v>21353.600000000002</v>
      </c>
      <c r="M1373" s="85" t="s">
        <v>630</v>
      </c>
      <c r="N1373" s="128">
        <v>61858</v>
      </c>
      <c r="O1373" s="128">
        <f t="shared" si="69"/>
        <v>3402190</v>
      </c>
      <c r="P1373" s="89">
        <v>8433</v>
      </c>
      <c r="Q1373" t="s">
        <v>47</v>
      </c>
      <c r="R1373" s="220" t="s">
        <v>1888</v>
      </c>
      <c r="S1373" s="220" t="s">
        <v>1861</v>
      </c>
      <c r="U1373" t="s">
        <v>1972</v>
      </c>
      <c r="V1373" t="s">
        <v>2832</v>
      </c>
    </row>
    <row r="1374" spans="1:22" ht="15.75" thickBot="1" x14ac:dyDescent="0.3">
      <c r="A1374" t="s">
        <v>1935</v>
      </c>
      <c r="B1374" t="s">
        <v>1935</v>
      </c>
      <c r="C1374" t="s">
        <v>1935</v>
      </c>
      <c r="D1374" t="s">
        <v>629</v>
      </c>
      <c r="E1374" s="259" t="s">
        <v>1853</v>
      </c>
      <c r="F1374" t="s">
        <v>620</v>
      </c>
      <c r="G1374" s="89">
        <v>2009</v>
      </c>
      <c r="H1374" s="341" t="s">
        <v>731</v>
      </c>
      <c r="I1374" s="337" t="str">
        <f t="shared" si="68"/>
        <v>Pesado de Passageiros M3: III : Gasóleo : E4</v>
      </c>
      <c r="J1374" s="125">
        <v>55</v>
      </c>
      <c r="K1374" s="264">
        <v>2022</v>
      </c>
      <c r="L1374" s="85">
        <v>27876.9</v>
      </c>
      <c r="M1374" s="85" t="s">
        <v>630</v>
      </c>
      <c r="N1374" s="128">
        <v>82092</v>
      </c>
      <c r="O1374" s="128">
        <f t="shared" si="69"/>
        <v>4515060</v>
      </c>
      <c r="P1374" s="89">
        <v>8434</v>
      </c>
      <c r="Q1374" t="s">
        <v>47</v>
      </c>
      <c r="R1374" s="220" t="s">
        <v>1888</v>
      </c>
      <c r="S1374" s="220" t="s">
        <v>1861</v>
      </c>
      <c r="U1374" t="s">
        <v>1972</v>
      </c>
      <c r="V1374" t="s">
        <v>2832</v>
      </c>
    </row>
    <row r="1375" spans="1:22" ht="15.75" thickBot="1" x14ac:dyDescent="0.3">
      <c r="A1375" t="s">
        <v>1935</v>
      </c>
      <c r="B1375" t="s">
        <v>1935</v>
      </c>
      <c r="C1375" t="s">
        <v>1935</v>
      </c>
      <c r="D1375" t="s">
        <v>629</v>
      </c>
      <c r="E1375" s="259" t="s">
        <v>1853</v>
      </c>
      <c r="F1375" t="s">
        <v>620</v>
      </c>
      <c r="G1375" s="89">
        <v>1997</v>
      </c>
      <c r="H1375" s="341" t="s">
        <v>735</v>
      </c>
      <c r="I1375" s="337" t="str">
        <f t="shared" si="68"/>
        <v>Pesado de Passageiros M3: III : Gasóleo : E2</v>
      </c>
      <c r="J1375" s="125">
        <v>52</v>
      </c>
      <c r="K1375" s="264">
        <v>2022</v>
      </c>
      <c r="L1375" s="85">
        <v>8797.4</v>
      </c>
      <c r="M1375" s="85" t="s">
        <v>630</v>
      </c>
      <c r="N1375" s="128">
        <v>28137</v>
      </c>
      <c r="O1375" s="128">
        <f t="shared" si="69"/>
        <v>1463124</v>
      </c>
      <c r="P1375" s="89">
        <v>8435</v>
      </c>
      <c r="Q1375" t="s">
        <v>47</v>
      </c>
      <c r="R1375" s="220" t="s">
        <v>1888</v>
      </c>
      <c r="S1375" s="220" t="s">
        <v>1861</v>
      </c>
      <c r="U1375" t="s">
        <v>1972</v>
      </c>
      <c r="V1375" t="s">
        <v>2832</v>
      </c>
    </row>
    <row r="1376" spans="1:22" ht="15.75" thickBot="1" x14ac:dyDescent="0.3">
      <c r="A1376" t="s">
        <v>1935</v>
      </c>
      <c r="B1376" t="s">
        <v>1935</v>
      </c>
      <c r="C1376" t="s">
        <v>1935</v>
      </c>
      <c r="D1376" t="s">
        <v>629</v>
      </c>
      <c r="E1376" s="259" t="s">
        <v>1853</v>
      </c>
      <c r="F1376" t="s">
        <v>620</v>
      </c>
      <c r="G1376" s="89">
        <v>1997</v>
      </c>
      <c r="H1376" s="341" t="s">
        <v>735</v>
      </c>
      <c r="I1376" s="337" t="str">
        <f t="shared" si="68"/>
        <v>Pesado de Passageiros M3: III : Gasóleo : E2</v>
      </c>
      <c r="J1376" s="125">
        <v>52</v>
      </c>
      <c r="K1376" s="264">
        <v>2022</v>
      </c>
      <c r="L1376" s="85">
        <v>10172.599999999999</v>
      </c>
      <c r="M1376" s="85" t="s">
        <v>630</v>
      </c>
      <c r="N1376" s="128">
        <v>36383</v>
      </c>
      <c r="O1376" s="128">
        <f t="shared" si="69"/>
        <v>1891916</v>
      </c>
      <c r="P1376" s="89">
        <v>8436</v>
      </c>
      <c r="Q1376" t="s">
        <v>47</v>
      </c>
      <c r="R1376" s="220" t="s">
        <v>1888</v>
      </c>
      <c r="S1376" s="220" t="s">
        <v>1861</v>
      </c>
      <c r="U1376" t="s">
        <v>1972</v>
      </c>
      <c r="V1376" t="s">
        <v>2832</v>
      </c>
    </row>
    <row r="1377" spans="1:22" ht="15.75" thickBot="1" x14ac:dyDescent="0.3">
      <c r="A1377" t="s">
        <v>1935</v>
      </c>
      <c r="B1377" t="s">
        <v>1935</v>
      </c>
      <c r="C1377" t="s">
        <v>1935</v>
      </c>
      <c r="D1377" t="s">
        <v>629</v>
      </c>
      <c r="E1377" s="259" t="s">
        <v>1853</v>
      </c>
      <c r="F1377" t="s">
        <v>620</v>
      </c>
      <c r="G1377" s="89">
        <v>2008</v>
      </c>
      <c r="H1377" s="341" t="s">
        <v>731</v>
      </c>
      <c r="I1377" s="337" t="str">
        <f t="shared" si="68"/>
        <v>Pesado de Passageiros M3: III : Gasóleo : E4</v>
      </c>
      <c r="J1377" s="125">
        <v>53</v>
      </c>
      <c r="K1377" s="264">
        <v>2022</v>
      </c>
      <c r="L1377" s="85">
        <v>22680.5</v>
      </c>
      <c r="M1377" s="85" t="s">
        <v>630</v>
      </c>
      <c r="N1377" s="128">
        <v>79614</v>
      </c>
      <c r="O1377" s="128">
        <f t="shared" si="69"/>
        <v>4219542</v>
      </c>
      <c r="P1377" s="89">
        <v>8437</v>
      </c>
      <c r="Q1377" t="s">
        <v>47</v>
      </c>
      <c r="R1377" s="220" t="s">
        <v>1888</v>
      </c>
      <c r="S1377" s="220" t="s">
        <v>1861</v>
      </c>
      <c r="U1377" t="s">
        <v>1972</v>
      </c>
      <c r="V1377" t="s">
        <v>2832</v>
      </c>
    </row>
    <row r="1378" spans="1:22" ht="15.75" thickBot="1" x14ac:dyDescent="0.3">
      <c r="A1378" t="s">
        <v>1935</v>
      </c>
      <c r="B1378" t="s">
        <v>1935</v>
      </c>
      <c r="C1378" t="s">
        <v>1935</v>
      </c>
      <c r="D1378" t="s">
        <v>629</v>
      </c>
      <c r="E1378" s="259" t="s">
        <v>1853</v>
      </c>
      <c r="F1378" t="s">
        <v>620</v>
      </c>
      <c r="G1378" s="89">
        <v>2008</v>
      </c>
      <c r="H1378" s="341" t="s">
        <v>731</v>
      </c>
      <c r="I1378" s="337" t="str">
        <f t="shared" si="68"/>
        <v>Pesado de Passageiros M3: III : Gasóleo : E4</v>
      </c>
      <c r="J1378" s="125">
        <v>53</v>
      </c>
      <c r="K1378" s="264">
        <v>2022</v>
      </c>
      <c r="L1378" s="85">
        <v>40000.100000000006</v>
      </c>
      <c r="M1378" s="85" t="s">
        <v>630</v>
      </c>
      <c r="N1378" s="128">
        <v>124426</v>
      </c>
      <c r="O1378" s="128">
        <f t="shared" si="69"/>
        <v>6594578</v>
      </c>
      <c r="P1378" s="89">
        <v>8438</v>
      </c>
      <c r="Q1378" t="s">
        <v>47</v>
      </c>
      <c r="R1378" s="220" t="s">
        <v>1888</v>
      </c>
      <c r="S1378" s="220" t="s">
        <v>1861</v>
      </c>
      <c r="U1378" t="s">
        <v>1972</v>
      </c>
      <c r="V1378" t="s">
        <v>2832</v>
      </c>
    </row>
    <row r="1379" spans="1:22" ht="15.75" thickBot="1" x14ac:dyDescent="0.3">
      <c r="A1379" t="s">
        <v>1935</v>
      </c>
      <c r="B1379" t="s">
        <v>1935</v>
      </c>
      <c r="C1379" t="s">
        <v>1935</v>
      </c>
      <c r="D1379" t="s">
        <v>629</v>
      </c>
      <c r="E1379" s="259" t="s">
        <v>1853</v>
      </c>
      <c r="F1379" t="s">
        <v>620</v>
      </c>
      <c r="G1379" s="89">
        <v>2001</v>
      </c>
      <c r="H1379" s="341" t="s">
        <v>735</v>
      </c>
      <c r="I1379" s="337" t="str">
        <f t="shared" si="68"/>
        <v>Pesado de Passageiros M3: III : Gasóleo : E2</v>
      </c>
      <c r="J1379" s="125">
        <v>55</v>
      </c>
      <c r="K1379" s="264">
        <v>2022</v>
      </c>
      <c r="L1379" s="85">
        <v>14249.800000000001</v>
      </c>
      <c r="M1379" s="85" t="s">
        <v>630</v>
      </c>
      <c r="N1379" s="128">
        <v>44012</v>
      </c>
      <c r="O1379" s="128">
        <f t="shared" si="69"/>
        <v>2420660</v>
      </c>
      <c r="P1379" s="89">
        <v>8439</v>
      </c>
      <c r="Q1379" t="s">
        <v>47</v>
      </c>
      <c r="R1379" s="220" t="s">
        <v>1888</v>
      </c>
      <c r="S1379" s="220" t="s">
        <v>1861</v>
      </c>
      <c r="U1379" t="s">
        <v>1972</v>
      </c>
      <c r="V1379" t="s">
        <v>2832</v>
      </c>
    </row>
    <row r="1380" spans="1:22" ht="15.75" thickBot="1" x14ac:dyDescent="0.3">
      <c r="A1380" t="s">
        <v>1935</v>
      </c>
      <c r="B1380" t="s">
        <v>1935</v>
      </c>
      <c r="C1380" t="s">
        <v>1935</v>
      </c>
      <c r="D1380" t="s">
        <v>629</v>
      </c>
      <c r="E1380" s="259" t="s">
        <v>1853</v>
      </c>
      <c r="F1380" t="s">
        <v>620</v>
      </c>
      <c r="G1380" s="89">
        <v>2009</v>
      </c>
      <c r="H1380" s="341" t="s">
        <v>731</v>
      </c>
      <c r="I1380" s="337" t="str">
        <f t="shared" si="68"/>
        <v>Pesado de Passageiros M3: III : Gasóleo : E4</v>
      </c>
      <c r="J1380" s="125">
        <v>53</v>
      </c>
      <c r="K1380" s="264">
        <v>2022</v>
      </c>
      <c r="L1380" s="85">
        <v>20689.8</v>
      </c>
      <c r="M1380" s="85" t="s">
        <v>630</v>
      </c>
      <c r="N1380" s="128">
        <v>68739</v>
      </c>
      <c r="O1380" s="128">
        <f t="shared" si="69"/>
        <v>3643167</v>
      </c>
      <c r="P1380" s="89">
        <v>8440</v>
      </c>
      <c r="Q1380" t="s">
        <v>47</v>
      </c>
      <c r="R1380" s="220" t="s">
        <v>1888</v>
      </c>
      <c r="S1380" s="220" t="s">
        <v>1861</v>
      </c>
      <c r="U1380" t="s">
        <v>1972</v>
      </c>
      <c r="V1380" t="s">
        <v>2832</v>
      </c>
    </row>
    <row r="1381" spans="1:22" ht="15.75" thickBot="1" x14ac:dyDescent="0.3">
      <c r="A1381" t="s">
        <v>1935</v>
      </c>
      <c r="B1381" t="s">
        <v>1935</v>
      </c>
      <c r="C1381" t="s">
        <v>1935</v>
      </c>
      <c r="D1381" t="s">
        <v>629</v>
      </c>
      <c r="E1381" s="259" t="s">
        <v>1853</v>
      </c>
      <c r="F1381" t="s">
        <v>620</v>
      </c>
      <c r="G1381" s="89">
        <v>2009</v>
      </c>
      <c r="H1381" s="341" t="s">
        <v>731</v>
      </c>
      <c r="I1381" s="337" t="str">
        <f t="shared" si="68"/>
        <v>Pesado de Passageiros M3: III : Gasóleo : E4</v>
      </c>
      <c r="J1381" s="125">
        <v>53</v>
      </c>
      <c r="K1381" s="264">
        <v>2022</v>
      </c>
      <c r="L1381" s="85">
        <v>25155.1</v>
      </c>
      <c r="M1381" s="85" t="s">
        <v>630</v>
      </c>
      <c r="N1381" s="128">
        <v>91864</v>
      </c>
      <c r="O1381" s="128">
        <f t="shared" si="69"/>
        <v>4868792</v>
      </c>
      <c r="P1381" s="89">
        <v>8441</v>
      </c>
      <c r="Q1381" t="s">
        <v>47</v>
      </c>
      <c r="R1381" s="220" t="s">
        <v>1888</v>
      </c>
      <c r="S1381" s="220" t="s">
        <v>1861</v>
      </c>
      <c r="U1381" t="s">
        <v>1972</v>
      </c>
      <c r="V1381" t="s">
        <v>2832</v>
      </c>
    </row>
    <row r="1382" spans="1:22" ht="15.75" thickBot="1" x14ac:dyDescent="0.3">
      <c r="A1382" t="s">
        <v>1935</v>
      </c>
      <c r="B1382" t="s">
        <v>1935</v>
      </c>
      <c r="C1382" t="s">
        <v>1935</v>
      </c>
      <c r="D1382" t="s">
        <v>629</v>
      </c>
      <c r="E1382" s="259" t="s">
        <v>1853</v>
      </c>
      <c r="F1382" t="s">
        <v>620</v>
      </c>
      <c r="G1382" s="89">
        <v>2009</v>
      </c>
      <c r="H1382" s="341" t="s">
        <v>731</v>
      </c>
      <c r="I1382" s="337" t="str">
        <f t="shared" si="68"/>
        <v>Pesado de Passageiros M3: III : Gasóleo : E4</v>
      </c>
      <c r="J1382" s="125">
        <v>53</v>
      </c>
      <c r="K1382" s="264">
        <v>2022</v>
      </c>
      <c r="L1382" s="85">
        <v>17447.8</v>
      </c>
      <c r="M1382" s="85" t="s">
        <v>630</v>
      </c>
      <c r="N1382" s="128">
        <v>61307</v>
      </c>
      <c r="O1382" s="128">
        <f t="shared" si="69"/>
        <v>3249271</v>
      </c>
      <c r="P1382" s="89">
        <v>8442</v>
      </c>
      <c r="Q1382" t="s">
        <v>47</v>
      </c>
      <c r="R1382" s="220" t="s">
        <v>1888</v>
      </c>
      <c r="S1382" s="220" t="s">
        <v>1861</v>
      </c>
      <c r="U1382" t="s">
        <v>1972</v>
      </c>
      <c r="V1382" t="s">
        <v>2832</v>
      </c>
    </row>
    <row r="1383" spans="1:22" ht="15.75" thickBot="1" x14ac:dyDescent="0.3">
      <c r="A1383" t="s">
        <v>1935</v>
      </c>
      <c r="B1383" t="s">
        <v>1935</v>
      </c>
      <c r="C1383" t="s">
        <v>1935</v>
      </c>
      <c r="D1383" t="s">
        <v>629</v>
      </c>
      <c r="E1383" s="259" t="s">
        <v>1853</v>
      </c>
      <c r="F1383" t="s">
        <v>620</v>
      </c>
      <c r="G1383" s="89">
        <v>2009</v>
      </c>
      <c r="H1383" s="341" t="s">
        <v>731</v>
      </c>
      <c r="I1383" s="337" t="str">
        <f t="shared" si="68"/>
        <v>Pesado de Passageiros M3: III : Gasóleo : E4</v>
      </c>
      <c r="J1383" s="125">
        <v>53</v>
      </c>
      <c r="K1383" s="264">
        <v>2022</v>
      </c>
      <c r="L1383" s="85">
        <v>19521.100000000002</v>
      </c>
      <c r="M1383" s="85" t="s">
        <v>630</v>
      </c>
      <c r="N1383" s="128">
        <v>66205</v>
      </c>
      <c r="O1383" s="128">
        <f t="shared" si="69"/>
        <v>3508865</v>
      </c>
      <c r="P1383" s="89">
        <v>8443</v>
      </c>
      <c r="Q1383" t="s">
        <v>47</v>
      </c>
      <c r="R1383" s="220" t="s">
        <v>1888</v>
      </c>
      <c r="S1383" s="220" t="s">
        <v>1861</v>
      </c>
      <c r="U1383" t="s">
        <v>1972</v>
      </c>
      <c r="V1383" t="s">
        <v>2832</v>
      </c>
    </row>
    <row r="1384" spans="1:22" ht="15.75" thickBot="1" x14ac:dyDescent="0.3">
      <c r="A1384" t="s">
        <v>1935</v>
      </c>
      <c r="B1384" t="s">
        <v>1935</v>
      </c>
      <c r="C1384" t="s">
        <v>1935</v>
      </c>
      <c r="D1384" t="s">
        <v>629</v>
      </c>
      <c r="E1384" s="259" t="s">
        <v>1853</v>
      </c>
      <c r="F1384" t="s">
        <v>620</v>
      </c>
      <c r="G1384" s="89">
        <v>2009</v>
      </c>
      <c r="H1384" s="341" t="s">
        <v>731</v>
      </c>
      <c r="I1384" s="337" t="str">
        <f t="shared" si="68"/>
        <v>Pesado de Passageiros M3: III : Gasóleo : E4</v>
      </c>
      <c r="J1384" s="125">
        <v>53</v>
      </c>
      <c r="K1384" s="264">
        <v>2022</v>
      </c>
      <c r="L1384" s="85">
        <v>21845.7</v>
      </c>
      <c r="M1384" s="85" t="s">
        <v>630</v>
      </c>
      <c r="N1384" s="128">
        <v>69212</v>
      </c>
      <c r="O1384" s="128">
        <f t="shared" si="69"/>
        <v>3668236</v>
      </c>
      <c r="P1384" s="89">
        <v>8444</v>
      </c>
      <c r="Q1384" t="s">
        <v>47</v>
      </c>
      <c r="R1384" s="220" t="s">
        <v>1888</v>
      </c>
      <c r="S1384" s="220" t="s">
        <v>1861</v>
      </c>
      <c r="U1384" t="s">
        <v>1972</v>
      </c>
      <c r="V1384" t="s">
        <v>2832</v>
      </c>
    </row>
    <row r="1385" spans="1:22" ht="15.75" thickBot="1" x14ac:dyDescent="0.3">
      <c r="A1385" t="s">
        <v>1935</v>
      </c>
      <c r="B1385" t="s">
        <v>1935</v>
      </c>
      <c r="C1385" t="s">
        <v>1935</v>
      </c>
      <c r="D1385" t="s">
        <v>629</v>
      </c>
      <c r="E1385" s="259" t="s">
        <v>1853</v>
      </c>
      <c r="F1385" t="s">
        <v>620</v>
      </c>
      <c r="G1385" s="89">
        <v>2009</v>
      </c>
      <c r="H1385" s="341" t="s">
        <v>731</v>
      </c>
      <c r="I1385" s="337" t="str">
        <f t="shared" si="68"/>
        <v>Pesado de Passageiros M3: III : Gasóleo : E4</v>
      </c>
      <c r="J1385" s="125">
        <v>53</v>
      </c>
      <c r="K1385" s="264">
        <v>2022</v>
      </c>
      <c r="L1385" s="85">
        <v>18311.2</v>
      </c>
      <c r="M1385" s="85" t="s">
        <v>630</v>
      </c>
      <c r="N1385" s="128">
        <v>58268</v>
      </c>
      <c r="O1385" s="128">
        <f t="shared" si="69"/>
        <v>3088204</v>
      </c>
      <c r="P1385" s="89">
        <v>8445</v>
      </c>
      <c r="Q1385" t="s">
        <v>47</v>
      </c>
      <c r="R1385" s="220" t="s">
        <v>1888</v>
      </c>
      <c r="S1385" s="220" t="s">
        <v>1861</v>
      </c>
      <c r="U1385" t="s">
        <v>1972</v>
      </c>
      <c r="V1385" t="s">
        <v>2832</v>
      </c>
    </row>
    <row r="1386" spans="1:22" ht="15.75" thickBot="1" x14ac:dyDescent="0.3">
      <c r="A1386" t="s">
        <v>1935</v>
      </c>
      <c r="B1386" t="s">
        <v>1935</v>
      </c>
      <c r="C1386" t="s">
        <v>1935</v>
      </c>
      <c r="D1386" t="s">
        <v>629</v>
      </c>
      <c r="E1386" s="259" t="s">
        <v>1853</v>
      </c>
      <c r="F1386" t="s">
        <v>620</v>
      </c>
      <c r="G1386" s="89">
        <v>2009</v>
      </c>
      <c r="H1386" s="341" t="s">
        <v>731</v>
      </c>
      <c r="I1386" s="337" t="str">
        <f t="shared" si="68"/>
        <v>Pesado de Passageiros M3: III : Gasóleo : E4</v>
      </c>
      <c r="J1386" s="125">
        <v>53</v>
      </c>
      <c r="K1386" s="264">
        <v>2022</v>
      </c>
      <c r="L1386" s="85">
        <v>21718.2</v>
      </c>
      <c r="M1386" s="85" t="s">
        <v>630</v>
      </c>
      <c r="N1386" s="128">
        <v>71542</v>
      </c>
      <c r="O1386" s="128">
        <f t="shared" si="69"/>
        <v>3791726</v>
      </c>
      <c r="P1386" s="89">
        <v>8446</v>
      </c>
      <c r="Q1386" t="s">
        <v>47</v>
      </c>
      <c r="R1386" s="220" t="s">
        <v>1888</v>
      </c>
      <c r="S1386" s="220" t="s">
        <v>1861</v>
      </c>
      <c r="U1386" t="s">
        <v>1972</v>
      </c>
      <c r="V1386" t="s">
        <v>2832</v>
      </c>
    </row>
    <row r="1387" spans="1:22" ht="15.75" thickBot="1" x14ac:dyDescent="0.3">
      <c r="A1387" t="s">
        <v>1935</v>
      </c>
      <c r="B1387" t="s">
        <v>1935</v>
      </c>
      <c r="C1387" t="s">
        <v>1935</v>
      </c>
      <c r="D1387" t="s">
        <v>629</v>
      </c>
      <c r="E1387" s="259" t="s">
        <v>1853</v>
      </c>
      <c r="F1387" t="s">
        <v>620</v>
      </c>
      <c r="G1387" s="89">
        <v>2017</v>
      </c>
      <c r="H1387" s="341" t="s">
        <v>733</v>
      </c>
      <c r="I1387" s="337" t="str">
        <f t="shared" si="68"/>
        <v>Pesado de Passageiros M3: III : Gasóleo : E6</v>
      </c>
      <c r="J1387" s="125">
        <v>53</v>
      </c>
      <c r="K1387" s="264">
        <v>2022</v>
      </c>
      <c r="L1387" s="85">
        <v>39551.299999999996</v>
      </c>
      <c r="M1387" s="85" t="s">
        <v>630</v>
      </c>
      <c r="N1387" s="128">
        <v>154091</v>
      </c>
      <c r="O1387" s="128">
        <f t="shared" si="69"/>
        <v>8166823</v>
      </c>
      <c r="P1387" s="89">
        <v>8447</v>
      </c>
      <c r="Q1387" t="s">
        <v>47</v>
      </c>
      <c r="R1387" s="220" t="s">
        <v>1888</v>
      </c>
      <c r="S1387" s="220" t="s">
        <v>1861</v>
      </c>
      <c r="U1387" t="s">
        <v>1972</v>
      </c>
      <c r="V1387" t="s">
        <v>2832</v>
      </c>
    </row>
    <row r="1388" spans="1:22" ht="15.75" thickBot="1" x14ac:dyDescent="0.3">
      <c r="A1388" t="s">
        <v>1935</v>
      </c>
      <c r="B1388" t="s">
        <v>1935</v>
      </c>
      <c r="C1388" t="s">
        <v>1935</v>
      </c>
      <c r="D1388" t="s">
        <v>629</v>
      </c>
      <c r="E1388" s="259" t="s">
        <v>1853</v>
      </c>
      <c r="F1388" t="s">
        <v>620</v>
      </c>
      <c r="G1388" s="89">
        <v>2017</v>
      </c>
      <c r="H1388" s="341" t="s">
        <v>733</v>
      </c>
      <c r="I1388" s="337" t="str">
        <f t="shared" si="68"/>
        <v>Pesado de Passageiros M3: III : Gasóleo : E6</v>
      </c>
      <c r="J1388" s="125">
        <v>53</v>
      </c>
      <c r="K1388" s="264">
        <v>2022</v>
      </c>
      <c r="L1388" s="85">
        <v>50427.299999999988</v>
      </c>
      <c r="M1388" s="85" t="s">
        <v>630</v>
      </c>
      <c r="N1388" s="128">
        <v>166299</v>
      </c>
      <c r="O1388" s="128">
        <f t="shared" si="69"/>
        <v>8813847</v>
      </c>
      <c r="P1388" s="89">
        <v>8448</v>
      </c>
      <c r="Q1388" t="s">
        <v>47</v>
      </c>
      <c r="R1388" s="220" t="s">
        <v>1888</v>
      </c>
      <c r="S1388" s="220" t="s">
        <v>1861</v>
      </c>
      <c r="U1388" t="s">
        <v>1972</v>
      </c>
      <c r="V1388" t="s">
        <v>2832</v>
      </c>
    </row>
    <row r="1389" spans="1:22" ht="15.75" thickBot="1" x14ac:dyDescent="0.3">
      <c r="A1389" t="s">
        <v>1935</v>
      </c>
      <c r="B1389" t="s">
        <v>1935</v>
      </c>
      <c r="C1389" t="s">
        <v>1935</v>
      </c>
      <c r="D1389" t="s">
        <v>629</v>
      </c>
      <c r="E1389" s="259" t="s">
        <v>1853</v>
      </c>
      <c r="F1389" t="s">
        <v>620</v>
      </c>
      <c r="G1389" s="89">
        <v>2017</v>
      </c>
      <c r="H1389" s="341" t="s">
        <v>733</v>
      </c>
      <c r="I1389" s="337" t="str">
        <f t="shared" si="68"/>
        <v>Pesado de Passageiros M3: III : Gasóleo : E6</v>
      </c>
      <c r="J1389" s="125">
        <v>53</v>
      </c>
      <c r="K1389" s="264">
        <v>2022</v>
      </c>
      <c r="L1389" s="85">
        <v>49009.700000000004</v>
      </c>
      <c r="M1389" s="85" t="s">
        <v>630</v>
      </c>
      <c r="N1389" s="128">
        <v>177745</v>
      </c>
      <c r="O1389" s="128">
        <f t="shared" si="69"/>
        <v>9420485</v>
      </c>
      <c r="P1389" s="89">
        <v>8449</v>
      </c>
      <c r="Q1389" t="s">
        <v>47</v>
      </c>
      <c r="R1389" s="220" t="s">
        <v>1888</v>
      </c>
      <c r="S1389" s="220" t="s">
        <v>1861</v>
      </c>
      <c r="U1389" t="s">
        <v>1972</v>
      </c>
      <c r="V1389" t="s">
        <v>2832</v>
      </c>
    </row>
    <row r="1390" spans="1:22" ht="15.75" thickBot="1" x14ac:dyDescent="0.3">
      <c r="A1390" t="s">
        <v>1935</v>
      </c>
      <c r="B1390" t="s">
        <v>1935</v>
      </c>
      <c r="C1390" t="s">
        <v>1935</v>
      </c>
      <c r="D1390" t="s">
        <v>629</v>
      </c>
      <c r="E1390" s="259" t="s">
        <v>1853</v>
      </c>
      <c r="F1390" t="s">
        <v>620</v>
      </c>
      <c r="G1390" s="89">
        <v>2017</v>
      </c>
      <c r="H1390" s="341" t="s">
        <v>733</v>
      </c>
      <c r="I1390" s="337" t="str">
        <f t="shared" si="68"/>
        <v>Pesado de Passageiros M3: III : Gasóleo : E6</v>
      </c>
      <c r="J1390" s="125">
        <v>53</v>
      </c>
      <c r="K1390" s="264">
        <v>2022</v>
      </c>
      <c r="L1390" s="85">
        <v>46965.599999999999</v>
      </c>
      <c r="M1390" s="85" t="s">
        <v>630</v>
      </c>
      <c r="N1390" s="128">
        <v>167136</v>
      </c>
      <c r="O1390" s="128">
        <f t="shared" si="69"/>
        <v>8858208</v>
      </c>
      <c r="P1390" s="89">
        <v>8450</v>
      </c>
      <c r="Q1390" t="s">
        <v>47</v>
      </c>
      <c r="R1390" s="220" t="s">
        <v>1888</v>
      </c>
      <c r="S1390" s="220" t="s">
        <v>1861</v>
      </c>
      <c r="U1390" t="s">
        <v>1972</v>
      </c>
      <c r="V1390" t="s">
        <v>2832</v>
      </c>
    </row>
    <row r="1391" spans="1:22" ht="15.75" thickBot="1" x14ac:dyDescent="0.3">
      <c r="A1391" t="s">
        <v>1935</v>
      </c>
      <c r="B1391" t="s">
        <v>1935</v>
      </c>
      <c r="C1391" t="s">
        <v>1935</v>
      </c>
      <c r="D1391" t="s">
        <v>629</v>
      </c>
      <c r="E1391" s="259" t="s">
        <v>1853</v>
      </c>
      <c r="F1391" t="s">
        <v>620</v>
      </c>
      <c r="G1391" s="89">
        <v>2001</v>
      </c>
      <c r="H1391" s="341" t="s">
        <v>735</v>
      </c>
      <c r="I1391" s="337" t="str">
        <f t="shared" si="68"/>
        <v>Pesado de Passageiros M3: III : Gasóleo : E2</v>
      </c>
      <c r="J1391" s="125">
        <v>55</v>
      </c>
      <c r="K1391" s="264">
        <v>2022</v>
      </c>
      <c r="L1391" s="85">
        <v>25652.799999999999</v>
      </c>
      <c r="M1391" s="85" t="s">
        <v>630</v>
      </c>
      <c r="N1391" s="128">
        <v>69293</v>
      </c>
      <c r="O1391" s="128">
        <f t="shared" si="69"/>
        <v>3811115</v>
      </c>
      <c r="P1391" s="89">
        <v>8451</v>
      </c>
      <c r="Q1391" t="s">
        <v>47</v>
      </c>
      <c r="R1391" s="220" t="s">
        <v>1888</v>
      </c>
      <c r="S1391" s="220" t="s">
        <v>1861</v>
      </c>
      <c r="U1391" t="s">
        <v>1972</v>
      </c>
      <c r="V1391" t="s">
        <v>2832</v>
      </c>
    </row>
    <row r="1392" spans="1:22" ht="15.75" thickBot="1" x14ac:dyDescent="0.3">
      <c r="A1392" t="s">
        <v>1935</v>
      </c>
      <c r="B1392" t="s">
        <v>1935</v>
      </c>
      <c r="C1392" t="s">
        <v>1935</v>
      </c>
      <c r="D1392" t="s">
        <v>629</v>
      </c>
      <c r="E1392" s="259" t="s">
        <v>1853</v>
      </c>
      <c r="F1392" t="s">
        <v>620</v>
      </c>
      <c r="G1392" s="89">
        <v>2001</v>
      </c>
      <c r="H1392" s="341" t="s">
        <v>735</v>
      </c>
      <c r="I1392" s="337" t="str">
        <f t="shared" si="68"/>
        <v>Pesado de Passageiros M3: III : Gasóleo : E2</v>
      </c>
      <c r="J1392" s="125">
        <v>55</v>
      </c>
      <c r="K1392" s="264">
        <v>2022</v>
      </c>
      <c r="L1392" s="85">
        <v>12889.1</v>
      </c>
      <c r="M1392" s="85" t="s">
        <v>630</v>
      </c>
      <c r="N1392" s="128">
        <v>36311</v>
      </c>
      <c r="O1392" s="128">
        <f t="shared" si="69"/>
        <v>1997105</v>
      </c>
      <c r="P1392" s="89">
        <v>8452</v>
      </c>
      <c r="Q1392" t="s">
        <v>47</v>
      </c>
      <c r="R1392" s="220" t="s">
        <v>1888</v>
      </c>
      <c r="S1392" s="220" t="s">
        <v>1861</v>
      </c>
      <c r="U1392" t="s">
        <v>1972</v>
      </c>
      <c r="V1392" t="s">
        <v>2832</v>
      </c>
    </row>
    <row r="1393" spans="1:22" ht="15.75" thickBot="1" x14ac:dyDescent="0.3">
      <c r="A1393" t="s">
        <v>1935</v>
      </c>
      <c r="B1393" t="s">
        <v>1935</v>
      </c>
      <c r="C1393" t="s">
        <v>1935</v>
      </c>
      <c r="D1393" t="s">
        <v>629</v>
      </c>
      <c r="E1393" s="259" t="s">
        <v>1853</v>
      </c>
      <c r="F1393" t="s">
        <v>620</v>
      </c>
      <c r="G1393" s="89">
        <v>2001</v>
      </c>
      <c r="H1393" s="341" t="s">
        <v>735</v>
      </c>
      <c r="I1393" s="337" t="str">
        <f t="shared" si="68"/>
        <v>Pesado de Passageiros M3: III : Gasóleo : E2</v>
      </c>
      <c r="J1393" s="125">
        <v>57</v>
      </c>
      <c r="K1393" s="264">
        <v>2022</v>
      </c>
      <c r="L1393" s="85">
        <v>14297</v>
      </c>
      <c r="M1393" s="85" t="s">
        <v>630</v>
      </c>
      <c r="N1393" s="128">
        <v>46283</v>
      </c>
      <c r="O1393" s="128">
        <f t="shared" si="69"/>
        <v>2638131</v>
      </c>
      <c r="P1393" s="89">
        <v>8453</v>
      </c>
      <c r="Q1393" t="s">
        <v>47</v>
      </c>
      <c r="R1393" s="220" t="s">
        <v>1888</v>
      </c>
      <c r="S1393" s="220" t="s">
        <v>1861</v>
      </c>
      <c r="U1393" t="s">
        <v>1972</v>
      </c>
      <c r="V1393" t="s">
        <v>2832</v>
      </c>
    </row>
    <row r="1394" spans="1:22" ht="15.75" thickBot="1" x14ac:dyDescent="0.3">
      <c r="A1394" t="s">
        <v>1935</v>
      </c>
      <c r="B1394" t="s">
        <v>1935</v>
      </c>
      <c r="C1394" t="s">
        <v>1935</v>
      </c>
      <c r="D1394" t="s">
        <v>629</v>
      </c>
      <c r="E1394" s="259" t="s">
        <v>1853</v>
      </c>
      <c r="F1394" t="s">
        <v>620</v>
      </c>
      <c r="G1394" s="89">
        <v>2001</v>
      </c>
      <c r="H1394" s="341" t="s">
        <v>735</v>
      </c>
      <c r="I1394" s="337" t="str">
        <f t="shared" si="68"/>
        <v>Pesado de Passageiros M3: III : Gasóleo : E2</v>
      </c>
      <c r="J1394" s="125">
        <v>55</v>
      </c>
      <c r="K1394" s="264">
        <v>2022</v>
      </c>
      <c r="L1394" s="85">
        <v>15410.300000000001</v>
      </c>
      <c r="M1394" s="85" t="s">
        <v>630</v>
      </c>
      <c r="N1394" s="128">
        <v>44275</v>
      </c>
      <c r="O1394" s="128">
        <f t="shared" si="69"/>
        <v>2435125</v>
      </c>
      <c r="P1394" s="89">
        <v>8454</v>
      </c>
      <c r="Q1394" t="s">
        <v>47</v>
      </c>
      <c r="R1394" s="220" t="s">
        <v>1888</v>
      </c>
      <c r="S1394" s="220" t="s">
        <v>1861</v>
      </c>
      <c r="U1394" t="s">
        <v>1972</v>
      </c>
      <c r="V1394" t="s">
        <v>2832</v>
      </c>
    </row>
    <row r="1395" spans="1:22" ht="15.75" thickBot="1" x14ac:dyDescent="0.3">
      <c r="A1395" t="s">
        <v>1935</v>
      </c>
      <c r="B1395" t="s">
        <v>1935</v>
      </c>
      <c r="C1395" t="s">
        <v>1935</v>
      </c>
      <c r="D1395" t="s">
        <v>629</v>
      </c>
      <c r="E1395" s="259" t="s">
        <v>1853</v>
      </c>
      <c r="F1395" t="s">
        <v>620</v>
      </c>
      <c r="G1395" s="89">
        <v>2016</v>
      </c>
      <c r="H1395" s="341" t="s">
        <v>733</v>
      </c>
      <c r="I1395" s="337" t="str">
        <f t="shared" si="68"/>
        <v>Pesado de Passageiros M3: III : Gasóleo : E6</v>
      </c>
      <c r="J1395" s="125">
        <v>54</v>
      </c>
      <c r="K1395" s="264">
        <v>2022</v>
      </c>
      <c r="L1395" s="85">
        <v>18640.399999999998</v>
      </c>
      <c r="M1395" s="85" t="s">
        <v>630</v>
      </c>
      <c r="N1395" s="128">
        <v>65986</v>
      </c>
      <c r="O1395" s="128">
        <f t="shared" si="69"/>
        <v>3563244</v>
      </c>
      <c r="P1395" s="89">
        <v>8455</v>
      </c>
      <c r="Q1395" t="s">
        <v>47</v>
      </c>
      <c r="R1395" s="220" t="s">
        <v>1888</v>
      </c>
      <c r="S1395" s="220" t="s">
        <v>1861</v>
      </c>
      <c r="U1395" t="s">
        <v>1972</v>
      </c>
      <c r="V1395" t="s">
        <v>2832</v>
      </c>
    </row>
    <row r="1396" spans="1:22" ht="15.75" thickBot="1" x14ac:dyDescent="0.3">
      <c r="A1396" t="s">
        <v>1935</v>
      </c>
      <c r="B1396" t="s">
        <v>1935</v>
      </c>
      <c r="C1396" t="s">
        <v>1935</v>
      </c>
      <c r="D1396" t="s">
        <v>629</v>
      </c>
      <c r="E1396" s="259" t="s">
        <v>1853</v>
      </c>
      <c r="F1396" t="s">
        <v>620</v>
      </c>
      <c r="G1396" s="89">
        <v>2016</v>
      </c>
      <c r="H1396" s="341" t="s">
        <v>733</v>
      </c>
      <c r="I1396" s="337" t="str">
        <f t="shared" si="68"/>
        <v>Pesado de Passageiros M3: III : Gasóleo : E6</v>
      </c>
      <c r="J1396" s="125">
        <v>54</v>
      </c>
      <c r="K1396" s="264">
        <v>2022</v>
      </c>
      <c r="L1396" s="85">
        <v>22674.6</v>
      </c>
      <c r="M1396" s="85" t="s">
        <v>630</v>
      </c>
      <c r="N1396" s="128">
        <v>78078</v>
      </c>
      <c r="O1396" s="128">
        <f t="shared" si="69"/>
        <v>4216212</v>
      </c>
      <c r="P1396" s="89">
        <v>8456</v>
      </c>
      <c r="Q1396" t="s">
        <v>47</v>
      </c>
      <c r="R1396" s="220" t="s">
        <v>1888</v>
      </c>
      <c r="S1396" s="220" t="s">
        <v>1861</v>
      </c>
      <c r="U1396" t="s">
        <v>1972</v>
      </c>
      <c r="V1396" t="s">
        <v>2832</v>
      </c>
    </row>
    <row r="1397" spans="1:22" ht="15.75" thickBot="1" x14ac:dyDescent="0.3">
      <c r="A1397" t="s">
        <v>1935</v>
      </c>
      <c r="B1397" t="s">
        <v>1935</v>
      </c>
      <c r="C1397" t="s">
        <v>1935</v>
      </c>
      <c r="D1397" t="s">
        <v>629</v>
      </c>
      <c r="E1397" s="259" t="s">
        <v>1853</v>
      </c>
      <c r="F1397" t="s">
        <v>620</v>
      </c>
      <c r="G1397" s="89">
        <v>2002</v>
      </c>
      <c r="H1397" s="341" t="s">
        <v>732</v>
      </c>
      <c r="I1397" s="337" t="str">
        <f t="shared" si="68"/>
        <v>Pesado de Passageiros M3: III : Gasóleo : E3</v>
      </c>
      <c r="J1397" s="125">
        <v>52</v>
      </c>
      <c r="K1397" s="264">
        <v>2022</v>
      </c>
      <c r="L1397" s="85">
        <v>6649</v>
      </c>
      <c r="M1397" s="85" t="s">
        <v>630</v>
      </c>
      <c r="N1397" s="128">
        <v>19923</v>
      </c>
      <c r="O1397" s="128">
        <f t="shared" si="69"/>
        <v>1035996</v>
      </c>
      <c r="P1397" s="89">
        <v>8457</v>
      </c>
      <c r="Q1397" t="s">
        <v>47</v>
      </c>
      <c r="R1397" s="220" t="s">
        <v>1888</v>
      </c>
      <c r="S1397" s="220" t="s">
        <v>1861</v>
      </c>
      <c r="U1397" t="s">
        <v>1972</v>
      </c>
      <c r="V1397" t="s">
        <v>2832</v>
      </c>
    </row>
    <row r="1398" spans="1:22" ht="15.75" thickBot="1" x14ac:dyDescent="0.3">
      <c r="A1398" t="s">
        <v>1935</v>
      </c>
      <c r="B1398" t="s">
        <v>1935</v>
      </c>
      <c r="C1398" t="s">
        <v>1935</v>
      </c>
      <c r="D1398" t="s">
        <v>629</v>
      </c>
      <c r="E1398" s="259" t="s">
        <v>1853</v>
      </c>
      <c r="F1398" t="s">
        <v>620</v>
      </c>
      <c r="G1398" s="89">
        <v>2001</v>
      </c>
      <c r="H1398" s="341" t="s">
        <v>735</v>
      </c>
      <c r="I1398" s="337" t="str">
        <f t="shared" si="68"/>
        <v>Pesado de Passageiros M3: III : Gasóleo : E2</v>
      </c>
      <c r="J1398" s="125">
        <v>50</v>
      </c>
      <c r="K1398" s="264">
        <v>2022</v>
      </c>
      <c r="L1398" s="85">
        <v>4382.3</v>
      </c>
      <c r="M1398" s="85" t="s">
        <v>630</v>
      </c>
      <c r="N1398" s="128">
        <v>11648</v>
      </c>
      <c r="O1398" s="128">
        <f t="shared" si="69"/>
        <v>582400</v>
      </c>
      <c r="P1398" s="89">
        <v>8458</v>
      </c>
      <c r="Q1398" t="s">
        <v>47</v>
      </c>
      <c r="R1398" s="220" t="s">
        <v>1888</v>
      </c>
      <c r="S1398" s="220" t="s">
        <v>1861</v>
      </c>
      <c r="U1398" t="s">
        <v>1972</v>
      </c>
      <c r="V1398" t="s">
        <v>2832</v>
      </c>
    </row>
    <row r="1399" spans="1:22" ht="15.75" thickBot="1" x14ac:dyDescent="0.3">
      <c r="A1399" t="s">
        <v>1935</v>
      </c>
      <c r="B1399" t="s">
        <v>1935</v>
      </c>
      <c r="C1399" t="s">
        <v>1935</v>
      </c>
      <c r="D1399" t="s">
        <v>629</v>
      </c>
      <c r="E1399" s="259" t="s">
        <v>1853</v>
      </c>
      <c r="F1399" t="s">
        <v>620</v>
      </c>
      <c r="G1399" s="89">
        <v>2001</v>
      </c>
      <c r="H1399" s="341" t="s">
        <v>735</v>
      </c>
      <c r="I1399" s="337" t="str">
        <f t="shared" si="68"/>
        <v>Pesado de Passageiros M3: III : Gasóleo : E2</v>
      </c>
      <c r="J1399" s="125">
        <v>50</v>
      </c>
      <c r="K1399" s="264">
        <v>2022</v>
      </c>
      <c r="L1399" s="85">
        <v>7762.7000000000007</v>
      </c>
      <c r="M1399" s="85" t="s">
        <v>630</v>
      </c>
      <c r="N1399" s="128">
        <v>20928</v>
      </c>
      <c r="O1399" s="128">
        <f t="shared" si="69"/>
        <v>1046400</v>
      </c>
      <c r="P1399" s="89">
        <v>8459</v>
      </c>
      <c r="Q1399" t="s">
        <v>47</v>
      </c>
      <c r="R1399" s="220" t="s">
        <v>1888</v>
      </c>
      <c r="S1399" s="220" t="s">
        <v>1861</v>
      </c>
      <c r="U1399" t="s">
        <v>1972</v>
      </c>
      <c r="V1399" t="s">
        <v>2832</v>
      </c>
    </row>
    <row r="1400" spans="1:22" ht="15.75" thickBot="1" x14ac:dyDescent="0.3">
      <c r="A1400" t="s">
        <v>1935</v>
      </c>
      <c r="B1400" t="s">
        <v>1935</v>
      </c>
      <c r="C1400" t="s">
        <v>1935</v>
      </c>
      <c r="D1400" t="s">
        <v>629</v>
      </c>
      <c r="E1400" s="259" t="s">
        <v>1853</v>
      </c>
      <c r="F1400" t="s">
        <v>620</v>
      </c>
      <c r="G1400" s="89">
        <v>2022</v>
      </c>
      <c r="H1400" s="341" t="s">
        <v>732</v>
      </c>
      <c r="I1400" s="337" t="str">
        <f t="shared" si="68"/>
        <v>Pesado de Passageiros M3: III : Gasóleo : E3</v>
      </c>
      <c r="J1400" s="125">
        <v>61</v>
      </c>
      <c r="K1400" s="264">
        <v>2022</v>
      </c>
      <c r="L1400" s="85">
        <v>7658.1</v>
      </c>
      <c r="M1400" s="85" t="s">
        <v>630</v>
      </c>
      <c r="N1400" s="128">
        <v>18350</v>
      </c>
      <c r="O1400" s="128">
        <f t="shared" si="69"/>
        <v>1119350</v>
      </c>
      <c r="P1400" s="89">
        <v>8460</v>
      </c>
      <c r="Q1400" t="s">
        <v>47</v>
      </c>
      <c r="R1400" s="220" t="s">
        <v>1888</v>
      </c>
      <c r="S1400" s="220" t="s">
        <v>1861</v>
      </c>
      <c r="U1400" t="s">
        <v>1972</v>
      </c>
      <c r="V1400" t="s">
        <v>2832</v>
      </c>
    </row>
    <row r="1401" spans="1:22" ht="15.75" thickBot="1" x14ac:dyDescent="0.3">
      <c r="A1401" t="s">
        <v>1935</v>
      </c>
      <c r="B1401" t="s">
        <v>1935</v>
      </c>
      <c r="C1401" t="s">
        <v>1935</v>
      </c>
      <c r="D1401" t="s">
        <v>629</v>
      </c>
      <c r="E1401" s="259" t="s">
        <v>1853</v>
      </c>
      <c r="F1401" t="s">
        <v>620</v>
      </c>
      <c r="G1401" s="89">
        <v>2018</v>
      </c>
      <c r="H1401" s="341" t="s">
        <v>733</v>
      </c>
      <c r="I1401" s="337" t="str">
        <f t="shared" si="68"/>
        <v>Pesado de Passageiros M3: III : Gasóleo : E6</v>
      </c>
      <c r="J1401" s="125">
        <v>55</v>
      </c>
      <c r="K1401" s="264">
        <v>2022</v>
      </c>
      <c r="L1401" s="85">
        <v>0</v>
      </c>
      <c r="M1401" s="85" t="s">
        <v>630</v>
      </c>
      <c r="N1401" s="128">
        <v>0</v>
      </c>
      <c r="O1401" s="128">
        <f t="shared" si="69"/>
        <v>0</v>
      </c>
      <c r="P1401" s="89">
        <v>8461</v>
      </c>
      <c r="Q1401" t="s">
        <v>47</v>
      </c>
      <c r="R1401" s="220" t="s">
        <v>1888</v>
      </c>
      <c r="S1401" s="220" t="s">
        <v>1861</v>
      </c>
      <c r="U1401" t="s">
        <v>1972</v>
      </c>
      <c r="V1401" t="s">
        <v>2832</v>
      </c>
    </row>
    <row r="1402" spans="1:22" ht="15.75" thickBot="1" x14ac:dyDescent="0.3">
      <c r="A1402" t="s">
        <v>1935</v>
      </c>
      <c r="B1402" t="s">
        <v>1935</v>
      </c>
      <c r="C1402" t="s">
        <v>1935</v>
      </c>
      <c r="D1402" t="s">
        <v>629</v>
      </c>
      <c r="E1402" s="259" t="s">
        <v>1853</v>
      </c>
      <c r="F1402" t="s">
        <v>620</v>
      </c>
      <c r="G1402" s="89">
        <v>2009</v>
      </c>
      <c r="H1402" s="341" t="s">
        <v>734</v>
      </c>
      <c r="I1402" s="337" t="str">
        <f t="shared" si="68"/>
        <v>Pesado de Passageiros M3: III : Gasóleo : E5</v>
      </c>
      <c r="J1402" s="125">
        <v>84</v>
      </c>
      <c r="K1402" s="264">
        <v>2022</v>
      </c>
      <c r="L1402" s="85">
        <v>9785</v>
      </c>
      <c r="M1402" s="85" t="s">
        <v>630</v>
      </c>
      <c r="N1402" s="128">
        <v>31491</v>
      </c>
      <c r="O1402" s="128">
        <f t="shared" si="69"/>
        <v>2645244</v>
      </c>
      <c r="P1402" s="89">
        <v>8500</v>
      </c>
      <c r="Q1402" t="s">
        <v>47</v>
      </c>
      <c r="R1402" s="220" t="s">
        <v>1888</v>
      </c>
      <c r="S1402" s="220" t="s">
        <v>1861</v>
      </c>
      <c r="U1402" t="s">
        <v>1972</v>
      </c>
      <c r="V1402" t="s">
        <v>2832</v>
      </c>
    </row>
    <row r="1403" spans="1:22" ht="15.75" thickBot="1" x14ac:dyDescent="0.3">
      <c r="A1403" t="s">
        <v>1935</v>
      </c>
      <c r="B1403" t="s">
        <v>1935</v>
      </c>
      <c r="C1403" t="s">
        <v>1935</v>
      </c>
      <c r="D1403" t="s">
        <v>629</v>
      </c>
      <c r="E1403" s="259" t="s">
        <v>1853</v>
      </c>
      <c r="F1403" t="s">
        <v>620</v>
      </c>
      <c r="G1403" s="89">
        <v>2010</v>
      </c>
      <c r="H1403" s="341" t="s">
        <v>734</v>
      </c>
      <c r="I1403" s="337" t="str">
        <f t="shared" si="68"/>
        <v>Pesado de Passageiros M3: III : Gasóleo : E5</v>
      </c>
      <c r="J1403" s="125">
        <v>86</v>
      </c>
      <c r="K1403" s="264">
        <v>2022</v>
      </c>
      <c r="L1403" s="85">
        <v>12860.400000000001</v>
      </c>
      <c r="M1403" s="85" t="s">
        <v>630</v>
      </c>
      <c r="N1403" s="128">
        <v>35936</v>
      </c>
      <c r="O1403" s="128">
        <f t="shared" si="69"/>
        <v>3090496</v>
      </c>
      <c r="P1403" s="89">
        <v>8501</v>
      </c>
      <c r="Q1403" t="s">
        <v>47</v>
      </c>
      <c r="R1403" s="220" t="s">
        <v>1888</v>
      </c>
      <c r="S1403" s="220" t="s">
        <v>1861</v>
      </c>
      <c r="U1403" t="s">
        <v>1972</v>
      </c>
      <c r="V1403" t="s">
        <v>2832</v>
      </c>
    </row>
    <row r="1404" spans="1:22" ht="15.75" thickBot="1" x14ac:dyDescent="0.3">
      <c r="A1404" t="s">
        <v>1935</v>
      </c>
      <c r="B1404" t="s">
        <v>1935</v>
      </c>
      <c r="C1404" t="s">
        <v>1935</v>
      </c>
      <c r="D1404" t="s">
        <v>629</v>
      </c>
      <c r="E1404" s="259" t="s">
        <v>1853</v>
      </c>
      <c r="F1404" t="s">
        <v>620</v>
      </c>
      <c r="G1404" s="89">
        <v>2006</v>
      </c>
      <c r="H1404" s="341" t="s">
        <v>732</v>
      </c>
      <c r="I1404" s="337" t="str">
        <f t="shared" si="68"/>
        <v>Pesado de Passageiros M3: III : Gasóleo : E3</v>
      </c>
      <c r="J1404" s="125">
        <v>78</v>
      </c>
      <c r="K1404" s="264">
        <v>2022</v>
      </c>
      <c r="L1404" s="85">
        <v>15831.9</v>
      </c>
      <c r="M1404" s="85" t="s">
        <v>630</v>
      </c>
      <c r="N1404" s="128">
        <v>45415</v>
      </c>
      <c r="O1404" s="128">
        <f t="shared" si="69"/>
        <v>3542370</v>
      </c>
      <c r="P1404" s="89">
        <v>8502</v>
      </c>
      <c r="Q1404" t="s">
        <v>47</v>
      </c>
      <c r="R1404" s="220" t="s">
        <v>1888</v>
      </c>
      <c r="S1404" s="220" t="s">
        <v>1861</v>
      </c>
      <c r="U1404" t="s">
        <v>1972</v>
      </c>
      <c r="V1404" t="s">
        <v>2832</v>
      </c>
    </row>
    <row r="1405" spans="1:22" ht="15.75" thickBot="1" x14ac:dyDescent="0.3">
      <c r="A1405" t="s">
        <v>1935</v>
      </c>
      <c r="B1405" t="s">
        <v>1935</v>
      </c>
      <c r="C1405" t="s">
        <v>1935</v>
      </c>
      <c r="D1405" t="s">
        <v>629</v>
      </c>
      <c r="E1405" s="259" t="s">
        <v>1853</v>
      </c>
      <c r="F1405" t="s">
        <v>620</v>
      </c>
      <c r="G1405" s="89">
        <v>2008</v>
      </c>
      <c r="H1405" s="341" t="s">
        <v>731</v>
      </c>
      <c r="I1405" s="337" t="str">
        <f t="shared" si="68"/>
        <v>Pesado de Passageiros M3: III : Gasóleo : E4</v>
      </c>
      <c r="J1405" s="125">
        <v>23</v>
      </c>
      <c r="K1405" s="264">
        <v>2022</v>
      </c>
      <c r="L1405" s="85">
        <v>6569.8000000000011</v>
      </c>
      <c r="M1405" s="85" t="s">
        <v>630</v>
      </c>
      <c r="N1405" s="128">
        <v>39428</v>
      </c>
      <c r="O1405" s="128">
        <f t="shared" si="69"/>
        <v>906844</v>
      </c>
      <c r="P1405" s="89">
        <v>8503</v>
      </c>
      <c r="Q1405" t="s">
        <v>47</v>
      </c>
      <c r="R1405" s="220" t="s">
        <v>1888</v>
      </c>
      <c r="S1405" s="220" t="s">
        <v>1861</v>
      </c>
      <c r="U1405" t="s">
        <v>1972</v>
      </c>
      <c r="V1405" t="s">
        <v>2832</v>
      </c>
    </row>
    <row r="1406" spans="1:22" ht="15.75" thickBot="1" x14ac:dyDescent="0.3">
      <c r="A1406" t="s">
        <v>1935</v>
      </c>
      <c r="B1406" t="s">
        <v>1935</v>
      </c>
      <c r="C1406" t="s">
        <v>1935</v>
      </c>
      <c r="D1406" t="s">
        <v>629</v>
      </c>
      <c r="E1406" s="259" t="s">
        <v>1853</v>
      </c>
      <c r="F1406" t="s">
        <v>620</v>
      </c>
      <c r="G1406" s="89">
        <v>2006</v>
      </c>
      <c r="H1406" s="341" t="s">
        <v>731</v>
      </c>
      <c r="I1406" s="337" t="str">
        <f t="shared" si="68"/>
        <v>Pesado de Passageiros M3: III : Gasóleo : E4</v>
      </c>
      <c r="J1406" s="125">
        <v>80</v>
      </c>
      <c r="K1406" s="264">
        <v>2022</v>
      </c>
      <c r="L1406" s="85">
        <v>15842.810000000001</v>
      </c>
      <c r="M1406" s="85" t="s">
        <v>630</v>
      </c>
      <c r="N1406" s="128">
        <v>47664</v>
      </c>
      <c r="O1406" s="128">
        <f t="shared" si="69"/>
        <v>3813120</v>
      </c>
      <c r="P1406" s="89">
        <v>8504</v>
      </c>
      <c r="Q1406" t="s">
        <v>47</v>
      </c>
      <c r="R1406" s="220" t="s">
        <v>1888</v>
      </c>
      <c r="S1406" s="220" t="s">
        <v>1861</v>
      </c>
      <c r="U1406" t="s">
        <v>1972</v>
      </c>
      <c r="V1406" t="s">
        <v>2832</v>
      </c>
    </row>
    <row r="1407" spans="1:22" ht="15.75" thickBot="1" x14ac:dyDescent="0.3">
      <c r="A1407" t="s">
        <v>1935</v>
      </c>
      <c r="B1407" t="s">
        <v>1935</v>
      </c>
      <c r="C1407" t="s">
        <v>1935</v>
      </c>
      <c r="D1407" t="s">
        <v>629</v>
      </c>
      <c r="E1407" s="259" t="s">
        <v>1853</v>
      </c>
      <c r="F1407" t="s">
        <v>620</v>
      </c>
      <c r="G1407" s="89">
        <v>2019</v>
      </c>
      <c r="H1407" s="341" t="s">
        <v>733</v>
      </c>
      <c r="I1407" s="337" t="str">
        <f t="shared" si="68"/>
        <v>Pesado de Passageiros M3: III : Gasóleo : E6</v>
      </c>
      <c r="J1407" s="125">
        <v>53</v>
      </c>
      <c r="K1407" s="264">
        <v>2022</v>
      </c>
      <c r="L1407" s="85">
        <v>9248</v>
      </c>
      <c r="M1407" s="85" t="s">
        <v>630</v>
      </c>
      <c r="N1407" s="128">
        <v>34707</v>
      </c>
      <c r="O1407" s="128">
        <f t="shared" si="69"/>
        <v>1839471</v>
      </c>
      <c r="P1407" s="89">
        <v>8505</v>
      </c>
      <c r="Q1407" t="s">
        <v>47</v>
      </c>
      <c r="R1407" s="220" t="s">
        <v>1888</v>
      </c>
      <c r="S1407" s="220" t="s">
        <v>1861</v>
      </c>
      <c r="U1407" t="s">
        <v>1972</v>
      </c>
      <c r="V1407" t="s">
        <v>2832</v>
      </c>
    </row>
    <row r="1408" spans="1:22" ht="15.75" thickBot="1" x14ac:dyDescent="0.3">
      <c r="A1408" t="s">
        <v>1935</v>
      </c>
      <c r="B1408" t="s">
        <v>1935</v>
      </c>
      <c r="C1408" t="s">
        <v>1935</v>
      </c>
      <c r="D1408" t="s">
        <v>629</v>
      </c>
      <c r="E1408" s="259" t="s">
        <v>1853</v>
      </c>
      <c r="F1408" t="s">
        <v>620</v>
      </c>
      <c r="G1408" s="89">
        <v>2006</v>
      </c>
      <c r="H1408" s="341" t="s">
        <v>732</v>
      </c>
      <c r="I1408" s="337" t="str">
        <f t="shared" si="68"/>
        <v>Pesado de Passageiros M3: III : Gasóleo : E3</v>
      </c>
      <c r="J1408" s="125">
        <v>74</v>
      </c>
      <c r="K1408" s="264">
        <v>2022</v>
      </c>
      <c r="L1408" s="85">
        <v>12052</v>
      </c>
      <c r="M1408" s="85" t="s">
        <v>630</v>
      </c>
      <c r="N1408" s="128">
        <v>35847</v>
      </c>
      <c r="O1408" s="128">
        <f t="shared" si="69"/>
        <v>2652678</v>
      </c>
      <c r="P1408" s="89">
        <v>8506</v>
      </c>
      <c r="Q1408" t="s">
        <v>47</v>
      </c>
      <c r="R1408" s="220" t="s">
        <v>1888</v>
      </c>
      <c r="S1408" s="220" t="s">
        <v>1861</v>
      </c>
      <c r="U1408" t="s">
        <v>1972</v>
      </c>
      <c r="V1408" t="s">
        <v>2832</v>
      </c>
    </row>
    <row r="1409" spans="1:22" ht="15.75" thickBot="1" x14ac:dyDescent="0.3">
      <c r="A1409" t="s">
        <v>1935</v>
      </c>
      <c r="B1409" t="s">
        <v>1935</v>
      </c>
      <c r="C1409" t="s">
        <v>1935</v>
      </c>
      <c r="D1409" t="s">
        <v>629</v>
      </c>
      <c r="E1409" s="259" t="s">
        <v>1853</v>
      </c>
      <c r="F1409" t="s">
        <v>620</v>
      </c>
      <c r="G1409" s="89">
        <v>2010</v>
      </c>
      <c r="H1409" s="341" t="s">
        <v>731</v>
      </c>
      <c r="I1409" s="337" t="str">
        <f t="shared" si="68"/>
        <v>Pesado de Passageiros M3: III : Gasóleo : E4</v>
      </c>
      <c r="J1409" s="125">
        <v>53</v>
      </c>
      <c r="K1409" s="264">
        <v>2022</v>
      </c>
      <c r="L1409" s="85">
        <v>2608.4</v>
      </c>
      <c r="M1409" s="85" t="s">
        <v>630</v>
      </c>
      <c r="N1409" s="128">
        <v>5420</v>
      </c>
      <c r="O1409" s="128">
        <f t="shared" si="69"/>
        <v>287260</v>
      </c>
      <c r="P1409" s="89">
        <v>8507</v>
      </c>
      <c r="Q1409" t="s">
        <v>47</v>
      </c>
      <c r="R1409" s="220" t="s">
        <v>1888</v>
      </c>
      <c r="S1409" s="220" t="s">
        <v>1861</v>
      </c>
      <c r="U1409" t="s">
        <v>1972</v>
      </c>
      <c r="V1409" t="s">
        <v>2832</v>
      </c>
    </row>
    <row r="1410" spans="1:22" ht="15.75" thickBot="1" x14ac:dyDescent="0.3">
      <c r="A1410" t="s">
        <v>1935</v>
      </c>
      <c r="B1410" t="s">
        <v>1935</v>
      </c>
      <c r="C1410" t="s">
        <v>1935</v>
      </c>
      <c r="D1410" t="s">
        <v>629</v>
      </c>
      <c r="E1410" s="259" t="s">
        <v>1853</v>
      </c>
      <c r="F1410" t="s">
        <v>620</v>
      </c>
      <c r="G1410" s="89">
        <v>2008</v>
      </c>
      <c r="H1410" s="341" t="s">
        <v>731</v>
      </c>
      <c r="I1410" s="337" t="str">
        <f t="shared" si="68"/>
        <v>Pesado de Passageiros M3: III : Gasóleo : E4</v>
      </c>
      <c r="J1410" s="125">
        <v>69</v>
      </c>
      <c r="K1410" s="264">
        <v>2022</v>
      </c>
      <c r="L1410" s="85">
        <v>1642.3000000000002</v>
      </c>
      <c r="M1410" s="85" t="s">
        <v>630</v>
      </c>
      <c r="N1410" s="128">
        <v>4244</v>
      </c>
      <c r="O1410" s="128">
        <f t="shared" si="69"/>
        <v>292836</v>
      </c>
      <c r="P1410" s="89">
        <v>8508</v>
      </c>
      <c r="Q1410" t="s">
        <v>47</v>
      </c>
      <c r="R1410" s="220" t="s">
        <v>1888</v>
      </c>
      <c r="S1410" s="220" t="s">
        <v>1861</v>
      </c>
      <c r="U1410" t="s">
        <v>1972</v>
      </c>
      <c r="V1410" t="s">
        <v>2832</v>
      </c>
    </row>
    <row r="1411" spans="1:22" ht="15.75" thickBot="1" x14ac:dyDescent="0.3">
      <c r="A1411" t="s">
        <v>1935</v>
      </c>
      <c r="B1411" t="s">
        <v>1935</v>
      </c>
      <c r="C1411" t="s">
        <v>1935</v>
      </c>
      <c r="D1411" t="s">
        <v>629</v>
      </c>
      <c r="E1411" s="259" t="s">
        <v>1853</v>
      </c>
      <c r="F1411" t="s">
        <v>620</v>
      </c>
      <c r="G1411" s="89">
        <v>2008</v>
      </c>
      <c r="H1411" s="341" t="s">
        <v>731</v>
      </c>
      <c r="I1411" s="337" t="str">
        <f t="shared" si="68"/>
        <v>Pesado de Passageiros M3: III : Gasóleo : E4</v>
      </c>
      <c r="J1411" s="125">
        <v>88</v>
      </c>
      <c r="K1411" s="264">
        <v>2022</v>
      </c>
      <c r="L1411" s="85">
        <v>2533.1999999999998</v>
      </c>
      <c r="M1411" s="85" t="s">
        <v>630</v>
      </c>
      <c r="N1411" s="128">
        <v>6515</v>
      </c>
      <c r="O1411" s="128">
        <f t="shared" si="69"/>
        <v>573320</v>
      </c>
      <c r="P1411" s="89">
        <v>8511</v>
      </c>
      <c r="Q1411" t="s">
        <v>47</v>
      </c>
      <c r="R1411" s="220" t="s">
        <v>1888</v>
      </c>
      <c r="S1411" s="220" t="s">
        <v>1861</v>
      </c>
      <c r="U1411" t="s">
        <v>1972</v>
      </c>
      <c r="V1411" t="s">
        <v>2832</v>
      </c>
    </row>
    <row r="1412" spans="1:22" ht="15.75" thickBot="1" x14ac:dyDescent="0.3">
      <c r="A1412" t="s">
        <v>1935</v>
      </c>
      <c r="B1412" t="s">
        <v>1935</v>
      </c>
      <c r="C1412" t="s">
        <v>1935</v>
      </c>
      <c r="D1412" t="s">
        <v>629</v>
      </c>
      <c r="E1412" s="259" t="s">
        <v>1853</v>
      </c>
      <c r="F1412" t="s">
        <v>620</v>
      </c>
      <c r="G1412" s="89">
        <v>2007</v>
      </c>
      <c r="H1412" s="341" t="s">
        <v>731</v>
      </c>
      <c r="I1412" s="337" t="str">
        <f t="shared" ref="I1412:I1475" si="70">D1412&amp;": "&amp;E1412&amp;" : "&amp;F1412&amp;" : "&amp;H1412</f>
        <v>Pesado de Passageiros M3: III : Gasóleo : E4</v>
      </c>
      <c r="J1412" s="125">
        <v>81</v>
      </c>
      <c r="K1412" s="264">
        <v>2022</v>
      </c>
      <c r="L1412" s="85">
        <v>2283</v>
      </c>
      <c r="M1412" s="85" t="s">
        <v>630</v>
      </c>
      <c r="N1412" s="128">
        <v>6122</v>
      </c>
      <c r="O1412" s="128">
        <f t="shared" ref="O1412:O1475" si="71">N1412*J1412</f>
        <v>495882</v>
      </c>
      <c r="P1412" s="89">
        <v>8513</v>
      </c>
      <c r="Q1412" t="s">
        <v>47</v>
      </c>
      <c r="R1412" s="220" t="s">
        <v>1888</v>
      </c>
      <c r="S1412" s="220" t="s">
        <v>1861</v>
      </c>
      <c r="U1412" t="s">
        <v>1972</v>
      </c>
      <c r="V1412" t="s">
        <v>2832</v>
      </c>
    </row>
    <row r="1413" spans="1:22" ht="15.75" thickBot="1" x14ac:dyDescent="0.3">
      <c r="A1413" t="s">
        <v>1935</v>
      </c>
      <c r="B1413" t="s">
        <v>1935</v>
      </c>
      <c r="C1413" t="s">
        <v>1935</v>
      </c>
      <c r="D1413" t="s">
        <v>629</v>
      </c>
      <c r="E1413" s="259" t="s">
        <v>1853</v>
      </c>
      <c r="F1413" t="s">
        <v>620</v>
      </c>
      <c r="G1413" s="89">
        <v>2007</v>
      </c>
      <c r="H1413" s="341" t="s">
        <v>731</v>
      </c>
      <c r="I1413" s="337" t="str">
        <f t="shared" si="70"/>
        <v>Pesado de Passageiros M3: III : Gasóleo : E4</v>
      </c>
      <c r="J1413" s="125">
        <v>76</v>
      </c>
      <c r="K1413" s="264">
        <v>2022</v>
      </c>
      <c r="L1413" s="85">
        <v>216</v>
      </c>
      <c r="M1413" s="85" t="s">
        <v>630</v>
      </c>
      <c r="N1413" s="128">
        <v>0</v>
      </c>
      <c r="O1413" s="128">
        <f t="shared" si="71"/>
        <v>0</v>
      </c>
      <c r="P1413" s="89">
        <v>8515</v>
      </c>
      <c r="Q1413" t="s">
        <v>47</v>
      </c>
      <c r="R1413" s="220" t="s">
        <v>1888</v>
      </c>
      <c r="S1413" s="220" t="s">
        <v>1861</v>
      </c>
      <c r="U1413" t="s">
        <v>1972</v>
      </c>
      <c r="V1413" t="s">
        <v>2832</v>
      </c>
    </row>
    <row r="1414" spans="1:22" ht="15.75" thickBot="1" x14ac:dyDescent="0.3">
      <c r="A1414" t="s">
        <v>1935</v>
      </c>
      <c r="B1414" t="s">
        <v>1935</v>
      </c>
      <c r="C1414" t="s">
        <v>1935</v>
      </c>
      <c r="D1414" t="s">
        <v>629</v>
      </c>
      <c r="E1414" s="259" t="s">
        <v>1853</v>
      </c>
      <c r="F1414" t="s">
        <v>620</v>
      </c>
      <c r="G1414" s="89">
        <v>2009</v>
      </c>
      <c r="H1414" s="341" t="s">
        <v>731</v>
      </c>
      <c r="I1414" s="337" t="str">
        <f t="shared" si="70"/>
        <v>Pesado de Passageiros M3: III : Gasóleo : E4</v>
      </c>
      <c r="J1414" s="125">
        <v>84</v>
      </c>
      <c r="K1414" s="264">
        <v>2022</v>
      </c>
      <c r="L1414" s="85">
        <v>0</v>
      </c>
      <c r="M1414" s="85" t="s">
        <v>630</v>
      </c>
      <c r="N1414" s="128">
        <v>0</v>
      </c>
      <c r="O1414" s="128">
        <f t="shared" si="71"/>
        <v>0</v>
      </c>
      <c r="P1414" s="89">
        <v>8516</v>
      </c>
      <c r="Q1414" t="s">
        <v>47</v>
      </c>
      <c r="R1414" s="220" t="s">
        <v>1888</v>
      </c>
      <c r="S1414" s="220" t="s">
        <v>1861</v>
      </c>
      <c r="U1414" t="s">
        <v>1972</v>
      </c>
      <c r="V1414" t="s">
        <v>2832</v>
      </c>
    </row>
    <row r="1415" spans="1:22" ht="15.75" thickBot="1" x14ac:dyDescent="0.3">
      <c r="A1415" t="s">
        <v>1935</v>
      </c>
      <c r="B1415" t="s">
        <v>1935</v>
      </c>
      <c r="C1415" t="s">
        <v>1935</v>
      </c>
      <c r="D1415" t="s">
        <v>629</v>
      </c>
      <c r="E1415" s="259" t="s">
        <v>1853</v>
      </c>
      <c r="F1415" t="s">
        <v>620</v>
      </c>
      <c r="G1415" s="89">
        <v>2008</v>
      </c>
      <c r="H1415" s="341" t="s">
        <v>731</v>
      </c>
      <c r="I1415" s="337" t="str">
        <f t="shared" si="70"/>
        <v>Pesado de Passageiros M3: III : Gasóleo : E4</v>
      </c>
      <c r="J1415" s="125">
        <v>55</v>
      </c>
      <c r="K1415" s="264">
        <v>2022</v>
      </c>
      <c r="L1415" s="85">
        <v>3606.3</v>
      </c>
      <c r="M1415" s="85" t="s">
        <v>630</v>
      </c>
      <c r="N1415" s="128">
        <v>12568</v>
      </c>
      <c r="O1415" s="128">
        <f t="shared" si="71"/>
        <v>691240</v>
      </c>
      <c r="P1415" s="89">
        <v>8517</v>
      </c>
      <c r="Q1415" t="s">
        <v>47</v>
      </c>
      <c r="R1415" s="220" t="s">
        <v>1888</v>
      </c>
      <c r="S1415" s="220" t="s">
        <v>1861</v>
      </c>
      <c r="U1415" t="s">
        <v>1972</v>
      </c>
      <c r="V1415" t="s">
        <v>2832</v>
      </c>
    </row>
    <row r="1416" spans="1:22" ht="15.75" thickBot="1" x14ac:dyDescent="0.3">
      <c r="A1416" t="s">
        <v>1935</v>
      </c>
      <c r="B1416" t="s">
        <v>1935</v>
      </c>
      <c r="C1416" t="s">
        <v>1935</v>
      </c>
      <c r="D1416" t="s">
        <v>629</v>
      </c>
      <c r="E1416" s="259" t="s">
        <v>1853</v>
      </c>
      <c r="F1416" t="s">
        <v>620</v>
      </c>
      <c r="G1416" s="89">
        <v>2008</v>
      </c>
      <c r="H1416" s="341" t="s">
        <v>731</v>
      </c>
      <c r="I1416" s="337" t="str">
        <f t="shared" si="70"/>
        <v>Pesado de Passageiros M3: III : Gasóleo : E4</v>
      </c>
      <c r="J1416" s="125">
        <v>93</v>
      </c>
      <c r="K1416" s="264">
        <v>2022</v>
      </c>
      <c r="L1416" s="85">
        <v>3411.3</v>
      </c>
      <c r="M1416" s="85" t="s">
        <v>630</v>
      </c>
      <c r="N1416" s="128">
        <v>7752</v>
      </c>
      <c r="O1416" s="128">
        <f t="shared" si="71"/>
        <v>720936</v>
      </c>
      <c r="P1416" s="89">
        <v>8518</v>
      </c>
      <c r="Q1416" t="s">
        <v>47</v>
      </c>
      <c r="R1416" s="220" t="s">
        <v>1888</v>
      </c>
      <c r="S1416" s="220" t="s">
        <v>1861</v>
      </c>
      <c r="U1416" t="s">
        <v>1972</v>
      </c>
      <c r="V1416" t="s">
        <v>2832</v>
      </c>
    </row>
    <row r="1417" spans="1:22" ht="15.75" thickBot="1" x14ac:dyDescent="0.3">
      <c r="A1417" t="s">
        <v>1935</v>
      </c>
      <c r="B1417" t="s">
        <v>1935</v>
      </c>
      <c r="C1417" t="s">
        <v>1935</v>
      </c>
      <c r="D1417" t="s">
        <v>629</v>
      </c>
      <c r="E1417" s="259" t="s">
        <v>1853</v>
      </c>
      <c r="F1417" t="s">
        <v>620</v>
      </c>
      <c r="G1417" s="89">
        <v>2007</v>
      </c>
      <c r="H1417" s="341" t="s">
        <v>731</v>
      </c>
      <c r="I1417" s="337" t="str">
        <f t="shared" si="70"/>
        <v>Pesado de Passageiros M3: III : Gasóleo : E4</v>
      </c>
      <c r="J1417" s="125">
        <v>49</v>
      </c>
      <c r="K1417" s="264">
        <v>2022</v>
      </c>
      <c r="L1417" s="85">
        <v>5178.8</v>
      </c>
      <c r="M1417" s="85" t="s">
        <v>630</v>
      </c>
      <c r="N1417" s="128">
        <v>15333</v>
      </c>
      <c r="O1417" s="128">
        <f t="shared" si="71"/>
        <v>751317</v>
      </c>
      <c r="P1417" s="89">
        <v>8519</v>
      </c>
      <c r="Q1417" t="s">
        <v>47</v>
      </c>
      <c r="R1417" s="220" t="s">
        <v>1888</v>
      </c>
      <c r="S1417" s="220" t="s">
        <v>1861</v>
      </c>
      <c r="U1417" t="s">
        <v>1972</v>
      </c>
      <c r="V1417" t="s">
        <v>2832</v>
      </c>
    </row>
    <row r="1418" spans="1:22" ht="15.75" thickBot="1" x14ac:dyDescent="0.3">
      <c r="A1418" t="s">
        <v>1935</v>
      </c>
      <c r="B1418" t="s">
        <v>1935</v>
      </c>
      <c r="C1418" t="s">
        <v>1935</v>
      </c>
      <c r="D1418" t="s">
        <v>629</v>
      </c>
      <c r="E1418" s="259" t="s">
        <v>1853</v>
      </c>
      <c r="F1418" t="s">
        <v>620</v>
      </c>
      <c r="G1418" s="89">
        <v>2009</v>
      </c>
      <c r="H1418" s="341" t="s">
        <v>731</v>
      </c>
      <c r="I1418" s="337" t="str">
        <f t="shared" si="70"/>
        <v>Pesado de Passageiros M3: III : Gasóleo : E4</v>
      </c>
      <c r="J1418" s="125">
        <v>53</v>
      </c>
      <c r="K1418" s="264">
        <v>2022</v>
      </c>
      <c r="L1418" s="85">
        <v>1097.5</v>
      </c>
      <c r="M1418" s="85" t="s">
        <v>630</v>
      </c>
      <c r="N1418" s="128">
        <v>4026</v>
      </c>
      <c r="O1418" s="128">
        <f t="shared" si="71"/>
        <v>213378</v>
      </c>
      <c r="P1418" s="89">
        <v>8520</v>
      </c>
      <c r="Q1418" t="s">
        <v>47</v>
      </c>
      <c r="R1418" s="220" t="s">
        <v>1888</v>
      </c>
      <c r="S1418" s="220" t="s">
        <v>1861</v>
      </c>
      <c r="U1418" t="s">
        <v>1972</v>
      </c>
      <c r="V1418" t="s">
        <v>2832</v>
      </c>
    </row>
    <row r="1419" spans="1:22" ht="15.75" thickBot="1" x14ac:dyDescent="0.3">
      <c r="A1419" t="s">
        <v>1935</v>
      </c>
      <c r="B1419" t="s">
        <v>1935</v>
      </c>
      <c r="C1419" t="s">
        <v>1935</v>
      </c>
      <c r="D1419" t="s">
        <v>629</v>
      </c>
      <c r="E1419" s="259" t="s">
        <v>1853</v>
      </c>
      <c r="F1419" t="s">
        <v>620</v>
      </c>
      <c r="G1419" s="89">
        <v>2008</v>
      </c>
      <c r="H1419" s="341" t="s">
        <v>731</v>
      </c>
      <c r="I1419" s="337" t="str">
        <f t="shared" si="70"/>
        <v>Pesado de Passageiros M3: III : Gasóleo : E4</v>
      </c>
      <c r="J1419" s="125">
        <v>71</v>
      </c>
      <c r="K1419" s="264">
        <v>2022</v>
      </c>
      <c r="L1419" s="85">
        <v>6222.5</v>
      </c>
      <c r="M1419" s="85" t="s">
        <v>630</v>
      </c>
      <c r="N1419" s="128">
        <v>19634</v>
      </c>
      <c r="O1419" s="128">
        <f t="shared" si="71"/>
        <v>1394014</v>
      </c>
      <c r="P1419" s="89">
        <v>8521</v>
      </c>
      <c r="Q1419" t="s">
        <v>47</v>
      </c>
      <c r="R1419" s="220" t="s">
        <v>1888</v>
      </c>
      <c r="S1419" s="220" t="s">
        <v>1861</v>
      </c>
      <c r="U1419" t="s">
        <v>1972</v>
      </c>
      <c r="V1419" t="s">
        <v>2832</v>
      </c>
    </row>
    <row r="1420" spans="1:22" ht="15.75" thickBot="1" x14ac:dyDescent="0.3">
      <c r="A1420" t="s">
        <v>1935</v>
      </c>
      <c r="B1420" t="s">
        <v>1935</v>
      </c>
      <c r="C1420" t="s">
        <v>1935</v>
      </c>
      <c r="D1420" t="s">
        <v>629</v>
      </c>
      <c r="E1420" s="259" t="s">
        <v>1853</v>
      </c>
      <c r="F1420" t="s">
        <v>620</v>
      </c>
      <c r="G1420" s="89">
        <v>2008</v>
      </c>
      <c r="H1420" s="341" t="s">
        <v>731</v>
      </c>
      <c r="I1420" s="337" t="str">
        <f t="shared" si="70"/>
        <v>Pesado de Passageiros M3: III : Gasóleo : E4</v>
      </c>
      <c r="J1420" s="125">
        <v>89</v>
      </c>
      <c r="K1420" s="264">
        <v>2022</v>
      </c>
      <c r="L1420" s="85">
        <v>2650.1</v>
      </c>
      <c r="M1420" s="85" t="s">
        <v>630</v>
      </c>
      <c r="N1420" s="128">
        <v>7482</v>
      </c>
      <c r="O1420" s="128">
        <f t="shared" si="71"/>
        <v>665898</v>
      </c>
      <c r="P1420" s="89">
        <v>8522</v>
      </c>
      <c r="Q1420" t="s">
        <v>47</v>
      </c>
      <c r="R1420" s="220" t="s">
        <v>1888</v>
      </c>
      <c r="S1420" s="220" t="s">
        <v>1861</v>
      </c>
      <c r="U1420" t="s">
        <v>1972</v>
      </c>
      <c r="V1420" t="s">
        <v>2832</v>
      </c>
    </row>
    <row r="1421" spans="1:22" ht="15.75" thickBot="1" x14ac:dyDescent="0.3">
      <c r="A1421" t="s">
        <v>1935</v>
      </c>
      <c r="B1421" t="s">
        <v>1935</v>
      </c>
      <c r="C1421" t="s">
        <v>1935</v>
      </c>
      <c r="D1421" t="s">
        <v>629</v>
      </c>
      <c r="E1421" s="259" t="s">
        <v>1853</v>
      </c>
      <c r="F1421" t="s">
        <v>620</v>
      </c>
      <c r="G1421" s="89">
        <v>2008</v>
      </c>
      <c r="H1421" s="341" t="s">
        <v>731</v>
      </c>
      <c r="I1421" s="337" t="str">
        <f t="shared" si="70"/>
        <v>Pesado de Passageiros M3: III : Gasóleo : E4</v>
      </c>
      <c r="J1421" s="125">
        <v>70</v>
      </c>
      <c r="K1421" s="264">
        <v>2022</v>
      </c>
      <c r="L1421" s="85">
        <v>3945.1</v>
      </c>
      <c r="M1421" s="85" t="s">
        <v>630</v>
      </c>
      <c r="N1421" s="128">
        <v>12184</v>
      </c>
      <c r="O1421" s="128">
        <f t="shared" si="71"/>
        <v>852880</v>
      </c>
      <c r="P1421" s="89">
        <v>8523</v>
      </c>
      <c r="Q1421" t="s">
        <v>47</v>
      </c>
      <c r="R1421" s="220" t="s">
        <v>1888</v>
      </c>
      <c r="S1421" s="220" t="s">
        <v>1861</v>
      </c>
      <c r="U1421" t="s">
        <v>1972</v>
      </c>
      <c r="V1421" t="s">
        <v>2832</v>
      </c>
    </row>
    <row r="1422" spans="1:22" ht="15.75" thickBot="1" x14ac:dyDescent="0.3">
      <c r="A1422" t="s">
        <v>1935</v>
      </c>
      <c r="B1422" t="s">
        <v>1935</v>
      </c>
      <c r="C1422" t="s">
        <v>1935</v>
      </c>
      <c r="D1422" t="s">
        <v>629</v>
      </c>
      <c r="E1422" s="259" t="s">
        <v>1853</v>
      </c>
      <c r="F1422" t="s">
        <v>620</v>
      </c>
      <c r="G1422" s="89">
        <v>2007</v>
      </c>
      <c r="H1422" s="341" t="s">
        <v>731</v>
      </c>
      <c r="I1422" s="337" t="str">
        <f t="shared" si="70"/>
        <v>Pesado de Passageiros M3: III : Gasóleo : E4</v>
      </c>
      <c r="J1422" s="125">
        <v>69</v>
      </c>
      <c r="K1422" s="264">
        <v>2022</v>
      </c>
      <c r="L1422" s="85">
        <v>0</v>
      </c>
      <c r="M1422" s="85" t="s">
        <v>630</v>
      </c>
      <c r="N1422" s="128">
        <v>0</v>
      </c>
      <c r="O1422" s="128">
        <f t="shared" si="71"/>
        <v>0</v>
      </c>
      <c r="P1422" s="89">
        <v>8524</v>
      </c>
      <c r="Q1422" t="s">
        <v>47</v>
      </c>
      <c r="R1422" s="220" t="s">
        <v>1888</v>
      </c>
      <c r="S1422" s="220" t="s">
        <v>1861</v>
      </c>
      <c r="U1422" t="s">
        <v>1972</v>
      </c>
      <c r="V1422" t="s">
        <v>2832</v>
      </c>
    </row>
    <row r="1423" spans="1:22" ht="15.75" thickBot="1" x14ac:dyDescent="0.3">
      <c r="A1423" t="s">
        <v>1935</v>
      </c>
      <c r="B1423" t="s">
        <v>1935</v>
      </c>
      <c r="C1423" t="s">
        <v>1935</v>
      </c>
      <c r="D1423" t="s">
        <v>629</v>
      </c>
      <c r="E1423" s="259" t="s">
        <v>1853</v>
      </c>
      <c r="F1423" t="s">
        <v>620</v>
      </c>
      <c r="G1423" s="89">
        <v>2009</v>
      </c>
      <c r="H1423" s="341" t="s">
        <v>731</v>
      </c>
      <c r="I1423" s="337" t="str">
        <f t="shared" si="70"/>
        <v>Pesado de Passageiros M3: III : Gasóleo : E4</v>
      </c>
      <c r="J1423" s="125">
        <v>52</v>
      </c>
      <c r="K1423" s="264">
        <v>2022</v>
      </c>
      <c r="L1423" s="85">
        <v>120.8</v>
      </c>
      <c r="M1423" s="85" t="s">
        <v>630</v>
      </c>
      <c r="N1423" s="128">
        <v>0</v>
      </c>
      <c r="O1423" s="128">
        <f t="shared" si="71"/>
        <v>0</v>
      </c>
      <c r="P1423" s="89">
        <v>8525</v>
      </c>
      <c r="Q1423" t="s">
        <v>47</v>
      </c>
      <c r="R1423" s="220" t="s">
        <v>1888</v>
      </c>
      <c r="S1423" s="220" t="s">
        <v>1861</v>
      </c>
      <c r="U1423" t="s">
        <v>1972</v>
      </c>
      <c r="V1423" t="s">
        <v>2832</v>
      </c>
    </row>
    <row r="1424" spans="1:22" ht="15.75" thickBot="1" x14ac:dyDescent="0.3">
      <c r="A1424" t="s">
        <v>1935</v>
      </c>
      <c r="B1424" t="s">
        <v>1935</v>
      </c>
      <c r="C1424" t="s">
        <v>1935</v>
      </c>
      <c r="D1424" t="s">
        <v>629</v>
      </c>
      <c r="E1424" s="259" t="s">
        <v>1853</v>
      </c>
      <c r="F1424" t="s">
        <v>620</v>
      </c>
      <c r="G1424" s="89">
        <v>2013</v>
      </c>
      <c r="H1424" s="341" t="s">
        <v>734</v>
      </c>
      <c r="I1424" s="337" t="str">
        <f t="shared" si="70"/>
        <v>Pesado de Passageiros M3: III : Gasóleo : E5</v>
      </c>
      <c r="J1424" s="125">
        <v>80</v>
      </c>
      <c r="K1424" s="264">
        <v>2022</v>
      </c>
      <c r="L1424" s="85">
        <v>0</v>
      </c>
      <c r="M1424" s="85" t="s">
        <v>630</v>
      </c>
      <c r="N1424" s="128">
        <v>0</v>
      </c>
      <c r="O1424" s="128">
        <f t="shared" si="71"/>
        <v>0</v>
      </c>
      <c r="P1424" s="89">
        <v>8526</v>
      </c>
      <c r="Q1424" t="s">
        <v>47</v>
      </c>
      <c r="R1424" s="220" t="s">
        <v>1888</v>
      </c>
      <c r="S1424" s="220" t="s">
        <v>1861</v>
      </c>
      <c r="U1424" t="s">
        <v>1972</v>
      </c>
      <c r="V1424" t="s">
        <v>2832</v>
      </c>
    </row>
    <row r="1425" spans="1:22" ht="15.75" thickBot="1" x14ac:dyDescent="0.3">
      <c r="A1425" t="s">
        <v>1935</v>
      </c>
      <c r="B1425" t="s">
        <v>1935</v>
      </c>
      <c r="C1425" t="s">
        <v>1935</v>
      </c>
      <c r="D1425" t="s">
        <v>629</v>
      </c>
      <c r="E1425" s="259" t="s">
        <v>1853</v>
      </c>
      <c r="F1425" t="s">
        <v>620</v>
      </c>
      <c r="G1425" s="89">
        <v>2013</v>
      </c>
      <c r="H1425" s="341" t="s">
        <v>734</v>
      </c>
      <c r="I1425" s="337" t="str">
        <f t="shared" si="70"/>
        <v>Pesado de Passageiros M3: III : Gasóleo : E5</v>
      </c>
      <c r="J1425" s="125">
        <v>80</v>
      </c>
      <c r="K1425" s="264">
        <v>2022</v>
      </c>
      <c r="L1425" s="85">
        <v>0</v>
      </c>
      <c r="M1425" s="85" t="s">
        <v>630</v>
      </c>
      <c r="N1425" s="128">
        <v>0</v>
      </c>
      <c r="O1425" s="128">
        <f t="shared" si="71"/>
        <v>0</v>
      </c>
      <c r="P1425" s="89">
        <v>8527</v>
      </c>
      <c r="Q1425" t="s">
        <v>47</v>
      </c>
      <c r="R1425" s="220" t="s">
        <v>1888</v>
      </c>
      <c r="S1425" s="220" t="s">
        <v>1861</v>
      </c>
      <c r="U1425" t="s">
        <v>1972</v>
      </c>
      <c r="V1425" t="s">
        <v>2832</v>
      </c>
    </row>
    <row r="1426" spans="1:22" ht="15.75" thickBot="1" x14ac:dyDescent="0.3">
      <c r="A1426" t="s">
        <v>1935</v>
      </c>
      <c r="B1426" t="s">
        <v>1935</v>
      </c>
      <c r="C1426" t="s">
        <v>1935</v>
      </c>
      <c r="D1426" t="s">
        <v>629</v>
      </c>
      <c r="E1426" s="259" t="s">
        <v>1853</v>
      </c>
      <c r="F1426" t="s">
        <v>620</v>
      </c>
      <c r="G1426" s="89">
        <v>2013</v>
      </c>
      <c r="H1426" s="341" t="s">
        <v>734</v>
      </c>
      <c r="I1426" s="337" t="str">
        <f t="shared" si="70"/>
        <v>Pesado de Passageiros M3: III : Gasóleo : E5</v>
      </c>
      <c r="J1426" s="125">
        <v>90</v>
      </c>
      <c r="K1426" s="264">
        <v>2022</v>
      </c>
      <c r="L1426" s="85">
        <v>191.7</v>
      </c>
      <c r="M1426" s="85" t="s">
        <v>630</v>
      </c>
      <c r="N1426" s="128">
        <v>0</v>
      </c>
      <c r="O1426" s="128">
        <f t="shared" si="71"/>
        <v>0</v>
      </c>
      <c r="P1426" s="89">
        <v>8528</v>
      </c>
      <c r="Q1426" t="s">
        <v>47</v>
      </c>
      <c r="R1426" s="220" t="s">
        <v>1888</v>
      </c>
      <c r="S1426" s="220" t="s">
        <v>1861</v>
      </c>
      <c r="U1426" t="s">
        <v>1972</v>
      </c>
      <c r="V1426" t="s">
        <v>2832</v>
      </c>
    </row>
    <row r="1427" spans="1:22" ht="15.75" thickBot="1" x14ac:dyDescent="0.3">
      <c r="A1427" t="s">
        <v>1935</v>
      </c>
      <c r="B1427" t="s">
        <v>1935</v>
      </c>
      <c r="C1427" t="s">
        <v>1935</v>
      </c>
      <c r="D1427" t="s">
        <v>629</v>
      </c>
      <c r="E1427" s="259" t="s">
        <v>1853</v>
      </c>
      <c r="F1427" t="s">
        <v>620</v>
      </c>
      <c r="G1427" s="89">
        <v>2013</v>
      </c>
      <c r="H1427" s="341" t="s">
        <v>734</v>
      </c>
      <c r="I1427" s="337" t="str">
        <f t="shared" si="70"/>
        <v>Pesado de Passageiros M3: III : Gasóleo : E5</v>
      </c>
      <c r="J1427" s="125">
        <v>90</v>
      </c>
      <c r="K1427" s="264">
        <v>2022</v>
      </c>
      <c r="L1427" s="85">
        <v>0</v>
      </c>
      <c r="M1427" s="85" t="s">
        <v>630</v>
      </c>
      <c r="N1427" s="128">
        <v>0</v>
      </c>
      <c r="O1427" s="128">
        <f t="shared" si="71"/>
        <v>0</v>
      </c>
      <c r="P1427" s="89">
        <v>8529</v>
      </c>
      <c r="Q1427" t="s">
        <v>47</v>
      </c>
      <c r="R1427" s="220" t="s">
        <v>1888</v>
      </c>
      <c r="S1427" s="220" t="s">
        <v>1861</v>
      </c>
      <c r="U1427" t="s">
        <v>1972</v>
      </c>
      <c r="V1427" t="s">
        <v>2832</v>
      </c>
    </row>
    <row r="1428" spans="1:22" ht="15.75" thickBot="1" x14ac:dyDescent="0.3">
      <c r="A1428" t="s">
        <v>1935</v>
      </c>
      <c r="B1428" t="s">
        <v>1935</v>
      </c>
      <c r="C1428" t="s">
        <v>1935</v>
      </c>
      <c r="D1428" t="s">
        <v>629</v>
      </c>
      <c r="E1428" s="259" t="s">
        <v>1853</v>
      </c>
      <c r="F1428" t="s">
        <v>620</v>
      </c>
      <c r="G1428" s="89">
        <v>2005</v>
      </c>
      <c r="H1428" s="341" t="s">
        <v>732</v>
      </c>
      <c r="I1428" s="337" t="str">
        <f t="shared" si="70"/>
        <v>Pesado de Passageiros M3: III : Gasóleo : E3</v>
      </c>
      <c r="J1428" s="125">
        <v>24</v>
      </c>
      <c r="K1428" s="264">
        <v>2022</v>
      </c>
      <c r="L1428" s="85">
        <v>1285.3</v>
      </c>
      <c r="M1428" s="85" t="s">
        <v>630</v>
      </c>
      <c r="N1428" s="128">
        <v>6694</v>
      </c>
      <c r="O1428" s="128">
        <f t="shared" si="71"/>
        <v>160656</v>
      </c>
      <c r="P1428" s="89">
        <v>8571</v>
      </c>
      <c r="Q1428" t="s">
        <v>47</v>
      </c>
      <c r="R1428" s="220" t="s">
        <v>1888</v>
      </c>
      <c r="S1428" s="220" t="s">
        <v>1861</v>
      </c>
      <c r="U1428" t="s">
        <v>1972</v>
      </c>
      <c r="V1428" t="s">
        <v>2832</v>
      </c>
    </row>
    <row r="1429" spans="1:22" ht="15.75" thickBot="1" x14ac:dyDescent="0.3">
      <c r="A1429" t="s">
        <v>1935</v>
      </c>
      <c r="B1429" t="s">
        <v>1935</v>
      </c>
      <c r="C1429" t="s">
        <v>1935</v>
      </c>
      <c r="D1429" t="s">
        <v>629</v>
      </c>
      <c r="E1429" s="259" t="s">
        <v>1853</v>
      </c>
      <c r="F1429" t="s">
        <v>620</v>
      </c>
      <c r="G1429" s="89">
        <v>1995</v>
      </c>
      <c r="H1429" s="341" t="s">
        <v>736</v>
      </c>
      <c r="I1429" s="337" t="str">
        <f t="shared" si="70"/>
        <v>Pesado de Passageiros M3: III : Gasóleo : E1</v>
      </c>
      <c r="J1429" s="125">
        <v>75</v>
      </c>
      <c r="K1429" s="264">
        <v>2022</v>
      </c>
      <c r="L1429" s="85">
        <v>10709.5</v>
      </c>
      <c r="M1429" s="85" t="s">
        <v>630</v>
      </c>
      <c r="N1429" s="128">
        <v>36005</v>
      </c>
      <c r="O1429" s="128">
        <f t="shared" si="71"/>
        <v>2700375</v>
      </c>
      <c r="P1429" s="89">
        <v>8575</v>
      </c>
      <c r="Q1429" t="s">
        <v>47</v>
      </c>
      <c r="R1429" s="220" t="s">
        <v>1888</v>
      </c>
      <c r="S1429" s="220" t="s">
        <v>1861</v>
      </c>
      <c r="U1429" t="s">
        <v>1972</v>
      </c>
      <c r="V1429" t="s">
        <v>2832</v>
      </c>
    </row>
    <row r="1430" spans="1:22" ht="15.75" thickBot="1" x14ac:dyDescent="0.3">
      <c r="A1430" t="s">
        <v>1935</v>
      </c>
      <c r="B1430" t="s">
        <v>1935</v>
      </c>
      <c r="C1430" t="s">
        <v>1935</v>
      </c>
      <c r="D1430" t="s">
        <v>629</v>
      </c>
      <c r="E1430" s="259" t="s">
        <v>1853</v>
      </c>
      <c r="F1430" t="s">
        <v>620</v>
      </c>
      <c r="G1430" s="89">
        <v>2007</v>
      </c>
      <c r="H1430" s="341" t="s">
        <v>731</v>
      </c>
      <c r="I1430" s="337" t="str">
        <f t="shared" si="70"/>
        <v>Pesado de Passageiros M3: III : Gasóleo : E4</v>
      </c>
      <c r="J1430" s="125">
        <v>29</v>
      </c>
      <c r="K1430" s="264">
        <v>2022</v>
      </c>
      <c r="L1430" s="85">
        <v>5359.2000000000007</v>
      </c>
      <c r="M1430" s="85" t="s">
        <v>630</v>
      </c>
      <c r="N1430" s="128">
        <v>31180</v>
      </c>
      <c r="O1430" s="128">
        <f t="shared" si="71"/>
        <v>904220</v>
      </c>
      <c r="P1430" s="89">
        <v>8577</v>
      </c>
      <c r="Q1430" t="s">
        <v>47</v>
      </c>
      <c r="R1430" s="220" t="s">
        <v>1888</v>
      </c>
      <c r="S1430" s="220" t="s">
        <v>1861</v>
      </c>
      <c r="U1430" t="s">
        <v>1972</v>
      </c>
      <c r="V1430" t="s">
        <v>2832</v>
      </c>
    </row>
    <row r="1431" spans="1:22" ht="15.75" thickBot="1" x14ac:dyDescent="0.3">
      <c r="A1431" t="s">
        <v>1935</v>
      </c>
      <c r="B1431" t="s">
        <v>1935</v>
      </c>
      <c r="C1431" t="s">
        <v>1935</v>
      </c>
      <c r="D1431" t="s">
        <v>629</v>
      </c>
      <c r="E1431" s="259" t="s">
        <v>1853</v>
      </c>
      <c r="F1431" t="s">
        <v>620</v>
      </c>
      <c r="G1431" s="89">
        <v>2007</v>
      </c>
      <c r="H1431" s="341" t="s">
        <v>731</v>
      </c>
      <c r="I1431" s="337" t="str">
        <f t="shared" si="70"/>
        <v>Pesado de Passageiros M3: III : Gasóleo : E4</v>
      </c>
      <c r="J1431" s="125">
        <v>29</v>
      </c>
      <c r="K1431" s="264">
        <v>2022</v>
      </c>
      <c r="L1431" s="85">
        <v>4870.5</v>
      </c>
      <c r="M1431" s="85" t="s">
        <v>630</v>
      </c>
      <c r="N1431" s="128">
        <v>30467</v>
      </c>
      <c r="O1431" s="128">
        <f t="shared" si="71"/>
        <v>883543</v>
      </c>
      <c r="P1431" s="89">
        <v>8578</v>
      </c>
      <c r="Q1431" t="s">
        <v>47</v>
      </c>
      <c r="R1431" s="220" t="s">
        <v>1888</v>
      </c>
      <c r="S1431" s="220" t="s">
        <v>1861</v>
      </c>
      <c r="U1431" t="s">
        <v>1972</v>
      </c>
      <c r="V1431" t="s">
        <v>2832</v>
      </c>
    </row>
    <row r="1432" spans="1:22" ht="15.75" thickBot="1" x14ac:dyDescent="0.3">
      <c r="A1432" t="s">
        <v>1935</v>
      </c>
      <c r="B1432" t="s">
        <v>1935</v>
      </c>
      <c r="C1432" t="s">
        <v>1935</v>
      </c>
      <c r="D1432" t="s">
        <v>629</v>
      </c>
      <c r="E1432" s="259" t="s">
        <v>1853</v>
      </c>
      <c r="F1432" t="s">
        <v>620</v>
      </c>
      <c r="G1432" s="89">
        <v>1995</v>
      </c>
      <c r="H1432" s="341" t="s">
        <v>736</v>
      </c>
      <c r="I1432" s="337" t="str">
        <f t="shared" si="70"/>
        <v>Pesado de Passageiros M3: III : Gasóleo : E1</v>
      </c>
      <c r="J1432" s="125">
        <v>71</v>
      </c>
      <c r="K1432" s="264">
        <v>2022</v>
      </c>
      <c r="L1432" s="85">
        <v>2046.6999999999998</v>
      </c>
      <c r="M1432" s="85" t="s">
        <v>630</v>
      </c>
      <c r="N1432" s="128">
        <v>6164</v>
      </c>
      <c r="O1432" s="128">
        <f t="shared" si="71"/>
        <v>437644</v>
      </c>
      <c r="P1432" s="89">
        <v>8579</v>
      </c>
      <c r="Q1432" t="s">
        <v>47</v>
      </c>
      <c r="R1432" s="220" t="s">
        <v>1888</v>
      </c>
      <c r="S1432" s="220" t="s">
        <v>1861</v>
      </c>
      <c r="U1432" t="s">
        <v>1972</v>
      </c>
      <c r="V1432" t="s">
        <v>2832</v>
      </c>
    </row>
    <row r="1433" spans="1:22" ht="15.75" thickBot="1" x14ac:dyDescent="0.3">
      <c r="A1433" t="s">
        <v>1935</v>
      </c>
      <c r="B1433" t="s">
        <v>1935</v>
      </c>
      <c r="C1433" t="s">
        <v>1935</v>
      </c>
      <c r="D1433" t="s">
        <v>629</v>
      </c>
      <c r="E1433" s="259" t="s">
        <v>1853</v>
      </c>
      <c r="F1433" t="s">
        <v>620</v>
      </c>
      <c r="G1433" s="89">
        <v>2009</v>
      </c>
      <c r="H1433" s="341" t="s">
        <v>731</v>
      </c>
      <c r="I1433" s="337" t="str">
        <f t="shared" si="70"/>
        <v>Pesado de Passageiros M3: III : Gasóleo : E4</v>
      </c>
      <c r="J1433" s="125">
        <v>32</v>
      </c>
      <c r="K1433" s="264">
        <v>2022</v>
      </c>
      <c r="L1433" s="85">
        <v>4030.7</v>
      </c>
      <c r="M1433" s="85" t="s">
        <v>630</v>
      </c>
      <c r="N1433" s="128">
        <v>26010</v>
      </c>
      <c r="O1433" s="128">
        <f t="shared" si="71"/>
        <v>832320</v>
      </c>
      <c r="P1433" s="89">
        <v>8580</v>
      </c>
      <c r="Q1433" t="s">
        <v>47</v>
      </c>
      <c r="R1433" s="220" t="s">
        <v>1888</v>
      </c>
      <c r="S1433" s="220" t="s">
        <v>1861</v>
      </c>
      <c r="U1433" t="s">
        <v>1972</v>
      </c>
      <c r="V1433" t="s">
        <v>2832</v>
      </c>
    </row>
    <row r="1434" spans="1:22" ht="15.75" thickBot="1" x14ac:dyDescent="0.3">
      <c r="A1434" t="s">
        <v>1935</v>
      </c>
      <c r="B1434" t="s">
        <v>1935</v>
      </c>
      <c r="C1434" t="s">
        <v>1935</v>
      </c>
      <c r="D1434" t="s">
        <v>629</v>
      </c>
      <c r="E1434" s="259" t="s">
        <v>1853</v>
      </c>
      <c r="F1434" t="s">
        <v>620</v>
      </c>
      <c r="G1434" s="89">
        <v>2009</v>
      </c>
      <c r="H1434" s="341" t="s">
        <v>731</v>
      </c>
      <c r="I1434" s="337" t="str">
        <f t="shared" si="70"/>
        <v>Pesado de Passageiros M3: III : Gasóleo : E4</v>
      </c>
      <c r="J1434" s="125">
        <v>32</v>
      </c>
      <c r="K1434" s="264">
        <v>2022</v>
      </c>
      <c r="L1434" s="85">
        <v>5950.2999999999993</v>
      </c>
      <c r="M1434" s="85" t="s">
        <v>630</v>
      </c>
      <c r="N1434" s="128">
        <v>39236</v>
      </c>
      <c r="O1434" s="128">
        <f t="shared" si="71"/>
        <v>1255552</v>
      </c>
      <c r="P1434" s="89">
        <v>8581</v>
      </c>
      <c r="Q1434" t="s">
        <v>47</v>
      </c>
      <c r="R1434" s="220" t="s">
        <v>1888</v>
      </c>
      <c r="S1434" s="220" t="s">
        <v>1861</v>
      </c>
      <c r="U1434" t="s">
        <v>1972</v>
      </c>
      <c r="V1434" t="s">
        <v>2832</v>
      </c>
    </row>
    <row r="1435" spans="1:22" ht="15.75" thickBot="1" x14ac:dyDescent="0.3">
      <c r="A1435" t="s">
        <v>1935</v>
      </c>
      <c r="B1435" t="s">
        <v>1935</v>
      </c>
      <c r="C1435" t="s">
        <v>1935</v>
      </c>
      <c r="D1435" t="s">
        <v>629</v>
      </c>
      <c r="E1435" s="259" t="s">
        <v>1853</v>
      </c>
      <c r="F1435" t="s">
        <v>620</v>
      </c>
      <c r="G1435" s="89">
        <v>2011</v>
      </c>
      <c r="H1435" s="341" t="s">
        <v>734</v>
      </c>
      <c r="I1435" s="337" t="str">
        <f t="shared" si="70"/>
        <v>Pesado de Passageiros M3: III : Gasóleo : E5</v>
      </c>
      <c r="J1435" s="125">
        <v>33</v>
      </c>
      <c r="K1435" s="264">
        <v>2022</v>
      </c>
      <c r="L1435" s="85">
        <v>4996.9000000000005</v>
      </c>
      <c r="M1435" s="85" t="s">
        <v>630</v>
      </c>
      <c r="N1435" s="128">
        <v>34621</v>
      </c>
      <c r="O1435" s="128">
        <f t="shared" si="71"/>
        <v>1142493</v>
      </c>
      <c r="P1435" s="89">
        <v>8582</v>
      </c>
      <c r="Q1435" t="s">
        <v>47</v>
      </c>
      <c r="R1435" s="220" t="s">
        <v>1888</v>
      </c>
      <c r="S1435" s="220" t="s">
        <v>1861</v>
      </c>
      <c r="U1435" t="s">
        <v>1972</v>
      </c>
      <c r="V1435" t="s">
        <v>2832</v>
      </c>
    </row>
    <row r="1436" spans="1:22" ht="15.75" thickBot="1" x14ac:dyDescent="0.3">
      <c r="A1436" t="s">
        <v>1935</v>
      </c>
      <c r="B1436" t="s">
        <v>1935</v>
      </c>
      <c r="C1436" t="s">
        <v>1935</v>
      </c>
      <c r="D1436" t="s">
        <v>629</v>
      </c>
      <c r="E1436" s="259" t="s">
        <v>1853</v>
      </c>
      <c r="F1436" t="s">
        <v>620</v>
      </c>
      <c r="G1436" s="89">
        <v>2011</v>
      </c>
      <c r="H1436" s="341" t="s">
        <v>734</v>
      </c>
      <c r="I1436" s="337" t="str">
        <f t="shared" si="70"/>
        <v>Pesado de Passageiros M3: III : Gasóleo : E5</v>
      </c>
      <c r="J1436" s="125">
        <v>31</v>
      </c>
      <c r="K1436" s="264">
        <v>2022</v>
      </c>
      <c r="L1436" s="85">
        <v>4131</v>
      </c>
      <c r="M1436" s="85" t="s">
        <v>630</v>
      </c>
      <c r="N1436" s="128">
        <v>26344</v>
      </c>
      <c r="O1436" s="128">
        <f t="shared" si="71"/>
        <v>816664</v>
      </c>
      <c r="P1436" s="89">
        <v>8583</v>
      </c>
      <c r="Q1436" t="s">
        <v>47</v>
      </c>
      <c r="R1436" s="220" t="s">
        <v>1888</v>
      </c>
      <c r="S1436" s="220" t="s">
        <v>1861</v>
      </c>
      <c r="U1436" t="s">
        <v>1972</v>
      </c>
      <c r="V1436" t="s">
        <v>2832</v>
      </c>
    </row>
    <row r="1437" spans="1:22" ht="15.75" thickBot="1" x14ac:dyDescent="0.3">
      <c r="A1437" t="s">
        <v>1935</v>
      </c>
      <c r="B1437" t="s">
        <v>1935</v>
      </c>
      <c r="C1437" t="s">
        <v>1935</v>
      </c>
      <c r="D1437" t="s">
        <v>629</v>
      </c>
      <c r="E1437" s="259" t="s">
        <v>1853</v>
      </c>
      <c r="F1437" t="s">
        <v>620</v>
      </c>
      <c r="G1437" s="89">
        <v>1998</v>
      </c>
      <c r="H1437" s="341" t="s">
        <v>735</v>
      </c>
      <c r="I1437" s="337" t="str">
        <f t="shared" si="70"/>
        <v>Pesado de Passageiros M3: III : Gasóleo : E2</v>
      </c>
      <c r="J1437" s="125">
        <v>66</v>
      </c>
      <c r="K1437" s="264">
        <v>2022</v>
      </c>
      <c r="L1437" s="85">
        <v>7094.6</v>
      </c>
      <c r="M1437" s="85" t="s">
        <v>630</v>
      </c>
      <c r="N1437" s="128">
        <v>20850</v>
      </c>
      <c r="O1437" s="128">
        <f t="shared" si="71"/>
        <v>1376100</v>
      </c>
      <c r="P1437" s="89">
        <v>8584</v>
      </c>
      <c r="Q1437" t="s">
        <v>47</v>
      </c>
      <c r="R1437" s="220" t="s">
        <v>1888</v>
      </c>
      <c r="S1437" s="220" t="s">
        <v>1861</v>
      </c>
      <c r="U1437" t="s">
        <v>1972</v>
      </c>
      <c r="V1437" t="s">
        <v>2832</v>
      </c>
    </row>
    <row r="1438" spans="1:22" ht="15.75" thickBot="1" x14ac:dyDescent="0.3">
      <c r="A1438" t="s">
        <v>1935</v>
      </c>
      <c r="B1438" t="s">
        <v>1935</v>
      </c>
      <c r="C1438" t="s">
        <v>1935</v>
      </c>
      <c r="D1438" t="s">
        <v>629</v>
      </c>
      <c r="E1438" s="259" t="s">
        <v>1853</v>
      </c>
      <c r="F1438" t="s">
        <v>620</v>
      </c>
      <c r="G1438" s="89">
        <v>2002</v>
      </c>
      <c r="H1438" s="341" t="s">
        <v>732</v>
      </c>
      <c r="I1438" s="337" t="str">
        <f t="shared" si="70"/>
        <v>Pesado de Passageiros M3: III : Gasóleo : E3</v>
      </c>
      <c r="J1438" s="125">
        <v>67</v>
      </c>
      <c r="K1438" s="264">
        <v>2022</v>
      </c>
      <c r="L1438" s="85">
        <v>12383.499999999998</v>
      </c>
      <c r="M1438" s="85" t="s">
        <v>630</v>
      </c>
      <c r="N1438" s="128">
        <v>36636</v>
      </c>
      <c r="O1438" s="128">
        <f t="shared" si="71"/>
        <v>2454612</v>
      </c>
      <c r="P1438" s="89">
        <v>8585</v>
      </c>
      <c r="Q1438" t="s">
        <v>47</v>
      </c>
      <c r="R1438" s="220" t="s">
        <v>1888</v>
      </c>
      <c r="S1438" s="220" t="s">
        <v>1861</v>
      </c>
      <c r="U1438" t="s">
        <v>1972</v>
      </c>
      <c r="V1438" t="s">
        <v>2832</v>
      </c>
    </row>
    <row r="1439" spans="1:22" ht="15.75" thickBot="1" x14ac:dyDescent="0.3">
      <c r="A1439" t="s">
        <v>1935</v>
      </c>
      <c r="B1439" t="s">
        <v>1935</v>
      </c>
      <c r="C1439" t="s">
        <v>1935</v>
      </c>
      <c r="D1439" t="s">
        <v>629</v>
      </c>
      <c r="E1439" s="259" t="s">
        <v>1853</v>
      </c>
      <c r="F1439" t="s">
        <v>620</v>
      </c>
      <c r="G1439" s="89">
        <v>1996</v>
      </c>
      <c r="H1439" s="341" t="s">
        <v>735</v>
      </c>
      <c r="I1439" s="337" t="str">
        <f t="shared" si="70"/>
        <v>Pesado de Passageiros M3: III : Gasóleo : E2</v>
      </c>
      <c r="J1439" s="125">
        <v>53</v>
      </c>
      <c r="K1439" s="264">
        <v>2022</v>
      </c>
      <c r="L1439" s="85">
        <v>9142.6999999999989</v>
      </c>
      <c r="M1439" s="85" t="s">
        <v>630</v>
      </c>
      <c r="N1439" s="128">
        <v>29057</v>
      </c>
      <c r="O1439" s="128">
        <f t="shared" si="71"/>
        <v>1540021</v>
      </c>
      <c r="P1439" s="89">
        <v>8587</v>
      </c>
      <c r="Q1439" t="s">
        <v>47</v>
      </c>
      <c r="R1439" s="220" t="s">
        <v>1888</v>
      </c>
      <c r="S1439" s="220" t="s">
        <v>1861</v>
      </c>
      <c r="U1439" t="s">
        <v>1972</v>
      </c>
      <c r="V1439" t="s">
        <v>2832</v>
      </c>
    </row>
    <row r="1440" spans="1:22" ht="15.75" thickBot="1" x14ac:dyDescent="0.3">
      <c r="A1440" t="s">
        <v>1935</v>
      </c>
      <c r="B1440" t="s">
        <v>1935</v>
      </c>
      <c r="C1440" t="s">
        <v>1935</v>
      </c>
      <c r="D1440" t="s">
        <v>629</v>
      </c>
      <c r="E1440" s="259" t="s">
        <v>1853</v>
      </c>
      <c r="F1440" t="s">
        <v>620</v>
      </c>
      <c r="G1440" s="89">
        <v>2014</v>
      </c>
      <c r="H1440" s="341" t="s">
        <v>734</v>
      </c>
      <c r="I1440" s="337" t="str">
        <f t="shared" si="70"/>
        <v>Pesado de Passageiros M3: III : Gasóleo : E5</v>
      </c>
      <c r="J1440" s="125">
        <v>38</v>
      </c>
      <c r="K1440" s="264">
        <v>2022</v>
      </c>
      <c r="L1440" s="85">
        <v>9190.3000000000011</v>
      </c>
      <c r="M1440" s="85" t="s">
        <v>630</v>
      </c>
      <c r="N1440" s="128">
        <v>49205</v>
      </c>
      <c r="O1440" s="128">
        <f t="shared" si="71"/>
        <v>1869790</v>
      </c>
      <c r="P1440" s="89">
        <v>8588</v>
      </c>
      <c r="Q1440" t="s">
        <v>47</v>
      </c>
      <c r="R1440" s="220" t="s">
        <v>1888</v>
      </c>
      <c r="S1440" s="220" t="s">
        <v>1861</v>
      </c>
      <c r="U1440" t="s">
        <v>1972</v>
      </c>
      <c r="V1440" t="s">
        <v>2832</v>
      </c>
    </row>
    <row r="1441" spans="1:22" ht="15.75" thickBot="1" x14ac:dyDescent="0.3">
      <c r="A1441" t="s">
        <v>1935</v>
      </c>
      <c r="B1441" t="s">
        <v>1935</v>
      </c>
      <c r="C1441" t="s">
        <v>1935</v>
      </c>
      <c r="D1441" t="s">
        <v>629</v>
      </c>
      <c r="E1441" s="259" t="s">
        <v>1853</v>
      </c>
      <c r="F1441" t="s">
        <v>620</v>
      </c>
      <c r="G1441" s="89">
        <v>2002</v>
      </c>
      <c r="H1441" s="341" t="s">
        <v>732</v>
      </c>
      <c r="I1441" s="337" t="str">
        <f t="shared" si="70"/>
        <v>Pesado de Passageiros M3: III : Gasóleo : E3</v>
      </c>
      <c r="J1441" s="125">
        <v>69</v>
      </c>
      <c r="K1441" s="264">
        <v>2022</v>
      </c>
      <c r="L1441" s="85">
        <v>12110.300000000001</v>
      </c>
      <c r="M1441" s="85" t="s">
        <v>630</v>
      </c>
      <c r="N1441" s="128">
        <v>37929</v>
      </c>
      <c r="O1441" s="128">
        <f t="shared" si="71"/>
        <v>2617101</v>
      </c>
      <c r="P1441" s="89">
        <v>8590</v>
      </c>
      <c r="Q1441" t="s">
        <v>47</v>
      </c>
      <c r="R1441" s="220" t="s">
        <v>1888</v>
      </c>
      <c r="S1441" s="220" t="s">
        <v>1861</v>
      </c>
      <c r="U1441" t="s">
        <v>1972</v>
      </c>
      <c r="V1441" t="s">
        <v>2832</v>
      </c>
    </row>
    <row r="1442" spans="1:22" ht="15.75" thickBot="1" x14ac:dyDescent="0.3">
      <c r="A1442" t="s">
        <v>1935</v>
      </c>
      <c r="B1442" t="s">
        <v>1935</v>
      </c>
      <c r="C1442" t="s">
        <v>1935</v>
      </c>
      <c r="D1442" t="s">
        <v>629</v>
      </c>
      <c r="E1442" s="259" t="s">
        <v>1853</v>
      </c>
      <c r="F1442" t="s">
        <v>620</v>
      </c>
      <c r="G1442" s="89">
        <v>2004</v>
      </c>
      <c r="H1442" s="341" t="s">
        <v>732</v>
      </c>
      <c r="I1442" s="337" t="str">
        <f t="shared" si="70"/>
        <v>Pesado de Passageiros M3: III : Gasóleo : E3</v>
      </c>
      <c r="J1442" s="125">
        <v>69</v>
      </c>
      <c r="K1442" s="264">
        <v>2022</v>
      </c>
      <c r="L1442" s="85">
        <v>10548.1</v>
      </c>
      <c r="M1442" s="85" t="s">
        <v>630</v>
      </c>
      <c r="N1442" s="128">
        <v>32213</v>
      </c>
      <c r="O1442" s="128">
        <f t="shared" si="71"/>
        <v>2222697</v>
      </c>
      <c r="P1442" s="89">
        <v>8591</v>
      </c>
      <c r="Q1442" t="s">
        <v>47</v>
      </c>
      <c r="R1442" s="220" t="s">
        <v>1888</v>
      </c>
      <c r="S1442" s="220" t="s">
        <v>1861</v>
      </c>
      <c r="U1442" t="s">
        <v>1972</v>
      </c>
      <c r="V1442" t="s">
        <v>2832</v>
      </c>
    </row>
    <row r="1443" spans="1:22" ht="15.75" thickBot="1" x14ac:dyDescent="0.3">
      <c r="A1443" t="s">
        <v>1935</v>
      </c>
      <c r="B1443" t="s">
        <v>1935</v>
      </c>
      <c r="C1443" t="s">
        <v>1935</v>
      </c>
      <c r="D1443" t="s">
        <v>629</v>
      </c>
      <c r="E1443" s="259" t="s">
        <v>1853</v>
      </c>
      <c r="F1443" t="s">
        <v>620</v>
      </c>
      <c r="G1443" s="89">
        <v>2003</v>
      </c>
      <c r="H1443" s="341" t="s">
        <v>732</v>
      </c>
      <c r="I1443" s="337" t="str">
        <f t="shared" si="70"/>
        <v>Pesado de Passageiros M3: III : Gasóleo : E3</v>
      </c>
      <c r="J1443" s="125">
        <v>71</v>
      </c>
      <c r="K1443" s="264">
        <v>2022</v>
      </c>
      <c r="L1443" s="85">
        <v>10939.099999999999</v>
      </c>
      <c r="M1443" s="85" t="s">
        <v>630</v>
      </c>
      <c r="N1443" s="128">
        <v>35408</v>
      </c>
      <c r="O1443" s="128">
        <f t="shared" si="71"/>
        <v>2513968</v>
      </c>
      <c r="P1443" s="89">
        <v>8592</v>
      </c>
      <c r="Q1443" t="s">
        <v>47</v>
      </c>
      <c r="R1443" s="220" t="s">
        <v>1888</v>
      </c>
      <c r="S1443" s="220" t="s">
        <v>1861</v>
      </c>
      <c r="U1443" t="s">
        <v>1972</v>
      </c>
      <c r="V1443" t="s">
        <v>2832</v>
      </c>
    </row>
    <row r="1444" spans="1:22" ht="15.75" thickBot="1" x14ac:dyDescent="0.3">
      <c r="A1444" t="s">
        <v>1935</v>
      </c>
      <c r="B1444" t="s">
        <v>1935</v>
      </c>
      <c r="C1444" t="s">
        <v>1935</v>
      </c>
      <c r="D1444" t="s">
        <v>629</v>
      </c>
      <c r="E1444" s="259" t="s">
        <v>1853</v>
      </c>
      <c r="F1444" t="s">
        <v>620</v>
      </c>
      <c r="G1444" s="89">
        <v>2004</v>
      </c>
      <c r="H1444" s="341" t="s">
        <v>732</v>
      </c>
      <c r="I1444" s="337" t="str">
        <f t="shared" si="70"/>
        <v>Pesado de Passageiros M3: III : Gasóleo : E3</v>
      </c>
      <c r="J1444" s="125">
        <v>93</v>
      </c>
      <c r="K1444" s="264">
        <v>2022</v>
      </c>
      <c r="L1444" s="85">
        <v>12167.300000000001</v>
      </c>
      <c r="M1444" s="85" t="s">
        <v>630</v>
      </c>
      <c r="N1444" s="128">
        <v>29785</v>
      </c>
      <c r="O1444" s="128">
        <f t="shared" si="71"/>
        <v>2770005</v>
      </c>
      <c r="P1444" s="89">
        <v>8593</v>
      </c>
      <c r="Q1444" t="s">
        <v>47</v>
      </c>
      <c r="R1444" s="220" t="s">
        <v>1888</v>
      </c>
      <c r="S1444" s="220" t="s">
        <v>1861</v>
      </c>
      <c r="U1444" t="s">
        <v>1972</v>
      </c>
      <c r="V1444" t="s">
        <v>2832</v>
      </c>
    </row>
    <row r="1445" spans="1:22" ht="15.75" thickBot="1" x14ac:dyDescent="0.3">
      <c r="A1445" t="s">
        <v>1935</v>
      </c>
      <c r="B1445" t="s">
        <v>1935</v>
      </c>
      <c r="C1445" t="s">
        <v>1935</v>
      </c>
      <c r="D1445" t="s">
        <v>629</v>
      </c>
      <c r="E1445" s="259" t="s">
        <v>1853</v>
      </c>
      <c r="F1445" t="s">
        <v>620</v>
      </c>
      <c r="G1445" s="89">
        <v>1994</v>
      </c>
      <c r="H1445" s="341" t="s">
        <v>736</v>
      </c>
      <c r="I1445" s="337" t="str">
        <f t="shared" si="70"/>
        <v>Pesado de Passageiros M3: III : Gasóleo : E1</v>
      </c>
      <c r="J1445" s="125">
        <v>50</v>
      </c>
      <c r="K1445" s="264">
        <v>2022</v>
      </c>
      <c r="L1445" s="85">
        <v>4163.5</v>
      </c>
      <c r="M1445" s="85" t="s">
        <v>630</v>
      </c>
      <c r="N1445" s="128">
        <v>11692</v>
      </c>
      <c r="O1445" s="128">
        <f t="shared" si="71"/>
        <v>584600</v>
      </c>
      <c r="P1445" s="89">
        <v>8594</v>
      </c>
      <c r="Q1445" t="s">
        <v>47</v>
      </c>
      <c r="R1445" s="220" t="s">
        <v>1888</v>
      </c>
      <c r="S1445" s="220" t="s">
        <v>1861</v>
      </c>
      <c r="U1445" t="s">
        <v>1972</v>
      </c>
      <c r="V1445" t="s">
        <v>2832</v>
      </c>
    </row>
    <row r="1446" spans="1:22" ht="15.75" thickBot="1" x14ac:dyDescent="0.3">
      <c r="A1446" t="s">
        <v>1935</v>
      </c>
      <c r="B1446" t="s">
        <v>1935</v>
      </c>
      <c r="C1446" t="s">
        <v>1935</v>
      </c>
      <c r="D1446" t="s">
        <v>629</v>
      </c>
      <c r="E1446" s="259" t="s">
        <v>1853</v>
      </c>
      <c r="F1446" t="s">
        <v>620</v>
      </c>
      <c r="G1446" s="89">
        <v>2004</v>
      </c>
      <c r="H1446" s="341" t="s">
        <v>732</v>
      </c>
      <c r="I1446" s="337" t="str">
        <f t="shared" si="70"/>
        <v>Pesado de Passageiros M3: III : Gasóleo : E3</v>
      </c>
      <c r="J1446" s="125">
        <v>107</v>
      </c>
      <c r="K1446" s="264">
        <v>2022</v>
      </c>
      <c r="L1446" s="85">
        <v>13390.199999999999</v>
      </c>
      <c r="M1446" s="85" t="s">
        <v>630</v>
      </c>
      <c r="N1446" s="128">
        <v>32532</v>
      </c>
      <c r="O1446" s="128">
        <f t="shared" si="71"/>
        <v>3480924</v>
      </c>
      <c r="P1446" s="89">
        <v>8595</v>
      </c>
      <c r="Q1446" t="s">
        <v>47</v>
      </c>
      <c r="R1446" s="220" t="s">
        <v>1888</v>
      </c>
      <c r="S1446" s="220" t="s">
        <v>1861</v>
      </c>
      <c r="U1446" t="s">
        <v>1972</v>
      </c>
      <c r="V1446" t="s">
        <v>2832</v>
      </c>
    </row>
    <row r="1447" spans="1:22" ht="15.75" thickBot="1" x14ac:dyDescent="0.3">
      <c r="A1447" t="s">
        <v>1935</v>
      </c>
      <c r="B1447" t="s">
        <v>1935</v>
      </c>
      <c r="C1447" t="s">
        <v>1935</v>
      </c>
      <c r="D1447" t="s">
        <v>629</v>
      </c>
      <c r="E1447" s="259" t="s">
        <v>1853</v>
      </c>
      <c r="F1447" t="s">
        <v>620</v>
      </c>
      <c r="G1447" s="89">
        <v>2016</v>
      </c>
      <c r="H1447" s="341" t="s">
        <v>733</v>
      </c>
      <c r="I1447" s="337" t="str">
        <f t="shared" si="70"/>
        <v>Pesado de Passageiros M3: III : Gasóleo : E6</v>
      </c>
      <c r="J1447" s="125">
        <v>32</v>
      </c>
      <c r="K1447" s="264">
        <v>2022</v>
      </c>
      <c r="L1447" s="85">
        <v>11621.8</v>
      </c>
      <c r="M1447" s="85" t="s">
        <v>630</v>
      </c>
      <c r="N1447" s="128">
        <v>75579</v>
      </c>
      <c r="O1447" s="128">
        <f t="shared" si="71"/>
        <v>2418528</v>
      </c>
      <c r="P1447" s="89">
        <v>8596</v>
      </c>
      <c r="Q1447" t="s">
        <v>47</v>
      </c>
      <c r="R1447" s="220" t="s">
        <v>1888</v>
      </c>
      <c r="S1447" s="220" t="s">
        <v>1861</v>
      </c>
      <c r="U1447" t="s">
        <v>1972</v>
      </c>
      <c r="V1447" t="s">
        <v>2832</v>
      </c>
    </row>
    <row r="1448" spans="1:22" ht="15.75" thickBot="1" x14ac:dyDescent="0.3">
      <c r="A1448" t="s">
        <v>1935</v>
      </c>
      <c r="B1448" t="s">
        <v>1935</v>
      </c>
      <c r="C1448" t="s">
        <v>1935</v>
      </c>
      <c r="D1448" t="s">
        <v>629</v>
      </c>
      <c r="E1448" s="259" t="s">
        <v>1853</v>
      </c>
      <c r="F1448" t="s">
        <v>620</v>
      </c>
      <c r="G1448" s="89">
        <v>2008</v>
      </c>
      <c r="H1448" s="341" t="s">
        <v>731</v>
      </c>
      <c r="I1448" s="337" t="str">
        <f t="shared" si="70"/>
        <v>Pesado de Passageiros M3: III : Gasóleo : E4</v>
      </c>
      <c r="J1448" s="125">
        <v>86</v>
      </c>
      <c r="K1448" s="264">
        <v>2022</v>
      </c>
      <c r="L1448" s="85">
        <v>13102.9</v>
      </c>
      <c r="M1448" s="85" t="s">
        <v>630</v>
      </c>
      <c r="N1448" s="128">
        <v>37129</v>
      </c>
      <c r="O1448" s="128">
        <f t="shared" si="71"/>
        <v>3193094</v>
      </c>
      <c r="P1448" s="89">
        <v>8597</v>
      </c>
      <c r="Q1448" t="s">
        <v>47</v>
      </c>
      <c r="R1448" s="220" t="s">
        <v>1888</v>
      </c>
      <c r="S1448" s="220" t="s">
        <v>1861</v>
      </c>
      <c r="U1448" t="s">
        <v>1972</v>
      </c>
      <c r="V1448" t="s">
        <v>2832</v>
      </c>
    </row>
    <row r="1449" spans="1:22" ht="15.75" thickBot="1" x14ac:dyDescent="0.3">
      <c r="A1449" t="s">
        <v>1935</v>
      </c>
      <c r="B1449" t="s">
        <v>1935</v>
      </c>
      <c r="C1449" t="s">
        <v>1935</v>
      </c>
      <c r="D1449" t="s">
        <v>629</v>
      </c>
      <c r="E1449" s="259" t="s">
        <v>1853</v>
      </c>
      <c r="F1449" t="s">
        <v>620</v>
      </c>
      <c r="G1449" s="89">
        <v>2006</v>
      </c>
      <c r="H1449" s="341" t="s">
        <v>732</v>
      </c>
      <c r="I1449" s="337" t="str">
        <f t="shared" si="70"/>
        <v>Pesado de Passageiros M3: III : Gasóleo : E3</v>
      </c>
      <c r="J1449" s="125">
        <v>100</v>
      </c>
      <c r="K1449" s="264">
        <v>2022</v>
      </c>
      <c r="L1449" s="85">
        <v>12661</v>
      </c>
      <c r="M1449" s="85" t="s">
        <v>630</v>
      </c>
      <c r="N1449" s="128">
        <v>32944</v>
      </c>
      <c r="O1449" s="128">
        <f t="shared" si="71"/>
        <v>3294400</v>
      </c>
      <c r="P1449" s="89">
        <v>8598</v>
      </c>
      <c r="Q1449" t="s">
        <v>47</v>
      </c>
      <c r="R1449" s="220" t="s">
        <v>1888</v>
      </c>
      <c r="S1449" s="220" t="s">
        <v>1861</v>
      </c>
      <c r="U1449" t="s">
        <v>1972</v>
      </c>
      <c r="V1449" t="s">
        <v>2832</v>
      </c>
    </row>
    <row r="1450" spans="1:22" ht="15.75" thickBot="1" x14ac:dyDescent="0.3">
      <c r="A1450" t="s">
        <v>1935</v>
      </c>
      <c r="B1450" t="s">
        <v>1935</v>
      </c>
      <c r="C1450" t="s">
        <v>1935</v>
      </c>
      <c r="D1450" t="s">
        <v>629</v>
      </c>
      <c r="E1450" s="259" t="s">
        <v>1853</v>
      </c>
      <c r="F1450" t="s">
        <v>620</v>
      </c>
      <c r="G1450" s="89">
        <v>2003</v>
      </c>
      <c r="H1450" s="341" t="s">
        <v>732</v>
      </c>
      <c r="I1450" s="337" t="str">
        <f t="shared" si="70"/>
        <v>Pesado de Passageiros M3: III : Gasóleo : E3</v>
      </c>
      <c r="J1450" s="125">
        <v>73</v>
      </c>
      <c r="K1450" s="264">
        <v>2022</v>
      </c>
      <c r="L1450" s="85">
        <v>11491.5</v>
      </c>
      <c r="M1450" s="85" t="s">
        <v>630</v>
      </c>
      <c r="N1450" s="128">
        <v>34770</v>
      </c>
      <c r="O1450" s="128">
        <f t="shared" si="71"/>
        <v>2538210</v>
      </c>
      <c r="P1450" s="89">
        <v>8599</v>
      </c>
      <c r="Q1450" t="s">
        <v>47</v>
      </c>
      <c r="R1450" s="220" t="s">
        <v>1888</v>
      </c>
      <c r="S1450" s="220" t="s">
        <v>1861</v>
      </c>
      <c r="U1450" t="s">
        <v>1972</v>
      </c>
      <c r="V1450" t="s">
        <v>2832</v>
      </c>
    </row>
    <row r="1451" spans="1:22" ht="15.75" thickBot="1" x14ac:dyDescent="0.3">
      <c r="A1451" t="s">
        <v>1935</v>
      </c>
      <c r="B1451" t="s">
        <v>1935</v>
      </c>
      <c r="C1451" t="s">
        <v>1935</v>
      </c>
      <c r="D1451" t="s">
        <v>629</v>
      </c>
      <c r="E1451" s="259" t="s">
        <v>1853</v>
      </c>
      <c r="F1451" t="s">
        <v>620</v>
      </c>
      <c r="G1451" s="89">
        <v>1996</v>
      </c>
      <c r="H1451" s="341" t="s">
        <v>736</v>
      </c>
      <c r="I1451" s="337" t="str">
        <f t="shared" si="70"/>
        <v>Pesado de Passageiros M3: III : Gasóleo : E1</v>
      </c>
      <c r="J1451" s="125">
        <v>52</v>
      </c>
      <c r="K1451" s="264">
        <v>2022</v>
      </c>
      <c r="L1451" s="85">
        <v>3148.6</v>
      </c>
      <c r="M1451" s="85" t="s">
        <v>630</v>
      </c>
      <c r="N1451" s="128">
        <v>7736</v>
      </c>
      <c r="O1451" s="128">
        <f t="shared" si="71"/>
        <v>402272</v>
      </c>
      <c r="P1451" s="89">
        <v>8605</v>
      </c>
      <c r="Q1451" t="s">
        <v>47</v>
      </c>
      <c r="R1451" s="220" t="s">
        <v>1888</v>
      </c>
      <c r="S1451" s="220" t="s">
        <v>1861</v>
      </c>
      <c r="U1451" t="s">
        <v>1972</v>
      </c>
      <c r="V1451" t="s">
        <v>2832</v>
      </c>
    </row>
    <row r="1452" spans="1:22" ht="15.75" thickBot="1" x14ac:dyDescent="0.3">
      <c r="A1452" t="s">
        <v>1935</v>
      </c>
      <c r="B1452" t="s">
        <v>1935</v>
      </c>
      <c r="C1452" t="s">
        <v>1935</v>
      </c>
      <c r="D1452" t="s">
        <v>629</v>
      </c>
      <c r="E1452" s="259" t="s">
        <v>1853</v>
      </c>
      <c r="F1452" t="s">
        <v>620</v>
      </c>
      <c r="G1452" s="89">
        <v>1997</v>
      </c>
      <c r="H1452" s="341" t="s">
        <v>735</v>
      </c>
      <c r="I1452" s="337" t="str">
        <f t="shared" si="70"/>
        <v>Pesado de Passageiros M3: III : Gasóleo : E2</v>
      </c>
      <c r="J1452" s="125">
        <v>53</v>
      </c>
      <c r="K1452" s="264">
        <v>2022</v>
      </c>
      <c r="L1452" s="85">
        <v>4827.1000000000004</v>
      </c>
      <c r="M1452" s="85" t="s">
        <v>630</v>
      </c>
      <c r="N1452" s="128">
        <v>14922</v>
      </c>
      <c r="O1452" s="128">
        <f t="shared" si="71"/>
        <v>790866</v>
      </c>
      <c r="P1452" s="89">
        <v>8607</v>
      </c>
      <c r="Q1452" t="s">
        <v>47</v>
      </c>
      <c r="R1452" s="220" t="s">
        <v>1888</v>
      </c>
      <c r="S1452" s="220" t="s">
        <v>1861</v>
      </c>
      <c r="U1452" t="s">
        <v>1972</v>
      </c>
      <c r="V1452" t="s">
        <v>2832</v>
      </c>
    </row>
    <row r="1453" spans="1:22" ht="15.75" thickBot="1" x14ac:dyDescent="0.3">
      <c r="A1453" t="s">
        <v>1935</v>
      </c>
      <c r="B1453" t="s">
        <v>1935</v>
      </c>
      <c r="C1453" t="s">
        <v>1935</v>
      </c>
      <c r="D1453" t="s">
        <v>629</v>
      </c>
      <c r="E1453" s="259" t="s">
        <v>1853</v>
      </c>
      <c r="F1453" t="s">
        <v>620</v>
      </c>
      <c r="G1453" s="89">
        <v>1997</v>
      </c>
      <c r="H1453" s="341" t="s">
        <v>735</v>
      </c>
      <c r="I1453" s="337" t="str">
        <f t="shared" si="70"/>
        <v>Pesado de Passageiros M3: III : Gasóleo : E2</v>
      </c>
      <c r="J1453" s="125">
        <v>53</v>
      </c>
      <c r="K1453" s="264">
        <v>2022</v>
      </c>
      <c r="L1453" s="85">
        <v>7045.3</v>
      </c>
      <c r="M1453" s="85" t="s">
        <v>630</v>
      </c>
      <c r="N1453" s="128">
        <v>22796</v>
      </c>
      <c r="O1453" s="128">
        <f t="shared" si="71"/>
        <v>1208188</v>
      </c>
      <c r="P1453" s="89">
        <v>8608</v>
      </c>
      <c r="Q1453" t="s">
        <v>47</v>
      </c>
      <c r="R1453" s="220" t="s">
        <v>1888</v>
      </c>
      <c r="S1453" s="220" t="s">
        <v>1861</v>
      </c>
      <c r="U1453" t="s">
        <v>1972</v>
      </c>
      <c r="V1453" t="s">
        <v>2832</v>
      </c>
    </row>
    <row r="1454" spans="1:22" ht="15.75" thickBot="1" x14ac:dyDescent="0.3">
      <c r="A1454" t="s">
        <v>1935</v>
      </c>
      <c r="B1454" t="s">
        <v>1935</v>
      </c>
      <c r="C1454" t="s">
        <v>1935</v>
      </c>
      <c r="D1454" t="s">
        <v>629</v>
      </c>
      <c r="E1454" s="259" t="s">
        <v>1853</v>
      </c>
      <c r="F1454" t="s">
        <v>620</v>
      </c>
      <c r="G1454" s="89">
        <v>1999</v>
      </c>
      <c r="H1454" s="341" t="s">
        <v>735</v>
      </c>
      <c r="I1454" s="337" t="str">
        <f t="shared" si="70"/>
        <v>Pesado de Passageiros M3: III : Gasóleo : E2</v>
      </c>
      <c r="J1454" s="125">
        <v>53</v>
      </c>
      <c r="K1454" s="264">
        <v>2022</v>
      </c>
      <c r="L1454" s="85">
        <v>0</v>
      </c>
      <c r="M1454" s="85" t="s">
        <v>630</v>
      </c>
      <c r="N1454" s="128">
        <v>188</v>
      </c>
      <c r="O1454" s="128">
        <f t="shared" si="71"/>
        <v>9964</v>
      </c>
      <c r="P1454" s="89">
        <v>8609</v>
      </c>
      <c r="Q1454" t="s">
        <v>47</v>
      </c>
      <c r="R1454" s="220" t="s">
        <v>3736</v>
      </c>
      <c r="S1454" s="220" t="s">
        <v>3126</v>
      </c>
      <c r="U1454" t="s">
        <v>1972</v>
      </c>
      <c r="V1454" t="s">
        <v>2832</v>
      </c>
    </row>
    <row r="1455" spans="1:22" ht="15.75" thickBot="1" x14ac:dyDescent="0.3">
      <c r="A1455" t="s">
        <v>1935</v>
      </c>
      <c r="B1455" t="s">
        <v>1935</v>
      </c>
      <c r="C1455" t="s">
        <v>1935</v>
      </c>
      <c r="D1455" t="s">
        <v>629</v>
      </c>
      <c r="E1455" s="259" t="s">
        <v>1853</v>
      </c>
      <c r="F1455" t="s">
        <v>620</v>
      </c>
      <c r="G1455" s="89">
        <v>2000</v>
      </c>
      <c r="H1455" s="341" t="s">
        <v>735</v>
      </c>
      <c r="I1455" s="337" t="str">
        <f t="shared" si="70"/>
        <v>Pesado de Passageiros M3: III : Gasóleo : E2</v>
      </c>
      <c r="J1455" s="125">
        <v>52</v>
      </c>
      <c r="K1455" s="264">
        <v>2022</v>
      </c>
      <c r="L1455" s="85">
        <v>14080.699999999999</v>
      </c>
      <c r="M1455" s="85" t="s">
        <v>630</v>
      </c>
      <c r="N1455" s="128">
        <v>43024</v>
      </c>
      <c r="O1455" s="128">
        <f t="shared" si="71"/>
        <v>2237248</v>
      </c>
      <c r="P1455" s="89">
        <v>8612</v>
      </c>
      <c r="Q1455" t="s">
        <v>47</v>
      </c>
      <c r="R1455" s="220" t="s">
        <v>1888</v>
      </c>
      <c r="S1455" s="220" t="s">
        <v>1861</v>
      </c>
      <c r="U1455" t="s">
        <v>1972</v>
      </c>
      <c r="V1455" t="s">
        <v>2832</v>
      </c>
    </row>
    <row r="1456" spans="1:22" ht="15.75" thickBot="1" x14ac:dyDescent="0.3">
      <c r="A1456" t="s">
        <v>1935</v>
      </c>
      <c r="B1456" t="s">
        <v>1935</v>
      </c>
      <c r="C1456" t="s">
        <v>1935</v>
      </c>
      <c r="D1456" t="s">
        <v>629</v>
      </c>
      <c r="E1456" s="259" t="s">
        <v>1853</v>
      </c>
      <c r="F1456" t="s">
        <v>620</v>
      </c>
      <c r="G1456" s="89">
        <v>2001</v>
      </c>
      <c r="H1456" s="341" t="s">
        <v>735</v>
      </c>
      <c r="I1456" s="337" t="str">
        <f t="shared" si="70"/>
        <v>Pesado de Passageiros M3: III : Gasóleo : E2</v>
      </c>
      <c r="J1456" s="125">
        <v>56</v>
      </c>
      <c r="K1456" s="264">
        <v>2022</v>
      </c>
      <c r="L1456" s="85">
        <v>21358.6</v>
      </c>
      <c r="M1456" s="85" t="s">
        <v>630</v>
      </c>
      <c r="N1456" s="128">
        <v>68499</v>
      </c>
      <c r="O1456" s="128">
        <f t="shared" si="71"/>
        <v>3835944</v>
      </c>
      <c r="P1456" s="89">
        <v>8614</v>
      </c>
      <c r="Q1456" t="s">
        <v>47</v>
      </c>
      <c r="R1456" s="220" t="s">
        <v>1888</v>
      </c>
      <c r="S1456" s="220" t="s">
        <v>1861</v>
      </c>
      <c r="U1456" t="s">
        <v>1972</v>
      </c>
      <c r="V1456" t="s">
        <v>2832</v>
      </c>
    </row>
    <row r="1457" spans="1:22" ht="15.75" thickBot="1" x14ac:dyDescent="0.3">
      <c r="A1457" t="s">
        <v>1935</v>
      </c>
      <c r="B1457" t="s">
        <v>1935</v>
      </c>
      <c r="C1457" t="s">
        <v>1935</v>
      </c>
      <c r="D1457" t="s">
        <v>629</v>
      </c>
      <c r="E1457" s="259" t="s">
        <v>1853</v>
      </c>
      <c r="F1457" t="s">
        <v>620</v>
      </c>
      <c r="G1457" s="89">
        <v>2001</v>
      </c>
      <c r="H1457" s="341" t="s">
        <v>735</v>
      </c>
      <c r="I1457" s="337" t="str">
        <f t="shared" si="70"/>
        <v>Pesado de Passageiros M3: III : Gasóleo : E2</v>
      </c>
      <c r="J1457" s="125">
        <v>56</v>
      </c>
      <c r="K1457" s="264">
        <v>2022</v>
      </c>
      <c r="L1457" s="85">
        <v>16232.900000000001</v>
      </c>
      <c r="M1457" s="85" t="s">
        <v>630</v>
      </c>
      <c r="N1457" s="128">
        <v>46793</v>
      </c>
      <c r="O1457" s="128">
        <f t="shared" si="71"/>
        <v>2620408</v>
      </c>
      <c r="P1457" s="89">
        <v>8615</v>
      </c>
      <c r="Q1457" t="s">
        <v>47</v>
      </c>
      <c r="R1457" s="220" t="s">
        <v>1888</v>
      </c>
      <c r="S1457" s="220" t="s">
        <v>1861</v>
      </c>
      <c r="U1457" t="s">
        <v>1972</v>
      </c>
      <c r="V1457" t="s">
        <v>2832</v>
      </c>
    </row>
    <row r="1458" spans="1:22" ht="15.75" thickBot="1" x14ac:dyDescent="0.3">
      <c r="A1458" t="s">
        <v>1935</v>
      </c>
      <c r="B1458" t="s">
        <v>1935</v>
      </c>
      <c r="C1458" t="s">
        <v>1935</v>
      </c>
      <c r="D1458" t="s">
        <v>629</v>
      </c>
      <c r="E1458" s="259" t="s">
        <v>1853</v>
      </c>
      <c r="F1458" t="s">
        <v>620</v>
      </c>
      <c r="G1458" s="89">
        <v>2001</v>
      </c>
      <c r="H1458" s="341" t="s">
        <v>735</v>
      </c>
      <c r="I1458" s="337" t="str">
        <f t="shared" si="70"/>
        <v>Pesado de Passageiros M3: III : Gasóleo : E2</v>
      </c>
      <c r="J1458" s="125">
        <v>56</v>
      </c>
      <c r="K1458" s="264">
        <v>2022</v>
      </c>
      <c r="L1458" s="85">
        <v>18371.100000000002</v>
      </c>
      <c r="M1458" s="85" t="s">
        <v>630</v>
      </c>
      <c r="N1458" s="128">
        <v>58919</v>
      </c>
      <c r="O1458" s="128">
        <f t="shared" si="71"/>
        <v>3299464</v>
      </c>
      <c r="P1458" s="89">
        <v>8616</v>
      </c>
      <c r="Q1458" t="s">
        <v>47</v>
      </c>
      <c r="R1458" s="220" t="s">
        <v>1888</v>
      </c>
      <c r="S1458" s="220" t="s">
        <v>1861</v>
      </c>
      <c r="U1458" t="s">
        <v>1972</v>
      </c>
      <c r="V1458" t="s">
        <v>2832</v>
      </c>
    </row>
    <row r="1459" spans="1:22" ht="15.75" thickBot="1" x14ac:dyDescent="0.3">
      <c r="A1459" t="s">
        <v>1935</v>
      </c>
      <c r="B1459" t="s">
        <v>1935</v>
      </c>
      <c r="C1459" t="s">
        <v>1935</v>
      </c>
      <c r="D1459" t="s">
        <v>629</v>
      </c>
      <c r="E1459" s="259" t="s">
        <v>1853</v>
      </c>
      <c r="F1459" t="s">
        <v>620</v>
      </c>
      <c r="G1459" s="89">
        <v>1999</v>
      </c>
      <c r="H1459" s="341" t="s">
        <v>735</v>
      </c>
      <c r="I1459" s="337" t="str">
        <f t="shared" si="70"/>
        <v>Pesado de Passageiros M3: III : Gasóleo : E2</v>
      </c>
      <c r="J1459" s="125">
        <v>52</v>
      </c>
      <c r="K1459" s="264">
        <v>2022</v>
      </c>
      <c r="L1459" s="85">
        <v>73.8</v>
      </c>
      <c r="M1459" s="85" t="s">
        <v>630</v>
      </c>
      <c r="N1459" s="128">
        <v>14</v>
      </c>
      <c r="O1459" s="128">
        <f t="shared" si="71"/>
        <v>728</v>
      </c>
      <c r="P1459" s="89">
        <v>8618</v>
      </c>
      <c r="Q1459" t="s">
        <v>47</v>
      </c>
      <c r="R1459" s="220" t="s">
        <v>1888</v>
      </c>
      <c r="S1459" s="220" t="s">
        <v>1861</v>
      </c>
      <c r="U1459" t="s">
        <v>1972</v>
      </c>
      <c r="V1459" t="s">
        <v>2832</v>
      </c>
    </row>
    <row r="1460" spans="1:22" ht="15.75" thickBot="1" x14ac:dyDescent="0.3">
      <c r="A1460" t="s">
        <v>1935</v>
      </c>
      <c r="B1460" t="s">
        <v>1935</v>
      </c>
      <c r="C1460" t="s">
        <v>1935</v>
      </c>
      <c r="D1460" t="s">
        <v>629</v>
      </c>
      <c r="E1460" s="259" t="s">
        <v>1853</v>
      </c>
      <c r="F1460" t="s">
        <v>620</v>
      </c>
      <c r="G1460" s="89">
        <v>1999</v>
      </c>
      <c r="H1460" s="341" t="s">
        <v>735</v>
      </c>
      <c r="I1460" s="337" t="str">
        <f t="shared" si="70"/>
        <v>Pesado de Passageiros M3: III : Gasóleo : E2</v>
      </c>
      <c r="J1460" s="125">
        <v>50</v>
      </c>
      <c r="K1460" s="264">
        <v>2022</v>
      </c>
      <c r="L1460" s="85">
        <v>16362.799999999997</v>
      </c>
      <c r="M1460" s="85" t="s">
        <v>630</v>
      </c>
      <c r="N1460" s="128">
        <v>49728</v>
      </c>
      <c r="O1460" s="128">
        <f t="shared" si="71"/>
        <v>2486400</v>
      </c>
      <c r="P1460" s="89">
        <v>8619</v>
      </c>
      <c r="Q1460" t="s">
        <v>47</v>
      </c>
      <c r="R1460" s="220" t="s">
        <v>1888</v>
      </c>
      <c r="S1460" s="220" t="s">
        <v>1861</v>
      </c>
      <c r="U1460" t="s">
        <v>1972</v>
      </c>
      <c r="V1460" t="s">
        <v>2832</v>
      </c>
    </row>
    <row r="1461" spans="1:22" ht="15.75" thickBot="1" x14ac:dyDescent="0.3">
      <c r="A1461" t="s">
        <v>1935</v>
      </c>
      <c r="B1461" t="s">
        <v>1935</v>
      </c>
      <c r="C1461" t="s">
        <v>1935</v>
      </c>
      <c r="D1461" t="s">
        <v>629</v>
      </c>
      <c r="E1461" s="259" t="s">
        <v>1853</v>
      </c>
      <c r="F1461" t="s">
        <v>620</v>
      </c>
      <c r="G1461" s="89">
        <v>2001</v>
      </c>
      <c r="H1461" s="341" t="s">
        <v>735</v>
      </c>
      <c r="I1461" s="337" t="str">
        <f t="shared" si="70"/>
        <v>Pesado de Passageiros M3: III : Gasóleo : E2</v>
      </c>
      <c r="J1461" s="125">
        <v>53</v>
      </c>
      <c r="K1461" s="264">
        <v>2022</v>
      </c>
      <c r="L1461" s="85">
        <v>18575.599999999999</v>
      </c>
      <c r="M1461" s="85" t="s">
        <v>630</v>
      </c>
      <c r="N1461" s="128">
        <v>53191</v>
      </c>
      <c r="O1461" s="128">
        <f t="shared" si="71"/>
        <v>2819123</v>
      </c>
      <c r="P1461" s="89">
        <v>8620</v>
      </c>
      <c r="Q1461" t="s">
        <v>47</v>
      </c>
      <c r="R1461" s="220" t="s">
        <v>1888</v>
      </c>
      <c r="S1461" s="220" t="s">
        <v>1861</v>
      </c>
      <c r="U1461" t="s">
        <v>1972</v>
      </c>
      <c r="V1461" t="s">
        <v>2832</v>
      </c>
    </row>
    <row r="1462" spans="1:22" ht="15.75" thickBot="1" x14ac:dyDescent="0.3">
      <c r="A1462" t="s">
        <v>1935</v>
      </c>
      <c r="B1462" t="s">
        <v>1935</v>
      </c>
      <c r="C1462" t="s">
        <v>1935</v>
      </c>
      <c r="D1462" t="s">
        <v>629</v>
      </c>
      <c r="E1462" s="259" t="s">
        <v>1853</v>
      </c>
      <c r="F1462" t="s">
        <v>620</v>
      </c>
      <c r="G1462" s="89">
        <v>2001</v>
      </c>
      <c r="H1462" s="341" t="s">
        <v>735</v>
      </c>
      <c r="I1462" s="337" t="str">
        <f t="shared" si="70"/>
        <v>Pesado de Passageiros M3: III : Gasóleo : E2</v>
      </c>
      <c r="J1462" s="125">
        <v>55</v>
      </c>
      <c r="K1462" s="264">
        <v>2022</v>
      </c>
      <c r="L1462" s="85">
        <v>13646.599999999999</v>
      </c>
      <c r="M1462" s="85" t="s">
        <v>630</v>
      </c>
      <c r="N1462" s="128">
        <v>41125</v>
      </c>
      <c r="O1462" s="128">
        <f t="shared" si="71"/>
        <v>2261875</v>
      </c>
      <c r="P1462" s="89">
        <v>8621</v>
      </c>
      <c r="Q1462" t="s">
        <v>47</v>
      </c>
      <c r="R1462" s="220" t="s">
        <v>1888</v>
      </c>
      <c r="S1462" s="220" t="s">
        <v>1861</v>
      </c>
      <c r="U1462" t="s">
        <v>1972</v>
      </c>
      <c r="V1462" t="s">
        <v>2832</v>
      </c>
    </row>
    <row r="1463" spans="1:22" ht="15.75" thickBot="1" x14ac:dyDescent="0.3">
      <c r="A1463" t="s">
        <v>1935</v>
      </c>
      <c r="B1463" t="s">
        <v>1935</v>
      </c>
      <c r="C1463" t="s">
        <v>1935</v>
      </c>
      <c r="D1463" t="s">
        <v>629</v>
      </c>
      <c r="E1463" s="259" t="s">
        <v>1853</v>
      </c>
      <c r="F1463" t="s">
        <v>620</v>
      </c>
      <c r="G1463" s="89">
        <v>2008</v>
      </c>
      <c r="H1463" s="341" t="s">
        <v>731</v>
      </c>
      <c r="I1463" s="337" t="str">
        <f t="shared" si="70"/>
        <v>Pesado de Passageiros M3: III : Gasóleo : E4</v>
      </c>
      <c r="J1463" s="125">
        <v>56</v>
      </c>
      <c r="K1463" s="264">
        <v>2022</v>
      </c>
      <c r="L1463" s="85">
        <v>27974.799999999999</v>
      </c>
      <c r="M1463" s="85" t="s">
        <v>630</v>
      </c>
      <c r="N1463" s="128">
        <v>84220</v>
      </c>
      <c r="O1463" s="128">
        <f t="shared" si="71"/>
        <v>4716320</v>
      </c>
      <c r="P1463" s="89">
        <v>8623</v>
      </c>
      <c r="Q1463" t="s">
        <v>47</v>
      </c>
      <c r="R1463" s="220" t="s">
        <v>1888</v>
      </c>
      <c r="S1463" s="220" t="s">
        <v>1861</v>
      </c>
      <c r="U1463" t="s">
        <v>1972</v>
      </c>
      <c r="V1463" t="s">
        <v>2832</v>
      </c>
    </row>
    <row r="1464" spans="1:22" ht="15.75" thickBot="1" x14ac:dyDescent="0.3">
      <c r="A1464" t="s">
        <v>1935</v>
      </c>
      <c r="B1464" t="s">
        <v>1935</v>
      </c>
      <c r="C1464" t="s">
        <v>1935</v>
      </c>
      <c r="D1464" t="s">
        <v>629</v>
      </c>
      <c r="E1464" s="259" t="s">
        <v>1853</v>
      </c>
      <c r="F1464" t="s">
        <v>620</v>
      </c>
      <c r="G1464" s="89">
        <v>2008</v>
      </c>
      <c r="H1464" s="341" t="s">
        <v>731</v>
      </c>
      <c r="I1464" s="337" t="str">
        <f t="shared" si="70"/>
        <v>Pesado de Passageiros M3: III : Gasóleo : E4</v>
      </c>
      <c r="J1464" s="125">
        <v>56</v>
      </c>
      <c r="K1464" s="264">
        <v>2022</v>
      </c>
      <c r="L1464" s="85">
        <v>19201.100000000002</v>
      </c>
      <c r="M1464" s="85" t="s">
        <v>630</v>
      </c>
      <c r="N1464" s="128">
        <v>56592</v>
      </c>
      <c r="O1464" s="128">
        <f t="shared" si="71"/>
        <v>3169152</v>
      </c>
      <c r="P1464" s="89">
        <v>8625</v>
      </c>
      <c r="Q1464" t="s">
        <v>47</v>
      </c>
      <c r="R1464" s="220" t="s">
        <v>1888</v>
      </c>
      <c r="S1464" s="220" t="s">
        <v>1861</v>
      </c>
      <c r="U1464" t="s">
        <v>1972</v>
      </c>
      <c r="V1464" t="s">
        <v>2832</v>
      </c>
    </row>
    <row r="1465" spans="1:22" ht="15.75" thickBot="1" x14ac:dyDescent="0.3">
      <c r="A1465" t="s">
        <v>1935</v>
      </c>
      <c r="B1465" t="s">
        <v>1935</v>
      </c>
      <c r="C1465" t="s">
        <v>1935</v>
      </c>
      <c r="D1465" t="s">
        <v>629</v>
      </c>
      <c r="E1465" s="259" t="s">
        <v>1853</v>
      </c>
      <c r="F1465" t="s">
        <v>620</v>
      </c>
      <c r="G1465" s="89">
        <v>2008</v>
      </c>
      <c r="H1465" s="341" t="s">
        <v>731</v>
      </c>
      <c r="I1465" s="337" t="str">
        <f t="shared" si="70"/>
        <v>Pesado de Passageiros M3: III : Gasóleo : E4</v>
      </c>
      <c r="J1465" s="125">
        <v>56</v>
      </c>
      <c r="K1465" s="264">
        <v>2022</v>
      </c>
      <c r="L1465" s="85">
        <v>18306.3</v>
      </c>
      <c r="M1465" s="85" t="s">
        <v>630</v>
      </c>
      <c r="N1465" s="128">
        <v>49290</v>
      </c>
      <c r="O1465" s="128">
        <f t="shared" si="71"/>
        <v>2760240</v>
      </c>
      <c r="P1465" s="89">
        <v>8626</v>
      </c>
      <c r="Q1465" t="s">
        <v>47</v>
      </c>
      <c r="R1465" s="220" t="s">
        <v>1888</v>
      </c>
      <c r="S1465" s="220" t="s">
        <v>1861</v>
      </c>
      <c r="U1465" t="s">
        <v>1972</v>
      </c>
      <c r="V1465" t="s">
        <v>2832</v>
      </c>
    </row>
    <row r="1466" spans="1:22" ht="15.75" thickBot="1" x14ac:dyDescent="0.3">
      <c r="A1466" t="s">
        <v>1935</v>
      </c>
      <c r="B1466" t="s">
        <v>1935</v>
      </c>
      <c r="C1466" t="s">
        <v>1935</v>
      </c>
      <c r="D1466" t="s">
        <v>629</v>
      </c>
      <c r="E1466" s="259" t="s">
        <v>1853</v>
      </c>
      <c r="F1466" t="s">
        <v>620</v>
      </c>
      <c r="G1466" s="89">
        <v>2009</v>
      </c>
      <c r="H1466" s="341" t="s">
        <v>731</v>
      </c>
      <c r="I1466" s="337" t="str">
        <f t="shared" si="70"/>
        <v>Pesado de Passageiros M3: III : Gasóleo : E4</v>
      </c>
      <c r="J1466" s="125">
        <v>56</v>
      </c>
      <c r="K1466" s="264">
        <v>2022</v>
      </c>
      <c r="L1466" s="85">
        <v>12278.199999999999</v>
      </c>
      <c r="M1466" s="85" t="s">
        <v>630</v>
      </c>
      <c r="N1466" s="128">
        <v>28241</v>
      </c>
      <c r="O1466" s="128">
        <f t="shared" si="71"/>
        <v>1581496</v>
      </c>
      <c r="P1466" s="89">
        <v>8628</v>
      </c>
      <c r="Q1466" t="s">
        <v>47</v>
      </c>
      <c r="R1466" s="220" t="s">
        <v>1888</v>
      </c>
      <c r="S1466" s="220" t="s">
        <v>1861</v>
      </c>
      <c r="U1466" t="s">
        <v>1972</v>
      </c>
      <c r="V1466" t="s">
        <v>2832</v>
      </c>
    </row>
    <row r="1467" spans="1:22" ht="15.75" thickBot="1" x14ac:dyDescent="0.3">
      <c r="A1467" t="s">
        <v>1935</v>
      </c>
      <c r="B1467" t="s">
        <v>1935</v>
      </c>
      <c r="C1467" t="s">
        <v>1935</v>
      </c>
      <c r="D1467" t="s">
        <v>629</v>
      </c>
      <c r="E1467" s="259" t="s">
        <v>1853</v>
      </c>
      <c r="F1467" t="s">
        <v>620</v>
      </c>
      <c r="G1467" s="89">
        <v>2009</v>
      </c>
      <c r="H1467" s="341" t="s">
        <v>731</v>
      </c>
      <c r="I1467" s="337" t="str">
        <f t="shared" si="70"/>
        <v>Pesado de Passageiros M3: III : Gasóleo : E4</v>
      </c>
      <c r="J1467" s="125">
        <v>56</v>
      </c>
      <c r="K1467" s="264">
        <v>2022</v>
      </c>
      <c r="L1467" s="85">
        <v>26189.299999999996</v>
      </c>
      <c r="M1467" s="85" t="s">
        <v>630</v>
      </c>
      <c r="N1467" s="128">
        <v>86940</v>
      </c>
      <c r="O1467" s="128">
        <f t="shared" si="71"/>
        <v>4868640</v>
      </c>
      <c r="P1467" s="89">
        <v>8629</v>
      </c>
      <c r="Q1467" t="s">
        <v>47</v>
      </c>
      <c r="R1467" s="220" t="s">
        <v>1888</v>
      </c>
      <c r="S1467" s="220" t="s">
        <v>1861</v>
      </c>
      <c r="U1467" t="s">
        <v>1972</v>
      </c>
      <c r="V1467" t="s">
        <v>2832</v>
      </c>
    </row>
    <row r="1468" spans="1:22" ht="15.75" thickBot="1" x14ac:dyDescent="0.3">
      <c r="A1468" t="s">
        <v>1935</v>
      </c>
      <c r="B1468" t="s">
        <v>1935</v>
      </c>
      <c r="C1468" t="s">
        <v>1935</v>
      </c>
      <c r="D1468" t="s">
        <v>629</v>
      </c>
      <c r="E1468" s="259" t="s">
        <v>1853</v>
      </c>
      <c r="F1468" t="s">
        <v>620</v>
      </c>
      <c r="G1468" s="89">
        <v>2009</v>
      </c>
      <c r="H1468" s="341" t="s">
        <v>731</v>
      </c>
      <c r="I1468" s="337" t="str">
        <f t="shared" si="70"/>
        <v>Pesado de Passageiros M3: III : Gasóleo : E4</v>
      </c>
      <c r="J1468" s="125">
        <v>56</v>
      </c>
      <c r="K1468" s="264">
        <v>2022</v>
      </c>
      <c r="L1468" s="85">
        <v>28879.500000000004</v>
      </c>
      <c r="M1468" s="85" t="s">
        <v>630</v>
      </c>
      <c r="N1468" s="128">
        <v>91214</v>
      </c>
      <c r="O1468" s="128">
        <f t="shared" si="71"/>
        <v>5107984</v>
      </c>
      <c r="P1468" s="89">
        <v>8630</v>
      </c>
      <c r="Q1468" t="s">
        <v>47</v>
      </c>
      <c r="R1468" s="220" t="s">
        <v>1888</v>
      </c>
      <c r="S1468" s="220" t="s">
        <v>1861</v>
      </c>
      <c r="U1468" t="s">
        <v>1972</v>
      </c>
      <c r="V1468" t="s">
        <v>2832</v>
      </c>
    </row>
    <row r="1469" spans="1:22" ht="15.75" thickBot="1" x14ac:dyDescent="0.3">
      <c r="A1469" t="s">
        <v>1935</v>
      </c>
      <c r="B1469" t="s">
        <v>1935</v>
      </c>
      <c r="C1469" t="s">
        <v>1935</v>
      </c>
      <c r="D1469" t="s">
        <v>629</v>
      </c>
      <c r="E1469" s="259" t="s">
        <v>1853</v>
      </c>
      <c r="F1469" t="s">
        <v>620</v>
      </c>
      <c r="G1469" s="89">
        <v>2009</v>
      </c>
      <c r="H1469" s="341" t="s">
        <v>731</v>
      </c>
      <c r="I1469" s="337" t="str">
        <f t="shared" si="70"/>
        <v>Pesado de Passageiros M3: III : Gasóleo : E4</v>
      </c>
      <c r="J1469" s="125">
        <v>56</v>
      </c>
      <c r="K1469" s="264">
        <v>2022</v>
      </c>
      <c r="L1469" s="85">
        <v>14539.7</v>
      </c>
      <c r="M1469" s="85" t="s">
        <v>630</v>
      </c>
      <c r="N1469" s="128">
        <v>40361</v>
      </c>
      <c r="O1469" s="128">
        <f t="shared" si="71"/>
        <v>2260216</v>
      </c>
      <c r="P1469" s="89">
        <v>8631</v>
      </c>
      <c r="Q1469" t="s">
        <v>47</v>
      </c>
      <c r="R1469" s="220" t="s">
        <v>1888</v>
      </c>
      <c r="S1469" s="220" t="s">
        <v>1861</v>
      </c>
      <c r="U1469" t="s">
        <v>1972</v>
      </c>
      <c r="V1469" t="s">
        <v>2832</v>
      </c>
    </row>
    <row r="1470" spans="1:22" ht="15.75" thickBot="1" x14ac:dyDescent="0.3">
      <c r="A1470" t="s">
        <v>1935</v>
      </c>
      <c r="B1470" t="s">
        <v>1935</v>
      </c>
      <c r="C1470" t="s">
        <v>1935</v>
      </c>
      <c r="D1470" t="s">
        <v>629</v>
      </c>
      <c r="E1470" s="259" t="s">
        <v>1853</v>
      </c>
      <c r="F1470" t="s">
        <v>620</v>
      </c>
      <c r="G1470" s="89">
        <v>2009</v>
      </c>
      <c r="H1470" s="341" t="s">
        <v>731</v>
      </c>
      <c r="I1470" s="337" t="str">
        <f t="shared" si="70"/>
        <v>Pesado de Passageiros M3: III : Gasóleo : E4</v>
      </c>
      <c r="J1470" s="125">
        <v>58</v>
      </c>
      <c r="K1470" s="264">
        <v>2022</v>
      </c>
      <c r="L1470" s="85">
        <v>17494.3</v>
      </c>
      <c r="M1470" s="85" t="s">
        <v>630</v>
      </c>
      <c r="N1470" s="128">
        <v>56947</v>
      </c>
      <c r="O1470" s="128">
        <f t="shared" si="71"/>
        <v>3302926</v>
      </c>
      <c r="P1470" s="89">
        <v>8632</v>
      </c>
      <c r="Q1470" t="s">
        <v>47</v>
      </c>
      <c r="R1470" s="220" t="s">
        <v>1888</v>
      </c>
      <c r="S1470" s="220" t="s">
        <v>1861</v>
      </c>
      <c r="U1470" t="s">
        <v>1972</v>
      </c>
      <c r="V1470" t="s">
        <v>2832</v>
      </c>
    </row>
    <row r="1471" spans="1:22" ht="15.75" thickBot="1" x14ac:dyDescent="0.3">
      <c r="A1471" t="s">
        <v>1935</v>
      </c>
      <c r="B1471" t="s">
        <v>1935</v>
      </c>
      <c r="C1471" t="s">
        <v>1935</v>
      </c>
      <c r="D1471" t="s">
        <v>629</v>
      </c>
      <c r="E1471" s="259" t="s">
        <v>1853</v>
      </c>
      <c r="F1471" t="s">
        <v>620</v>
      </c>
      <c r="G1471" s="89">
        <v>2009</v>
      </c>
      <c r="H1471" s="341" t="s">
        <v>731</v>
      </c>
      <c r="I1471" s="337" t="str">
        <f t="shared" si="70"/>
        <v>Pesado de Passageiros M3: III : Gasóleo : E4</v>
      </c>
      <c r="J1471" s="125">
        <v>58</v>
      </c>
      <c r="K1471" s="264">
        <v>2022</v>
      </c>
      <c r="L1471" s="85">
        <v>37261.600000000006</v>
      </c>
      <c r="M1471" s="85" t="s">
        <v>630</v>
      </c>
      <c r="N1471" s="128">
        <v>118591</v>
      </c>
      <c r="O1471" s="128">
        <f t="shared" si="71"/>
        <v>6878278</v>
      </c>
      <c r="P1471" s="89">
        <v>8633</v>
      </c>
      <c r="Q1471" t="s">
        <v>47</v>
      </c>
      <c r="R1471" s="220" t="s">
        <v>1888</v>
      </c>
      <c r="S1471" s="220" t="s">
        <v>1861</v>
      </c>
      <c r="U1471" t="s">
        <v>1972</v>
      </c>
      <c r="V1471" t="s">
        <v>2832</v>
      </c>
    </row>
    <row r="1472" spans="1:22" ht="15.75" thickBot="1" x14ac:dyDescent="0.3">
      <c r="A1472" t="s">
        <v>1935</v>
      </c>
      <c r="B1472" t="s">
        <v>1935</v>
      </c>
      <c r="C1472" t="s">
        <v>1935</v>
      </c>
      <c r="D1472" t="s">
        <v>629</v>
      </c>
      <c r="E1472" s="259" t="s">
        <v>1853</v>
      </c>
      <c r="F1472" t="s">
        <v>620</v>
      </c>
      <c r="G1472" s="89">
        <v>2009</v>
      </c>
      <c r="H1472" s="341" t="s">
        <v>731</v>
      </c>
      <c r="I1472" s="337" t="str">
        <f t="shared" si="70"/>
        <v>Pesado de Passageiros M3: III : Gasóleo : E4</v>
      </c>
      <c r="J1472" s="125">
        <v>58</v>
      </c>
      <c r="K1472" s="264">
        <v>2022</v>
      </c>
      <c r="L1472" s="85">
        <v>13284.800000000001</v>
      </c>
      <c r="M1472" s="85" t="s">
        <v>630</v>
      </c>
      <c r="N1472" s="128">
        <v>38642</v>
      </c>
      <c r="O1472" s="128">
        <f t="shared" si="71"/>
        <v>2241236</v>
      </c>
      <c r="P1472" s="89">
        <v>8634</v>
      </c>
      <c r="Q1472" t="s">
        <v>47</v>
      </c>
      <c r="R1472" s="220" t="s">
        <v>1888</v>
      </c>
      <c r="S1472" s="220" t="s">
        <v>1861</v>
      </c>
      <c r="U1472" t="s">
        <v>1972</v>
      </c>
      <c r="V1472" t="s">
        <v>2832</v>
      </c>
    </row>
    <row r="1473" spans="1:22" ht="15.75" thickBot="1" x14ac:dyDescent="0.3">
      <c r="A1473" t="s">
        <v>1935</v>
      </c>
      <c r="B1473" t="s">
        <v>1935</v>
      </c>
      <c r="C1473" t="s">
        <v>1935</v>
      </c>
      <c r="D1473" t="s">
        <v>629</v>
      </c>
      <c r="E1473" s="259" t="s">
        <v>1853</v>
      </c>
      <c r="F1473" t="s">
        <v>620</v>
      </c>
      <c r="G1473" s="89">
        <v>1997</v>
      </c>
      <c r="H1473" s="341" t="s">
        <v>735</v>
      </c>
      <c r="I1473" s="337" t="str">
        <f t="shared" si="70"/>
        <v>Pesado de Passageiros M3: III : Gasóleo : E2</v>
      </c>
      <c r="J1473" s="125">
        <v>53</v>
      </c>
      <c r="K1473" s="264">
        <v>2022</v>
      </c>
      <c r="L1473" s="85">
        <v>3998.8</v>
      </c>
      <c r="M1473" s="85" t="s">
        <v>630</v>
      </c>
      <c r="N1473" s="128">
        <v>13040</v>
      </c>
      <c r="O1473" s="128">
        <f t="shared" si="71"/>
        <v>691120</v>
      </c>
      <c r="P1473" s="89">
        <v>8635</v>
      </c>
      <c r="Q1473" t="s">
        <v>47</v>
      </c>
      <c r="R1473" s="220" t="s">
        <v>1888</v>
      </c>
      <c r="S1473" s="220" t="s">
        <v>1861</v>
      </c>
      <c r="U1473" t="s">
        <v>1972</v>
      </c>
      <c r="V1473" t="s">
        <v>2832</v>
      </c>
    </row>
    <row r="1474" spans="1:22" ht="15.75" thickBot="1" x14ac:dyDescent="0.3">
      <c r="A1474" t="s">
        <v>1935</v>
      </c>
      <c r="B1474" t="s">
        <v>1935</v>
      </c>
      <c r="C1474" t="s">
        <v>1935</v>
      </c>
      <c r="D1474" t="s">
        <v>629</v>
      </c>
      <c r="E1474" s="259" t="s">
        <v>1853</v>
      </c>
      <c r="F1474" t="s">
        <v>620</v>
      </c>
      <c r="G1474" s="89">
        <v>2009</v>
      </c>
      <c r="H1474" s="341" t="s">
        <v>731</v>
      </c>
      <c r="I1474" s="337" t="str">
        <f t="shared" si="70"/>
        <v>Pesado de Passageiros M3: III : Gasóleo : E4</v>
      </c>
      <c r="J1474" s="125">
        <v>53</v>
      </c>
      <c r="K1474" s="264">
        <v>2022</v>
      </c>
      <c r="L1474" s="85">
        <v>18186.800000000003</v>
      </c>
      <c r="M1474" s="85" t="s">
        <v>630</v>
      </c>
      <c r="N1474" s="128">
        <v>58272</v>
      </c>
      <c r="O1474" s="128">
        <f t="shared" si="71"/>
        <v>3088416</v>
      </c>
      <c r="P1474" s="89">
        <v>8636</v>
      </c>
      <c r="Q1474" t="s">
        <v>47</v>
      </c>
      <c r="R1474" s="220" t="s">
        <v>1888</v>
      </c>
      <c r="S1474" s="220" t="s">
        <v>1861</v>
      </c>
      <c r="U1474" t="s">
        <v>1972</v>
      </c>
      <c r="V1474" t="s">
        <v>2832</v>
      </c>
    </row>
    <row r="1475" spans="1:22" ht="15.75" thickBot="1" x14ac:dyDescent="0.3">
      <c r="A1475" t="s">
        <v>1935</v>
      </c>
      <c r="B1475" t="s">
        <v>1935</v>
      </c>
      <c r="C1475" t="s">
        <v>1935</v>
      </c>
      <c r="D1475" t="s">
        <v>629</v>
      </c>
      <c r="E1475" s="259" t="s">
        <v>1853</v>
      </c>
      <c r="F1475" t="s">
        <v>620</v>
      </c>
      <c r="G1475" s="89">
        <v>2004</v>
      </c>
      <c r="H1475" s="341" t="s">
        <v>732</v>
      </c>
      <c r="I1475" s="337" t="str">
        <f t="shared" si="70"/>
        <v>Pesado de Passageiros M3: III : Gasóleo : E3</v>
      </c>
      <c r="J1475" s="125">
        <v>51</v>
      </c>
      <c r="K1475" s="264">
        <v>2022</v>
      </c>
      <c r="L1475" s="85">
        <v>18831</v>
      </c>
      <c r="M1475" s="85" t="s">
        <v>630</v>
      </c>
      <c r="N1475" s="128">
        <v>61407</v>
      </c>
      <c r="O1475" s="128">
        <f t="shared" si="71"/>
        <v>3131757</v>
      </c>
      <c r="P1475" s="89">
        <v>8637</v>
      </c>
      <c r="Q1475" t="s">
        <v>47</v>
      </c>
      <c r="R1475" s="220" t="s">
        <v>1888</v>
      </c>
      <c r="S1475" s="220" t="s">
        <v>1861</v>
      </c>
      <c r="U1475" t="s">
        <v>1972</v>
      </c>
      <c r="V1475" t="s">
        <v>2832</v>
      </c>
    </row>
    <row r="1476" spans="1:22" ht="15.75" thickBot="1" x14ac:dyDescent="0.3">
      <c r="A1476" t="s">
        <v>1935</v>
      </c>
      <c r="B1476" t="s">
        <v>1935</v>
      </c>
      <c r="C1476" t="s">
        <v>1935</v>
      </c>
      <c r="D1476" t="s">
        <v>629</v>
      </c>
      <c r="E1476" s="259" t="s">
        <v>1853</v>
      </c>
      <c r="F1476" t="s">
        <v>620</v>
      </c>
      <c r="G1476" s="89">
        <v>2016</v>
      </c>
      <c r="H1476" s="341" t="s">
        <v>733</v>
      </c>
      <c r="I1476" s="337" t="str">
        <f t="shared" ref="I1476:I1539" si="72">D1476&amp;": "&amp;E1476&amp;" : "&amp;F1476&amp;" : "&amp;H1476</f>
        <v>Pesado de Passageiros M3: III : Gasóleo : E6</v>
      </c>
      <c r="J1476" s="125">
        <v>55</v>
      </c>
      <c r="K1476" s="264">
        <v>2022</v>
      </c>
      <c r="L1476" s="85">
        <v>44411.599999999991</v>
      </c>
      <c r="M1476" s="85" t="s">
        <v>630</v>
      </c>
      <c r="N1476" s="128">
        <v>156387</v>
      </c>
      <c r="O1476" s="128">
        <f t="shared" ref="O1476:O1539" si="73">N1476*J1476</f>
        <v>8601285</v>
      </c>
      <c r="P1476" s="89">
        <v>8638</v>
      </c>
      <c r="Q1476" t="s">
        <v>47</v>
      </c>
      <c r="R1476" s="220" t="s">
        <v>1888</v>
      </c>
      <c r="S1476" s="220" t="s">
        <v>1861</v>
      </c>
      <c r="U1476" t="s">
        <v>1972</v>
      </c>
      <c r="V1476" t="s">
        <v>2832</v>
      </c>
    </row>
    <row r="1477" spans="1:22" ht="15.75" thickBot="1" x14ac:dyDescent="0.3">
      <c r="A1477" t="s">
        <v>1935</v>
      </c>
      <c r="B1477" t="s">
        <v>1935</v>
      </c>
      <c r="C1477" t="s">
        <v>1935</v>
      </c>
      <c r="D1477" t="s">
        <v>629</v>
      </c>
      <c r="E1477" s="259" t="s">
        <v>1853</v>
      </c>
      <c r="F1477" t="s">
        <v>620</v>
      </c>
      <c r="G1477" s="89">
        <v>2016</v>
      </c>
      <c r="H1477" s="341" t="s">
        <v>733</v>
      </c>
      <c r="I1477" s="337" t="str">
        <f t="shared" si="72"/>
        <v>Pesado de Passageiros M3: III : Gasóleo : E6</v>
      </c>
      <c r="J1477" s="125">
        <v>55</v>
      </c>
      <c r="K1477" s="264">
        <v>2022</v>
      </c>
      <c r="L1477" s="85">
        <v>31511.699999999997</v>
      </c>
      <c r="M1477" s="85" t="s">
        <v>630</v>
      </c>
      <c r="N1477" s="128">
        <v>108679</v>
      </c>
      <c r="O1477" s="128">
        <f t="shared" si="73"/>
        <v>5977345</v>
      </c>
      <c r="P1477" s="89">
        <v>8639</v>
      </c>
      <c r="Q1477" t="s">
        <v>47</v>
      </c>
      <c r="R1477" s="220" t="s">
        <v>1888</v>
      </c>
      <c r="S1477" s="220" t="s">
        <v>1861</v>
      </c>
      <c r="U1477" t="s">
        <v>1972</v>
      </c>
      <c r="V1477" t="s">
        <v>2832</v>
      </c>
    </row>
    <row r="1478" spans="1:22" ht="15.75" thickBot="1" x14ac:dyDescent="0.3">
      <c r="A1478" t="s">
        <v>1935</v>
      </c>
      <c r="B1478" t="s">
        <v>1935</v>
      </c>
      <c r="C1478" t="s">
        <v>1935</v>
      </c>
      <c r="D1478" t="s">
        <v>629</v>
      </c>
      <c r="E1478" s="259" t="s">
        <v>1853</v>
      </c>
      <c r="F1478" t="s">
        <v>620</v>
      </c>
      <c r="G1478" s="89">
        <v>2016</v>
      </c>
      <c r="H1478" s="341" t="s">
        <v>733</v>
      </c>
      <c r="I1478" s="337" t="str">
        <f t="shared" si="72"/>
        <v>Pesado de Passageiros M3: III : Gasóleo : E6</v>
      </c>
      <c r="J1478" s="125">
        <v>55</v>
      </c>
      <c r="K1478" s="264">
        <v>2022</v>
      </c>
      <c r="L1478" s="85">
        <v>37409.5</v>
      </c>
      <c r="M1478" s="85" t="s">
        <v>630</v>
      </c>
      <c r="N1478" s="128">
        <v>132199</v>
      </c>
      <c r="O1478" s="128">
        <f t="shared" si="73"/>
        <v>7270945</v>
      </c>
      <c r="P1478" s="89">
        <v>8640</v>
      </c>
      <c r="Q1478" t="s">
        <v>47</v>
      </c>
      <c r="R1478" s="220" t="s">
        <v>1888</v>
      </c>
      <c r="S1478" s="220" t="s">
        <v>1861</v>
      </c>
      <c r="U1478" t="s">
        <v>1972</v>
      </c>
      <c r="V1478" t="s">
        <v>2832</v>
      </c>
    </row>
    <row r="1479" spans="1:22" ht="15.75" thickBot="1" x14ac:dyDescent="0.3">
      <c r="A1479" t="s">
        <v>1935</v>
      </c>
      <c r="B1479" t="s">
        <v>1935</v>
      </c>
      <c r="C1479" t="s">
        <v>1935</v>
      </c>
      <c r="D1479" t="s">
        <v>629</v>
      </c>
      <c r="E1479" s="259" t="s">
        <v>1853</v>
      </c>
      <c r="F1479" t="s">
        <v>620</v>
      </c>
      <c r="G1479" s="89">
        <v>2016</v>
      </c>
      <c r="H1479" s="341" t="s">
        <v>733</v>
      </c>
      <c r="I1479" s="337" t="str">
        <f t="shared" si="72"/>
        <v>Pesado de Passageiros M3: III : Gasóleo : E6</v>
      </c>
      <c r="J1479" s="125">
        <v>55</v>
      </c>
      <c r="K1479" s="264">
        <v>2022</v>
      </c>
      <c r="L1479" s="85">
        <v>37789.899999999994</v>
      </c>
      <c r="M1479" s="85" t="s">
        <v>630</v>
      </c>
      <c r="N1479" s="128">
        <v>134253</v>
      </c>
      <c r="O1479" s="128">
        <f t="shared" si="73"/>
        <v>7383915</v>
      </c>
      <c r="P1479" s="89">
        <v>8641</v>
      </c>
      <c r="Q1479" t="s">
        <v>47</v>
      </c>
      <c r="R1479" s="220" t="s">
        <v>1888</v>
      </c>
      <c r="S1479" s="220" t="s">
        <v>1861</v>
      </c>
      <c r="U1479" t="s">
        <v>1972</v>
      </c>
      <c r="V1479" t="s">
        <v>2832</v>
      </c>
    </row>
    <row r="1480" spans="1:22" ht="15.75" thickBot="1" x14ac:dyDescent="0.3">
      <c r="A1480" t="s">
        <v>1935</v>
      </c>
      <c r="B1480" t="s">
        <v>1935</v>
      </c>
      <c r="C1480" t="s">
        <v>1935</v>
      </c>
      <c r="D1480" t="s">
        <v>629</v>
      </c>
      <c r="E1480" s="259" t="s">
        <v>1853</v>
      </c>
      <c r="F1480" t="s">
        <v>620</v>
      </c>
      <c r="G1480" s="89">
        <v>2016</v>
      </c>
      <c r="H1480" s="341" t="s">
        <v>733</v>
      </c>
      <c r="I1480" s="337" t="str">
        <f t="shared" si="72"/>
        <v>Pesado de Passageiros M3: III : Gasóleo : E6</v>
      </c>
      <c r="J1480" s="125">
        <v>55</v>
      </c>
      <c r="K1480" s="264">
        <v>2022</v>
      </c>
      <c r="L1480" s="85">
        <v>44941.2</v>
      </c>
      <c r="M1480" s="85" t="s">
        <v>630</v>
      </c>
      <c r="N1480" s="128">
        <v>145617</v>
      </c>
      <c r="O1480" s="128">
        <f t="shared" si="73"/>
        <v>8008935</v>
      </c>
      <c r="P1480" s="89">
        <v>8642</v>
      </c>
      <c r="Q1480" t="s">
        <v>47</v>
      </c>
      <c r="R1480" s="220" t="s">
        <v>1888</v>
      </c>
      <c r="S1480" s="220" t="s">
        <v>1861</v>
      </c>
      <c r="U1480" t="s">
        <v>1972</v>
      </c>
      <c r="V1480" t="s">
        <v>2832</v>
      </c>
    </row>
    <row r="1481" spans="1:22" ht="15.75" thickBot="1" x14ac:dyDescent="0.3">
      <c r="A1481" t="s">
        <v>1935</v>
      </c>
      <c r="B1481" t="s">
        <v>1935</v>
      </c>
      <c r="C1481" t="s">
        <v>1935</v>
      </c>
      <c r="D1481" t="s">
        <v>629</v>
      </c>
      <c r="E1481" s="259" t="s">
        <v>1853</v>
      </c>
      <c r="F1481" t="s">
        <v>620</v>
      </c>
      <c r="G1481" s="89">
        <v>2016</v>
      </c>
      <c r="H1481" s="341" t="s">
        <v>733</v>
      </c>
      <c r="I1481" s="337" t="str">
        <f t="shared" si="72"/>
        <v>Pesado de Passageiros M3: III : Gasóleo : E6</v>
      </c>
      <c r="J1481" s="125">
        <v>55</v>
      </c>
      <c r="K1481" s="264">
        <v>2022</v>
      </c>
      <c r="L1481" s="85">
        <v>44203.1</v>
      </c>
      <c r="M1481" s="85" t="s">
        <v>630</v>
      </c>
      <c r="N1481" s="128">
        <v>157371</v>
      </c>
      <c r="O1481" s="128">
        <f t="shared" si="73"/>
        <v>8655405</v>
      </c>
      <c r="P1481" s="89">
        <v>8643</v>
      </c>
      <c r="Q1481" t="s">
        <v>47</v>
      </c>
      <c r="R1481" s="220" t="s">
        <v>1888</v>
      </c>
      <c r="S1481" s="220" t="s">
        <v>1861</v>
      </c>
      <c r="U1481" t="s">
        <v>1972</v>
      </c>
      <c r="V1481" t="s">
        <v>2832</v>
      </c>
    </row>
    <row r="1482" spans="1:22" ht="15.75" thickBot="1" x14ac:dyDescent="0.3">
      <c r="A1482" t="s">
        <v>1935</v>
      </c>
      <c r="B1482" t="s">
        <v>1935</v>
      </c>
      <c r="C1482" t="s">
        <v>1935</v>
      </c>
      <c r="D1482" t="s">
        <v>629</v>
      </c>
      <c r="E1482" s="259" t="s">
        <v>1853</v>
      </c>
      <c r="F1482" t="s">
        <v>620</v>
      </c>
      <c r="G1482" s="89">
        <v>2017</v>
      </c>
      <c r="H1482" s="341" t="s">
        <v>733</v>
      </c>
      <c r="I1482" s="337" t="str">
        <f t="shared" si="72"/>
        <v>Pesado de Passageiros M3: III : Gasóleo : E6</v>
      </c>
      <c r="J1482" s="125">
        <v>55</v>
      </c>
      <c r="K1482" s="264">
        <v>2022</v>
      </c>
      <c r="L1482" s="85">
        <v>25150.2</v>
      </c>
      <c r="M1482" s="85" t="s">
        <v>630</v>
      </c>
      <c r="N1482" s="128">
        <v>87002</v>
      </c>
      <c r="O1482" s="128">
        <f t="shared" si="73"/>
        <v>4785110</v>
      </c>
      <c r="P1482" s="89">
        <v>8644</v>
      </c>
      <c r="Q1482" t="s">
        <v>47</v>
      </c>
      <c r="R1482" s="220" t="s">
        <v>1888</v>
      </c>
      <c r="S1482" s="220" t="s">
        <v>1861</v>
      </c>
      <c r="U1482" t="s">
        <v>1972</v>
      </c>
      <c r="V1482" t="s">
        <v>2832</v>
      </c>
    </row>
    <row r="1483" spans="1:22" ht="15.75" thickBot="1" x14ac:dyDescent="0.3">
      <c r="A1483" t="s">
        <v>1935</v>
      </c>
      <c r="B1483" t="s">
        <v>1935</v>
      </c>
      <c r="C1483" t="s">
        <v>1935</v>
      </c>
      <c r="D1483" t="s">
        <v>629</v>
      </c>
      <c r="E1483" s="259" t="s">
        <v>1853</v>
      </c>
      <c r="F1483" t="s">
        <v>620</v>
      </c>
      <c r="G1483" s="89">
        <v>2017</v>
      </c>
      <c r="H1483" s="341" t="s">
        <v>733</v>
      </c>
      <c r="I1483" s="337" t="str">
        <f t="shared" si="72"/>
        <v>Pesado de Passageiros M3: III : Gasóleo : E6</v>
      </c>
      <c r="J1483" s="125">
        <v>55</v>
      </c>
      <c r="K1483" s="264">
        <v>2022</v>
      </c>
      <c r="L1483" s="85">
        <v>45502.299999999996</v>
      </c>
      <c r="M1483" s="85" t="s">
        <v>630</v>
      </c>
      <c r="N1483" s="128">
        <v>165301</v>
      </c>
      <c r="O1483" s="128">
        <f t="shared" si="73"/>
        <v>9091555</v>
      </c>
      <c r="P1483" s="89">
        <v>8645</v>
      </c>
      <c r="Q1483" t="s">
        <v>47</v>
      </c>
      <c r="R1483" s="220" t="s">
        <v>1888</v>
      </c>
      <c r="S1483" s="220" t="s">
        <v>1861</v>
      </c>
      <c r="U1483" t="s">
        <v>1972</v>
      </c>
      <c r="V1483" t="s">
        <v>2832</v>
      </c>
    </row>
    <row r="1484" spans="1:22" ht="15.75" thickBot="1" x14ac:dyDescent="0.3">
      <c r="A1484" t="s">
        <v>1935</v>
      </c>
      <c r="B1484" t="s">
        <v>1935</v>
      </c>
      <c r="C1484" t="s">
        <v>1935</v>
      </c>
      <c r="D1484" t="s">
        <v>629</v>
      </c>
      <c r="E1484" s="259" t="s">
        <v>1853</v>
      </c>
      <c r="F1484" t="s">
        <v>620</v>
      </c>
      <c r="G1484" s="89">
        <v>2017</v>
      </c>
      <c r="H1484" s="341" t="s">
        <v>733</v>
      </c>
      <c r="I1484" s="337" t="str">
        <f t="shared" si="72"/>
        <v>Pesado de Passageiros M3: III : Gasóleo : E6</v>
      </c>
      <c r="J1484" s="125">
        <v>55</v>
      </c>
      <c r="K1484" s="264">
        <v>2022</v>
      </c>
      <c r="L1484" s="85">
        <v>42645.899999999994</v>
      </c>
      <c r="M1484" s="85" t="s">
        <v>630</v>
      </c>
      <c r="N1484" s="128">
        <v>139195</v>
      </c>
      <c r="O1484" s="128">
        <f t="shared" si="73"/>
        <v>7655725</v>
      </c>
      <c r="P1484" s="89">
        <v>8646</v>
      </c>
      <c r="Q1484" t="s">
        <v>47</v>
      </c>
      <c r="R1484" s="220" t="s">
        <v>1888</v>
      </c>
      <c r="S1484" s="220" t="s">
        <v>1861</v>
      </c>
      <c r="U1484" t="s">
        <v>1972</v>
      </c>
      <c r="V1484" t="s">
        <v>2832</v>
      </c>
    </row>
    <row r="1485" spans="1:22" ht="15.75" thickBot="1" x14ac:dyDescent="0.3">
      <c r="A1485" t="s">
        <v>1935</v>
      </c>
      <c r="B1485" t="s">
        <v>1935</v>
      </c>
      <c r="C1485" t="s">
        <v>1935</v>
      </c>
      <c r="D1485" t="s">
        <v>629</v>
      </c>
      <c r="E1485" s="259" t="s">
        <v>1853</v>
      </c>
      <c r="F1485" t="s">
        <v>620</v>
      </c>
      <c r="G1485" s="89">
        <v>2017</v>
      </c>
      <c r="H1485" s="341" t="s">
        <v>733</v>
      </c>
      <c r="I1485" s="337" t="str">
        <f t="shared" si="72"/>
        <v>Pesado de Passageiros M3: III : Gasóleo : E6</v>
      </c>
      <c r="J1485" s="125">
        <v>55</v>
      </c>
      <c r="K1485" s="264">
        <v>2022</v>
      </c>
      <c r="L1485" s="85">
        <v>43498.9</v>
      </c>
      <c r="M1485" s="85" t="s">
        <v>630</v>
      </c>
      <c r="N1485" s="128">
        <v>162291</v>
      </c>
      <c r="O1485" s="128">
        <f t="shared" si="73"/>
        <v>8926005</v>
      </c>
      <c r="P1485" s="89">
        <v>8647</v>
      </c>
      <c r="Q1485" t="s">
        <v>47</v>
      </c>
      <c r="R1485" s="220" t="s">
        <v>1888</v>
      </c>
      <c r="S1485" s="220" t="s">
        <v>1861</v>
      </c>
      <c r="U1485" t="s">
        <v>1972</v>
      </c>
      <c r="V1485" t="s">
        <v>2832</v>
      </c>
    </row>
    <row r="1486" spans="1:22" ht="15.75" thickBot="1" x14ac:dyDescent="0.3">
      <c r="A1486" t="s">
        <v>1935</v>
      </c>
      <c r="B1486" t="s">
        <v>1935</v>
      </c>
      <c r="C1486" t="s">
        <v>1935</v>
      </c>
      <c r="D1486" t="s">
        <v>629</v>
      </c>
      <c r="E1486" s="259" t="s">
        <v>1853</v>
      </c>
      <c r="F1486" t="s">
        <v>620</v>
      </c>
      <c r="G1486" s="89">
        <v>2013</v>
      </c>
      <c r="H1486" s="341" t="s">
        <v>734</v>
      </c>
      <c r="I1486" s="337" t="str">
        <f t="shared" si="72"/>
        <v>Pesado de Passageiros M3: III : Gasóleo : E5</v>
      </c>
      <c r="J1486" s="125">
        <v>55</v>
      </c>
      <c r="K1486" s="264">
        <v>2022</v>
      </c>
      <c r="L1486" s="85">
        <v>27305.199999999997</v>
      </c>
      <c r="M1486" s="85" t="s">
        <v>630</v>
      </c>
      <c r="N1486" s="128">
        <v>83763</v>
      </c>
      <c r="O1486" s="128">
        <f t="shared" si="73"/>
        <v>4606965</v>
      </c>
      <c r="P1486" s="89">
        <v>8648</v>
      </c>
      <c r="Q1486" t="s">
        <v>47</v>
      </c>
      <c r="R1486" s="220" t="s">
        <v>1888</v>
      </c>
      <c r="S1486" s="220" t="s">
        <v>1861</v>
      </c>
      <c r="U1486" t="s">
        <v>1972</v>
      </c>
      <c r="V1486" t="s">
        <v>2832</v>
      </c>
    </row>
    <row r="1487" spans="1:22" ht="15.75" thickBot="1" x14ac:dyDescent="0.3">
      <c r="A1487" t="s">
        <v>1935</v>
      </c>
      <c r="B1487" t="s">
        <v>1935</v>
      </c>
      <c r="C1487" t="s">
        <v>1935</v>
      </c>
      <c r="D1487" t="s">
        <v>629</v>
      </c>
      <c r="E1487" s="259" t="s">
        <v>1853</v>
      </c>
      <c r="F1487" t="s">
        <v>620</v>
      </c>
      <c r="G1487" s="89">
        <v>2013</v>
      </c>
      <c r="H1487" s="341" t="s">
        <v>734</v>
      </c>
      <c r="I1487" s="337" t="str">
        <f t="shared" si="72"/>
        <v>Pesado de Passageiros M3: III : Gasóleo : E5</v>
      </c>
      <c r="J1487" s="125">
        <v>55</v>
      </c>
      <c r="K1487" s="264">
        <v>2022</v>
      </c>
      <c r="L1487" s="85">
        <v>26986.7</v>
      </c>
      <c r="M1487" s="85" t="s">
        <v>630</v>
      </c>
      <c r="N1487" s="128">
        <v>88554</v>
      </c>
      <c r="O1487" s="128">
        <f t="shared" si="73"/>
        <v>4870470</v>
      </c>
      <c r="P1487" s="89">
        <v>8649</v>
      </c>
      <c r="Q1487" t="s">
        <v>47</v>
      </c>
      <c r="R1487" s="220" t="s">
        <v>1888</v>
      </c>
      <c r="S1487" s="220" t="s">
        <v>1861</v>
      </c>
      <c r="U1487" t="s">
        <v>1972</v>
      </c>
      <c r="V1487" t="s">
        <v>2832</v>
      </c>
    </row>
    <row r="1488" spans="1:22" ht="15.75" thickBot="1" x14ac:dyDescent="0.3">
      <c r="A1488" t="s">
        <v>1935</v>
      </c>
      <c r="B1488" t="s">
        <v>1935</v>
      </c>
      <c r="C1488" t="s">
        <v>1935</v>
      </c>
      <c r="D1488" t="s">
        <v>629</v>
      </c>
      <c r="E1488" s="259" t="s">
        <v>1853</v>
      </c>
      <c r="F1488" t="s">
        <v>620</v>
      </c>
      <c r="G1488" s="89">
        <v>2008</v>
      </c>
      <c r="H1488" s="341" t="s">
        <v>731</v>
      </c>
      <c r="I1488" s="337" t="str">
        <f t="shared" si="72"/>
        <v>Pesado de Passageiros M3: III : Gasóleo : E4</v>
      </c>
      <c r="J1488" s="125">
        <v>67</v>
      </c>
      <c r="K1488" s="264">
        <v>2022</v>
      </c>
      <c r="L1488" s="85">
        <v>25045.8</v>
      </c>
      <c r="M1488" s="85" t="s">
        <v>630</v>
      </c>
      <c r="N1488" s="128">
        <v>83808</v>
      </c>
      <c r="O1488" s="128">
        <f t="shared" si="73"/>
        <v>5615136</v>
      </c>
      <c r="P1488" s="89">
        <v>8650</v>
      </c>
      <c r="Q1488" t="s">
        <v>47</v>
      </c>
      <c r="R1488" s="220" t="s">
        <v>1888</v>
      </c>
      <c r="S1488" s="220" t="s">
        <v>1861</v>
      </c>
      <c r="U1488" t="s">
        <v>1972</v>
      </c>
      <c r="V1488" t="s">
        <v>2832</v>
      </c>
    </row>
    <row r="1489" spans="1:22" ht="15.75" thickBot="1" x14ac:dyDescent="0.3">
      <c r="A1489" t="s">
        <v>1935</v>
      </c>
      <c r="B1489" t="s">
        <v>1935</v>
      </c>
      <c r="C1489" t="s">
        <v>1935</v>
      </c>
      <c r="D1489" t="s">
        <v>629</v>
      </c>
      <c r="E1489" s="259" t="s">
        <v>1853</v>
      </c>
      <c r="F1489" t="s">
        <v>620</v>
      </c>
      <c r="G1489" s="89">
        <v>2016</v>
      </c>
      <c r="H1489" s="341" t="s">
        <v>733</v>
      </c>
      <c r="I1489" s="337" t="str">
        <f t="shared" si="72"/>
        <v>Pesado de Passageiros M3: III : Gasóleo : E6</v>
      </c>
      <c r="J1489" s="125">
        <v>54</v>
      </c>
      <c r="K1489" s="264">
        <v>2022</v>
      </c>
      <c r="L1489" s="85">
        <v>25785.699999999997</v>
      </c>
      <c r="M1489" s="85" t="s">
        <v>630</v>
      </c>
      <c r="N1489" s="128">
        <v>86448</v>
      </c>
      <c r="O1489" s="128">
        <f t="shared" si="73"/>
        <v>4668192</v>
      </c>
      <c r="P1489" s="89">
        <v>8651</v>
      </c>
      <c r="Q1489" t="s">
        <v>47</v>
      </c>
      <c r="R1489" s="220" t="s">
        <v>1888</v>
      </c>
      <c r="S1489" s="220" t="s">
        <v>1861</v>
      </c>
      <c r="U1489" t="s">
        <v>1972</v>
      </c>
      <c r="V1489" t="s">
        <v>2832</v>
      </c>
    </row>
    <row r="1490" spans="1:22" ht="15.75" thickBot="1" x14ac:dyDescent="0.3">
      <c r="A1490" t="s">
        <v>1935</v>
      </c>
      <c r="B1490" t="s">
        <v>1935</v>
      </c>
      <c r="C1490" t="s">
        <v>1935</v>
      </c>
      <c r="D1490" t="s">
        <v>629</v>
      </c>
      <c r="E1490" s="259" t="s">
        <v>1853</v>
      </c>
      <c r="F1490" t="s">
        <v>620</v>
      </c>
      <c r="G1490" s="89">
        <v>2016</v>
      </c>
      <c r="H1490" s="341" t="s">
        <v>733</v>
      </c>
      <c r="I1490" s="337" t="str">
        <f t="shared" si="72"/>
        <v>Pesado de Passageiros M3: III : Gasóleo : E6</v>
      </c>
      <c r="J1490" s="125">
        <v>54</v>
      </c>
      <c r="K1490" s="264">
        <v>2022</v>
      </c>
      <c r="L1490" s="85">
        <v>27951.7</v>
      </c>
      <c r="M1490" s="85" t="s">
        <v>630</v>
      </c>
      <c r="N1490" s="128">
        <v>101013</v>
      </c>
      <c r="O1490" s="128">
        <f t="shared" si="73"/>
        <v>5454702</v>
      </c>
      <c r="P1490" s="89">
        <v>8652</v>
      </c>
      <c r="Q1490" t="s">
        <v>47</v>
      </c>
      <c r="R1490" s="220" t="s">
        <v>1888</v>
      </c>
      <c r="S1490" s="220" t="s">
        <v>1861</v>
      </c>
      <c r="U1490" t="s">
        <v>1972</v>
      </c>
      <c r="V1490" t="s">
        <v>2832</v>
      </c>
    </row>
    <row r="1491" spans="1:22" ht="15.75" thickBot="1" x14ac:dyDescent="0.3">
      <c r="A1491" t="s">
        <v>1935</v>
      </c>
      <c r="B1491" t="s">
        <v>1935</v>
      </c>
      <c r="C1491" t="s">
        <v>1935</v>
      </c>
      <c r="D1491" t="s">
        <v>629</v>
      </c>
      <c r="E1491" s="259" t="s">
        <v>1853</v>
      </c>
      <c r="F1491" t="s">
        <v>620</v>
      </c>
      <c r="G1491" s="89">
        <v>1999</v>
      </c>
      <c r="H1491" s="341" t="s">
        <v>735</v>
      </c>
      <c r="I1491" s="337" t="str">
        <f t="shared" si="72"/>
        <v>Pesado de Passageiros M3: III : Gasóleo : E2</v>
      </c>
      <c r="J1491" s="125">
        <v>65</v>
      </c>
      <c r="K1491" s="264">
        <v>2022</v>
      </c>
      <c r="L1491" s="85">
        <v>0</v>
      </c>
      <c r="M1491" s="85" t="s">
        <v>630</v>
      </c>
      <c r="N1491" s="128">
        <v>0</v>
      </c>
      <c r="O1491" s="128">
        <f t="shared" si="73"/>
        <v>0</v>
      </c>
      <c r="P1491" s="89">
        <v>8700</v>
      </c>
      <c r="Q1491" t="s">
        <v>47</v>
      </c>
      <c r="R1491" s="220" t="s">
        <v>1888</v>
      </c>
      <c r="S1491" s="220" t="s">
        <v>1861</v>
      </c>
      <c r="U1491" t="s">
        <v>1972</v>
      </c>
      <c r="V1491" t="s">
        <v>2832</v>
      </c>
    </row>
    <row r="1492" spans="1:22" ht="15.75" thickBot="1" x14ac:dyDescent="0.3">
      <c r="A1492" t="s">
        <v>1935</v>
      </c>
      <c r="B1492" t="s">
        <v>1935</v>
      </c>
      <c r="C1492" t="s">
        <v>1935</v>
      </c>
      <c r="D1492" t="s">
        <v>629</v>
      </c>
      <c r="E1492" s="259" t="s">
        <v>1853</v>
      </c>
      <c r="F1492" t="s">
        <v>620</v>
      </c>
      <c r="G1492" s="89">
        <v>2008</v>
      </c>
      <c r="H1492" s="341" t="s">
        <v>731</v>
      </c>
      <c r="I1492" s="337" t="str">
        <f t="shared" si="72"/>
        <v>Pesado de Passageiros M3: III : Gasóleo : E4</v>
      </c>
      <c r="J1492" s="125">
        <v>51</v>
      </c>
      <c r="K1492" s="264">
        <v>2022</v>
      </c>
      <c r="L1492" s="85">
        <v>6342.4</v>
      </c>
      <c r="M1492" s="85" t="s">
        <v>630</v>
      </c>
      <c r="N1492" s="128">
        <v>27972</v>
      </c>
      <c r="O1492" s="128">
        <f t="shared" si="73"/>
        <v>1426572</v>
      </c>
      <c r="P1492" s="89">
        <v>8701</v>
      </c>
      <c r="Q1492" t="s">
        <v>47</v>
      </c>
      <c r="R1492" s="220" t="s">
        <v>1888</v>
      </c>
      <c r="S1492" s="220" t="s">
        <v>1861</v>
      </c>
      <c r="U1492" t="s">
        <v>1972</v>
      </c>
      <c r="V1492" t="s">
        <v>2832</v>
      </c>
    </row>
    <row r="1493" spans="1:22" ht="15.75" thickBot="1" x14ac:dyDescent="0.3">
      <c r="A1493" t="s">
        <v>1935</v>
      </c>
      <c r="B1493" t="s">
        <v>1935</v>
      </c>
      <c r="C1493" t="s">
        <v>1935</v>
      </c>
      <c r="D1493" t="s">
        <v>629</v>
      </c>
      <c r="E1493" s="259" t="s">
        <v>1853</v>
      </c>
      <c r="F1493" t="s">
        <v>620</v>
      </c>
      <c r="G1493" s="89">
        <v>2008</v>
      </c>
      <c r="H1493" s="341" t="s">
        <v>731</v>
      </c>
      <c r="I1493" s="337" t="str">
        <f t="shared" si="72"/>
        <v>Pesado de Passageiros M3: III : Gasóleo : E4</v>
      </c>
      <c r="J1493" s="125">
        <v>51</v>
      </c>
      <c r="K1493" s="264">
        <v>2022</v>
      </c>
      <c r="L1493" s="85">
        <v>9083.7000000000007</v>
      </c>
      <c r="M1493" s="85" t="s">
        <v>630</v>
      </c>
      <c r="N1493" s="128">
        <v>41118</v>
      </c>
      <c r="O1493" s="128">
        <f t="shared" si="73"/>
        <v>2097018</v>
      </c>
      <c r="P1493" s="89">
        <v>8702</v>
      </c>
      <c r="Q1493" t="s">
        <v>47</v>
      </c>
      <c r="R1493" s="220" t="s">
        <v>1888</v>
      </c>
      <c r="S1493" s="220" t="s">
        <v>1861</v>
      </c>
      <c r="U1493" t="s">
        <v>1972</v>
      </c>
      <c r="V1493" t="s">
        <v>2832</v>
      </c>
    </row>
    <row r="1494" spans="1:22" ht="15.75" thickBot="1" x14ac:dyDescent="0.3">
      <c r="A1494" t="s">
        <v>1935</v>
      </c>
      <c r="B1494" t="s">
        <v>1935</v>
      </c>
      <c r="C1494" t="s">
        <v>1935</v>
      </c>
      <c r="D1494" t="s">
        <v>629</v>
      </c>
      <c r="E1494" s="259" t="s">
        <v>1853</v>
      </c>
      <c r="F1494" t="s">
        <v>620</v>
      </c>
      <c r="G1494" s="89">
        <v>2009</v>
      </c>
      <c r="H1494" s="341" t="s">
        <v>731</v>
      </c>
      <c r="I1494" s="337" t="str">
        <f t="shared" si="72"/>
        <v>Pesado de Passageiros M3: III : Gasóleo : E4</v>
      </c>
      <c r="J1494" s="125">
        <v>31</v>
      </c>
      <c r="K1494" s="264">
        <v>2022</v>
      </c>
      <c r="L1494" s="85">
        <v>7171.0999999999995</v>
      </c>
      <c r="M1494" s="85" t="s">
        <v>630</v>
      </c>
      <c r="N1494" s="128">
        <v>54393</v>
      </c>
      <c r="O1494" s="128">
        <f t="shared" si="73"/>
        <v>1686183</v>
      </c>
      <c r="P1494" s="89">
        <v>8703</v>
      </c>
      <c r="Q1494" t="s">
        <v>47</v>
      </c>
      <c r="R1494" s="220" t="s">
        <v>1888</v>
      </c>
      <c r="S1494" s="220" t="s">
        <v>1861</v>
      </c>
      <c r="U1494" t="s">
        <v>1972</v>
      </c>
      <c r="V1494" t="s">
        <v>2832</v>
      </c>
    </row>
    <row r="1495" spans="1:22" ht="15.75" thickBot="1" x14ac:dyDescent="0.3">
      <c r="A1495" t="s">
        <v>1935</v>
      </c>
      <c r="B1495" t="s">
        <v>1935</v>
      </c>
      <c r="C1495" t="s">
        <v>1935</v>
      </c>
      <c r="D1495" t="s">
        <v>629</v>
      </c>
      <c r="E1495" s="259" t="s">
        <v>1853</v>
      </c>
      <c r="F1495" t="s">
        <v>620</v>
      </c>
      <c r="G1495" s="89">
        <v>2009</v>
      </c>
      <c r="H1495" s="341" t="s">
        <v>734</v>
      </c>
      <c r="I1495" s="337" t="str">
        <f t="shared" si="72"/>
        <v>Pesado de Passageiros M3: III : Gasóleo : E5</v>
      </c>
      <c r="J1495" s="125">
        <v>31</v>
      </c>
      <c r="K1495" s="264">
        <v>2022</v>
      </c>
      <c r="L1495" s="85">
        <v>7807.4000000000005</v>
      </c>
      <c r="M1495" s="85" t="s">
        <v>630</v>
      </c>
      <c r="N1495" s="128">
        <v>53237</v>
      </c>
      <c r="O1495" s="128">
        <f t="shared" si="73"/>
        <v>1650347</v>
      </c>
      <c r="P1495" s="89">
        <v>8704</v>
      </c>
      <c r="Q1495" t="s">
        <v>47</v>
      </c>
      <c r="R1495" s="220" t="s">
        <v>1888</v>
      </c>
      <c r="S1495" s="220" t="s">
        <v>1861</v>
      </c>
      <c r="U1495" t="s">
        <v>1972</v>
      </c>
      <c r="V1495" t="s">
        <v>2832</v>
      </c>
    </row>
    <row r="1496" spans="1:22" ht="15.75" thickBot="1" x14ac:dyDescent="0.3">
      <c r="A1496" t="s">
        <v>1935</v>
      </c>
      <c r="B1496" t="s">
        <v>1935</v>
      </c>
      <c r="C1496" t="s">
        <v>1935</v>
      </c>
      <c r="D1496" t="s">
        <v>629</v>
      </c>
      <c r="E1496" s="259" t="s">
        <v>1853</v>
      </c>
      <c r="F1496" t="s">
        <v>620</v>
      </c>
      <c r="G1496" s="89">
        <v>1999</v>
      </c>
      <c r="H1496" s="341" t="s">
        <v>735</v>
      </c>
      <c r="I1496" s="337" t="str">
        <f t="shared" si="72"/>
        <v>Pesado de Passageiros M3: III : Gasóleo : E2</v>
      </c>
      <c r="J1496" s="125">
        <v>73</v>
      </c>
      <c r="K1496" s="264">
        <v>2022</v>
      </c>
      <c r="L1496" s="85">
        <v>15611.199999999999</v>
      </c>
      <c r="M1496" s="85" t="s">
        <v>630</v>
      </c>
      <c r="N1496" s="128">
        <v>53731</v>
      </c>
      <c r="O1496" s="128">
        <f t="shared" si="73"/>
        <v>3922363</v>
      </c>
      <c r="P1496" s="89">
        <v>8705</v>
      </c>
      <c r="Q1496" t="s">
        <v>47</v>
      </c>
      <c r="R1496" s="220" t="s">
        <v>1888</v>
      </c>
      <c r="S1496" s="220" t="s">
        <v>1861</v>
      </c>
      <c r="U1496" t="s">
        <v>1972</v>
      </c>
      <c r="V1496" t="s">
        <v>2832</v>
      </c>
    </row>
    <row r="1497" spans="1:22" ht="15.75" thickBot="1" x14ac:dyDescent="0.3">
      <c r="A1497" t="s">
        <v>1935</v>
      </c>
      <c r="B1497" t="s">
        <v>1935</v>
      </c>
      <c r="C1497" t="s">
        <v>1935</v>
      </c>
      <c r="D1497" t="s">
        <v>629</v>
      </c>
      <c r="E1497" s="259" t="s">
        <v>1853</v>
      </c>
      <c r="F1497" t="s">
        <v>620</v>
      </c>
      <c r="G1497" s="89">
        <v>2001</v>
      </c>
      <c r="H1497" s="341" t="s">
        <v>735</v>
      </c>
      <c r="I1497" s="337" t="str">
        <f t="shared" si="72"/>
        <v>Pesado de Passageiros M3: III : Gasóleo : E2</v>
      </c>
      <c r="J1497" s="125">
        <v>69</v>
      </c>
      <c r="K1497" s="264">
        <v>2022</v>
      </c>
      <c r="L1497" s="85">
        <v>13401.300000000001</v>
      </c>
      <c r="M1497" s="85" t="s">
        <v>630</v>
      </c>
      <c r="N1497" s="128">
        <v>43866</v>
      </c>
      <c r="O1497" s="128">
        <f t="shared" si="73"/>
        <v>3026754</v>
      </c>
      <c r="P1497" s="89">
        <v>8706</v>
      </c>
      <c r="Q1497" t="s">
        <v>47</v>
      </c>
      <c r="R1497" s="220" t="s">
        <v>1888</v>
      </c>
      <c r="S1497" s="220" t="s">
        <v>1861</v>
      </c>
      <c r="U1497" t="s">
        <v>1972</v>
      </c>
      <c r="V1497" t="s">
        <v>2832</v>
      </c>
    </row>
    <row r="1498" spans="1:22" ht="15.75" thickBot="1" x14ac:dyDescent="0.3">
      <c r="A1498" t="s">
        <v>1935</v>
      </c>
      <c r="B1498" t="s">
        <v>1935</v>
      </c>
      <c r="C1498" t="s">
        <v>1935</v>
      </c>
      <c r="D1498" t="s">
        <v>629</v>
      </c>
      <c r="E1498" s="259" t="s">
        <v>1853</v>
      </c>
      <c r="F1498" t="s">
        <v>620</v>
      </c>
      <c r="G1498" s="89">
        <v>2001</v>
      </c>
      <c r="H1498" s="341" t="s">
        <v>735</v>
      </c>
      <c r="I1498" s="337" t="str">
        <f t="shared" si="72"/>
        <v>Pesado de Passageiros M3: III : Gasóleo : E2</v>
      </c>
      <c r="J1498" s="125">
        <v>84</v>
      </c>
      <c r="K1498" s="264">
        <v>2022</v>
      </c>
      <c r="L1498" s="85">
        <v>12369.699999999999</v>
      </c>
      <c r="M1498" s="85" t="s">
        <v>630</v>
      </c>
      <c r="N1498" s="128">
        <v>42585</v>
      </c>
      <c r="O1498" s="128">
        <f t="shared" si="73"/>
        <v>3577140</v>
      </c>
      <c r="P1498" s="89">
        <v>8707</v>
      </c>
      <c r="Q1498" t="s">
        <v>47</v>
      </c>
      <c r="R1498" s="220" t="s">
        <v>1888</v>
      </c>
      <c r="S1498" s="220" t="s">
        <v>1861</v>
      </c>
      <c r="U1498" t="s">
        <v>1972</v>
      </c>
      <c r="V1498" t="s">
        <v>2832</v>
      </c>
    </row>
    <row r="1499" spans="1:22" ht="15.75" thickBot="1" x14ac:dyDescent="0.3">
      <c r="A1499" t="s">
        <v>1935</v>
      </c>
      <c r="B1499" t="s">
        <v>1935</v>
      </c>
      <c r="C1499" t="s">
        <v>1935</v>
      </c>
      <c r="D1499" t="s">
        <v>629</v>
      </c>
      <c r="E1499" s="259" t="s">
        <v>1853</v>
      </c>
      <c r="F1499" t="s">
        <v>620</v>
      </c>
      <c r="G1499" s="89">
        <v>2014</v>
      </c>
      <c r="H1499" s="341" t="s">
        <v>734</v>
      </c>
      <c r="I1499" s="337" t="str">
        <f t="shared" si="72"/>
        <v>Pesado de Passageiros M3: III : Gasóleo : E5</v>
      </c>
      <c r="J1499" s="125">
        <v>37</v>
      </c>
      <c r="K1499" s="264">
        <v>2022</v>
      </c>
      <c r="L1499" s="85">
        <v>8923.4</v>
      </c>
      <c r="M1499" s="85" t="s">
        <v>630</v>
      </c>
      <c r="N1499" s="128">
        <v>54250</v>
      </c>
      <c r="O1499" s="128">
        <f t="shared" si="73"/>
        <v>2007250</v>
      </c>
      <c r="P1499" s="89">
        <v>8710</v>
      </c>
      <c r="Q1499" t="s">
        <v>47</v>
      </c>
      <c r="R1499" s="220" t="s">
        <v>1888</v>
      </c>
      <c r="S1499" s="220" t="s">
        <v>1861</v>
      </c>
      <c r="U1499" t="s">
        <v>1972</v>
      </c>
      <c r="V1499" t="s">
        <v>2832</v>
      </c>
    </row>
    <row r="1500" spans="1:22" ht="15.75" thickBot="1" x14ac:dyDescent="0.3">
      <c r="A1500" t="s">
        <v>1935</v>
      </c>
      <c r="B1500" t="s">
        <v>1935</v>
      </c>
      <c r="C1500" t="s">
        <v>1935</v>
      </c>
      <c r="D1500" t="s">
        <v>629</v>
      </c>
      <c r="E1500" s="259" t="s">
        <v>1853</v>
      </c>
      <c r="F1500" t="s">
        <v>620</v>
      </c>
      <c r="G1500" s="89">
        <v>2001</v>
      </c>
      <c r="H1500" s="341" t="s">
        <v>735</v>
      </c>
      <c r="I1500" s="337" t="str">
        <f t="shared" si="72"/>
        <v>Pesado de Passageiros M3: III : Gasóleo : E2</v>
      </c>
      <c r="J1500" s="125">
        <v>49</v>
      </c>
      <c r="K1500" s="264">
        <v>2022</v>
      </c>
      <c r="L1500" s="85">
        <v>14892.8</v>
      </c>
      <c r="M1500" s="85" t="s">
        <v>630</v>
      </c>
      <c r="N1500" s="128">
        <v>46128</v>
      </c>
      <c r="O1500" s="128">
        <f t="shared" si="73"/>
        <v>2260272</v>
      </c>
      <c r="P1500" s="89">
        <v>8712</v>
      </c>
      <c r="Q1500" t="s">
        <v>47</v>
      </c>
      <c r="R1500" s="220" t="s">
        <v>1888</v>
      </c>
      <c r="S1500" s="220" t="s">
        <v>1861</v>
      </c>
      <c r="U1500" t="s">
        <v>1972</v>
      </c>
      <c r="V1500" t="s">
        <v>2832</v>
      </c>
    </row>
    <row r="1501" spans="1:22" ht="15.75" thickBot="1" x14ac:dyDescent="0.3">
      <c r="A1501" t="s">
        <v>1935</v>
      </c>
      <c r="B1501" t="s">
        <v>1935</v>
      </c>
      <c r="C1501" t="s">
        <v>1935</v>
      </c>
      <c r="D1501" t="s">
        <v>629</v>
      </c>
      <c r="E1501" s="259" t="s">
        <v>1853</v>
      </c>
      <c r="F1501" t="s">
        <v>620</v>
      </c>
      <c r="G1501" s="89">
        <v>2003</v>
      </c>
      <c r="H1501" s="341" t="s">
        <v>732</v>
      </c>
      <c r="I1501" s="337" t="str">
        <f t="shared" si="72"/>
        <v>Pesado de Passageiros M3: III : Gasóleo : E3</v>
      </c>
      <c r="J1501" s="125">
        <v>71</v>
      </c>
      <c r="K1501" s="264">
        <v>2022</v>
      </c>
      <c r="L1501" s="85">
        <v>30102.199999999997</v>
      </c>
      <c r="M1501" s="85" t="s">
        <v>630</v>
      </c>
      <c r="N1501" s="128">
        <v>105824</v>
      </c>
      <c r="O1501" s="128">
        <f t="shared" si="73"/>
        <v>7513504</v>
      </c>
      <c r="P1501" s="89">
        <v>8713</v>
      </c>
      <c r="Q1501" t="s">
        <v>47</v>
      </c>
      <c r="R1501" s="220" t="s">
        <v>1888</v>
      </c>
      <c r="S1501" s="220" t="s">
        <v>1861</v>
      </c>
      <c r="U1501" t="s">
        <v>1972</v>
      </c>
      <c r="V1501" t="s">
        <v>2832</v>
      </c>
    </row>
    <row r="1502" spans="1:22" ht="15.75" thickBot="1" x14ac:dyDescent="0.3">
      <c r="A1502" t="s">
        <v>1935</v>
      </c>
      <c r="B1502" t="s">
        <v>1935</v>
      </c>
      <c r="C1502" t="s">
        <v>1935</v>
      </c>
      <c r="D1502" t="s">
        <v>629</v>
      </c>
      <c r="E1502" s="259" t="s">
        <v>1853</v>
      </c>
      <c r="F1502" t="s">
        <v>620</v>
      </c>
      <c r="G1502" s="89">
        <v>2005</v>
      </c>
      <c r="H1502" s="341" t="s">
        <v>732</v>
      </c>
      <c r="I1502" s="337" t="str">
        <f t="shared" si="72"/>
        <v>Pesado de Passageiros M3: III : Gasóleo : E3</v>
      </c>
      <c r="J1502" s="125">
        <v>92</v>
      </c>
      <c r="K1502" s="264">
        <v>2022</v>
      </c>
      <c r="L1502" s="85">
        <v>11852</v>
      </c>
      <c r="M1502" s="85" t="s">
        <v>630</v>
      </c>
      <c r="N1502" s="128">
        <v>28037</v>
      </c>
      <c r="O1502" s="128">
        <f t="shared" si="73"/>
        <v>2579404</v>
      </c>
      <c r="P1502" s="89">
        <v>8714</v>
      </c>
      <c r="Q1502" t="s">
        <v>47</v>
      </c>
      <c r="R1502" s="220" t="s">
        <v>1888</v>
      </c>
      <c r="S1502" s="220" t="s">
        <v>1861</v>
      </c>
      <c r="U1502" t="s">
        <v>1972</v>
      </c>
      <c r="V1502" t="s">
        <v>2832</v>
      </c>
    </row>
    <row r="1503" spans="1:22" ht="15.75" thickBot="1" x14ac:dyDescent="0.3">
      <c r="A1503" t="s">
        <v>1935</v>
      </c>
      <c r="B1503" t="s">
        <v>1935</v>
      </c>
      <c r="C1503" t="s">
        <v>1935</v>
      </c>
      <c r="D1503" t="s">
        <v>629</v>
      </c>
      <c r="E1503" s="259" t="s">
        <v>1853</v>
      </c>
      <c r="F1503" t="s">
        <v>620</v>
      </c>
      <c r="G1503" s="89">
        <v>2004</v>
      </c>
      <c r="H1503" s="341" t="s">
        <v>732</v>
      </c>
      <c r="I1503" s="337" t="str">
        <f t="shared" si="72"/>
        <v>Pesado de Passageiros M3: III : Gasóleo : E3</v>
      </c>
      <c r="J1503" s="125">
        <v>92</v>
      </c>
      <c r="K1503" s="264">
        <v>2022</v>
      </c>
      <c r="L1503" s="85">
        <v>9089.6</v>
      </c>
      <c r="M1503" s="85" t="s">
        <v>630</v>
      </c>
      <c r="N1503" s="128">
        <v>28848</v>
      </c>
      <c r="O1503" s="128">
        <f t="shared" si="73"/>
        <v>2654016</v>
      </c>
      <c r="P1503" s="89">
        <v>8715</v>
      </c>
      <c r="Q1503" t="s">
        <v>47</v>
      </c>
      <c r="R1503" s="220" t="s">
        <v>1888</v>
      </c>
      <c r="S1503" s="220" t="s">
        <v>1861</v>
      </c>
      <c r="U1503" t="s">
        <v>1972</v>
      </c>
      <c r="V1503" t="s">
        <v>2832</v>
      </c>
    </row>
    <row r="1504" spans="1:22" ht="15.75" thickBot="1" x14ac:dyDescent="0.3">
      <c r="A1504" t="s">
        <v>1935</v>
      </c>
      <c r="B1504" t="s">
        <v>1935</v>
      </c>
      <c r="C1504" t="s">
        <v>1935</v>
      </c>
      <c r="D1504" t="s">
        <v>629</v>
      </c>
      <c r="E1504" s="259" t="s">
        <v>1853</v>
      </c>
      <c r="F1504" t="s">
        <v>620</v>
      </c>
      <c r="G1504" s="89">
        <v>2002</v>
      </c>
      <c r="H1504" s="341" t="s">
        <v>732</v>
      </c>
      <c r="I1504" s="337" t="str">
        <f t="shared" si="72"/>
        <v>Pesado de Passageiros M3: III : Gasóleo : E3</v>
      </c>
      <c r="J1504" s="125">
        <v>85</v>
      </c>
      <c r="K1504" s="264">
        <v>2022</v>
      </c>
      <c r="L1504" s="85">
        <v>13173.199999999999</v>
      </c>
      <c r="M1504" s="85" t="s">
        <v>630</v>
      </c>
      <c r="N1504" s="128">
        <v>41887</v>
      </c>
      <c r="O1504" s="128">
        <f t="shared" si="73"/>
        <v>3560395</v>
      </c>
      <c r="P1504" s="89">
        <v>8716</v>
      </c>
      <c r="Q1504" t="s">
        <v>47</v>
      </c>
      <c r="R1504" s="220" t="s">
        <v>1888</v>
      </c>
      <c r="S1504" s="220" t="s">
        <v>1861</v>
      </c>
      <c r="U1504" t="s">
        <v>1972</v>
      </c>
      <c r="V1504" t="s">
        <v>2832</v>
      </c>
    </row>
    <row r="1505" spans="1:22" ht="15.75" thickBot="1" x14ac:dyDescent="0.3">
      <c r="A1505" t="s">
        <v>1935</v>
      </c>
      <c r="B1505" t="s">
        <v>1935</v>
      </c>
      <c r="C1505" t="s">
        <v>1935</v>
      </c>
      <c r="D1505" t="s">
        <v>629</v>
      </c>
      <c r="E1505" s="259" t="s">
        <v>1853</v>
      </c>
      <c r="F1505" t="s">
        <v>620</v>
      </c>
      <c r="G1505" s="89">
        <v>2016</v>
      </c>
      <c r="H1505" s="341" t="s">
        <v>733</v>
      </c>
      <c r="I1505" s="337" t="str">
        <f t="shared" si="72"/>
        <v>Pesado de Passageiros M3: III : Gasóleo : E6</v>
      </c>
      <c r="J1505" s="125">
        <v>31</v>
      </c>
      <c r="K1505" s="264">
        <v>2022</v>
      </c>
      <c r="L1505" s="85">
        <v>8584.4</v>
      </c>
      <c r="M1505" s="85" t="s">
        <v>630</v>
      </c>
      <c r="N1505" s="128">
        <v>52027</v>
      </c>
      <c r="O1505" s="128">
        <f t="shared" si="73"/>
        <v>1612837</v>
      </c>
      <c r="P1505" s="89">
        <v>8718</v>
      </c>
      <c r="Q1505" t="s">
        <v>47</v>
      </c>
      <c r="R1505" s="220" t="s">
        <v>1888</v>
      </c>
      <c r="S1505" s="220" t="s">
        <v>1861</v>
      </c>
      <c r="U1505" t="s">
        <v>1972</v>
      </c>
      <c r="V1505" t="s">
        <v>2832</v>
      </c>
    </row>
    <row r="1506" spans="1:22" ht="15.75" thickBot="1" x14ac:dyDescent="0.3">
      <c r="A1506" t="s">
        <v>1935</v>
      </c>
      <c r="B1506" t="s">
        <v>1935</v>
      </c>
      <c r="C1506" t="s">
        <v>1935</v>
      </c>
      <c r="D1506" t="s">
        <v>629</v>
      </c>
      <c r="E1506" s="259" t="s">
        <v>1853</v>
      </c>
      <c r="F1506" t="s">
        <v>620</v>
      </c>
      <c r="G1506" s="89">
        <v>2000</v>
      </c>
      <c r="H1506" s="341" t="s">
        <v>735</v>
      </c>
      <c r="I1506" s="337" t="str">
        <f t="shared" si="72"/>
        <v>Pesado de Passageiros M3: III : Gasóleo : E2</v>
      </c>
      <c r="J1506" s="125">
        <v>51</v>
      </c>
      <c r="K1506" s="264">
        <v>2022</v>
      </c>
      <c r="L1506" s="85">
        <v>17011.599999999999</v>
      </c>
      <c r="M1506" s="85" t="s">
        <v>630</v>
      </c>
      <c r="N1506" s="128">
        <v>53911</v>
      </c>
      <c r="O1506" s="128">
        <f t="shared" si="73"/>
        <v>2749461</v>
      </c>
      <c r="P1506" s="89">
        <v>8719</v>
      </c>
      <c r="Q1506" t="s">
        <v>47</v>
      </c>
      <c r="R1506" s="220" t="s">
        <v>1888</v>
      </c>
      <c r="S1506" s="220" t="s">
        <v>1861</v>
      </c>
      <c r="U1506" t="s">
        <v>1972</v>
      </c>
      <c r="V1506" t="s">
        <v>2832</v>
      </c>
    </row>
    <row r="1507" spans="1:22" ht="15.75" thickBot="1" x14ac:dyDescent="0.3">
      <c r="A1507" t="s">
        <v>1935</v>
      </c>
      <c r="B1507" t="s">
        <v>1935</v>
      </c>
      <c r="C1507" t="s">
        <v>1935</v>
      </c>
      <c r="D1507" t="s">
        <v>629</v>
      </c>
      <c r="E1507" s="259" t="s">
        <v>1853</v>
      </c>
      <c r="F1507" t="s">
        <v>620</v>
      </c>
      <c r="G1507" s="89">
        <v>2008</v>
      </c>
      <c r="H1507" s="341" t="s">
        <v>731</v>
      </c>
      <c r="I1507" s="337" t="str">
        <f t="shared" si="72"/>
        <v>Pesado de Passageiros M3: III : Gasóleo : E4</v>
      </c>
      <c r="J1507" s="125">
        <v>79</v>
      </c>
      <c r="K1507" s="264">
        <v>2022</v>
      </c>
      <c r="L1507" s="85">
        <v>13499.599999999999</v>
      </c>
      <c r="M1507" s="85" t="s">
        <v>630</v>
      </c>
      <c r="N1507" s="128">
        <v>39815</v>
      </c>
      <c r="O1507" s="128">
        <f t="shared" si="73"/>
        <v>3145385</v>
      </c>
      <c r="P1507" s="89">
        <v>8720</v>
      </c>
      <c r="Q1507" t="s">
        <v>47</v>
      </c>
      <c r="R1507" s="220" t="s">
        <v>1888</v>
      </c>
      <c r="S1507" s="220" t="s">
        <v>1861</v>
      </c>
      <c r="U1507" t="s">
        <v>1972</v>
      </c>
      <c r="V1507" t="s">
        <v>2832</v>
      </c>
    </row>
    <row r="1508" spans="1:22" ht="15.75" thickBot="1" x14ac:dyDescent="0.3">
      <c r="A1508" t="s">
        <v>1935</v>
      </c>
      <c r="B1508" t="s">
        <v>1935</v>
      </c>
      <c r="C1508" t="s">
        <v>1935</v>
      </c>
      <c r="D1508" t="s">
        <v>629</v>
      </c>
      <c r="E1508" s="259" t="s">
        <v>1853</v>
      </c>
      <c r="F1508" t="s">
        <v>620</v>
      </c>
      <c r="G1508" s="89">
        <v>2003</v>
      </c>
      <c r="H1508" s="341" t="s">
        <v>732</v>
      </c>
      <c r="I1508" s="337" t="str">
        <f t="shared" si="72"/>
        <v>Pesado de Passageiros M3: III : Gasóleo : E3</v>
      </c>
      <c r="J1508" s="125">
        <v>72</v>
      </c>
      <c r="K1508" s="264">
        <v>2022</v>
      </c>
      <c r="L1508" s="85">
        <v>16343.1</v>
      </c>
      <c r="M1508" s="85" t="s">
        <v>630</v>
      </c>
      <c r="N1508" s="128">
        <v>45972</v>
      </c>
      <c r="O1508" s="128">
        <f t="shared" si="73"/>
        <v>3309984</v>
      </c>
      <c r="P1508" s="89">
        <v>8721</v>
      </c>
      <c r="Q1508" t="s">
        <v>47</v>
      </c>
      <c r="R1508" s="220" t="s">
        <v>1888</v>
      </c>
      <c r="S1508" s="220" t="s">
        <v>1861</v>
      </c>
      <c r="U1508" t="s">
        <v>1972</v>
      </c>
      <c r="V1508" t="s">
        <v>2832</v>
      </c>
    </row>
    <row r="1509" spans="1:22" ht="15.75" thickBot="1" x14ac:dyDescent="0.3">
      <c r="A1509" t="s">
        <v>1935</v>
      </c>
      <c r="B1509" t="s">
        <v>1935</v>
      </c>
      <c r="C1509" t="s">
        <v>1935</v>
      </c>
      <c r="D1509" t="s">
        <v>629</v>
      </c>
      <c r="E1509" s="259" t="s">
        <v>1853</v>
      </c>
      <c r="F1509" t="s">
        <v>620</v>
      </c>
      <c r="G1509" s="89">
        <v>2008</v>
      </c>
      <c r="H1509" s="341" t="s">
        <v>731</v>
      </c>
      <c r="I1509" s="337" t="str">
        <f t="shared" si="72"/>
        <v>Pesado de Passageiros M3: III : Gasóleo : E4</v>
      </c>
      <c r="J1509" s="125">
        <v>46</v>
      </c>
      <c r="K1509" s="264">
        <v>2022</v>
      </c>
      <c r="L1509" s="85">
        <v>9728.3999999999978</v>
      </c>
      <c r="M1509" s="85" t="s">
        <v>630</v>
      </c>
      <c r="N1509" s="128">
        <v>34897</v>
      </c>
      <c r="O1509" s="128">
        <f t="shared" si="73"/>
        <v>1605262</v>
      </c>
      <c r="P1509" s="89">
        <v>8722</v>
      </c>
      <c r="Q1509" t="s">
        <v>47</v>
      </c>
      <c r="R1509" s="220" t="s">
        <v>1888</v>
      </c>
      <c r="S1509" s="220" t="s">
        <v>1861</v>
      </c>
      <c r="U1509" t="s">
        <v>1972</v>
      </c>
      <c r="V1509" t="s">
        <v>2832</v>
      </c>
    </row>
    <row r="1510" spans="1:22" ht="15.75" thickBot="1" x14ac:dyDescent="0.3">
      <c r="A1510" t="s">
        <v>1935</v>
      </c>
      <c r="B1510" t="s">
        <v>1935</v>
      </c>
      <c r="C1510" t="s">
        <v>1935</v>
      </c>
      <c r="D1510" t="s">
        <v>629</v>
      </c>
      <c r="E1510" s="259" t="s">
        <v>1853</v>
      </c>
      <c r="F1510" t="s">
        <v>620</v>
      </c>
      <c r="G1510" s="89">
        <v>2004</v>
      </c>
      <c r="H1510" s="341" t="s">
        <v>732</v>
      </c>
      <c r="I1510" s="337" t="str">
        <f t="shared" si="72"/>
        <v>Pesado de Passageiros M3: III : Gasóleo : E3</v>
      </c>
      <c r="J1510" s="125">
        <v>73</v>
      </c>
      <c r="K1510" s="264">
        <v>2022</v>
      </c>
      <c r="L1510" s="85">
        <v>15818.599999999999</v>
      </c>
      <c r="M1510" s="85" t="s">
        <v>630</v>
      </c>
      <c r="N1510" s="128">
        <v>50869</v>
      </c>
      <c r="O1510" s="128">
        <f t="shared" si="73"/>
        <v>3713437</v>
      </c>
      <c r="P1510" s="89">
        <v>8723</v>
      </c>
      <c r="Q1510" t="s">
        <v>47</v>
      </c>
      <c r="R1510" s="220" t="s">
        <v>1888</v>
      </c>
      <c r="S1510" s="220" t="s">
        <v>1861</v>
      </c>
      <c r="U1510" t="s">
        <v>1972</v>
      </c>
      <c r="V1510" t="s">
        <v>2832</v>
      </c>
    </row>
    <row r="1511" spans="1:22" ht="15.75" thickBot="1" x14ac:dyDescent="0.3">
      <c r="A1511" t="s">
        <v>1935</v>
      </c>
      <c r="B1511" t="s">
        <v>1935</v>
      </c>
      <c r="C1511" t="s">
        <v>1935</v>
      </c>
      <c r="D1511" t="s">
        <v>629</v>
      </c>
      <c r="E1511" s="259" t="s">
        <v>1853</v>
      </c>
      <c r="F1511" t="s">
        <v>620</v>
      </c>
      <c r="G1511" s="89">
        <v>2001</v>
      </c>
      <c r="H1511" s="341" t="s">
        <v>735</v>
      </c>
      <c r="I1511" s="337" t="str">
        <f t="shared" si="72"/>
        <v>Pesado de Passageiros M3: III : Gasóleo : E2</v>
      </c>
      <c r="J1511" s="125">
        <v>55</v>
      </c>
      <c r="K1511" s="264">
        <v>2022</v>
      </c>
      <c r="L1511" s="85">
        <v>14897.2</v>
      </c>
      <c r="M1511" s="85" t="s">
        <v>630</v>
      </c>
      <c r="N1511" s="128">
        <v>45408</v>
      </c>
      <c r="O1511" s="128">
        <f t="shared" si="73"/>
        <v>2497440</v>
      </c>
      <c r="P1511" s="89">
        <v>8726</v>
      </c>
      <c r="Q1511" t="s">
        <v>47</v>
      </c>
      <c r="R1511" s="220" t="s">
        <v>1888</v>
      </c>
      <c r="S1511" s="220" t="s">
        <v>1861</v>
      </c>
      <c r="U1511" t="s">
        <v>1972</v>
      </c>
      <c r="V1511" t="s">
        <v>2832</v>
      </c>
    </row>
    <row r="1512" spans="1:22" ht="15.75" thickBot="1" x14ac:dyDescent="0.3">
      <c r="A1512" t="s">
        <v>1935</v>
      </c>
      <c r="B1512" t="s">
        <v>1935</v>
      </c>
      <c r="C1512" t="s">
        <v>1935</v>
      </c>
      <c r="D1512" t="s">
        <v>629</v>
      </c>
      <c r="E1512" s="259" t="s">
        <v>1853</v>
      </c>
      <c r="F1512" t="s">
        <v>620</v>
      </c>
      <c r="G1512" s="89">
        <v>2009</v>
      </c>
      <c r="H1512" s="341" t="s">
        <v>731</v>
      </c>
      <c r="I1512" s="337" t="str">
        <f t="shared" si="72"/>
        <v>Pesado de Passageiros M3: III : Gasóleo : E4</v>
      </c>
      <c r="J1512" s="125">
        <v>85</v>
      </c>
      <c r="K1512" s="264">
        <v>2022</v>
      </c>
      <c r="L1512" s="85">
        <v>17552.3</v>
      </c>
      <c r="M1512" s="85" t="s">
        <v>630</v>
      </c>
      <c r="N1512" s="128">
        <v>63128</v>
      </c>
      <c r="O1512" s="128">
        <f t="shared" si="73"/>
        <v>5365880</v>
      </c>
      <c r="P1512" s="89">
        <v>8727</v>
      </c>
      <c r="Q1512" t="s">
        <v>47</v>
      </c>
      <c r="R1512" s="220" t="s">
        <v>1888</v>
      </c>
      <c r="S1512" s="220" t="s">
        <v>1861</v>
      </c>
      <c r="U1512" t="s">
        <v>1972</v>
      </c>
      <c r="V1512" t="s">
        <v>2832</v>
      </c>
    </row>
    <row r="1513" spans="1:22" ht="15.75" thickBot="1" x14ac:dyDescent="0.3">
      <c r="A1513" t="s">
        <v>1935</v>
      </c>
      <c r="B1513" t="s">
        <v>1935</v>
      </c>
      <c r="C1513" t="s">
        <v>1935</v>
      </c>
      <c r="D1513" t="s">
        <v>629</v>
      </c>
      <c r="E1513" s="259" t="s">
        <v>1853</v>
      </c>
      <c r="F1513" t="s">
        <v>620</v>
      </c>
      <c r="G1513" s="89">
        <v>2008</v>
      </c>
      <c r="H1513" s="341" t="s">
        <v>731</v>
      </c>
      <c r="I1513" s="337" t="str">
        <f t="shared" si="72"/>
        <v>Pesado de Passageiros M3: III : Gasóleo : E4</v>
      </c>
      <c r="J1513" s="125">
        <v>46</v>
      </c>
      <c r="K1513" s="264">
        <v>2022</v>
      </c>
      <c r="L1513" s="85">
        <v>3346.6000000000004</v>
      </c>
      <c r="M1513" s="85" t="s">
        <v>630</v>
      </c>
      <c r="N1513" s="128">
        <v>13464</v>
      </c>
      <c r="O1513" s="128">
        <f t="shared" si="73"/>
        <v>619344</v>
      </c>
      <c r="P1513" s="89">
        <v>8728</v>
      </c>
      <c r="Q1513" t="s">
        <v>47</v>
      </c>
      <c r="R1513" s="220" t="s">
        <v>1888</v>
      </c>
      <c r="S1513" s="220" t="s">
        <v>1861</v>
      </c>
      <c r="U1513" t="s">
        <v>1972</v>
      </c>
      <c r="V1513" t="s">
        <v>2832</v>
      </c>
    </row>
    <row r="1514" spans="1:22" ht="15.75" thickBot="1" x14ac:dyDescent="0.3">
      <c r="A1514" t="s">
        <v>1935</v>
      </c>
      <c r="B1514" t="s">
        <v>1935</v>
      </c>
      <c r="C1514" t="s">
        <v>1935</v>
      </c>
      <c r="D1514" t="s">
        <v>629</v>
      </c>
      <c r="E1514" s="259" t="s">
        <v>1853</v>
      </c>
      <c r="F1514" t="s">
        <v>620</v>
      </c>
      <c r="G1514" s="89">
        <v>2012</v>
      </c>
      <c r="H1514" s="341" t="s">
        <v>734</v>
      </c>
      <c r="I1514" s="337" t="str">
        <f t="shared" si="72"/>
        <v>Pesado de Passageiros M3: III : Gasóleo : E5</v>
      </c>
      <c r="J1514" s="125">
        <v>49</v>
      </c>
      <c r="K1514" s="264">
        <v>2022</v>
      </c>
      <c r="L1514" s="85">
        <v>13293.599999999999</v>
      </c>
      <c r="M1514" s="85" t="s">
        <v>630</v>
      </c>
      <c r="N1514" s="128">
        <v>39456</v>
      </c>
      <c r="O1514" s="128">
        <f t="shared" si="73"/>
        <v>1933344</v>
      </c>
      <c r="P1514" s="89">
        <v>8729</v>
      </c>
      <c r="Q1514" t="s">
        <v>47</v>
      </c>
      <c r="R1514" s="220" t="s">
        <v>1888</v>
      </c>
      <c r="S1514" s="220" t="s">
        <v>1861</v>
      </c>
      <c r="U1514" t="s">
        <v>1972</v>
      </c>
      <c r="V1514" t="s">
        <v>2832</v>
      </c>
    </row>
    <row r="1515" spans="1:22" ht="15.75" thickBot="1" x14ac:dyDescent="0.3">
      <c r="A1515" t="s">
        <v>1935</v>
      </c>
      <c r="B1515" t="s">
        <v>1935</v>
      </c>
      <c r="C1515" t="s">
        <v>1935</v>
      </c>
      <c r="D1515" t="s">
        <v>629</v>
      </c>
      <c r="E1515" s="259" t="s">
        <v>1853</v>
      </c>
      <c r="F1515" t="s">
        <v>620</v>
      </c>
      <c r="G1515" s="89">
        <v>2007</v>
      </c>
      <c r="H1515" s="341" t="s">
        <v>731</v>
      </c>
      <c r="I1515" s="337" t="str">
        <f t="shared" si="72"/>
        <v>Pesado de Passageiros M3: III : Gasóleo : E4</v>
      </c>
      <c r="J1515" s="125">
        <v>72</v>
      </c>
      <c r="K1515" s="264">
        <v>2022</v>
      </c>
      <c r="L1515" s="85">
        <v>19079.400000000001</v>
      </c>
      <c r="M1515" s="85" t="s">
        <v>630</v>
      </c>
      <c r="N1515" s="128">
        <v>54888</v>
      </c>
      <c r="O1515" s="128">
        <f t="shared" si="73"/>
        <v>3951936</v>
      </c>
      <c r="P1515" s="89">
        <v>8730</v>
      </c>
      <c r="Q1515" t="s">
        <v>47</v>
      </c>
      <c r="R1515" s="220" t="s">
        <v>1888</v>
      </c>
      <c r="S1515" s="220" t="s">
        <v>1861</v>
      </c>
      <c r="U1515" t="s">
        <v>1972</v>
      </c>
      <c r="V1515" t="s">
        <v>2832</v>
      </c>
    </row>
    <row r="1516" spans="1:22" ht="15.75" thickBot="1" x14ac:dyDescent="0.3">
      <c r="A1516" t="s">
        <v>1935</v>
      </c>
      <c r="B1516" t="s">
        <v>1935</v>
      </c>
      <c r="C1516" t="s">
        <v>1935</v>
      </c>
      <c r="D1516" t="s">
        <v>629</v>
      </c>
      <c r="E1516" s="259" t="s">
        <v>1853</v>
      </c>
      <c r="F1516" t="s">
        <v>620</v>
      </c>
      <c r="G1516" s="89">
        <v>2006</v>
      </c>
      <c r="H1516" s="341" t="s">
        <v>732</v>
      </c>
      <c r="I1516" s="337" t="str">
        <f t="shared" si="72"/>
        <v>Pesado de Passageiros M3: III : Gasóleo : E3</v>
      </c>
      <c r="J1516" s="125">
        <v>95</v>
      </c>
      <c r="K1516" s="264">
        <v>2022</v>
      </c>
      <c r="L1516" s="85">
        <v>21146.200000000004</v>
      </c>
      <c r="M1516" s="85" t="s">
        <v>630</v>
      </c>
      <c r="N1516" s="128">
        <v>72894</v>
      </c>
      <c r="O1516" s="128">
        <f t="shared" si="73"/>
        <v>6924930</v>
      </c>
      <c r="P1516" s="89">
        <v>8731</v>
      </c>
      <c r="Q1516" t="s">
        <v>47</v>
      </c>
      <c r="R1516" s="220" t="s">
        <v>1888</v>
      </c>
      <c r="S1516" s="220" t="s">
        <v>1861</v>
      </c>
      <c r="U1516" t="s">
        <v>1972</v>
      </c>
      <c r="V1516" t="s">
        <v>2832</v>
      </c>
    </row>
    <row r="1517" spans="1:22" ht="15.75" thickBot="1" x14ac:dyDescent="0.3">
      <c r="A1517" t="s">
        <v>1935</v>
      </c>
      <c r="B1517" t="s">
        <v>1935</v>
      </c>
      <c r="C1517" t="s">
        <v>1935</v>
      </c>
      <c r="D1517" t="s">
        <v>629</v>
      </c>
      <c r="E1517" s="259" t="s">
        <v>1853</v>
      </c>
      <c r="F1517" t="s">
        <v>620</v>
      </c>
      <c r="G1517" s="89">
        <v>2018</v>
      </c>
      <c r="H1517" s="341" t="s">
        <v>733</v>
      </c>
      <c r="I1517" s="337" t="str">
        <f t="shared" si="72"/>
        <v>Pesado de Passageiros M3: III : Gasóleo : E6</v>
      </c>
      <c r="J1517" s="125">
        <v>31</v>
      </c>
      <c r="K1517" s="264">
        <v>2022</v>
      </c>
      <c r="L1517" s="85">
        <v>11535.9</v>
      </c>
      <c r="M1517" s="85" t="s">
        <v>630</v>
      </c>
      <c r="N1517" s="128">
        <v>71546</v>
      </c>
      <c r="O1517" s="128">
        <f t="shared" si="73"/>
        <v>2217926</v>
      </c>
      <c r="P1517" s="89">
        <v>8732</v>
      </c>
      <c r="Q1517" t="s">
        <v>47</v>
      </c>
      <c r="R1517" s="220" t="s">
        <v>1888</v>
      </c>
      <c r="S1517" s="220" t="s">
        <v>1861</v>
      </c>
      <c r="U1517" t="s">
        <v>1972</v>
      </c>
      <c r="V1517" t="s">
        <v>2832</v>
      </c>
    </row>
    <row r="1518" spans="1:22" ht="15.75" thickBot="1" x14ac:dyDescent="0.3">
      <c r="A1518" t="s">
        <v>1935</v>
      </c>
      <c r="B1518" t="s">
        <v>1935</v>
      </c>
      <c r="C1518" t="s">
        <v>1935</v>
      </c>
      <c r="D1518" t="s">
        <v>629</v>
      </c>
      <c r="E1518" s="259" t="s">
        <v>1853</v>
      </c>
      <c r="F1518" t="s">
        <v>620</v>
      </c>
      <c r="G1518" s="89">
        <v>2007</v>
      </c>
      <c r="H1518" s="341" t="s">
        <v>731</v>
      </c>
      <c r="I1518" s="337" t="str">
        <f t="shared" si="72"/>
        <v>Pesado de Passageiros M3: III : Gasóleo : E4</v>
      </c>
      <c r="J1518" s="125">
        <v>33</v>
      </c>
      <c r="K1518" s="264">
        <v>2022</v>
      </c>
      <c r="L1518" s="85">
        <v>0</v>
      </c>
      <c r="M1518" s="85" t="s">
        <v>630</v>
      </c>
      <c r="N1518" s="128">
        <v>0</v>
      </c>
      <c r="O1518" s="128">
        <f t="shared" si="73"/>
        <v>0</v>
      </c>
      <c r="P1518" s="89">
        <v>8733</v>
      </c>
      <c r="Q1518" t="s">
        <v>47</v>
      </c>
      <c r="R1518" s="220" t="s">
        <v>1888</v>
      </c>
      <c r="S1518" s="220" t="s">
        <v>1861</v>
      </c>
      <c r="U1518" t="s">
        <v>1972</v>
      </c>
      <c r="V1518" t="s">
        <v>2832</v>
      </c>
    </row>
    <row r="1519" spans="1:22" ht="15.75" thickBot="1" x14ac:dyDescent="0.3">
      <c r="A1519" t="s">
        <v>1935</v>
      </c>
      <c r="B1519" t="s">
        <v>1935</v>
      </c>
      <c r="C1519" t="s">
        <v>1935</v>
      </c>
      <c r="D1519" t="s">
        <v>629</v>
      </c>
      <c r="E1519" s="259" t="s">
        <v>1853</v>
      </c>
      <c r="F1519" t="s">
        <v>620</v>
      </c>
      <c r="G1519" s="89">
        <v>2001</v>
      </c>
      <c r="H1519" s="341" t="s">
        <v>735</v>
      </c>
      <c r="I1519" s="337" t="str">
        <f t="shared" si="72"/>
        <v>Pesado de Passageiros M3: III : Gasóleo : E2</v>
      </c>
      <c r="J1519" s="125">
        <v>55</v>
      </c>
      <c r="K1519" s="264">
        <v>2022</v>
      </c>
      <c r="L1519" s="85">
        <v>17235.3</v>
      </c>
      <c r="M1519" s="85" t="s">
        <v>630</v>
      </c>
      <c r="N1519" s="128">
        <v>56603</v>
      </c>
      <c r="O1519" s="128">
        <f t="shared" si="73"/>
        <v>3113165</v>
      </c>
      <c r="P1519" s="89">
        <v>8734</v>
      </c>
      <c r="Q1519" t="s">
        <v>47</v>
      </c>
      <c r="R1519" s="220" t="s">
        <v>1888</v>
      </c>
      <c r="S1519" s="220" t="s">
        <v>1861</v>
      </c>
      <c r="U1519" t="s">
        <v>1972</v>
      </c>
      <c r="V1519" t="s">
        <v>2832</v>
      </c>
    </row>
    <row r="1520" spans="1:22" ht="15.75" thickBot="1" x14ac:dyDescent="0.3">
      <c r="A1520" t="s">
        <v>1935</v>
      </c>
      <c r="B1520" t="s">
        <v>1935</v>
      </c>
      <c r="C1520" t="s">
        <v>1935</v>
      </c>
      <c r="D1520" t="s">
        <v>629</v>
      </c>
      <c r="E1520" s="259" t="s">
        <v>1853</v>
      </c>
      <c r="F1520" t="s">
        <v>620</v>
      </c>
      <c r="G1520" s="89">
        <v>2007</v>
      </c>
      <c r="H1520" s="341" t="s">
        <v>731</v>
      </c>
      <c r="I1520" s="337" t="str">
        <f t="shared" si="72"/>
        <v>Pesado de Passageiros M3: III : Gasóleo : E4</v>
      </c>
      <c r="J1520" s="125">
        <v>54</v>
      </c>
      <c r="K1520" s="264">
        <v>2022</v>
      </c>
      <c r="L1520" s="85">
        <v>18440.2</v>
      </c>
      <c r="M1520" s="85" t="s">
        <v>630</v>
      </c>
      <c r="N1520" s="128">
        <v>55017</v>
      </c>
      <c r="O1520" s="128">
        <f t="shared" si="73"/>
        <v>2970918</v>
      </c>
      <c r="P1520" s="89">
        <v>8736</v>
      </c>
      <c r="Q1520" t="s">
        <v>47</v>
      </c>
      <c r="R1520" s="220" t="s">
        <v>1888</v>
      </c>
      <c r="S1520" s="220" t="s">
        <v>1861</v>
      </c>
      <c r="U1520" t="s">
        <v>1972</v>
      </c>
      <c r="V1520" t="s">
        <v>2832</v>
      </c>
    </row>
    <row r="1521" spans="1:22" ht="15.75" thickBot="1" x14ac:dyDescent="0.3">
      <c r="A1521" t="s">
        <v>1935</v>
      </c>
      <c r="B1521" t="s">
        <v>1935</v>
      </c>
      <c r="C1521" t="s">
        <v>1935</v>
      </c>
      <c r="D1521" t="s">
        <v>629</v>
      </c>
      <c r="E1521" s="259" t="s">
        <v>1853</v>
      </c>
      <c r="F1521" t="s">
        <v>620</v>
      </c>
      <c r="G1521" s="89">
        <v>1997</v>
      </c>
      <c r="H1521" s="341" t="s">
        <v>735</v>
      </c>
      <c r="I1521" s="337" t="str">
        <f t="shared" si="72"/>
        <v>Pesado de Passageiros M3: III : Gasóleo : E2</v>
      </c>
      <c r="J1521" s="125">
        <f>44+36</f>
        <v>80</v>
      </c>
      <c r="K1521" s="264">
        <v>2022</v>
      </c>
      <c r="L1521" s="85">
        <v>165.8</v>
      </c>
      <c r="M1521" s="85" t="s">
        <v>630</v>
      </c>
      <c r="N1521" s="128">
        <v>60</v>
      </c>
      <c r="O1521" s="128">
        <f t="shared" si="73"/>
        <v>4800</v>
      </c>
      <c r="P1521" s="89">
        <v>8737</v>
      </c>
      <c r="Q1521" t="s">
        <v>47</v>
      </c>
      <c r="R1521" s="220" t="s">
        <v>1888</v>
      </c>
      <c r="S1521" s="220" t="s">
        <v>1861</v>
      </c>
      <c r="U1521" t="s">
        <v>1972</v>
      </c>
      <c r="V1521" t="s">
        <v>2832</v>
      </c>
    </row>
    <row r="1522" spans="1:22" ht="15.75" thickBot="1" x14ac:dyDescent="0.3">
      <c r="A1522" t="s">
        <v>1935</v>
      </c>
      <c r="B1522" t="s">
        <v>1935</v>
      </c>
      <c r="C1522" t="s">
        <v>1935</v>
      </c>
      <c r="D1522" t="s">
        <v>629</v>
      </c>
      <c r="E1522" s="259" t="s">
        <v>1853</v>
      </c>
      <c r="F1522" t="s">
        <v>620</v>
      </c>
      <c r="G1522" s="89">
        <v>2002</v>
      </c>
      <c r="H1522" s="341" t="s">
        <v>732</v>
      </c>
      <c r="I1522" s="337" t="str">
        <f t="shared" si="72"/>
        <v>Pesado de Passageiros M3: III : Gasóleo : E3</v>
      </c>
      <c r="J1522" s="125">
        <f>46+17</f>
        <v>63</v>
      </c>
      <c r="K1522" s="264">
        <v>2022</v>
      </c>
      <c r="L1522" s="85">
        <v>11753.699999999999</v>
      </c>
      <c r="M1522" s="85" t="s">
        <v>630</v>
      </c>
      <c r="N1522" s="128">
        <v>35511</v>
      </c>
      <c r="O1522" s="128">
        <f t="shared" si="73"/>
        <v>2237193</v>
      </c>
      <c r="P1522" s="89">
        <v>8747</v>
      </c>
      <c r="Q1522" t="s">
        <v>47</v>
      </c>
      <c r="R1522" s="220" t="s">
        <v>1888</v>
      </c>
      <c r="S1522" s="220" t="s">
        <v>1861</v>
      </c>
      <c r="U1522" t="s">
        <v>1972</v>
      </c>
      <c r="V1522" t="s">
        <v>2832</v>
      </c>
    </row>
    <row r="1523" spans="1:22" ht="15.75" thickBot="1" x14ac:dyDescent="0.3">
      <c r="A1523" t="s">
        <v>1935</v>
      </c>
      <c r="B1523" t="s">
        <v>1935</v>
      </c>
      <c r="C1523" t="s">
        <v>1935</v>
      </c>
      <c r="D1523" t="s">
        <v>629</v>
      </c>
      <c r="E1523" s="259" t="s">
        <v>1853</v>
      </c>
      <c r="F1523" t="s">
        <v>620</v>
      </c>
      <c r="G1523" s="89">
        <v>2002</v>
      </c>
      <c r="H1523" s="341" t="s">
        <v>732</v>
      </c>
      <c r="I1523" s="337" t="str">
        <f t="shared" si="72"/>
        <v>Pesado de Passageiros M3: III : Gasóleo : E3</v>
      </c>
      <c r="J1523" s="125">
        <v>83</v>
      </c>
      <c r="K1523" s="264">
        <v>2022</v>
      </c>
      <c r="L1523" s="85">
        <v>15354.9</v>
      </c>
      <c r="M1523" s="85" t="s">
        <v>630</v>
      </c>
      <c r="N1523" s="128">
        <v>47769</v>
      </c>
      <c r="O1523" s="128">
        <f t="shared" si="73"/>
        <v>3964827</v>
      </c>
      <c r="P1523" s="89">
        <v>8748</v>
      </c>
      <c r="Q1523" t="s">
        <v>47</v>
      </c>
      <c r="R1523" s="220" t="s">
        <v>1888</v>
      </c>
      <c r="S1523" s="220" t="s">
        <v>1861</v>
      </c>
      <c r="U1523" t="s">
        <v>1972</v>
      </c>
      <c r="V1523" t="s">
        <v>2832</v>
      </c>
    </row>
    <row r="1524" spans="1:22" ht="15.75" thickBot="1" x14ac:dyDescent="0.3">
      <c r="A1524" t="s">
        <v>1935</v>
      </c>
      <c r="B1524" t="s">
        <v>1935</v>
      </c>
      <c r="C1524" t="s">
        <v>1935</v>
      </c>
      <c r="D1524" t="s">
        <v>629</v>
      </c>
      <c r="E1524" s="259" t="s">
        <v>1853</v>
      </c>
      <c r="F1524" t="s">
        <v>620</v>
      </c>
      <c r="G1524" s="89">
        <v>2002</v>
      </c>
      <c r="H1524" s="341" t="s">
        <v>732</v>
      </c>
      <c r="I1524" s="337" t="str">
        <f t="shared" si="72"/>
        <v>Pesado de Passageiros M3: III : Gasóleo : E3</v>
      </c>
      <c r="J1524" s="125">
        <v>57</v>
      </c>
      <c r="K1524" s="264">
        <v>2022</v>
      </c>
      <c r="L1524" s="85">
        <v>17168.100000000002</v>
      </c>
      <c r="M1524" s="85" t="s">
        <v>630</v>
      </c>
      <c r="N1524" s="128">
        <v>54282</v>
      </c>
      <c r="O1524" s="128">
        <f t="shared" si="73"/>
        <v>3094074</v>
      </c>
      <c r="P1524" s="89">
        <v>8750</v>
      </c>
      <c r="Q1524" t="s">
        <v>47</v>
      </c>
      <c r="R1524" s="220" t="s">
        <v>1888</v>
      </c>
      <c r="S1524" s="220" t="s">
        <v>1861</v>
      </c>
      <c r="U1524" t="s">
        <v>1972</v>
      </c>
      <c r="V1524" t="s">
        <v>2832</v>
      </c>
    </row>
    <row r="1525" spans="1:22" ht="15.75" thickBot="1" x14ac:dyDescent="0.3">
      <c r="A1525" t="s">
        <v>1935</v>
      </c>
      <c r="B1525" t="s">
        <v>1935</v>
      </c>
      <c r="C1525" t="s">
        <v>1935</v>
      </c>
      <c r="D1525" t="s">
        <v>629</v>
      </c>
      <c r="E1525" s="259" t="s">
        <v>1853</v>
      </c>
      <c r="F1525" t="s">
        <v>620</v>
      </c>
      <c r="G1525" s="89">
        <v>2008</v>
      </c>
      <c r="H1525" s="341" t="s">
        <v>731</v>
      </c>
      <c r="I1525" s="337" t="str">
        <f t="shared" si="72"/>
        <v>Pesado de Passageiros M3: III : Gasóleo : E4</v>
      </c>
      <c r="J1525" s="125">
        <v>35</v>
      </c>
      <c r="K1525" s="264">
        <v>2022</v>
      </c>
      <c r="L1525" s="85">
        <v>13436.1</v>
      </c>
      <c r="M1525" s="85" t="s">
        <v>630</v>
      </c>
      <c r="N1525" s="128">
        <v>58661</v>
      </c>
      <c r="O1525" s="128">
        <f t="shared" si="73"/>
        <v>2053135</v>
      </c>
      <c r="P1525" s="89">
        <v>8751</v>
      </c>
      <c r="Q1525" t="s">
        <v>47</v>
      </c>
      <c r="R1525" s="220" t="s">
        <v>1888</v>
      </c>
      <c r="S1525" s="220" t="s">
        <v>1861</v>
      </c>
      <c r="U1525" t="s">
        <v>1972</v>
      </c>
      <c r="V1525" t="s">
        <v>2832</v>
      </c>
    </row>
    <row r="1526" spans="1:22" ht="15.75" thickBot="1" x14ac:dyDescent="0.3">
      <c r="A1526" t="s">
        <v>1935</v>
      </c>
      <c r="B1526" t="s">
        <v>1935</v>
      </c>
      <c r="C1526" t="s">
        <v>1935</v>
      </c>
      <c r="D1526" t="s">
        <v>629</v>
      </c>
      <c r="E1526" s="259" t="s">
        <v>1853</v>
      </c>
      <c r="F1526" t="s">
        <v>620</v>
      </c>
      <c r="G1526" s="89">
        <v>2002</v>
      </c>
      <c r="H1526" s="341" t="s">
        <v>732</v>
      </c>
      <c r="I1526" s="337" t="str">
        <f t="shared" si="72"/>
        <v>Pesado de Passageiros M3: III : Gasóleo : E3</v>
      </c>
      <c r="J1526" s="125">
        <v>84</v>
      </c>
      <c r="K1526" s="264">
        <v>2022</v>
      </c>
      <c r="L1526" s="85">
        <v>11733.599999999999</v>
      </c>
      <c r="M1526" s="85" t="s">
        <v>630</v>
      </c>
      <c r="N1526" s="128">
        <v>33363</v>
      </c>
      <c r="O1526" s="128">
        <f t="shared" si="73"/>
        <v>2802492</v>
      </c>
      <c r="P1526" s="89">
        <v>8753</v>
      </c>
      <c r="Q1526" t="s">
        <v>47</v>
      </c>
      <c r="R1526" s="220" t="s">
        <v>1888</v>
      </c>
      <c r="S1526" s="220" t="s">
        <v>1861</v>
      </c>
      <c r="U1526" t="s">
        <v>1972</v>
      </c>
      <c r="V1526" t="s">
        <v>2832</v>
      </c>
    </row>
    <row r="1527" spans="1:22" ht="15.75" thickBot="1" x14ac:dyDescent="0.3">
      <c r="A1527" t="s">
        <v>1935</v>
      </c>
      <c r="B1527" t="s">
        <v>1935</v>
      </c>
      <c r="C1527" t="s">
        <v>1935</v>
      </c>
      <c r="D1527" t="s">
        <v>629</v>
      </c>
      <c r="E1527" s="259" t="s">
        <v>1853</v>
      </c>
      <c r="F1527" t="s">
        <v>620</v>
      </c>
      <c r="G1527" s="89">
        <v>2002</v>
      </c>
      <c r="H1527" s="341" t="s">
        <v>732</v>
      </c>
      <c r="I1527" s="337" t="str">
        <f t="shared" si="72"/>
        <v>Pesado de Passageiros M3: III : Gasóleo : E3</v>
      </c>
      <c r="J1527" s="125">
        <v>68</v>
      </c>
      <c r="K1527" s="264">
        <v>2022</v>
      </c>
      <c r="L1527" s="85">
        <v>16779.800000000003</v>
      </c>
      <c r="M1527" s="85" t="s">
        <v>630</v>
      </c>
      <c r="N1527" s="128">
        <v>50367</v>
      </c>
      <c r="O1527" s="128">
        <f t="shared" si="73"/>
        <v>3424956</v>
      </c>
      <c r="P1527" s="89">
        <v>8754</v>
      </c>
      <c r="Q1527" t="s">
        <v>47</v>
      </c>
      <c r="R1527" s="220" t="s">
        <v>1888</v>
      </c>
      <c r="S1527" s="220" t="s">
        <v>1861</v>
      </c>
      <c r="U1527" t="s">
        <v>1972</v>
      </c>
      <c r="V1527" t="s">
        <v>2832</v>
      </c>
    </row>
    <row r="1528" spans="1:22" ht="15.75" thickBot="1" x14ac:dyDescent="0.3">
      <c r="A1528" t="s">
        <v>1935</v>
      </c>
      <c r="B1528" t="s">
        <v>1935</v>
      </c>
      <c r="C1528" t="s">
        <v>1935</v>
      </c>
      <c r="D1528" t="s">
        <v>629</v>
      </c>
      <c r="E1528" s="259" t="s">
        <v>1853</v>
      </c>
      <c r="F1528" t="s">
        <v>620</v>
      </c>
      <c r="G1528" s="89">
        <v>2002</v>
      </c>
      <c r="H1528" s="341" t="s">
        <v>732</v>
      </c>
      <c r="I1528" s="337" t="str">
        <f t="shared" si="72"/>
        <v>Pesado de Passageiros M3: III : Gasóleo : E3</v>
      </c>
      <c r="J1528" s="125">
        <v>74</v>
      </c>
      <c r="K1528" s="264">
        <v>2022</v>
      </c>
      <c r="L1528" s="85">
        <v>19398.8</v>
      </c>
      <c r="M1528" s="85" t="s">
        <v>630</v>
      </c>
      <c r="N1528" s="128">
        <v>63964</v>
      </c>
      <c r="O1528" s="128">
        <f t="shared" si="73"/>
        <v>4733336</v>
      </c>
      <c r="P1528" s="89">
        <v>8755</v>
      </c>
      <c r="Q1528" t="s">
        <v>47</v>
      </c>
      <c r="R1528" s="220" t="s">
        <v>1888</v>
      </c>
      <c r="S1528" s="220" t="s">
        <v>1861</v>
      </c>
      <c r="U1528" t="s">
        <v>1972</v>
      </c>
      <c r="V1528" t="s">
        <v>2832</v>
      </c>
    </row>
    <row r="1529" spans="1:22" ht="15.75" thickBot="1" x14ac:dyDescent="0.3">
      <c r="A1529" t="s">
        <v>1935</v>
      </c>
      <c r="B1529" t="s">
        <v>1935</v>
      </c>
      <c r="C1529" t="s">
        <v>1935</v>
      </c>
      <c r="D1529" t="s">
        <v>629</v>
      </c>
      <c r="E1529" s="259" t="s">
        <v>1853</v>
      </c>
      <c r="F1529" t="s">
        <v>620</v>
      </c>
      <c r="G1529" s="89">
        <v>2002</v>
      </c>
      <c r="H1529" s="341" t="s">
        <v>732</v>
      </c>
      <c r="I1529" s="337" t="str">
        <f t="shared" si="72"/>
        <v>Pesado de Passageiros M3: III : Gasóleo : E3</v>
      </c>
      <c r="J1529" s="125">
        <v>54</v>
      </c>
      <c r="K1529" s="264">
        <v>2022</v>
      </c>
      <c r="L1529" s="85">
        <v>10672.199999999999</v>
      </c>
      <c r="M1529" s="85" t="s">
        <v>630</v>
      </c>
      <c r="N1529" s="128">
        <v>34915</v>
      </c>
      <c r="O1529" s="128">
        <f t="shared" si="73"/>
        <v>1885410</v>
      </c>
      <c r="P1529" s="89">
        <v>8756</v>
      </c>
      <c r="Q1529" t="s">
        <v>47</v>
      </c>
      <c r="R1529" s="220" t="s">
        <v>1888</v>
      </c>
      <c r="S1529" s="220" t="s">
        <v>1861</v>
      </c>
      <c r="U1529" t="s">
        <v>1972</v>
      </c>
      <c r="V1529" t="s">
        <v>2832</v>
      </c>
    </row>
    <row r="1530" spans="1:22" ht="15.75" thickBot="1" x14ac:dyDescent="0.3">
      <c r="A1530" t="s">
        <v>1935</v>
      </c>
      <c r="B1530" t="s">
        <v>1935</v>
      </c>
      <c r="C1530" t="s">
        <v>1935</v>
      </c>
      <c r="D1530" t="s">
        <v>629</v>
      </c>
      <c r="E1530" s="259" t="s">
        <v>1853</v>
      </c>
      <c r="F1530" t="s">
        <v>620</v>
      </c>
      <c r="G1530" s="89">
        <v>2002</v>
      </c>
      <c r="H1530" s="341" t="s">
        <v>732</v>
      </c>
      <c r="I1530" s="337" t="str">
        <f t="shared" si="72"/>
        <v>Pesado de Passageiros M3: III : Gasóleo : E3</v>
      </c>
      <c r="J1530" s="125">
        <v>67</v>
      </c>
      <c r="K1530" s="264">
        <v>2022</v>
      </c>
      <c r="L1530" s="85">
        <v>22393</v>
      </c>
      <c r="M1530" s="85" t="s">
        <v>630</v>
      </c>
      <c r="N1530" s="128">
        <v>75348</v>
      </c>
      <c r="O1530" s="128">
        <f t="shared" si="73"/>
        <v>5048316</v>
      </c>
      <c r="P1530" s="89">
        <v>8757</v>
      </c>
      <c r="Q1530" t="s">
        <v>47</v>
      </c>
      <c r="R1530" s="220" t="s">
        <v>1888</v>
      </c>
      <c r="S1530" s="220" t="s">
        <v>1861</v>
      </c>
      <c r="U1530" t="s">
        <v>1972</v>
      </c>
      <c r="V1530" t="s">
        <v>2832</v>
      </c>
    </row>
    <row r="1531" spans="1:22" ht="15.75" thickBot="1" x14ac:dyDescent="0.3">
      <c r="A1531" t="s">
        <v>1935</v>
      </c>
      <c r="B1531" t="s">
        <v>1935</v>
      </c>
      <c r="C1531" t="s">
        <v>1935</v>
      </c>
      <c r="D1531" t="s">
        <v>629</v>
      </c>
      <c r="E1531" s="259" t="s">
        <v>1853</v>
      </c>
      <c r="F1531" t="s">
        <v>620</v>
      </c>
      <c r="G1531" s="89">
        <v>2016</v>
      </c>
      <c r="H1531" s="341" t="s">
        <v>733</v>
      </c>
      <c r="I1531" s="337" t="str">
        <f t="shared" si="72"/>
        <v>Pesado de Passageiros M3: III : Gasóleo : E6</v>
      </c>
      <c r="J1531" s="125">
        <v>65</v>
      </c>
      <c r="K1531" s="264">
        <v>2022</v>
      </c>
      <c r="L1531" s="85">
        <v>3660.3999999999996</v>
      </c>
      <c r="M1531" s="85" t="s">
        <v>630</v>
      </c>
      <c r="N1531" s="128">
        <v>7883</v>
      </c>
      <c r="O1531" s="128">
        <f t="shared" si="73"/>
        <v>512395</v>
      </c>
      <c r="P1531" s="89">
        <v>8758</v>
      </c>
      <c r="Q1531" t="s">
        <v>47</v>
      </c>
      <c r="R1531" s="220" t="s">
        <v>1888</v>
      </c>
      <c r="S1531" s="220" t="s">
        <v>1861</v>
      </c>
      <c r="U1531" t="s">
        <v>1972</v>
      </c>
      <c r="V1531" t="s">
        <v>2832</v>
      </c>
    </row>
    <row r="1532" spans="1:22" ht="15.75" thickBot="1" x14ac:dyDescent="0.3">
      <c r="A1532" t="s">
        <v>1935</v>
      </c>
      <c r="B1532" t="s">
        <v>1935</v>
      </c>
      <c r="C1532" t="s">
        <v>1935</v>
      </c>
      <c r="D1532" t="s">
        <v>629</v>
      </c>
      <c r="E1532" s="259" t="s">
        <v>1853</v>
      </c>
      <c r="F1532" t="s">
        <v>620</v>
      </c>
      <c r="G1532" s="89">
        <v>2016</v>
      </c>
      <c r="H1532" s="341" t="s">
        <v>733</v>
      </c>
      <c r="I1532" s="337" t="str">
        <f t="shared" si="72"/>
        <v>Pesado de Passageiros M3: III : Gasóleo : E6</v>
      </c>
      <c r="J1532" s="125">
        <v>65</v>
      </c>
      <c r="K1532" s="264">
        <v>2022</v>
      </c>
      <c r="L1532" s="85">
        <v>6310.4</v>
      </c>
      <c r="M1532" s="85" t="s">
        <v>630</v>
      </c>
      <c r="N1532" s="128">
        <v>17672</v>
      </c>
      <c r="O1532" s="128">
        <f t="shared" si="73"/>
        <v>1148680</v>
      </c>
      <c r="P1532" s="89">
        <v>8759</v>
      </c>
      <c r="Q1532" t="s">
        <v>47</v>
      </c>
      <c r="R1532" s="220" t="s">
        <v>1888</v>
      </c>
      <c r="S1532" s="220" t="s">
        <v>1861</v>
      </c>
      <c r="U1532" t="s">
        <v>1972</v>
      </c>
      <c r="V1532" t="s">
        <v>2832</v>
      </c>
    </row>
    <row r="1533" spans="1:22" ht="15.75" thickBot="1" x14ac:dyDescent="0.3">
      <c r="A1533" t="s">
        <v>1935</v>
      </c>
      <c r="B1533" t="s">
        <v>1935</v>
      </c>
      <c r="C1533" t="s">
        <v>1935</v>
      </c>
      <c r="D1533" t="s">
        <v>629</v>
      </c>
      <c r="E1533" s="259" t="s">
        <v>1853</v>
      </c>
      <c r="F1533" t="s">
        <v>620</v>
      </c>
      <c r="G1533" s="89">
        <v>2008</v>
      </c>
      <c r="H1533" s="341" t="s">
        <v>731</v>
      </c>
      <c r="I1533" s="337" t="str">
        <f t="shared" si="72"/>
        <v>Pesado de Passageiros M3: III : Gasóleo : E4</v>
      </c>
      <c r="J1533" s="125">
        <v>66</v>
      </c>
      <c r="K1533" s="264">
        <v>2022</v>
      </c>
      <c r="L1533" s="85">
        <v>5792.49</v>
      </c>
      <c r="M1533" s="85" t="s">
        <v>630</v>
      </c>
      <c r="N1533" s="128">
        <v>20638</v>
      </c>
      <c r="O1533" s="128">
        <f t="shared" si="73"/>
        <v>1362108</v>
      </c>
      <c r="P1533" s="89">
        <v>8760</v>
      </c>
      <c r="Q1533" t="s">
        <v>47</v>
      </c>
      <c r="R1533" s="220" t="s">
        <v>1888</v>
      </c>
      <c r="S1533" s="220" t="s">
        <v>1861</v>
      </c>
      <c r="U1533" t="s">
        <v>1972</v>
      </c>
      <c r="V1533" t="s">
        <v>2832</v>
      </c>
    </row>
    <row r="1534" spans="1:22" ht="15.75" thickBot="1" x14ac:dyDescent="0.3">
      <c r="A1534" t="s">
        <v>1935</v>
      </c>
      <c r="B1534" t="s">
        <v>1935</v>
      </c>
      <c r="C1534" t="s">
        <v>1935</v>
      </c>
      <c r="D1534" t="s">
        <v>629</v>
      </c>
      <c r="E1534" s="259" t="s">
        <v>1853</v>
      </c>
      <c r="F1534" t="s">
        <v>620</v>
      </c>
      <c r="G1534" s="89">
        <v>2008</v>
      </c>
      <c r="H1534" s="341" t="s">
        <v>731</v>
      </c>
      <c r="I1534" s="337" t="str">
        <f t="shared" si="72"/>
        <v>Pesado de Passageiros M3: III : Gasóleo : E4</v>
      </c>
      <c r="J1534" s="125">
        <v>91</v>
      </c>
      <c r="K1534" s="264">
        <v>2022</v>
      </c>
      <c r="L1534" s="85">
        <v>0</v>
      </c>
      <c r="M1534" s="85" t="s">
        <v>630</v>
      </c>
      <c r="N1534" s="128">
        <v>0</v>
      </c>
      <c r="O1534" s="128">
        <f t="shared" si="73"/>
        <v>0</v>
      </c>
      <c r="P1534" s="89">
        <v>8761</v>
      </c>
      <c r="Q1534" t="s">
        <v>47</v>
      </c>
      <c r="R1534" s="220" t="s">
        <v>1888</v>
      </c>
      <c r="S1534" s="220" t="s">
        <v>1861</v>
      </c>
      <c r="U1534" t="s">
        <v>1972</v>
      </c>
      <c r="V1534" t="s">
        <v>2832</v>
      </c>
    </row>
    <row r="1535" spans="1:22" ht="15.75" thickBot="1" x14ac:dyDescent="0.3">
      <c r="A1535" t="s">
        <v>1935</v>
      </c>
      <c r="B1535" t="s">
        <v>1935</v>
      </c>
      <c r="C1535" t="s">
        <v>1935</v>
      </c>
      <c r="D1535" t="s">
        <v>629</v>
      </c>
      <c r="E1535" s="259" t="s">
        <v>1853</v>
      </c>
      <c r="F1535" t="s">
        <v>620</v>
      </c>
      <c r="G1535" s="89">
        <v>2010</v>
      </c>
      <c r="H1535" s="341" t="s">
        <v>731</v>
      </c>
      <c r="I1535" s="337" t="str">
        <f t="shared" si="72"/>
        <v>Pesado de Passageiros M3: III : Gasóleo : E4</v>
      </c>
      <c r="J1535" s="125">
        <v>53</v>
      </c>
      <c r="K1535" s="264">
        <v>2022</v>
      </c>
      <c r="L1535" s="85">
        <v>0</v>
      </c>
      <c r="M1535" s="85" t="s">
        <v>630</v>
      </c>
      <c r="N1535" s="128">
        <v>0</v>
      </c>
      <c r="O1535" s="128">
        <f t="shared" si="73"/>
        <v>0</v>
      </c>
      <c r="P1535" s="89">
        <v>8762</v>
      </c>
      <c r="Q1535" t="s">
        <v>47</v>
      </c>
      <c r="R1535" s="220" t="s">
        <v>1888</v>
      </c>
      <c r="S1535" s="220" t="s">
        <v>1861</v>
      </c>
      <c r="U1535" t="s">
        <v>1972</v>
      </c>
      <c r="V1535" t="s">
        <v>2832</v>
      </c>
    </row>
    <row r="1536" spans="1:22" ht="15.75" thickBot="1" x14ac:dyDescent="0.3">
      <c r="A1536" t="s">
        <v>1935</v>
      </c>
      <c r="B1536" t="s">
        <v>1935</v>
      </c>
      <c r="C1536" t="s">
        <v>1935</v>
      </c>
      <c r="D1536" t="s">
        <v>629</v>
      </c>
      <c r="E1536" s="259" t="s">
        <v>1853</v>
      </c>
      <c r="F1536" t="s">
        <v>620</v>
      </c>
      <c r="G1536" s="89">
        <v>2007</v>
      </c>
      <c r="H1536" s="341" t="s">
        <v>731</v>
      </c>
      <c r="I1536" s="337" t="str">
        <f t="shared" si="72"/>
        <v>Pesado de Passageiros M3: III : Gasóleo : E4</v>
      </c>
      <c r="J1536" s="125">
        <v>97</v>
      </c>
      <c r="K1536" s="264">
        <v>2022</v>
      </c>
      <c r="L1536" s="85">
        <v>0</v>
      </c>
      <c r="M1536" s="85" t="s">
        <v>630</v>
      </c>
      <c r="N1536" s="128">
        <v>0</v>
      </c>
      <c r="O1536" s="128">
        <f t="shared" si="73"/>
        <v>0</v>
      </c>
      <c r="P1536" s="89">
        <v>8764</v>
      </c>
      <c r="Q1536" t="s">
        <v>47</v>
      </c>
      <c r="R1536" s="220" t="s">
        <v>1888</v>
      </c>
      <c r="S1536" s="220" t="s">
        <v>1861</v>
      </c>
      <c r="U1536" t="s">
        <v>1972</v>
      </c>
      <c r="V1536" t="s">
        <v>2832</v>
      </c>
    </row>
    <row r="1537" spans="1:22" ht="15.75" thickBot="1" x14ac:dyDescent="0.3">
      <c r="A1537" t="s">
        <v>1935</v>
      </c>
      <c r="B1537" t="s">
        <v>1935</v>
      </c>
      <c r="C1537" t="s">
        <v>1935</v>
      </c>
      <c r="D1537" t="s">
        <v>629</v>
      </c>
      <c r="E1537" s="259" t="s">
        <v>1853</v>
      </c>
      <c r="F1537" t="s">
        <v>620</v>
      </c>
      <c r="G1537" s="89">
        <v>2013</v>
      </c>
      <c r="H1537" s="341" t="s">
        <v>734</v>
      </c>
      <c r="I1537" s="337" t="str">
        <f t="shared" si="72"/>
        <v>Pesado de Passageiros M3: III : Gasóleo : E5</v>
      </c>
      <c r="J1537" s="125">
        <v>80</v>
      </c>
      <c r="K1537" s="264">
        <v>2022</v>
      </c>
      <c r="L1537" s="85">
        <v>0</v>
      </c>
      <c r="M1537" s="85" t="s">
        <v>630</v>
      </c>
      <c r="N1537" s="128">
        <v>0</v>
      </c>
      <c r="O1537" s="128">
        <f t="shared" si="73"/>
        <v>0</v>
      </c>
      <c r="P1537" s="89">
        <v>8765</v>
      </c>
      <c r="Q1537" t="s">
        <v>47</v>
      </c>
      <c r="R1537" s="220" t="s">
        <v>1888</v>
      </c>
      <c r="S1537" s="220" t="s">
        <v>1861</v>
      </c>
      <c r="U1537" t="s">
        <v>1972</v>
      </c>
      <c r="V1537" t="s">
        <v>2832</v>
      </c>
    </row>
    <row r="1538" spans="1:22" ht="15.75" thickBot="1" x14ac:dyDescent="0.3">
      <c r="A1538" t="s">
        <v>1935</v>
      </c>
      <c r="B1538" t="s">
        <v>1935</v>
      </c>
      <c r="C1538" t="s">
        <v>1935</v>
      </c>
      <c r="D1538" t="s">
        <v>629</v>
      </c>
      <c r="E1538" s="259" t="s">
        <v>1853</v>
      </c>
      <c r="F1538" t="s">
        <v>620</v>
      </c>
      <c r="G1538" s="89">
        <v>2013</v>
      </c>
      <c r="H1538" s="341" t="s">
        <v>734</v>
      </c>
      <c r="I1538" s="337" t="str">
        <f t="shared" si="72"/>
        <v>Pesado de Passageiros M3: III : Gasóleo : E5</v>
      </c>
      <c r="J1538" s="125">
        <v>80</v>
      </c>
      <c r="K1538" s="264">
        <v>2022</v>
      </c>
      <c r="L1538" s="85">
        <v>0</v>
      </c>
      <c r="M1538" s="85" t="s">
        <v>630</v>
      </c>
      <c r="N1538" s="128">
        <v>0</v>
      </c>
      <c r="O1538" s="128">
        <f t="shared" si="73"/>
        <v>0</v>
      </c>
      <c r="P1538" s="89">
        <v>8766</v>
      </c>
      <c r="Q1538" t="s">
        <v>47</v>
      </c>
      <c r="R1538" s="220" t="s">
        <v>1888</v>
      </c>
      <c r="S1538" s="220" t="s">
        <v>1861</v>
      </c>
      <c r="U1538" t="s">
        <v>1972</v>
      </c>
      <c r="V1538" t="s">
        <v>2832</v>
      </c>
    </row>
    <row r="1539" spans="1:22" ht="15.75" thickBot="1" x14ac:dyDescent="0.3">
      <c r="A1539" t="s">
        <v>1935</v>
      </c>
      <c r="B1539" t="s">
        <v>1935</v>
      </c>
      <c r="C1539" t="s">
        <v>1935</v>
      </c>
      <c r="D1539" t="s">
        <v>629</v>
      </c>
      <c r="E1539" s="259" t="s">
        <v>1853</v>
      </c>
      <c r="F1539" t="s">
        <v>620</v>
      </c>
      <c r="G1539" s="89">
        <v>2014</v>
      </c>
      <c r="H1539" s="341" t="s">
        <v>734</v>
      </c>
      <c r="I1539" s="337" t="str">
        <f t="shared" si="72"/>
        <v>Pesado de Passageiros M3: III : Gasóleo : E5</v>
      </c>
      <c r="J1539" s="125">
        <v>80</v>
      </c>
      <c r="K1539" s="264">
        <v>2022</v>
      </c>
      <c r="L1539" s="85">
        <v>0</v>
      </c>
      <c r="M1539" s="85" t="s">
        <v>630</v>
      </c>
      <c r="N1539" s="128">
        <v>0</v>
      </c>
      <c r="O1539" s="128">
        <f t="shared" si="73"/>
        <v>0</v>
      </c>
      <c r="P1539" s="89">
        <v>8767</v>
      </c>
      <c r="Q1539" t="s">
        <v>47</v>
      </c>
      <c r="R1539" s="220" t="s">
        <v>1888</v>
      </c>
      <c r="S1539" s="220" t="s">
        <v>1861</v>
      </c>
      <c r="U1539" t="s">
        <v>1972</v>
      </c>
      <c r="V1539" t="s">
        <v>2832</v>
      </c>
    </row>
    <row r="1540" spans="1:22" ht="15.75" thickBot="1" x14ac:dyDescent="0.3">
      <c r="A1540" t="s">
        <v>1935</v>
      </c>
      <c r="B1540" t="s">
        <v>1935</v>
      </c>
      <c r="C1540" t="s">
        <v>1935</v>
      </c>
      <c r="D1540" t="s">
        <v>629</v>
      </c>
      <c r="E1540" s="259" t="s">
        <v>1853</v>
      </c>
      <c r="F1540" t="s">
        <v>620</v>
      </c>
      <c r="G1540" s="89">
        <v>2014</v>
      </c>
      <c r="H1540" s="341" t="s">
        <v>734</v>
      </c>
      <c r="I1540" s="337" t="str">
        <f t="shared" ref="I1540:I1603" si="74">D1540&amp;": "&amp;E1540&amp;" : "&amp;F1540&amp;" : "&amp;H1540</f>
        <v>Pesado de Passageiros M3: III : Gasóleo : E5</v>
      </c>
      <c r="J1540" s="125">
        <v>80</v>
      </c>
      <c r="K1540" s="264">
        <v>2022</v>
      </c>
      <c r="L1540" s="85">
        <v>0</v>
      </c>
      <c r="M1540" s="85" t="s">
        <v>630</v>
      </c>
      <c r="N1540" s="128">
        <v>0</v>
      </c>
      <c r="O1540" s="128">
        <f t="shared" ref="O1540:O1603" si="75">N1540*J1540</f>
        <v>0</v>
      </c>
      <c r="P1540" s="89">
        <v>8768</v>
      </c>
      <c r="Q1540" t="s">
        <v>47</v>
      </c>
      <c r="R1540" s="220" t="s">
        <v>1888</v>
      </c>
      <c r="S1540" s="220" t="s">
        <v>1861</v>
      </c>
      <c r="U1540" t="s">
        <v>1972</v>
      </c>
      <c r="V1540" t="s">
        <v>2832</v>
      </c>
    </row>
    <row r="1541" spans="1:22" ht="15.75" thickBot="1" x14ac:dyDescent="0.3">
      <c r="A1541" t="s">
        <v>1935</v>
      </c>
      <c r="B1541" t="s">
        <v>1935</v>
      </c>
      <c r="C1541" t="s">
        <v>1935</v>
      </c>
      <c r="D1541" t="s">
        <v>629</v>
      </c>
      <c r="E1541" s="259" t="s">
        <v>1853</v>
      </c>
      <c r="F1541" t="s">
        <v>620</v>
      </c>
      <c r="G1541" s="89">
        <v>2014</v>
      </c>
      <c r="H1541" s="341" t="s">
        <v>734</v>
      </c>
      <c r="I1541" s="337" t="str">
        <f t="shared" si="74"/>
        <v>Pesado de Passageiros M3: III : Gasóleo : E5</v>
      </c>
      <c r="J1541" s="125">
        <v>80</v>
      </c>
      <c r="K1541" s="264">
        <v>2022</v>
      </c>
      <c r="L1541" s="85">
        <v>0</v>
      </c>
      <c r="M1541" s="85" t="s">
        <v>630</v>
      </c>
      <c r="N1541" s="128">
        <v>0</v>
      </c>
      <c r="O1541" s="128">
        <f t="shared" si="75"/>
        <v>0</v>
      </c>
      <c r="P1541" s="89">
        <v>8769</v>
      </c>
      <c r="Q1541" t="s">
        <v>47</v>
      </c>
      <c r="R1541" s="220" t="s">
        <v>1888</v>
      </c>
      <c r="S1541" s="220" t="s">
        <v>1861</v>
      </c>
      <c r="U1541" t="s">
        <v>1972</v>
      </c>
      <c r="V1541" t="s">
        <v>2832</v>
      </c>
    </row>
    <row r="1542" spans="1:22" ht="15.75" thickBot="1" x14ac:dyDescent="0.3">
      <c r="A1542" t="s">
        <v>1935</v>
      </c>
      <c r="B1542" t="s">
        <v>1935</v>
      </c>
      <c r="C1542" t="s">
        <v>1935</v>
      </c>
      <c r="D1542" t="s">
        <v>629</v>
      </c>
      <c r="E1542" s="259" t="s">
        <v>1853</v>
      </c>
      <c r="F1542" t="s">
        <v>620</v>
      </c>
      <c r="G1542" s="89">
        <v>2013</v>
      </c>
      <c r="H1542" s="341" t="s">
        <v>734</v>
      </c>
      <c r="I1542" s="337" t="str">
        <f t="shared" si="74"/>
        <v>Pesado de Passageiros M3: III : Gasóleo : E5</v>
      </c>
      <c r="J1542" s="125">
        <v>80</v>
      </c>
      <c r="K1542" s="264">
        <v>2022</v>
      </c>
      <c r="L1542" s="85">
        <v>0</v>
      </c>
      <c r="M1542" s="85" t="s">
        <v>630</v>
      </c>
      <c r="N1542" s="128">
        <v>0</v>
      </c>
      <c r="O1542" s="128">
        <f t="shared" si="75"/>
        <v>0</v>
      </c>
      <c r="P1542" s="89">
        <v>8770</v>
      </c>
      <c r="Q1542" t="s">
        <v>47</v>
      </c>
      <c r="R1542" s="220" t="s">
        <v>1888</v>
      </c>
      <c r="S1542" s="220" t="s">
        <v>1861</v>
      </c>
      <c r="U1542" t="s">
        <v>1972</v>
      </c>
      <c r="V1542" t="s">
        <v>2832</v>
      </c>
    </row>
    <row r="1543" spans="1:22" ht="15.75" thickBot="1" x14ac:dyDescent="0.3">
      <c r="A1543" t="s">
        <v>1935</v>
      </c>
      <c r="B1543" t="s">
        <v>1935</v>
      </c>
      <c r="C1543" t="s">
        <v>1935</v>
      </c>
      <c r="D1543" t="s">
        <v>629</v>
      </c>
      <c r="E1543" s="259" t="s">
        <v>1853</v>
      </c>
      <c r="F1543" t="s">
        <v>620</v>
      </c>
      <c r="G1543" s="89">
        <v>2014</v>
      </c>
      <c r="H1543" s="341" t="s">
        <v>734</v>
      </c>
      <c r="I1543" s="337" t="str">
        <f t="shared" si="74"/>
        <v>Pesado de Passageiros M3: III : Gasóleo : E5</v>
      </c>
      <c r="J1543" s="125">
        <v>80</v>
      </c>
      <c r="K1543" s="264">
        <v>2022</v>
      </c>
      <c r="L1543" s="85">
        <v>0</v>
      </c>
      <c r="M1543" s="85" t="s">
        <v>630</v>
      </c>
      <c r="N1543" s="128">
        <v>0</v>
      </c>
      <c r="O1543" s="128">
        <f t="shared" si="75"/>
        <v>0</v>
      </c>
      <c r="P1543" s="89">
        <v>8771</v>
      </c>
      <c r="Q1543" t="s">
        <v>47</v>
      </c>
      <c r="R1543" s="220" t="s">
        <v>1888</v>
      </c>
      <c r="S1543" s="220" t="s">
        <v>1861</v>
      </c>
      <c r="U1543" t="s">
        <v>1972</v>
      </c>
      <c r="V1543" t="s">
        <v>2832</v>
      </c>
    </row>
    <row r="1544" spans="1:22" ht="15.75" thickBot="1" x14ac:dyDescent="0.3">
      <c r="A1544" t="s">
        <v>1935</v>
      </c>
      <c r="B1544" t="s">
        <v>1935</v>
      </c>
      <c r="C1544" t="s">
        <v>1935</v>
      </c>
      <c r="D1544" t="s">
        <v>629</v>
      </c>
      <c r="E1544" s="259" t="s">
        <v>1853</v>
      </c>
      <c r="F1544" t="s">
        <v>620</v>
      </c>
      <c r="G1544" s="89">
        <v>2013</v>
      </c>
      <c r="H1544" s="341" t="s">
        <v>734</v>
      </c>
      <c r="I1544" s="337" t="str">
        <f t="shared" si="74"/>
        <v>Pesado de Passageiros M3: III : Gasóleo : E5</v>
      </c>
      <c r="J1544" s="125">
        <v>90</v>
      </c>
      <c r="K1544" s="264">
        <v>2022</v>
      </c>
      <c r="L1544" s="85">
        <v>0</v>
      </c>
      <c r="M1544" s="85" t="s">
        <v>630</v>
      </c>
      <c r="N1544" s="128">
        <v>0</v>
      </c>
      <c r="O1544" s="128">
        <f t="shared" si="75"/>
        <v>0</v>
      </c>
      <c r="P1544" s="89">
        <v>8772</v>
      </c>
      <c r="Q1544" t="s">
        <v>47</v>
      </c>
      <c r="R1544" s="220" t="s">
        <v>1888</v>
      </c>
      <c r="S1544" s="220" t="s">
        <v>1861</v>
      </c>
      <c r="U1544" t="s">
        <v>1972</v>
      </c>
      <c r="V1544" t="s">
        <v>2832</v>
      </c>
    </row>
    <row r="1545" spans="1:22" ht="15.75" thickBot="1" x14ac:dyDescent="0.3">
      <c r="A1545" t="s">
        <v>1935</v>
      </c>
      <c r="B1545" t="s">
        <v>1935</v>
      </c>
      <c r="C1545" t="s">
        <v>1935</v>
      </c>
      <c r="D1545" t="s">
        <v>629</v>
      </c>
      <c r="E1545" s="259" t="s">
        <v>1853</v>
      </c>
      <c r="F1545" t="s">
        <v>620</v>
      </c>
      <c r="G1545" s="89">
        <v>2013</v>
      </c>
      <c r="H1545" s="341" t="s">
        <v>734</v>
      </c>
      <c r="I1545" s="337" t="str">
        <f t="shared" si="74"/>
        <v>Pesado de Passageiros M3: III : Gasóleo : E5</v>
      </c>
      <c r="J1545" s="125">
        <v>90</v>
      </c>
      <c r="K1545" s="264">
        <v>2022</v>
      </c>
      <c r="L1545" s="85">
        <v>0</v>
      </c>
      <c r="M1545" s="85" t="s">
        <v>630</v>
      </c>
      <c r="N1545" s="128">
        <v>0</v>
      </c>
      <c r="O1545" s="128">
        <f t="shared" si="75"/>
        <v>0</v>
      </c>
      <c r="P1545" s="89">
        <v>8773</v>
      </c>
      <c r="Q1545" t="s">
        <v>47</v>
      </c>
      <c r="R1545" s="220" t="s">
        <v>1888</v>
      </c>
      <c r="S1545" s="220" t="s">
        <v>1861</v>
      </c>
      <c r="U1545" t="s">
        <v>1972</v>
      </c>
      <c r="V1545" t="s">
        <v>2832</v>
      </c>
    </row>
    <row r="1546" spans="1:22" ht="15.75" thickBot="1" x14ac:dyDescent="0.3">
      <c r="A1546" t="s">
        <v>1935</v>
      </c>
      <c r="B1546" t="s">
        <v>1935</v>
      </c>
      <c r="C1546" t="s">
        <v>1935</v>
      </c>
      <c r="D1546" t="s">
        <v>629</v>
      </c>
      <c r="E1546" s="259" t="s">
        <v>1853</v>
      </c>
      <c r="F1546" t="s">
        <v>620</v>
      </c>
      <c r="G1546" s="89">
        <v>2014</v>
      </c>
      <c r="H1546" s="341" t="s">
        <v>734</v>
      </c>
      <c r="I1546" s="337" t="str">
        <f t="shared" si="74"/>
        <v>Pesado de Passageiros M3: III : Gasóleo : E5</v>
      </c>
      <c r="J1546" s="125">
        <v>80</v>
      </c>
      <c r="K1546" s="264">
        <v>2022</v>
      </c>
      <c r="L1546" s="85">
        <v>0</v>
      </c>
      <c r="M1546" s="85" t="s">
        <v>630</v>
      </c>
      <c r="N1546" s="128">
        <v>0</v>
      </c>
      <c r="O1546" s="128">
        <f t="shared" si="75"/>
        <v>0</v>
      </c>
      <c r="P1546" s="89">
        <v>8774</v>
      </c>
      <c r="Q1546" t="s">
        <v>47</v>
      </c>
      <c r="R1546" s="220" t="s">
        <v>1888</v>
      </c>
      <c r="S1546" s="220" t="s">
        <v>1861</v>
      </c>
      <c r="U1546" t="s">
        <v>1972</v>
      </c>
      <c r="V1546" t="s">
        <v>2832</v>
      </c>
    </row>
    <row r="1547" spans="1:22" ht="15.75" thickBot="1" x14ac:dyDescent="0.3">
      <c r="A1547" t="s">
        <v>1935</v>
      </c>
      <c r="B1547" t="s">
        <v>1935</v>
      </c>
      <c r="C1547" t="s">
        <v>1935</v>
      </c>
      <c r="D1547" t="s">
        <v>629</v>
      </c>
      <c r="E1547" s="259" t="s">
        <v>1853</v>
      </c>
      <c r="F1547" t="s">
        <v>620</v>
      </c>
      <c r="G1547" s="89">
        <v>2006</v>
      </c>
      <c r="H1547" s="341" t="s">
        <v>732</v>
      </c>
      <c r="I1547" s="337" t="str">
        <f t="shared" si="74"/>
        <v>Pesado de Passageiros M3: III : Gasóleo : E3</v>
      </c>
      <c r="J1547" s="125">
        <v>75</v>
      </c>
      <c r="K1547" s="264">
        <v>2022</v>
      </c>
      <c r="L1547" s="85">
        <v>0</v>
      </c>
      <c r="M1547" s="85" t="s">
        <v>630</v>
      </c>
      <c r="N1547" s="128">
        <v>0</v>
      </c>
      <c r="O1547" s="128">
        <f t="shared" si="75"/>
        <v>0</v>
      </c>
      <c r="P1547" s="89">
        <v>8775</v>
      </c>
      <c r="Q1547" t="s">
        <v>47</v>
      </c>
      <c r="R1547" s="220" t="s">
        <v>1888</v>
      </c>
      <c r="S1547" s="220" t="s">
        <v>1861</v>
      </c>
      <c r="U1547" t="s">
        <v>1972</v>
      </c>
      <c r="V1547" t="s">
        <v>2832</v>
      </c>
    </row>
    <row r="1548" spans="1:22" ht="15.75" thickBot="1" x14ac:dyDescent="0.3">
      <c r="A1548" t="s">
        <v>1935</v>
      </c>
      <c r="B1548" t="s">
        <v>1935</v>
      </c>
      <c r="C1548" t="s">
        <v>1935</v>
      </c>
      <c r="D1548" t="s">
        <v>629</v>
      </c>
      <c r="E1548" s="259" t="s">
        <v>1853</v>
      </c>
      <c r="F1548" t="s">
        <v>620</v>
      </c>
      <c r="G1548" s="89">
        <v>2007</v>
      </c>
      <c r="H1548" s="341" t="s">
        <v>731</v>
      </c>
      <c r="I1548" s="337" t="str">
        <f t="shared" si="74"/>
        <v>Pesado de Passageiros M3: III : Gasóleo : E4</v>
      </c>
      <c r="J1548" s="125">
        <v>104</v>
      </c>
      <c r="K1548" s="264">
        <v>2022</v>
      </c>
      <c r="L1548" s="85">
        <v>0</v>
      </c>
      <c r="M1548" s="85" t="s">
        <v>630</v>
      </c>
      <c r="N1548" s="128">
        <v>0</v>
      </c>
      <c r="O1548" s="128">
        <f t="shared" si="75"/>
        <v>0</v>
      </c>
      <c r="P1548" s="89">
        <v>8776</v>
      </c>
      <c r="Q1548" t="s">
        <v>47</v>
      </c>
      <c r="R1548" s="220" t="s">
        <v>1888</v>
      </c>
      <c r="S1548" s="220" t="s">
        <v>1861</v>
      </c>
      <c r="U1548" t="s">
        <v>1972</v>
      </c>
      <c r="V1548" t="s">
        <v>2832</v>
      </c>
    </row>
    <row r="1549" spans="1:22" ht="15.75" thickBot="1" x14ac:dyDescent="0.3">
      <c r="A1549" t="s">
        <v>1935</v>
      </c>
      <c r="B1549" t="s">
        <v>1935</v>
      </c>
      <c r="C1549" t="s">
        <v>1935</v>
      </c>
      <c r="D1549" t="s">
        <v>629</v>
      </c>
      <c r="E1549" s="259" t="s">
        <v>1853</v>
      </c>
      <c r="F1549" t="s">
        <v>620</v>
      </c>
      <c r="G1549" s="89">
        <v>2007</v>
      </c>
      <c r="H1549" s="341" t="s">
        <v>731</v>
      </c>
      <c r="I1549" s="337" t="str">
        <f t="shared" si="74"/>
        <v>Pesado de Passageiros M3: III : Gasóleo : E4</v>
      </c>
      <c r="J1549" s="125">
        <v>107</v>
      </c>
      <c r="K1549" s="264">
        <v>2022</v>
      </c>
      <c r="L1549" s="85">
        <v>0</v>
      </c>
      <c r="M1549" s="85" t="s">
        <v>630</v>
      </c>
      <c r="N1549" s="128">
        <v>0</v>
      </c>
      <c r="O1549" s="128">
        <f t="shared" si="75"/>
        <v>0</v>
      </c>
      <c r="P1549" s="89">
        <v>8777</v>
      </c>
      <c r="Q1549" t="s">
        <v>47</v>
      </c>
      <c r="R1549" s="220" t="s">
        <v>1888</v>
      </c>
      <c r="S1549" s="220" t="s">
        <v>1861</v>
      </c>
      <c r="U1549" t="s">
        <v>1972</v>
      </c>
      <c r="V1549" t="s">
        <v>2832</v>
      </c>
    </row>
    <row r="1550" spans="1:22" ht="15.75" thickBot="1" x14ac:dyDescent="0.3">
      <c r="A1550" t="s">
        <v>1935</v>
      </c>
      <c r="B1550" t="s">
        <v>1935</v>
      </c>
      <c r="C1550" t="s">
        <v>1935</v>
      </c>
      <c r="D1550" t="s">
        <v>629</v>
      </c>
      <c r="E1550" s="259" t="s">
        <v>1853</v>
      </c>
      <c r="F1550" t="s">
        <v>620</v>
      </c>
      <c r="G1550" s="89">
        <v>2007</v>
      </c>
      <c r="H1550" s="341" t="s">
        <v>731</v>
      </c>
      <c r="I1550" s="337" t="str">
        <f t="shared" si="74"/>
        <v>Pesado de Passageiros M3: III : Gasóleo : E4</v>
      </c>
      <c r="J1550" s="125">
        <v>110</v>
      </c>
      <c r="K1550" s="264">
        <v>2022</v>
      </c>
      <c r="L1550" s="85">
        <v>0</v>
      </c>
      <c r="M1550" s="85" t="s">
        <v>630</v>
      </c>
      <c r="N1550" s="128">
        <v>0</v>
      </c>
      <c r="O1550" s="128">
        <f t="shared" si="75"/>
        <v>0</v>
      </c>
      <c r="P1550" s="89">
        <v>8778</v>
      </c>
      <c r="Q1550" t="s">
        <v>47</v>
      </c>
      <c r="R1550" s="220" t="s">
        <v>1888</v>
      </c>
      <c r="S1550" s="220" t="s">
        <v>1861</v>
      </c>
      <c r="U1550" t="s">
        <v>1972</v>
      </c>
      <c r="V1550" t="s">
        <v>2832</v>
      </c>
    </row>
    <row r="1551" spans="1:22" ht="15.75" thickBot="1" x14ac:dyDescent="0.3">
      <c r="A1551" t="s">
        <v>1935</v>
      </c>
      <c r="B1551" t="s">
        <v>1935</v>
      </c>
      <c r="C1551" t="s">
        <v>1935</v>
      </c>
      <c r="D1551" t="s">
        <v>629</v>
      </c>
      <c r="E1551" s="259" t="s">
        <v>1853</v>
      </c>
      <c r="F1551" t="s">
        <v>620</v>
      </c>
      <c r="G1551" s="89">
        <v>2008</v>
      </c>
      <c r="H1551" s="341" t="s">
        <v>731</v>
      </c>
      <c r="I1551" s="337" t="str">
        <f t="shared" si="74"/>
        <v>Pesado de Passageiros M3: III : Gasóleo : E4</v>
      </c>
      <c r="J1551" s="125">
        <v>107</v>
      </c>
      <c r="K1551" s="264">
        <v>2022</v>
      </c>
      <c r="L1551" s="85">
        <v>0</v>
      </c>
      <c r="M1551" s="85" t="s">
        <v>630</v>
      </c>
      <c r="N1551" s="128">
        <v>0</v>
      </c>
      <c r="O1551" s="128">
        <f t="shared" si="75"/>
        <v>0</v>
      </c>
      <c r="P1551" s="89">
        <v>8779</v>
      </c>
      <c r="Q1551" t="s">
        <v>47</v>
      </c>
      <c r="R1551" s="220" t="s">
        <v>1888</v>
      </c>
      <c r="S1551" s="220" t="s">
        <v>1861</v>
      </c>
      <c r="U1551" t="s">
        <v>1972</v>
      </c>
      <c r="V1551" t="s">
        <v>2832</v>
      </c>
    </row>
    <row r="1552" spans="1:22" ht="15.75" thickBot="1" x14ac:dyDescent="0.3">
      <c r="A1552" t="s">
        <v>1935</v>
      </c>
      <c r="B1552" t="s">
        <v>1935</v>
      </c>
      <c r="C1552" t="s">
        <v>1935</v>
      </c>
      <c r="D1552" t="s">
        <v>629</v>
      </c>
      <c r="E1552" s="259" t="s">
        <v>1853</v>
      </c>
      <c r="F1552" t="s">
        <v>620</v>
      </c>
      <c r="G1552" s="89">
        <v>2002</v>
      </c>
      <c r="H1552" s="341" t="s">
        <v>732</v>
      </c>
      <c r="I1552" s="337" t="str">
        <f t="shared" si="74"/>
        <v>Pesado de Passageiros M3: III : Gasóleo : E3</v>
      </c>
      <c r="J1552" s="125">
        <v>61</v>
      </c>
      <c r="K1552" s="264">
        <v>2022</v>
      </c>
      <c r="L1552" s="85">
        <v>0</v>
      </c>
      <c r="M1552" s="85" t="s">
        <v>630</v>
      </c>
      <c r="N1552" s="128">
        <v>0</v>
      </c>
      <c r="O1552" s="128">
        <f t="shared" si="75"/>
        <v>0</v>
      </c>
      <c r="P1552" s="89">
        <v>8780</v>
      </c>
      <c r="Q1552" t="s">
        <v>47</v>
      </c>
      <c r="R1552" s="220" t="s">
        <v>1888</v>
      </c>
      <c r="S1552" s="220" t="s">
        <v>1861</v>
      </c>
      <c r="U1552" t="s">
        <v>1972</v>
      </c>
      <c r="V1552" t="s">
        <v>2832</v>
      </c>
    </row>
    <row r="1553" spans="1:22" ht="15.75" thickBot="1" x14ac:dyDescent="0.3">
      <c r="A1553" t="s">
        <v>1935</v>
      </c>
      <c r="B1553" t="s">
        <v>1935</v>
      </c>
      <c r="C1553" t="s">
        <v>1935</v>
      </c>
      <c r="D1553" t="s">
        <v>629</v>
      </c>
      <c r="E1553" s="259" t="s">
        <v>1853</v>
      </c>
      <c r="F1553" t="s">
        <v>620</v>
      </c>
      <c r="G1553" s="89">
        <v>1993</v>
      </c>
      <c r="H1553" s="341" t="s">
        <v>736</v>
      </c>
      <c r="I1553" s="337" t="str">
        <f t="shared" si="74"/>
        <v>Pesado de Passageiros M3: III : Gasóleo : E1</v>
      </c>
      <c r="J1553" s="125">
        <v>70</v>
      </c>
      <c r="K1553" s="264">
        <v>2022</v>
      </c>
      <c r="L1553" s="85">
        <v>15735.4</v>
      </c>
      <c r="M1553" s="85" t="s">
        <v>630</v>
      </c>
      <c r="N1553" s="128">
        <v>50019</v>
      </c>
      <c r="O1553" s="128">
        <f t="shared" si="75"/>
        <v>3501330</v>
      </c>
      <c r="P1553" s="89">
        <v>8788</v>
      </c>
      <c r="Q1553" t="s">
        <v>47</v>
      </c>
      <c r="R1553" s="220" t="s">
        <v>1888</v>
      </c>
      <c r="S1553" s="220" t="s">
        <v>1861</v>
      </c>
      <c r="U1553" t="s">
        <v>1972</v>
      </c>
      <c r="V1553" t="s">
        <v>2832</v>
      </c>
    </row>
    <row r="1554" spans="1:22" ht="15.75" thickBot="1" x14ac:dyDescent="0.3">
      <c r="A1554" t="s">
        <v>1935</v>
      </c>
      <c r="B1554" t="s">
        <v>1935</v>
      </c>
      <c r="C1554" t="s">
        <v>1935</v>
      </c>
      <c r="D1554" t="s">
        <v>629</v>
      </c>
      <c r="E1554" s="259" t="s">
        <v>1853</v>
      </c>
      <c r="F1554" t="s">
        <v>620</v>
      </c>
      <c r="G1554" s="89">
        <v>1996</v>
      </c>
      <c r="H1554" s="341" t="s">
        <v>736</v>
      </c>
      <c r="I1554" s="337" t="str">
        <f t="shared" si="74"/>
        <v>Pesado de Passageiros M3: III : Gasóleo : E1</v>
      </c>
      <c r="J1554" s="125">
        <v>107</v>
      </c>
      <c r="K1554" s="264">
        <v>2022</v>
      </c>
      <c r="L1554" s="85">
        <v>0</v>
      </c>
      <c r="M1554" s="85" t="s">
        <v>630</v>
      </c>
      <c r="N1554" s="128">
        <v>0</v>
      </c>
      <c r="O1554" s="128">
        <f t="shared" si="75"/>
        <v>0</v>
      </c>
      <c r="P1554" s="89">
        <v>8793</v>
      </c>
      <c r="Q1554" t="s">
        <v>47</v>
      </c>
      <c r="R1554" s="220" t="s">
        <v>1888</v>
      </c>
      <c r="S1554" s="220" t="s">
        <v>1861</v>
      </c>
      <c r="U1554" t="s">
        <v>1972</v>
      </c>
      <c r="V1554" t="s">
        <v>2832</v>
      </c>
    </row>
    <row r="1555" spans="1:22" ht="15.75" thickBot="1" x14ac:dyDescent="0.3">
      <c r="A1555" t="s">
        <v>1935</v>
      </c>
      <c r="B1555" t="s">
        <v>1935</v>
      </c>
      <c r="C1555" t="s">
        <v>1935</v>
      </c>
      <c r="D1555" t="s">
        <v>629</v>
      </c>
      <c r="E1555" s="259" t="s">
        <v>1853</v>
      </c>
      <c r="F1555" t="s">
        <v>620</v>
      </c>
      <c r="G1555" s="89">
        <v>1994</v>
      </c>
      <c r="H1555" s="341" t="s">
        <v>736</v>
      </c>
      <c r="I1555" s="337" t="str">
        <f t="shared" si="74"/>
        <v>Pesado de Passageiros M3: III : Gasóleo : E1</v>
      </c>
      <c r="J1555" s="125">
        <v>68</v>
      </c>
      <c r="K1555" s="264">
        <v>2022</v>
      </c>
      <c r="L1555" s="85">
        <v>12414.699999999999</v>
      </c>
      <c r="M1555" s="85" t="s">
        <v>630</v>
      </c>
      <c r="N1555" s="128">
        <v>39838</v>
      </c>
      <c r="O1555" s="128">
        <f t="shared" si="75"/>
        <v>2708984</v>
      </c>
      <c r="P1555" s="89">
        <v>8794</v>
      </c>
      <c r="Q1555" t="s">
        <v>47</v>
      </c>
      <c r="R1555" s="220" t="s">
        <v>1888</v>
      </c>
      <c r="S1555" s="220" t="s">
        <v>1861</v>
      </c>
      <c r="U1555" t="s">
        <v>1972</v>
      </c>
      <c r="V1555" t="s">
        <v>2832</v>
      </c>
    </row>
    <row r="1556" spans="1:22" ht="15.75" thickBot="1" x14ac:dyDescent="0.3">
      <c r="A1556" t="s">
        <v>1935</v>
      </c>
      <c r="B1556" t="s">
        <v>1935</v>
      </c>
      <c r="C1556" t="s">
        <v>1935</v>
      </c>
      <c r="D1556" t="s">
        <v>629</v>
      </c>
      <c r="E1556" s="259" t="s">
        <v>1853</v>
      </c>
      <c r="F1556" t="s">
        <v>620</v>
      </c>
      <c r="G1556" s="89">
        <v>1996</v>
      </c>
      <c r="H1556" s="341" t="s">
        <v>735</v>
      </c>
      <c r="I1556" s="337" t="str">
        <f t="shared" si="74"/>
        <v>Pesado de Passageiros M3: III : Gasóleo : E2</v>
      </c>
      <c r="J1556" s="125">
        <v>70</v>
      </c>
      <c r="K1556" s="264">
        <v>2022</v>
      </c>
      <c r="L1556" s="85">
        <v>8850.9000000000015</v>
      </c>
      <c r="M1556" s="85" t="s">
        <v>630</v>
      </c>
      <c r="N1556" s="128">
        <v>28678</v>
      </c>
      <c r="O1556" s="128">
        <f t="shared" si="75"/>
        <v>2007460</v>
      </c>
      <c r="P1556" s="89">
        <v>8797</v>
      </c>
      <c r="Q1556" t="s">
        <v>47</v>
      </c>
      <c r="R1556" s="220" t="s">
        <v>1888</v>
      </c>
      <c r="S1556" s="220" t="s">
        <v>1861</v>
      </c>
      <c r="U1556" t="s">
        <v>1972</v>
      </c>
      <c r="V1556" t="s">
        <v>2832</v>
      </c>
    </row>
    <row r="1557" spans="1:22" ht="15.75" thickBot="1" x14ac:dyDescent="0.3">
      <c r="A1557" t="s">
        <v>1935</v>
      </c>
      <c r="B1557" t="s">
        <v>1935</v>
      </c>
      <c r="C1557" t="s">
        <v>1935</v>
      </c>
      <c r="D1557" t="s">
        <v>629</v>
      </c>
      <c r="E1557" s="259" t="s">
        <v>1853</v>
      </c>
      <c r="F1557" t="s">
        <v>620</v>
      </c>
      <c r="G1557" s="89">
        <v>1997</v>
      </c>
      <c r="H1557" s="341" t="s">
        <v>735</v>
      </c>
      <c r="I1557" s="337" t="str">
        <f t="shared" si="74"/>
        <v>Pesado de Passageiros M3: III : Gasóleo : E2</v>
      </c>
      <c r="J1557" s="125">
        <v>65</v>
      </c>
      <c r="K1557" s="264">
        <v>2022</v>
      </c>
      <c r="L1557" s="85">
        <v>0</v>
      </c>
      <c r="M1557" s="85" t="s">
        <v>630</v>
      </c>
      <c r="N1557" s="128">
        <v>0</v>
      </c>
      <c r="O1557" s="128">
        <f t="shared" si="75"/>
        <v>0</v>
      </c>
      <c r="P1557" s="89">
        <v>8798</v>
      </c>
      <c r="Q1557" t="s">
        <v>47</v>
      </c>
      <c r="R1557" s="220" t="s">
        <v>1888</v>
      </c>
      <c r="S1557" s="220" t="s">
        <v>1861</v>
      </c>
      <c r="U1557" t="s">
        <v>1972</v>
      </c>
      <c r="V1557" t="s">
        <v>2832</v>
      </c>
    </row>
    <row r="1558" spans="1:22" ht="15.75" thickBot="1" x14ac:dyDescent="0.3">
      <c r="A1558" t="s">
        <v>1935</v>
      </c>
      <c r="B1558" t="s">
        <v>1935</v>
      </c>
      <c r="C1558" t="s">
        <v>1935</v>
      </c>
      <c r="D1558" t="s">
        <v>629</v>
      </c>
      <c r="E1558" s="259" t="s">
        <v>1853</v>
      </c>
      <c r="F1558" t="s">
        <v>620</v>
      </c>
      <c r="G1558" s="89">
        <v>1997</v>
      </c>
      <c r="H1558" s="341" t="s">
        <v>735</v>
      </c>
      <c r="I1558" s="337" t="str">
        <f t="shared" si="74"/>
        <v>Pesado de Passageiros M3: III : Gasóleo : E2</v>
      </c>
      <c r="J1558" s="125">
        <v>52</v>
      </c>
      <c r="K1558" s="264">
        <v>2022</v>
      </c>
      <c r="L1558" s="85">
        <v>17613.900000000001</v>
      </c>
      <c r="M1558" s="85" t="s">
        <v>630</v>
      </c>
      <c r="N1558" s="128">
        <v>55101</v>
      </c>
      <c r="O1558" s="128">
        <f t="shared" si="75"/>
        <v>2865252</v>
      </c>
      <c r="P1558" s="89">
        <v>8803</v>
      </c>
      <c r="Q1558" t="s">
        <v>47</v>
      </c>
      <c r="R1558" s="220" t="s">
        <v>1888</v>
      </c>
      <c r="S1558" s="220" t="s">
        <v>1861</v>
      </c>
      <c r="U1558" t="s">
        <v>1972</v>
      </c>
      <c r="V1558" t="s">
        <v>2832</v>
      </c>
    </row>
    <row r="1559" spans="1:22" ht="15.75" thickBot="1" x14ac:dyDescent="0.3">
      <c r="A1559" t="s">
        <v>1935</v>
      </c>
      <c r="B1559" t="s">
        <v>1935</v>
      </c>
      <c r="C1559" t="s">
        <v>1935</v>
      </c>
      <c r="D1559" t="s">
        <v>629</v>
      </c>
      <c r="E1559" s="259" t="s">
        <v>1853</v>
      </c>
      <c r="F1559" t="s">
        <v>620</v>
      </c>
      <c r="G1559" s="89">
        <v>1997</v>
      </c>
      <c r="H1559" s="341" t="s">
        <v>735</v>
      </c>
      <c r="I1559" s="337" t="str">
        <f t="shared" si="74"/>
        <v>Pesado de Passageiros M3: III : Gasóleo : E2</v>
      </c>
      <c r="J1559" s="125">
        <v>52</v>
      </c>
      <c r="K1559" s="264">
        <v>2022</v>
      </c>
      <c r="L1559" s="85">
        <v>0</v>
      </c>
      <c r="M1559" s="85" t="s">
        <v>630</v>
      </c>
      <c r="N1559" s="128">
        <v>0</v>
      </c>
      <c r="O1559" s="128">
        <f t="shared" si="75"/>
        <v>0</v>
      </c>
      <c r="P1559" s="89">
        <v>8804</v>
      </c>
      <c r="Q1559" t="s">
        <v>47</v>
      </c>
      <c r="R1559" s="220" t="s">
        <v>1888</v>
      </c>
      <c r="S1559" s="220" t="s">
        <v>1861</v>
      </c>
      <c r="U1559" t="s">
        <v>1972</v>
      </c>
      <c r="V1559" t="s">
        <v>2832</v>
      </c>
    </row>
    <row r="1560" spans="1:22" ht="15.75" thickBot="1" x14ac:dyDescent="0.3">
      <c r="A1560" t="s">
        <v>1935</v>
      </c>
      <c r="B1560" t="s">
        <v>1935</v>
      </c>
      <c r="C1560" t="s">
        <v>1935</v>
      </c>
      <c r="D1560" t="s">
        <v>629</v>
      </c>
      <c r="E1560" s="259" t="s">
        <v>1853</v>
      </c>
      <c r="F1560" t="s">
        <v>620</v>
      </c>
      <c r="G1560" s="89">
        <v>1997</v>
      </c>
      <c r="H1560" s="341" t="s">
        <v>735</v>
      </c>
      <c r="I1560" s="337" t="str">
        <f t="shared" si="74"/>
        <v>Pesado de Passageiros M3: III : Gasóleo : E2</v>
      </c>
      <c r="J1560" s="125">
        <v>52</v>
      </c>
      <c r="K1560" s="264">
        <v>2022</v>
      </c>
      <c r="L1560" s="85">
        <v>0</v>
      </c>
      <c r="M1560" s="85" t="s">
        <v>630</v>
      </c>
      <c r="N1560" s="128">
        <v>0</v>
      </c>
      <c r="O1560" s="128">
        <f t="shared" si="75"/>
        <v>0</v>
      </c>
      <c r="P1560" s="89">
        <v>8805</v>
      </c>
      <c r="Q1560" t="s">
        <v>47</v>
      </c>
      <c r="R1560" s="220" t="s">
        <v>1888</v>
      </c>
      <c r="S1560" s="220" t="s">
        <v>1861</v>
      </c>
      <c r="U1560" t="s">
        <v>1972</v>
      </c>
      <c r="V1560" t="s">
        <v>2832</v>
      </c>
    </row>
    <row r="1561" spans="1:22" ht="15.75" thickBot="1" x14ac:dyDescent="0.3">
      <c r="A1561" t="s">
        <v>1935</v>
      </c>
      <c r="B1561" t="s">
        <v>1935</v>
      </c>
      <c r="C1561" t="s">
        <v>1935</v>
      </c>
      <c r="D1561" t="s">
        <v>629</v>
      </c>
      <c r="E1561" s="259" t="s">
        <v>1853</v>
      </c>
      <c r="F1561" t="s">
        <v>620</v>
      </c>
      <c r="G1561" s="89">
        <v>2000</v>
      </c>
      <c r="H1561" s="341" t="s">
        <v>735</v>
      </c>
      <c r="I1561" s="337" t="str">
        <f t="shared" si="74"/>
        <v>Pesado de Passageiros M3: III : Gasóleo : E2</v>
      </c>
      <c r="J1561" s="125">
        <v>52</v>
      </c>
      <c r="K1561" s="264">
        <v>2022</v>
      </c>
      <c r="L1561" s="85">
        <v>17538.2</v>
      </c>
      <c r="M1561" s="85" t="s">
        <v>630</v>
      </c>
      <c r="N1561" s="128">
        <v>57382</v>
      </c>
      <c r="O1561" s="128">
        <f t="shared" si="75"/>
        <v>2983864</v>
      </c>
      <c r="P1561" s="89">
        <v>8807</v>
      </c>
      <c r="Q1561" t="s">
        <v>47</v>
      </c>
      <c r="R1561" s="220" t="s">
        <v>1888</v>
      </c>
      <c r="S1561" s="220" t="s">
        <v>1861</v>
      </c>
      <c r="U1561" t="s">
        <v>1972</v>
      </c>
      <c r="V1561" t="s">
        <v>2832</v>
      </c>
    </row>
    <row r="1562" spans="1:22" ht="15.75" thickBot="1" x14ac:dyDescent="0.3">
      <c r="A1562" t="s">
        <v>1935</v>
      </c>
      <c r="B1562" t="s">
        <v>1935</v>
      </c>
      <c r="C1562" t="s">
        <v>1935</v>
      </c>
      <c r="D1562" t="s">
        <v>629</v>
      </c>
      <c r="E1562" s="259" t="s">
        <v>1853</v>
      </c>
      <c r="F1562" t="s">
        <v>620</v>
      </c>
      <c r="G1562" s="89">
        <v>2001</v>
      </c>
      <c r="H1562" s="341" t="s">
        <v>735</v>
      </c>
      <c r="I1562" s="337" t="str">
        <f t="shared" si="74"/>
        <v>Pesado de Passageiros M3: III : Gasóleo : E2</v>
      </c>
      <c r="J1562" s="125">
        <v>56</v>
      </c>
      <c r="K1562" s="264">
        <v>2022</v>
      </c>
      <c r="L1562" s="85">
        <v>21895.7</v>
      </c>
      <c r="M1562" s="85" t="s">
        <v>630</v>
      </c>
      <c r="N1562" s="128">
        <v>71980</v>
      </c>
      <c r="O1562" s="128">
        <f t="shared" si="75"/>
        <v>4030880</v>
      </c>
      <c r="P1562" s="89">
        <v>8810</v>
      </c>
      <c r="Q1562" t="s">
        <v>47</v>
      </c>
      <c r="R1562" s="220" t="s">
        <v>1888</v>
      </c>
      <c r="S1562" s="220" t="s">
        <v>1861</v>
      </c>
      <c r="U1562" t="s">
        <v>1972</v>
      </c>
      <c r="V1562" t="s">
        <v>2832</v>
      </c>
    </row>
    <row r="1563" spans="1:22" ht="15.75" thickBot="1" x14ac:dyDescent="0.3">
      <c r="A1563" t="s">
        <v>1935</v>
      </c>
      <c r="B1563" t="s">
        <v>1935</v>
      </c>
      <c r="C1563" t="s">
        <v>1935</v>
      </c>
      <c r="D1563" t="s">
        <v>629</v>
      </c>
      <c r="E1563" s="259" t="s">
        <v>1853</v>
      </c>
      <c r="F1563" t="s">
        <v>620</v>
      </c>
      <c r="G1563" s="89">
        <v>2001</v>
      </c>
      <c r="H1563" s="341" t="s">
        <v>735</v>
      </c>
      <c r="I1563" s="337" t="str">
        <f t="shared" si="74"/>
        <v>Pesado de Passageiros M3: III : Gasóleo : E2</v>
      </c>
      <c r="J1563" s="125">
        <v>54</v>
      </c>
      <c r="K1563" s="264">
        <v>2022</v>
      </c>
      <c r="L1563" s="85">
        <v>16228.700000000003</v>
      </c>
      <c r="M1563" s="85" t="s">
        <v>630</v>
      </c>
      <c r="N1563" s="128">
        <v>52631</v>
      </c>
      <c r="O1563" s="128">
        <f t="shared" si="75"/>
        <v>2842074</v>
      </c>
      <c r="P1563" s="89">
        <v>8811</v>
      </c>
      <c r="Q1563" t="s">
        <v>47</v>
      </c>
      <c r="R1563" s="220" t="s">
        <v>1888</v>
      </c>
      <c r="S1563" s="220" t="s">
        <v>1861</v>
      </c>
      <c r="U1563" t="s">
        <v>1972</v>
      </c>
      <c r="V1563" t="s">
        <v>2832</v>
      </c>
    </row>
    <row r="1564" spans="1:22" ht="15.75" thickBot="1" x14ac:dyDescent="0.3">
      <c r="A1564" t="s">
        <v>1935</v>
      </c>
      <c r="B1564" t="s">
        <v>1935</v>
      </c>
      <c r="C1564" t="s">
        <v>1935</v>
      </c>
      <c r="D1564" t="s">
        <v>629</v>
      </c>
      <c r="E1564" s="259" t="s">
        <v>1853</v>
      </c>
      <c r="F1564" t="s">
        <v>620</v>
      </c>
      <c r="G1564" s="89">
        <v>2001</v>
      </c>
      <c r="H1564" s="341" t="s">
        <v>735</v>
      </c>
      <c r="I1564" s="337" t="str">
        <f t="shared" si="74"/>
        <v>Pesado de Passageiros M3: III : Gasóleo : E2</v>
      </c>
      <c r="J1564" s="125">
        <v>54</v>
      </c>
      <c r="K1564" s="264">
        <v>2022</v>
      </c>
      <c r="L1564" s="85">
        <v>11423</v>
      </c>
      <c r="M1564" s="85" t="s">
        <v>630</v>
      </c>
      <c r="N1564" s="128">
        <v>33199</v>
      </c>
      <c r="O1564" s="128">
        <f t="shared" si="75"/>
        <v>1792746</v>
      </c>
      <c r="P1564" s="89">
        <v>8814</v>
      </c>
      <c r="Q1564" t="s">
        <v>47</v>
      </c>
      <c r="R1564" s="220" t="s">
        <v>1888</v>
      </c>
      <c r="S1564" s="220" t="s">
        <v>1861</v>
      </c>
      <c r="U1564" t="s">
        <v>1972</v>
      </c>
      <c r="V1564" t="s">
        <v>2832</v>
      </c>
    </row>
    <row r="1565" spans="1:22" ht="15.75" thickBot="1" x14ac:dyDescent="0.3">
      <c r="A1565" t="s">
        <v>1935</v>
      </c>
      <c r="B1565" t="s">
        <v>1935</v>
      </c>
      <c r="C1565" t="s">
        <v>1935</v>
      </c>
      <c r="D1565" t="s">
        <v>629</v>
      </c>
      <c r="E1565" s="259" t="s">
        <v>1853</v>
      </c>
      <c r="F1565" t="s">
        <v>620</v>
      </c>
      <c r="G1565" s="89">
        <v>1997</v>
      </c>
      <c r="H1565" s="341" t="s">
        <v>735</v>
      </c>
      <c r="I1565" s="337" t="str">
        <f t="shared" si="74"/>
        <v>Pesado de Passageiros M3: III : Gasóleo : E2</v>
      </c>
      <c r="J1565" s="125">
        <v>52</v>
      </c>
      <c r="K1565" s="264">
        <v>2022</v>
      </c>
      <c r="L1565" s="85">
        <v>0</v>
      </c>
      <c r="M1565" s="85" t="s">
        <v>630</v>
      </c>
      <c r="N1565" s="128">
        <v>0</v>
      </c>
      <c r="O1565" s="128">
        <f t="shared" si="75"/>
        <v>0</v>
      </c>
      <c r="P1565" s="89">
        <v>8815</v>
      </c>
      <c r="Q1565" t="s">
        <v>47</v>
      </c>
      <c r="R1565" s="220" t="s">
        <v>1888</v>
      </c>
      <c r="S1565" s="220" t="s">
        <v>1861</v>
      </c>
      <c r="U1565" t="s">
        <v>1972</v>
      </c>
      <c r="V1565" t="s">
        <v>2832</v>
      </c>
    </row>
    <row r="1566" spans="1:22" ht="15.75" thickBot="1" x14ac:dyDescent="0.3">
      <c r="A1566" t="s">
        <v>1935</v>
      </c>
      <c r="B1566" t="s">
        <v>1935</v>
      </c>
      <c r="C1566" t="s">
        <v>1935</v>
      </c>
      <c r="D1566" t="s">
        <v>629</v>
      </c>
      <c r="E1566" s="259" t="s">
        <v>1853</v>
      </c>
      <c r="F1566" t="s">
        <v>620</v>
      </c>
      <c r="G1566" s="89">
        <v>2009</v>
      </c>
      <c r="H1566" s="341" t="s">
        <v>731</v>
      </c>
      <c r="I1566" s="337" t="str">
        <f t="shared" si="74"/>
        <v>Pesado de Passageiros M3: III : Gasóleo : E4</v>
      </c>
      <c r="J1566" s="125">
        <v>56</v>
      </c>
      <c r="K1566" s="264">
        <v>2022</v>
      </c>
      <c r="L1566" s="85">
        <v>14332.4</v>
      </c>
      <c r="M1566" s="85" t="s">
        <v>630</v>
      </c>
      <c r="N1566" s="128">
        <v>45626</v>
      </c>
      <c r="O1566" s="128">
        <f t="shared" si="75"/>
        <v>2555056</v>
      </c>
      <c r="P1566" s="89">
        <v>8819</v>
      </c>
      <c r="Q1566" t="s">
        <v>47</v>
      </c>
      <c r="R1566" s="220" t="s">
        <v>1888</v>
      </c>
      <c r="S1566" s="220" t="s">
        <v>1861</v>
      </c>
      <c r="U1566" t="s">
        <v>1972</v>
      </c>
      <c r="V1566" t="s">
        <v>2832</v>
      </c>
    </row>
    <row r="1567" spans="1:22" ht="15.75" thickBot="1" x14ac:dyDescent="0.3">
      <c r="A1567" t="s">
        <v>1935</v>
      </c>
      <c r="B1567" t="s">
        <v>1935</v>
      </c>
      <c r="C1567" t="s">
        <v>1935</v>
      </c>
      <c r="D1567" t="s">
        <v>629</v>
      </c>
      <c r="E1567" s="259" t="s">
        <v>1853</v>
      </c>
      <c r="F1567" t="s">
        <v>620</v>
      </c>
      <c r="G1567" s="89">
        <v>2009</v>
      </c>
      <c r="H1567" s="341" t="s">
        <v>731</v>
      </c>
      <c r="I1567" s="337" t="str">
        <f t="shared" si="74"/>
        <v>Pesado de Passageiros M3: III : Gasóleo : E4</v>
      </c>
      <c r="J1567" s="125">
        <v>56</v>
      </c>
      <c r="K1567" s="264">
        <v>2022</v>
      </c>
      <c r="L1567" s="85">
        <v>23179.199999999997</v>
      </c>
      <c r="M1567" s="85" t="s">
        <v>630</v>
      </c>
      <c r="N1567" s="128">
        <v>78343</v>
      </c>
      <c r="O1567" s="128">
        <f t="shared" si="75"/>
        <v>4387208</v>
      </c>
      <c r="P1567" s="89">
        <v>8820</v>
      </c>
      <c r="Q1567" t="s">
        <v>47</v>
      </c>
      <c r="R1567" s="220" t="s">
        <v>1888</v>
      </c>
      <c r="S1567" s="220" t="s">
        <v>1861</v>
      </c>
      <c r="U1567" t="s">
        <v>1972</v>
      </c>
      <c r="V1567" t="s">
        <v>2832</v>
      </c>
    </row>
    <row r="1568" spans="1:22" ht="15.75" thickBot="1" x14ac:dyDescent="0.3">
      <c r="A1568" t="s">
        <v>1935</v>
      </c>
      <c r="B1568" t="s">
        <v>1935</v>
      </c>
      <c r="C1568" t="s">
        <v>1935</v>
      </c>
      <c r="D1568" t="s">
        <v>629</v>
      </c>
      <c r="E1568" s="259" t="s">
        <v>1853</v>
      </c>
      <c r="F1568" t="s">
        <v>620</v>
      </c>
      <c r="G1568" s="89">
        <v>2009</v>
      </c>
      <c r="H1568" s="341" t="s">
        <v>731</v>
      </c>
      <c r="I1568" s="337" t="str">
        <f t="shared" si="74"/>
        <v>Pesado de Passageiros M3: III : Gasóleo : E4</v>
      </c>
      <c r="J1568" s="125">
        <v>56</v>
      </c>
      <c r="K1568" s="264">
        <v>2022</v>
      </c>
      <c r="L1568" s="85">
        <v>17218.099999999999</v>
      </c>
      <c r="M1568" s="85" t="s">
        <v>630</v>
      </c>
      <c r="N1568" s="128">
        <v>50110</v>
      </c>
      <c r="O1568" s="128">
        <f t="shared" si="75"/>
        <v>2806160</v>
      </c>
      <c r="P1568" s="89">
        <v>8821</v>
      </c>
      <c r="Q1568" t="s">
        <v>47</v>
      </c>
      <c r="R1568" s="220" t="s">
        <v>1888</v>
      </c>
      <c r="S1568" s="220" t="s">
        <v>1861</v>
      </c>
      <c r="U1568" t="s">
        <v>1972</v>
      </c>
      <c r="V1568" t="s">
        <v>2832</v>
      </c>
    </row>
    <row r="1569" spans="1:22" ht="15.75" thickBot="1" x14ac:dyDescent="0.3">
      <c r="A1569" t="s">
        <v>1935</v>
      </c>
      <c r="B1569" t="s">
        <v>1935</v>
      </c>
      <c r="C1569" t="s">
        <v>1935</v>
      </c>
      <c r="D1569" t="s">
        <v>629</v>
      </c>
      <c r="E1569" s="259" t="s">
        <v>1853</v>
      </c>
      <c r="F1569" t="s">
        <v>620</v>
      </c>
      <c r="G1569" s="89">
        <v>2009</v>
      </c>
      <c r="H1569" s="341" t="s">
        <v>731</v>
      </c>
      <c r="I1569" s="337" t="str">
        <f t="shared" si="74"/>
        <v>Pesado de Passageiros M3: III : Gasóleo : E4</v>
      </c>
      <c r="J1569" s="125">
        <v>57</v>
      </c>
      <c r="K1569" s="264">
        <v>2022</v>
      </c>
      <c r="L1569" s="85">
        <v>19527.2</v>
      </c>
      <c r="M1569" s="85" t="s">
        <v>630</v>
      </c>
      <c r="N1569" s="128">
        <v>60180</v>
      </c>
      <c r="O1569" s="128">
        <f t="shared" si="75"/>
        <v>3430260</v>
      </c>
      <c r="P1569" s="89">
        <v>8822</v>
      </c>
      <c r="Q1569" t="s">
        <v>47</v>
      </c>
      <c r="R1569" s="220" t="s">
        <v>1888</v>
      </c>
      <c r="S1569" s="220" t="s">
        <v>1861</v>
      </c>
      <c r="U1569" t="s">
        <v>1972</v>
      </c>
      <c r="V1569" t="s">
        <v>2832</v>
      </c>
    </row>
    <row r="1570" spans="1:22" ht="15.75" thickBot="1" x14ac:dyDescent="0.3">
      <c r="A1570" t="s">
        <v>1935</v>
      </c>
      <c r="B1570" t="s">
        <v>1935</v>
      </c>
      <c r="C1570" t="s">
        <v>1935</v>
      </c>
      <c r="D1570" t="s">
        <v>629</v>
      </c>
      <c r="E1570" s="259" t="s">
        <v>1853</v>
      </c>
      <c r="F1570" t="s">
        <v>620</v>
      </c>
      <c r="G1570" s="89">
        <v>2009</v>
      </c>
      <c r="H1570" s="341" t="s">
        <v>731</v>
      </c>
      <c r="I1570" s="337" t="str">
        <f t="shared" si="74"/>
        <v>Pesado de Passageiros M3: III : Gasóleo : E4</v>
      </c>
      <c r="J1570" s="125">
        <v>57</v>
      </c>
      <c r="K1570" s="264">
        <v>2022</v>
      </c>
      <c r="L1570" s="85">
        <v>29339.599999999999</v>
      </c>
      <c r="M1570" s="85" t="s">
        <v>630</v>
      </c>
      <c r="N1570" s="128">
        <v>94302</v>
      </c>
      <c r="O1570" s="128">
        <f t="shared" si="75"/>
        <v>5375214</v>
      </c>
      <c r="P1570" s="89">
        <v>8823</v>
      </c>
      <c r="Q1570" t="s">
        <v>47</v>
      </c>
      <c r="R1570" s="220" t="s">
        <v>1888</v>
      </c>
      <c r="S1570" s="220" t="s">
        <v>1861</v>
      </c>
      <c r="U1570" t="s">
        <v>1972</v>
      </c>
      <c r="V1570" t="s">
        <v>2832</v>
      </c>
    </row>
    <row r="1571" spans="1:22" ht="15.75" thickBot="1" x14ac:dyDescent="0.3">
      <c r="A1571" t="s">
        <v>1935</v>
      </c>
      <c r="B1571" t="s">
        <v>1935</v>
      </c>
      <c r="C1571" t="s">
        <v>1935</v>
      </c>
      <c r="D1571" t="s">
        <v>629</v>
      </c>
      <c r="E1571" s="259" t="s">
        <v>1853</v>
      </c>
      <c r="F1571" t="s">
        <v>620</v>
      </c>
      <c r="G1571" s="89">
        <v>1997</v>
      </c>
      <c r="H1571" s="341" t="s">
        <v>735</v>
      </c>
      <c r="I1571" s="337" t="str">
        <f t="shared" si="74"/>
        <v>Pesado de Passageiros M3: III : Gasóleo : E2</v>
      </c>
      <c r="J1571" s="125">
        <v>52</v>
      </c>
      <c r="K1571" s="264">
        <v>2022</v>
      </c>
      <c r="L1571" s="85">
        <v>0</v>
      </c>
      <c r="M1571" s="85" t="s">
        <v>630</v>
      </c>
      <c r="N1571" s="128">
        <v>0</v>
      </c>
      <c r="O1571" s="128">
        <f t="shared" si="75"/>
        <v>0</v>
      </c>
      <c r="P1571" s="89">
        <v>8824</v>
      </c>
      <c r="Q1571" t="s">
        <v>47</v>
      </c>
      <c r="R1571" s="220" t="s">
        <v>1888</v>
      </c>
      <c r="S1571" s="220" t="s">
        <v>1861</v>
      </c>
      <c r="U1571" t="s">
        <v>1972</v>
      </c>
      <c r="V1571" t="s">
        <v>2832</v>
      </c>
    </row>
    <row r="1572" spans="1:22" ht="15.75" thickBot="1" x14ac:dyDescent="0.3">
      <c r="A1572" t="s">
        <v>1935</v>
      </c>
      <c r="B1572" t="s">
        <v>1935</v>
      </c>
      <c r="C1572" t="s">
        <v>1935</v>
      </c>
      <c r="D1572" t="s">
        <v>629</v>
      </c>
      <c r="E1572" s="259" t="s">
        <v>1853</v>
      </c>
      <c r="F1572" t="s">
        <v>620</v>
      </c>
      <c r="G1572" s="89">
        <v>2004</v>
      </c>
      <c r="H1572" s="341" t="s">
        <v>732</v>
      </c>
      <c r="I1572" s="337" t="str">
        <f t="shared" si="74"/>
        <v>Pesado de Passageiros M3: III : Gasóleo : E3</v>
      </c>
      <c r="J1572" s="125">
        <v>52</v>
      </c>
      <c r="K1572" s="264">
        <v>2022</v>
      </c>
      <c r="L1572" s="85">
        <v>23662</v>
      </c>
      <c r="M1572" s="85" t="s">
        <v>630</v>
      </c>
      <c r="N1572" s="128">
        <v>72276</v>
      </c>
      <c r="O1572" s="128">
        <f t="shared" si="75"/>
        <v>3758352</v>
      </c>
      <c r="P1572" s="89">
        <v>8826</v>
      </c>
      <c r="Q1572" t="s">
        <v>47</v>
      </c>
      <c r="R1572" s="220" t="s">
        <v>1888</v>
      </c>
      <c r="S1572" s="220" t="s">
        <v>1861</v>
      </c>
      <c r="U1572" t="s">
        <v>1972</v>
      </c>
      <c r="V1572" t="s">
        <v>2832</v>
      </c>
    </row>
    <row r="1573" spans="1:22" ht="15.75" thickBot="1" x14ac:dyDescent="0.3">
      <c r="A1573" t="s">
        <v>1935</v>
      </c>
      <c r="B1573" t="s">
        <v>1935</v>
      </c>
      <c r="C1573" t="s">
        <v>1935</v>
      </c>
      <c r="D1573" t="s">
        <v>629</v>
      </c>
      <c r="E1573" s="259" t="s">
        <v>1853</v>
      </c>
      <c r="F1573" t="s">
        <v>620</v>
      </c>
      <c r="G1573" s="89">
        <v>2017</v>
      </c>
      <c r="H1573" s="341" t="s">
        <v>733</v>
      </c>
      <c r="I1573" s="337" t="str">
        <f t="shared" si="74"/>
        <v>Pesado de Passageiros M3: III : Gasóleo : E6</v>
      </c>
      <c r="J1573" s="125">
        <v>54</v>
      </c>
      <c r="K1573" s="264">
        <v>2022</v>
      </c>
      <c r="L1573" s="85">
        <v>40753.9</v>
      </c>
      <c r="M1573" s="85" t="s">
        <v>630</v>
      </c>
      <c r="N1573" s="128">
        <v>152217</v>
      </c>
      <c r="O1573" s="128">
        <f t="shared" si="75"/>
        <v>8219718</v>
      </c>
      <c r="P1573" s="89">
        <v>8827</v>
      </c>
      <c r="Q1573" t="s">
        <v>47</v>
      </c>
      <c r="R1573" s="220" t="s">
        <v>1888</v>
      </c>
      <c r="S1573" s="220" t="s">
        <v>1861</v>
      </c>
      <c r="U1573" t="s">
        <v>1972</v>
      </c>
      <c r="V1573" t="s">
        <v>2832</v>
      </c>
    </row>
    <row r="1574" spans="1:22" ht="15.75" thickBot="1" x14ac:dyDescent="0.3">
      <c r="A1574" t="s">
        <v>1935</v>
      </c>
      <c r="B1574" t="s">
        <v>1935</v>
      </c>
      <c r="C1574" t="s">
        <v>1935</v>
      </c>
      <c r="D1574" t="s">
        <v>629</v>
      </c>
      <c r="E1574" s="259" t="s">
        <v>1853</v>
      </c>
      <c r="F1574" t="s">
        <v>620</v>
      </c>
      <c r="G1574" s="89">
        <v>2017</v>
      </c>
      <c r="H1574" s="341" t="s">
        <v>733</v>
      </c>
      <c r="I1574" s="337" t="str">
        <f t="shared" si="74"/>
        <v>Pesado de Passageiros M3: III : Gasóleo : E6</v>
      </c>
      <c r="J1574" s="125">
        <v>54</v>
      </c>
      <c r="K1574" s="264">
        <v>2022</v>
      </c>
      <c r="L1574" s="85">
        <v>47290.8</v>
      </c>
      <c r="M1574" s="85" t="s">
        <v>630</v>
      </c>
      <c r="N1574" s="128">
        <v>174455</v>
      </c>
      <c r="O1574" s="128">
        <f t="shared" si="75"/>
        <v>9420570</v>
      </c>
      <c r="P1574" s="89">
        <v>8828</v>
      </c>
      <c r="Q1574" t="s">
        <v>47</v>
      </c>
      <c r="R1574" s="220" t="s">
        <v>1888</v>
      </c>
      <c r="S1574" s="220" t="s">
        <v>1861</v>
      </c>
      <c r="U1574" t="s">
        <v>1972</v>
      </c>
      <c r="V1574" t="s">
        <v>2832</v>
      </c>
    </row>
    <row r="1575" spans="1:22" ht="15.75" thickBot="1" x14ac:dyDescent="0.3">
      <c r="A1575" t="s">
        <v>1935</v>
      </c>
      <c r="B1575" t="s">
        <v>1935</v>
      </c>
      <c r="C1575" t="s">
        <v>1935</v>
      </c>
      <c r="D1575" t="s">
        <v>629</v>
      </c>
      <c r="E1575" s="259" t="s">
        <v>1853</v>
      </c>
      <c r="F1575" t="s">
        <v>620</v>
      </c>
      <c r="G1575" s="89">
        <v>2017</v>
      </c>
      <c r="H1575" s="341" t="s">
        <v>733</v>
      </c>
      <c r="I1575" s="337" t="str">
        <f t="shared" si="74"/>
        <v>Pesado de Passageiros M3: III : Gasóleo : E6</v>
      </c>
      <c r="J1575" s="125">
        <v>54</v>
      </c>
      <c r="K1575" s="264">
        <v>2022</v>
      </c>
      <c r="L1575" s="85">
        <v>51377.200000000012</v>
      </c>
      <c r="M1575" s="85" t="s">
        <v>630</v>
      </c>
      <c r="N1575" s="128">
        <v>190818</v>
      </c>
      <c r="O1575" s="128">
        <f t="shared" si="75"/>
        <v>10304172</v>
      </c>
      <c r="P1575" s="89">
        <v>8829</v>
      </c>
      <c r="Q1575" t="s">
        <v>47</v>
      </c>
      <c r="R1575" s="220" t="s">
        <v>1888</v>
      </c>
      <c r="S1575" s="220" t="s">
        <v>1861</v>
      </c>
      <c r="U1575" t="s">
        <v>1972</v>
      </c>
      <c r="V1575" t="s">
        <v>2832</v>
      </c>
    </row>
    <row r="1576" spans="1:22" ht="15.75" thickBot="1" x14ac:dyDescent="0.3">
      <c r="A1576" t="s">
        <v>1935</v>
      </c>
      <c r="B1576" t="s">
        <v>1935</v>
      </c>
      <c r="C1576" t="s">
        <v>1935</v>
      </c>
      <c r="D1576" t="s">
        <v>629</v>
      </c>
      <c r="E1576" s="259" t="s">
        <v>1853</v>
      </c>
      <c r="F1576" t="s">
        <v>620</v>
      </c>
      <c r="G1576" s="89">
        <v>2017</v>
      </c>
      <c r="H1576" s="341" t="s">
        <v>733</v>
      </c>
      <c r="I1576" s="337" t="str">
        <f t="shared" si="74"/>
        <v>Pesado de Passageiros M3: III : Gasóleo : E6</v>
      </c>
      <c r="J1576" s="125">
        <v>54</v>
      </c>
      <c r="K1576" s="264">
        <v>2022</v>
      </c>
      <c r="L1576" s="85">
        <v>44689.2</v>
      </c>
      <c r="M1576" s="85" t="s">
        <v>630</v>
      </c>
      <c r="N1576" s="128">
        <v>161284</v>
      </c>
      <c r="O1576" s="128">
        <f t="shared" si="75"/>
        <v>8709336</v>
      </c>
      <c r="P1576" s="89">
        <v>8830</v>
      </c>
      <c r="Q1576" t="s">
        <v>47</v>
      </c>
      <c r="R1576" s="220" t="s">
        <v>1888</v>
      </c>
      <c r="S1576" s="220" t="s">
        <v>1861</v>
      </c>
      <c r="U1576" t="s">
        <v>1972</v>
      </c>
      <c r="V1576" t="s">
        <v>2832</v>
      </c>
    </row>
    <row r="1577" spans="1:22" ht="15.75" thickBot="1" x14ac:dyDescent="0.3">
      <c r="A1577" t="s">
        <v>1935</v>
      </c>
      <c r="B1577" t="s">
        <v>1935</v>
      </c>
      <c r="C1577" t="s">
        <v>1935</v>
      </c>
      <c r="D1577" t="s">
        <v>629</v>
      </c>
      <c r="E1577" s="259" t="s">
        <v>1853</v>
      </c>
      <c r="F1577" t="s">
        <v>620</v>
      </c>
      <c r="G1577" s="89">
        <v>2017</v>
      </c>
      <c r="H1577" s="341" t="s">
        <v>733</v>
      </c>
      <c r="I1577" s="337" t="str">
        <f t="shared" si="74"/>
        <v>Pesado de Passageiros M3: III : Gasóleo : E6</v>
      </c>
      <c r="J1577" s="125">
        <v>54</v>
      </c>
      <c r="K1577" s="264">
        <v>2022</v>
      </c>
      <c r="L1577" s="85">
        <v>38605.599999999999</v>
      </c>
      <c r="M1577" s="85" t="s">
        <v>630</v>
      </c>
      <c r="N1577" s="128">
        <v>144807</v>
      </c>
      <c r="O1577" s="128">
        <f t="shared" si="75"/>
        <v>7819578</v>
      </c>
      <c r="P1577" s="89">
        <v>8831</v>
      </c>
      <c r="Q1577" t="s">
        <v>47</v>
      </c>
      <c r="R1577" s="220" t="s">
        <v>1888</v>
      </c>
      <c r="S1577" s="220" t="s">
        <v>1861</v>
      </c>
      <c r="U1577" t="s">
        <v>1972</v>
      </c>
      <c r="V1577" t="s">
        <v>2832</v>
      </c>
    </row>
    <row r="1578" spans="1:22" ht="15.75" thickBot="1" x14ac:dyDescent="0.3">
      <c r="A1578" t="s">
        <v>2967</v>
      </c>
      <c r="B1578" t="s">
        <v>2967</v>
      </c>
      <c r="C1578" t="s">
        <v>2967</v>
      </c>
      <c r="D1578" t="s">
        <v>629</v>
      </c>
      <c r="E1578" s="259" t="s">
        <v>1970</v>
      </c>
      <c r="F1578" t="s">
        <v>620</v>
      </c>
      <c r="G1578" s="89">
        <v>2010</v>
      </c>
      <c r="H1578" s="341" t="s">
        <v>734</v>
      </c>
      <c r="I1578" s="337" t="str">
        <f t="shared" si="74"/>
        <v>Pesado de Passageiros M3: I : Gasóleo : E5</v>
      </c>
      <c r="J1578" s="125">
        <v>29</v>
      </c>
      <c r="K1578" s="264">
        <v>2022</v>
      </c>
      <c r="L1578" s="85">
        <v>7967.3</v>
      </c>
      <c r="M1578" s="85" t="s">
        <v>630</v>
      </c>
      <c r="N1578" s="128">
        <v>34634</v>
      </c>
      <c r="O1578" s="128">
        <f t="shared" si="75"/>
        <v>1004386</v>
      </c>
      <c r="P1578" s="89">
        <v>1001</v>
      </c>
      <c r="Q1578" t="s">
        <v>47</v>
      </c>
      <c r="R1578" s="220" t="s">
        <v>1888</v>
      </c>
      <c r="S1578" s="220" t="s">
        <v>1861</v>
      </c>
      <c r="U1578" t="s">
        <v>1972</v>
      </c>
      <c r="V1578" t="s">
        <v>2832</v>
      </c>
    </row>
    <row r="1579" spans="1:22" ht="15.75" thickBot="1" x14ac:dyDescent="0.3">
      <c r="A1579" t="s">
        <v>2967</v>
      </c>
      <c r="B1579" t="s">
        <v>2967</v>
      </c>
      <c r="C1579" t="s">
        <v>2967</v>
      </c>
      <c r="D1579" t="s">
        <v>629</v>
      </c>
      <c r="E1579" s="259" t="s">
        <v>1970</v>
      </c>
      <c r="F1579" t="s">
        <v>620</v>
      </c>
      <c r="G1579" s="89">
        <v>2010</v>
      </c>
      <c r="H1579" s="341" t="s">
        <v>734</v>
      </c>
      <c r="I1579" s="337" t="str">
        <f t="shared" si="74"/>
        <v>Pesado de Passageiros M3: I : Gasóleo : E5</v>
      </c>
      <c r="J1579" s="125">
        <v>29</v>
      </c>
      <c r="K1579" s="264">
        <v>2022</v>
      </c>
      <c r="L1579" s="85">
        <v>6358.2</v>
      </c>
      <c r="M1579" s="85" t="s">
        <v>630</v>
      </c>
      <c r="N1579" s="128">
        <v>27639</v>
      </c>
      <c r="O1579" s="128">
        <f t="shared" si="75"/>
        <v>801531</v>
      </c>
      <c r="P1579" s="89">
        <v>1002</v>
      </c>
      <c r="Q1579" t="s">
        <v>47</v>
      </c>
      <c r="R1579" s="220" t="s">
        <v>1888</v>
      </c>
      <c r="S1579" s="220" t="s">
        <v>1861</v>
      </c>
      <c r="U1579" t="s">
        <v>1972</v>
      </c>
      <c r="V1579" t="s">
        <v>2832</v>
      </c>
    </row>
    <row r="1580" spans="1:22" ht="15.75" thickBot="1" x14ac:dyDescent="0.3">
      <c r="A1580" t="s">
        <v>2967</v>
      </c>
      <c r="B1580" t="s">
        <v>2967</v>
      </c>
      <c r="C1580" t="s">
        <v>2967</v>
      </c>
      <c r="D1580" t="s">
        <v>629</v>
      </c>
      <c r="E1580" s="259" t="s">
        <v>1970</v>
      </c>
      <c r="F1580" t="s">
        <v>620</v>
      </c>
      <c r="G1580" s="89">
        <v>2010</v>
      </c>
      <c r="H1580" s="341" t="s">
        <v>734</v>
      </c>
      <c r="I1580" s="337" t="str">
        <f t="shared" si="74"/>
        <v>Pesado de Passageiros M3: I : Gasóleo : E5</v>
      </c>
      <c r="J1580" s="125">
        <v>29</v>
      </c>
      <c r="K1580" s="264">
        <v>2022</v>
      </c>
      <c r="L1580" s="85">
        <v>5250.6</v>
      </c>
      <c r="M1580" s="85" t="s">
        <v>630</v>
      </c>
      <c r="N1580" s="128">
        <v>22822</v>
      </c>
      <c r="O1580" s="128">
        <f t="shared" si="75"/>
        <v>661838</v>
      </c>
      <c r="P1580" s="89">
        <v>1003</v>
      </c>
      <c r="Q1580" t="s">
        <v>47</v>
      </c>
      <c r="R1580" s="220" t="s">
        <v>1888</v>
      </c>
      <c r="S1580" s="220" t="s">
        <v>1861</v>
      </c>
      <c r="U1580" t="s">
        <v>1972</v>
      </c>
      <c r="V1580" t="s">
        <v>2832</v>
      </c>
    </row>
    <row r="1581" spans="1:22" ht="15.75" thickBot="1" x14ac:dyDescent="0.3">
      <c r="A1581" t="s">
        <v>2967</v>
      </c>
      <c r="B1581" t="s">
        <v>2967</v>
      </c>
      <c r="C1581" t="s">
        <v>2967</v>
      </c>
      <c r="D1581" t="s">
        <v>629</v>
      </c>
      <c r="E1581" s="259" t="s">
        <v>1970</v>
      </c>
      <c r="F1581" t="s">
        <v>620</v>
      </c>
      <c r="G1581" s="89">
        <v>2010</v>
      </c>
      <c r="H1581" s="341" t="s">
        <v>734</v>
      </c>
      <c r="I1581" s="337" t="str">
        <f t="shared" si="74"/>
        <v>Pesado de Passageiros M3: I : Gasóleo : E5</v>
      </c>
      <c r="J1581" s="125">
        <v>29</v>
      </c>
      <c r="K1581" s="264">
        <v>2022</v>
      </c>
      <c r="L1581" s="85">
        <v>8594.7000000000007</v>
      </c>
      <c r="M1581" s="85" t="s">
        <v>630</v>
      </c>
      <c r="N1581" s="128">
        <v>37364</v>
      </c>
      <c r="O1581" s="128">
        <f t="shared" si="75"/>
        <v>1083556</v>
      </c>
      <c r="P1581" s="89">
        <v>1004</v>
      </c>
      <c r="Q1581" t="s">
        <v>47</v>
      </c>
      <c r="R1581" s="220" t="s">
        <v>1888</v>
      </c>
      <c r="S1581" s="220" t="s">
        <v>1861</v>
      </c>
      <c r="U1581" t="s">
        <v>1972</v>
      </c>
      <c r="V1581" t="s">
        <v>2832</v>
      </c>
    </row>
    <row r="1582" spans="1:22" ht="15.75" thickBot="1" x14ac:dyDescent="0.3">
      <c r="A1582" t="s">
        <v>2967</v>
      </c>
      <c r="B1582" t="s">
        <v>2967</v>
      </c>
      <c r="C1582" t="s">
        <v>2967</v>
      </c>
      <c r="D1582" t="s">
        <v>629</v>
      </c>
      <c r="E1582" s="259" t="s">
        <v>1970</v>
      </c>
      <c r="F1582" t="s">
        <v>620</v>
      </c>
      <c r="G1582" s="89">
        <v>2010</v>
      </c>
      <c r="H1582" s="341" t="s">
        <v>734</v>
      </c>
      <c r="I1582" s="337" t="str">
        <f t="shared" si="74"/>
        <v>Pesado de Passageiros M3: I : Gasóleo : E5</v>
      </c>
      <c r="J1582" s="125">
        <v>29</v>
      </c>
      <c r="K1582" s="264">
        <v>2022</v>
      </c>
      <c r="L1582" s="85">
        <v>9543.7000000000007</v>
      </c>
      <c r="M1582" s="85" t="s">
        <v>630</v>
      </c>
      <c r="N1582" s="128">
        <v>41488</v>
      </c>
      <c r="O1582" s="128">
        <f t="shared" si="75"/>
        <v>1203152</v>
      </c>
      <c r="P1582" s="89">
        <v>1005</v>
      </c>
      <c r="Q1582" t="s">
        <v>47</v>
      </c>
      <c r="R1582" s="220" t="s">
        <v>1888</v>
      </c>
      <c r="S1582" s="220" t="s">
        <v>1861</v>
      </c>
      <c r="U1582" t="s">
        <v>1972</v>
      </c>
      <c r="V1582" t="s">
        <v>2832</v>
      </c>
    </row>
    <row r="1583" spans="1:22" ht="15.75" thickBot="1" x14ac:dyDescent="0.3">
      <c r="A1583" t="s">
        <v>2967</v>
      </c>
      <c r="B1583" t="s">
        <v>2967</v>
      </c>
      <c r="C1583" t="s">
        <v>2967</v>
      </c>
      <c r="D1583" t="s">
        <v>629</v>
      </c>
      <c r="E1583" s="259" t="s">
        <v>1970</v>
      </c>
      <c r="F1583" t="s">
        <v>620</v>
      </c>
      <c r="G1583" s="89">
        <v>2010</v>
      </c>
      <c r="H1583" s="341" t="s">
        <v>734</v>
      </c>
      <c r="I1583" s="337" t="str">
        <f t="shared" si="74"/>
        <v>Pesado de Passageiros M3: I : Gasóleo : E5</v>
      </c>
      <c r="J1583" s="125">
        <v>29</v>
      </c>
      <c r="K1583" s="264">
        <v>2022</v>
      </c>
      <c r="L1583" s="85">
        <v>6840.4</v>
      </c>
      <c r="M1583" s="85" t="s">
        <v>630</v>
      </c>
      <c r="N1583" s="128">
        <v>29736</v>
      </c>
      <c r="O1583" s="128">
        <f t="shared" si="75"/>
        <v>862344</v>
      </c>
      <c r="P1583" s="89">
        <v>1006</v>
      </c>
      <c r="Q1583" t="s">
        <v>47</v>
      </c>
      <c r="R1583" s="220" t="s">
        <v>1888</v>
      </c>
      <c r="S1583" s="220" t="s">
        <v>1861</v>
      </c>
      <c r="U1583" t="s">
        <v>1972</v>
      </c>
      <c r="V1583" t="s">
        <v>2832</v>
      </c>
    </row>
    <row r="1584" spans="1:22" ht="15.75" thickBot="1" x14ac:dyDescent="0.3">
      <c r="A1584" t="s">
        <v>2967</v>
      </c>
      <c r="B1584" t="s">
        <v>2967</v>
      </c>
      <c r="C1584" t="s">
        <v>2967</v>
      </c>
      <c r="D1584" t="s">
        <v>629</v>
      </c>
      <c r="E1584" s="259" t="s">
        <v>1970</v>
      </c>
      <c r="F1584" t="s">
        <v>620</v>
      </c>
      <c r="G1584" s="89">
        <v>2010</v>
      </c>
      <c r="H1584" s="341" t="s">
        <v>734</v>
      </c>
      <c r="I1584" s="337" t="str">
        <f t="shared" si="74"/>
        <v>Pesado de Passageiros M3: I : Gasóleo : E5</v>
      </c>
      <c r="J1584" s="125">
        <v>29</v>
      </c>
      <c r="K1584" s="264">
        <v>2022</v>
      </c>
      <c r="L1584" s="85">
        <v>7053.4</v>
      </c>
      <c r="M1584" s="85" t="s">
        <v>630</v>
      </c>
      <c r="N1584" s="128">
        <v>30561</v>
      </c>
      <c r="O1584" s="128">
        <f t="shared" si="75"/>
        <v>886269</v>
      </c>
      <c r="P1584" s="89">
        <v>1007</v>
      </c>
      <c r="Q1584" t="s">
        <v>47</v>
      </c>
      <c r="R1584" s="220" t="s">
        <v>1888</v>
      </c>
      <c r="S1584" s="220" t="s">
        <v>1861</v>
      </c>
      <c r="U1584" t="s">
        <v>1972</v>
      </c>
      <c r="V1584" t="s">
        <v>2832</v>
      </c>
    </row>
    <row r="1585" spans="1:22" ht="15.75" thickBot="1" x14ac:dyDescent="0.3">
      <c r="A1585" t="s">
        <v>2967</v>
      </c>
      <c r="B1585" t="s">
        <v>2967</v>
      </c>
      <c r="C1585" t="s">
        <v>2967</v>
      </c>
      <c r="D1585" t="s">
        <v>629</v>
      </c>
      <c r="E1585" s="259" t="s">
        <v>1970</v>
      </c>
      <c r="F1585" t="s">
        <v>620</v>
      </c>
      <c r="G1585" s="89">
        <v>2010</v>
      </c>
      <c r="H1585" s="341" t="s">
        <v>734</v>
      </c>
      <c r="I1585" s="337" t="str">
        <f t="shared" si="74"/>
        <v>Pesado de Passageiros M3: I : Gasóleo : E5</v>
      </c>
      <c r="J1585" s="125">
        <v>29</v>
      </c>
      <c r="K1585" s="264">
        <v>2022</v>
      </c>
      <c r="L1585" s="85">
        <v>3752.3</v>
      </c>
      <c r="M1585" s="85" t="s">
        <v>630</v>
      </c>
      <c r="N1585" s="128">
        <v>16312</v>
      </c>
      <c r="O1585" s="128">
        <f t="shared" si="75"/>
        <v>473048</v>
      </c>
      <c r="P1585" s="89">
        <v>1008</v>
      </c>
      <c r="Q1585" t="s">
        <v>47</v>
      </c>
      <c r="R1585" s="220" t="s">
        <v>1888</v>
      </c>
      <c r="S1585" s="220" t="s">
        <v>1861</v>
      </c>
      <c r="U1585" t="s">
        <v>1972</v>
      </c>
      <c r="V1585" t="s">
        <v>2832</v>
      </c>
    </row>
    <row r="1586" spans="1:22" ht="15.75" thickBot="1" x14ac:dyDescent="0.3">
      <c r="A1586" t="s">
        <v>2967</v>
      </c>
      <c r="B1586" t="s">
        <v>2967</v>
      </c>
      <c r="C1586" t="s">
        <v>2967</v>
      </c>
      <c r="D1586" t="s">
        <v>629</v>
      </c>
      <c r="E1586" s="259" t="s">
        <v>1970</v>
      </c>
      <c r="F1586" t="s">
        <v>620</v>
      </c>
      <c r="G1586" s="89">
        <v>2010</v>
      </c>
      <c r="H1586" s="341" t="s">
        <v>734</v>
      </c>
      <c r="I1586" s="337" t="str">
        <f t="shared" si="74"/>
        <v>Pesado de Passageiros M3: I : Gasóleo : E5</v>
      </c>
      <c r="J1586" s="125">
        <v>29</v>
      </c>
      <c r="K1586" s="264">
        <v>2022</v>
      </c>
      <c r="L1586" s="85">
        <v>0</v>
      </c>
      <c r="M1586" s="85" t="s">
        <v>630</v>
      </c>
      <c r="N1586" s="128">
        <v>0</v>
      </c>
      <c r="O1586" s="128">
        <f t="shared" si="75"/>
        <v>0</v>
      </c>
      <c r="P1586" s="89">
        <v>1009</v>
      </c>
      <c r="Q1586" t="s">
        <v>47</v>
      </c>
      <c r="R1586" s="220" t="s">
        <v>1888</v>
      </c>
      <c r="S1586" s="220" t="s">
        <v>1861</v>
      </c>
      <c r="U1586" t="s">
        <v>1972</v>
      </c>
      <c r="V1586" t="s">
        <v>2832</v>
      </c>
    </row>
    <row r="1587" spans="1:22" ht="15.75" thickBot="1" x14ac:dyDescent="0.3">
      <c r="A1587" t="s">
        <v>2967</v>
      </c>
      <c r="B1587" t="s">
        <v>2967</v>
      </c>
      <c r="C1587" t="s">
        <v>2967</v>
      </c>
      <c r="D1587" t="s">
        <v>629</v>
      </c>
      <c r="E1587" s="259" t="s">
        <v>1970</v>
      </c>
      <c r="F1587" t="s">
        <v>620</v>
      </c>
      <c r="G1587" s="89">
        <v>2005</v>
      </c>
      <c r="H1587" s="341" t="s">
        <v>732</v>
      </c>
      <c r="I1587" s="337" t="str">
        <f t="shared" si="74"/>
        <v>Pesado de Passageiros M3: I : Gasóleo : E3</v>
      </c>
      <c r="J1587" s="125">
        <v>24</v>
      </c>
      <c r="K1587" s="264">
        <v>2022</v>
      </c>
      <c r="L1587" s="85">
        <v>736</v>
      </c>
      <c r="M1587" s="85" t="s">
        <v>630</v>
      </c>
      <c r="N1587" s="128">
        <v>3296</v>
      </c>
      <c r="O1587" s="128">
        <f t="shared" si="75"/>
        <v>79104</v>
      </c>
      <c r="P1587" s="89">
        <v>1015</v>
      </c>
      <c r="Q1587" t="s">
        <v>47</v>
      </c>
      <c r="R1587" s="220" t="s">
        <v>1888</v>
      </c>
      <c r="S1587" s="220" t="s">
        <v>1861</v>
      </c>
      <c r="U1587" t="s">
        <v>1972</v>
      </c>
      <c r="V1587" t="s">
        <v>2832</v>
      </c>
    </row>
    <row r="1588" spans="1:22" ht="15.75" thickBot="1" x14ac:dyDescent="0.3">
      <c r="A1588" t="s">
        <v>2967</v>
      </c>
      <c r="B1588" t="s">
        <v>2967</v>
      </c>
      <c r="C1588" t="s">
        <v>2967</v>
      </c>
      <c r="D1588" t="s">
        <v>629</v>
      </c>
      <c r="E1588" s="259" t="s">
        <v>1970</v>
      </c>
      <c r="F1588" t="s">
        <v>620</v>
      </c>
      <c r="G1588" s="89">
        <v>2005</v>
      </c>
      <c r="H1588" s="341" t="s">
        <v>732</v>
      </c>
      <c r="I1588" s="337" t="str">
        <f t="shared" si="74"/>
        <v>Pesado de Passageiros M3: I : Gasóleo : E3</v>
      </c>
      <c r="J1588" s="125">
        <v>24</v>
      </c>
      <c r="K1588" s="264">
        <v>2022</v>
      </c>
      <c r="L1588" s="85">
        <v>761</v>
      </c>
      <c r="M1588" s="85" t="s">
        <v>630</v>
      </c>
      <c r="N1588" s="128">
        <v>3307</v>
      </c>
      <c r="O1588" s="128">
        <f t="shared" si="75"/>
        <v>79368</v>
      </c>
      <c r="P1588" s="89">
        <v>1016</v>
      </c>
      <c r="Q1588" t="s">
        <v>47</v>
      </c>
      <c r="R1588" s="220" t="s">
        <v>1888</v>
      </c>
      <c r="S1588" s="220" t="s">
        <v>1861</v>
      </c>
      <c r="U1588" t="s">
        <v>1972</v>
      </c>
      <c r="V1588" t="s">
        <v>2832</v>
      </c>
    </row>
    <row r="1589" spans="1:22" ht="15.75" thickBot="1" x14ac:dyDescent="0.3">
      <c r="A1589" t="s">
        <v>2967</v>
      </c>
      <c r="B1589" t="s">
        <v>2967</v>
      </c>
      <c r="C1589" t="s">
        <v>2967</v>
      </c>
      <c r="D1589" t="s">
        <v>629</v>
      </c>
      <c r="E1589" s="259" t="s">
        <v>1970</v>
      </c>
      <c r="F1589" t="s">
        <v>620</v>
      </c>
      <c r="G1589" s="89">
        <v>2010</v>
      </c>
      <c r="H1589" s="341" t="s">
        <v>734</v>
      </c>
      <c r="I1589" s="337" t="str">
        <f t="shared" si="74"/>
        <v>Pesado de Passageiros M3: I : Gasóleo : E5</v>
      </c>
      <c r="J1589" s="125">
        <v>53</v>
      </c>
      <c r="K1589" s="264">
        <v>2022</v>
      </c>
      <c r="L1589" s="85">
        <v>18657.7</v>
      </c>
      <c r="M1589" s="85" t="s">
        <v>630</v>
      </c>
      <c r="N1589" s="128">
        <v>48029</v>
      </c>
      <c r="O1589" s="128">
        <f t="shared" si="75"/>
        <v>2545537</v>
      </c>
      <c r="P1589" s="89">
        <v>1052</v>
      </c>
      <c r="Q1589" t="s">
        <v>47</v>
      </c>
      <c r="R1589" s="220" t="s">
        <v>1888</v>
      </c>
      <c r="S1589" s="220" t="s">
        <v>1861</v>
      </c>
      <c r="U1589" t="s">
        <v>1972</v>
      </c>
      <c r="V1589" t="s">
        <v>2832</v>
      </c>
    </row>
    <row r="1590" spans="1:22" ht="15.75" thickBot="1" x14ac:dyDescent="0.3">
      <c r="A1590" t="s">
        <v>2967</v>
      </c>
      <c r="B1590" t="s">
        <v>2967</v>
      </c>
      <c r="C1590" t="s">
        <v>2967</v>
      </c>
      <c r="D1590" t="s">
        <v>629</v>
      </c>
      <c r="E1590" s="259" t="s">
        <v>1970</v>
      </c>
      <c r="F1590" t="s">
        <v>620</v>
      </c>
      <c r="G1590" s="89">
        <v>2010</v>
      </c>
      <c r="H1590" s="341" t="s">
        <v>734</v>
      </c>
      <c r="I1590" s="337" t="str">
        <f t="shared" si="74"/>
        <v>Pesado de Passageiros M3: I : Gasóleo : E5</v>
      </c>
      <c r="J1590" s="125">
        <v>53</v>
      </c>
      <c r="K1590" s="264">
        <v>2022</v>
      </c>
      <c r="L1590" s="85">
        <v>16250.7</v>
      </c>
      <c r="M1590" s="85" t="s">
        <v>630</v>
      </c>
      <c r="N1590" s="128">
        <v>45264</v>
      </c>
      <c r="O1590" s="128">
        <f t="shared" si="75"/>
        <v>2398992</v>
      </c>
      <c r="P1590" s="89">
        <v>1053</v>
      </c>
      <c r="Q1590" t="s">
        <v>47</v>
      </c>
      <c r="R1590" s="220" t="s">
        <v>1888</v>
      </c>
      <c r="S1590" s="220" t="s">
        <v>1861</v>
      </c>
      <c r="U1590" t="s">
        <v>1972</v>
      </c>
      <c r="V1590" t="s">
        <v>2832</v>
      </c>
    </row>
    <row r="1591" spans="1:22" ht="15.75" thickBot="1" x14ac:dyDescent="0.3">
      <c r="A1591" t="s">
        <v>2967</v>
      </c>
      <c r="B1591" t="s">
        <v>2967</v>
      </c>
      <c r="C1591" t="s">
        <v>2967</v>
      </c>
      <c r="D1591" t="s">
        <v>629</v>
      </c>
      <c r="E1591" s="259" t="s">
        <v>1970</v>
      </c>
      <c r="F1591" t="s">
        <v>620</v>
      </c>
      <c r="G1591" s="89">
        <v>2010</v>
      </c>
      <c r="H1591" s="341" t="s">
        <v>734</v>
      </c>
      <c r="I1591" s="337" t="str">
        <f t="shared" si="74"/>
        <v>Pesado de Passageiros M3: I : Gasóleo : E5</v>
      </c>
      <c r="J1591" s="125">
        <v>53</v>
      </c>
      <c r="K1591" s="264">
        <v>2022</v>
      </c>
      <c r="L1591" s="85">
        <v>14473.1</v>
      </c>
      <c r="M1591" s="85" t="s">
        <v>630</v>
      </c>
      <c r="N1591" s="128">
        <v>43339</v>
      </c>
      <c r="O1591" s="128">
        <f t="shared" si="75"/>
        <v>2296967</v>
      </c>
      <c r="P1591" s="89">
        <v>1054</v>
      </c>
      <c r="Q1591" t="s">
        <v>47</v>
      </c>
      <c r="R1591" s="220" t="s">
        <v>1888</v>
      </c>
      <c r="S1591" s="220" t="s">
        <v>1861</v>
      </c>
      <c r="U1591" t="s">
        <v>1972</v>
      </c>
      <c r="V1591" t="s">
        <v>2832</v>
      </c>
    </row>
    <row r="1592" spans="1:22" ht="15.75" thickBot="1" x14ac:dyDescent="0.3">
      <c r="A1592" t="s">
        <v>2967</v>
      </c>
      <c r="B1592" t="s">
        <v>2967</v>
      </c>
      <c r="C1592" t="s">
        <v>2967</v>
      </c>
      <c r="D1592" t="s">
        <v>629</v>
      </c>
      <c r="E1592" s="259" t="s">
        <v>1970</v>
      </c>
      <c r="F1592" t="s">
        <v>620</v>
      </c>
      <c r="G1592" s="89">
        <v>2010</v>
      </c>
      <c r="H1592" s="341" t="s">
        <v>734</v>
      </c>
      <c r="I1592" s="337" t="str">
        <f t="shared" si="74"/>
        <v>Pesado de Passageiros M3: I : Gasóleo : E5</v>
      </c>
      <c r="J1592" s="125">
        <v>53</v>
      </c>
      <c r="K1592" s="264">
        <v>2022</v>
      </c>
      <c r="L1592" s="85">
        <v>14339.1</v>
      </c>
      <c r="M1592" s="85" t="s">
        <v>630</v>
      </c>
      <c r="N1592" s="128">
        <v>44064</v>
      </c>
      <c r="O1592" s="128">
        <f t="shared" si="75"/>
        <v>2335392</v>
      </c>
      <c r="P1592" s="89">
        <v>1055</v>
      </c>
      <c r="Q1592" t="s">
        <v>47</v>
      </c>
      <c r="R1592" s="220" t="s">
        <v>1888</v>
      </c>
      <c r="S1592" s="220" t="s">
        <v>1861</v>
      </c>
      <c r="U1592" t="s">
        <v>1972</v>
      </c>
      <c r="V1592" t="s">
        <v>2832</v>
      </c>
    </row>
    <row r="1593" spans="1:22" ht="15.75" thickBot="1" x14ac:dyDescent="0.3">
      <c r="A1593" t="s">
        <v>2967</v>
      </c>
      <c r="B1593" t="s">
        <v>2967</v>
      </c>
      <c r="C1593" t="s">
        <v>2967</v>
      </c>
      <c r="D1593" t="s">
        <v>629</v>
      </c>
      <c r="E1593" s="259" t="s">
        <v>1970</v>
      </c>
      <c r="F1593" t="s">
        <v>620</v>
      </c>
      <c r="G1593" s="89">
        <v>2010</v>
      </c>
      <c r="H1593" s="341" t="s">
        <v>734</v>
      </c>
      <c r="I1593" s="337" t="str">
        <f t="shared" si="74"/>
        <v>Pesado de Passageiros M3: I : Gasóleo : E5</v>
      </c>
      <c r="J1593" s="125">
        <v>53</v>
      </c>
      <c r="K1593" s="264">
        <v>2022</v>
      </c>
      <c r="L1593" s="85">
        <v>16328.3</v>
      </c>
      <c r="M1593" s="85" t="s">
        <v>630</v>
      </c>
      <c r="N1593" s="128">
        <v>48628</v>
      </c>
      <c r="O1593" s="128">
        <f t="shared" si="75"/>
        <v>2577284</v>
      </c>
      <c r="P1593" s="89">
        <v>1056</v>
      </c>
      <c r="Q1593" t="s">
        <v>47</v>
      </c>
      <c r="R1593" s="220" t="s">
        <v>1888</v>
      </c>
      <c r="S1593" s="220" t="s">
        <v>1861</v>
      </c>
      <c r="U1593" t="s">
        <v>1972</v>
      </c>
      <c r="V1593" t="s">
        <v>2832</v>
      </c>
    </row>
    <row r="1594" spans="1:22" ht="15.75" thickBot="1" x14ac:dyDescent="0.3">
      <c r="A1594" t="s">
        <v>2967</v>
      </c>
      <c r="B1594" t="s">
        <v>2967</v>
      </c>
      <c r="C1594" t="s">
        <v>2967</v>
      </c>
      <c r="D1594" t="s">
        <v>629</v>
      </c>
      <c r="E1594" s="259" t="s">
        <v>1970</v>
      </c>
      <c r="F1594" t="s">
        <v>620</v>
      </c>
      <c r="G1594" s="89">
        <v>2010</v>
      </c>
      <c r="H1594" s="341" t="s">
        <v>734</v>
      </c>
      <c r="I1594" s="337" t="str">
        <f t="shared" si="74"/>
        <v>Pesado de Passageiros M3: I : Gasóleo : E5</v>
      </c>
      <c r="J1594" s="125">
        <v>53</v>
      </c>
      <c r="K1594" s="264">
        <v>2022</v>
      </c>
      <c r="L1594" s="85">
        <v>16342.2</v>
      </c>
      <c r="M1594" s="85" t="s">
        <v>630</v>
      </c>
      <c r="N1594" s="128">
        <v>48120</v>
      </c>
      <c r="O1594" s="128">
        <f t="shared" si="75"/>
        <v>2550360</v>
      </c>
      <c r="P1594" s="89">
        <v>1057</v>
      </c>
      <c r="Q1594" t="s">
        <v>47</v>
      </c>
      <c r="R1594" s="220" t="s">
        <v>1888</v>
      </c>
      <c r="S1594" s="220" t="s">
        <v>1861</v>
      </c>
      <c r="U1594" t="s">
        <v>1972</v>
      </c>
      <c r="V1594" t="s">
        <v>2832</v>
      </c>
    </row>
    <row r="1595" spans="1:22" ht="15.75" thickBot="1" x14ac:dyDescent="0.3">
      <c r="A1595" t="s">
        <v>2967</v>
      </c>
      <c r="B1595" t="s">
        <v>2967</v>
      </c>
      <c r="C1595" t="s">
        <v>2967</v>
      </c>
      <c r="D1595" t="s">
        <v>629</v>
      </c>
      <c r="E1595" s="259" t="s">
        <v>1970</v>
      </c>
      <c r="F1595" t="s">
        <v>620</v>
      </c>
      <c r="G1595" s="89">
        <v>2010</v>
      </c>
      <c r="H1595" s="341" t="s">
        <v>734</v>
      </c>
      <c r="I1595" s="337" t="str">
        <f t="shared" si="74"/>
        <v>Pesado de Passageiros M3: I : Gasóleo : E5</v>
      </c>
      <c r="J1595" s="125">
        <v>53</v>
      </c>
      <c r="K1595" s="264">
        <v>2022</v>
      </c>
      <c r="L1595" s="85">
        <v>12316.6</v>
      </c>
      <c r="M1595" s="85" t="s">
        <v>630</v>
      </c>
      <c r="N1595" s="128">
        <v>38448</v>
      </c>
      <c r="O1595" s="128">
        <f t="shared" si="75"/>
        <v>2037744</v>
      </c>
      <c r="P1595" s="89">
        <v>1058</v>
      </c>
      <c r="Q1595" t="s">
        <v>47</v>
      </c>
      <c r="R1595" s="220" t="s">
        <v>1888</v>
      </c>
      <c r="S1595" s="220" t="s">
        <v>1861</v>
      </c>
      <c r="U1595" t="s">
        <v>1972</v>
      </c>
      <c r="V1595" t="s">
        <v>2832</v>
      </c>
    </row>
    <row r="1596" spans="1:22" ht="15.75" thickBot="1" x14ac:dyDescent="0.3">
      <c r="A1596" t="s">
        <v>2967</v>
      </c>
      <c r="B1596" t="s">
        <v>2967</v>
      </c>
      <c r="C1596" t="s">
        <v>2967</v>
      </c>
      <c r="D1596" t="s">
        <v>629</v>
      </c>
      <c r="E1596" s="259" t="s">
        <v>1970</v>
      </c>
      <c r="F1596" t="s">
        <v>620</v>
      </c>
      <c r="G1596" s="89">
        <v>2010</v>
      </c>
      <c r="H1596" s="341" t="s">
        <v>734</v>
      </c>
      <c r="I1596" s="337" t="str">
        <f t="shared" si="74"/>
        <v>Pesado de Passageiros M3: I : Gasóleo : E5</v>
      </c>
      <c r="J1596" s="125">
        <v>53</v>
      </c>
      <c r="K1596" s="264">
        <v>2022</v>
      </c>
      <c r="L1596" s="85">
        <v>14622.3</v>
      </c>
      <c r="M1596" s="85" t="s">
        <v>630</v>
      </c>
      <c r="N1596" s="128">
        <v>45495</v>
      </c>
      <c r="O1596" s="128">
        <f t="shared" si="75"/>
        <v>2411235</v>
      </c>
      <c r="P1596" s="89">
        <v>1059</v>
      </c>
      <c r="Q1596" t="s">
        <v>47</v>
      </c>
      <c r="R1596" s="220" t="s">
        <v>1888</v>
      </c>
      <c r="S1596" s="220" t="s">
        <v>1861</v>
      </c>
      <c r="U1596" t="s">
        <v>1972</v>
      </c>
      <c r="V1596" t="s">
        <v>2832</v>
      </c>
    </row>
    <row r="1597" spans="1:22" ht="15.75" thickBot="1" x14ac:dyDescent="0.3">
      <c r="A1597" t="s">
        <v>2967</v>
      </c>
      <c r="B1597" t="s">
        <v>2967</v>
      </c>
      <c r="C1597" t="s">
        <v>2967</v>
      </c>
      <c r="D1597" t="s">
        <v>629</v>
      </c>
      <c r="E1597" s="259" t="s">
        <v>1970</v>
      </c>
      <c r="F1597" t="s">
        <v>620</v>
      </c>
      <c r="G1597" s="89">
        <v>2010</v>
      </c>
      <c r="H1597" s="341" t="s">
        <v>734</v>
      </c>
      <c r="I1597" s="337" t="str">
        <f t="shared" si="74"/>
        <v>Pesado de Passageiros M3: I : Gasóleo : E5</v>
      </c>
      <c r="J1597" s="125">
        <v>53</v>
      </c>
      <c r="K1597" s="264">
        <v>2022</v>
      </c>
      <c r="L1597" s="85">
        <v>15903.6</v>
      </c>
      <c r="M1597" s="85" t="s">
        <v>630</v>
      </c>
      <c r="N1597" s="128">
        <v>49123</v>
      </c>
      <c r="O1597" s="128">
        <f t="shared" si="75"/>
        <v>2603519</v>
      </c>
      <c r="P1597" s="89">
        <v>1060</v>
      </c>
      <c r="Q1597" t="s">
        <v>47</v>
      </c>
      <c r="R1597" s="220" t="s">
        <v>1888</v>
      </c>
      <c r="S1597" s="220" t="s">
        <v>1861</v>
      </c>
      <c r="U1597" t="s">
        <v>1972</v>
      </c>
      <c r="V1597" t="s">
        <v>2832</v>
      </c>
    </row>
    <row r="1598" spans="1:22" ht="15.75" thickBot="1" x14ac:dyDescent="0.3">
      <c r="A1598" t="s">
        <v>2967</v>
      </c>
      <c r="B1598" t="s">
        <v>2967</v>
      </c>
      <c r="C1598" t="s">
        <v>2967</v>
      </c>
      <c r="D1598" t="s">
        <v>629</v>
      </c>
      <c r="E1598" s="259" t="s">
        <v>1970</v>
      </c>
      <c r="F1598" t="s">
        <v>620</v>
      </c>
      <c r="G1598" s="89">
        <v>2010</v>
      </c>
      <c r="H1598" s="341" t="s">
        <v>734</v>
      </c>
      <c r="I1598" s="337" t="str">
        <f t="shared" si="74"/>
        <v>Pesado de Passageiros M3: I : Gasóleo : E5</v>
      </c>
      <c r="J1598" s="125">
        <v>53</v>
      </c>
      <c r="K1598" s="264">
        <v>2022</v>
      </c>
      <c r="L1598" s="85">
        <v>14448.6</v>
      </c>
      <c r="M1598" s="85" t="s">
        <v>630</v>
      </c>
      <c r="N1598" s="128">
        <v>42754</v>
      </c>
      <c r="O1598" s="128">
        <f t="shared" si="75"/>
        <v>2265962</v>
      </c>
      <c r="P1598" s="89">
        <v>1061</v>
      </c>
      <c r="Q1598" t="s">
        <v>47</v>
      </c>
      <c r="R1598" s="220" t="s">
        <v>1888</v>
      </c>
      <c r="S1598" s="220" t="s">
        <v>1861</v>
      </c>
      <c r="U1598" t="s">
        <v>1972</v>
      </c>
      <c r="V1598" t="s">
        <v>2832</v>
      </c>
    </row>
    <row r="1599" spans="1:22" ht="15.75" thickBot="1" x14ac:dyDescent="0.3">
      <c r="A1599" t="s">
        <v>2967</v>
      </c>
      <c r="B1599" t="s">
        <v>2967</v>
      </c>
      <c r="C1599" t="s">
        <v>2967</v>
      </c>
      <c r="D1599" t="s">
        <v>629</v>
      </c>
      <c r="E1599" s="259" t="s">
        <v>1970</v>
      </c>
      <c r="F1599" t="s">
        <v>620</v>
      </c>
      <c r="G1599" s="89">
        <v>2010</v>
      </c>
      <c r="H1599" s="341" t="s">
        <v>734</v>
      </c>
      <c r="I1599" s="337" t="str">
        <f t="shared" si="74"/>
        <v>Pesado de Passageiros M3: I : Gasóleo : E5</v>
      </c>
      <c r="J1599" s="125">
        <v>53</v>
      </c>
      <c r="K1599" s="264">
        <v>2022</v>
      </c>
      <c r="L1599" s="85">
        <v>13827.5</v>
      </c>
      <c r="M1599" s="85" t="s">
        <v>630</v>
      </c>
      <c r="N1599" s="128">
        <v>38485</v>
      </c>
      <c r="O1599" s="128">
        <f t="shared" si="75"/>
        <v>2039705</v>
      </c>
      <c r="P1599" s="89">
        <v>1062</v>
      </c>
      <c r="Q1599" t="s">
        <v>47</v>
      </c>
      <c r="R1599" s="220" t="s">
        <v>1888</v>
      </c>
      <c r="S1599" s="220" t="s">
        <v>1861</v>
      </c>
      <c r="U1599" t="s">
        <v>1972</v>
      </c>
      <c r="V1599" t="s">
        <v>2832</v>
      </c>
    </row>
    <row r="1600" spans="1:22" ht="15.75" thickBot="1" x14ac:dyDescent="0.3">
      <c r="A1600" t="s">
        <v>2967</v>
      </c>
      <c r="B1600" t="s">
        <v>2967</v>
      </c>
      <c r="C1600" t="s">
        <v>2967</v>
      </c>
      <c r="D1600" t="s">
        <v>629</v>
      </c>
      <c r="E1600" s="259" t="s">
        <v>1970</v>
      </c>
      <c r="F1600" t="s">
        <v>620</v>
      </c>
      <c r="G1600" s="89">
        <v>2010</v>
      </c>
      <c r="H1600" s="341" t="s">
        <v>734</v>
      </c>
      <c r="I1600" s="337" t="str">
        <f t="shared" si="74"/>
        <v>Pesado de Passageiros M3: I : Gasóleo : E5</v>
      </c>
      <c r="J1600" s="125">
        <v>53</v>
      </c>
      <c r="K1600" s="264">
        <v>2022</v>
      </c>
      <c r="L1600" s="85">
        <v>14931.6</v>
      </c>
      <c r="M1600" s="85" t="s">
        <v>630</v>
      </c>
      <c r="N1600" s="128">
        <v>47060</v>
      </c>
      <c r="O1600" s="128">
        <f t="shared" si="75"/>
        <v>2494180</v>
      </c>
      <c r="P1600" s="89">
        <v>1063</v>
      </c>
      <c r="Q1600" t="s">
        <v>47</v>
      </c>
      <c r="R1600" s="220" t="s">
        <v>1888</v>
      </c>
      <c r="S1600" s="220" t="s">
        <v>1861</v>
      </c>
      <c r="U1600" t="s">
        <v>1972</v>
      </c>
      <c r="V1600" t="s">
        <v>2832</v>
      </c>
    </row>
    <row r="1601" spans="1:22" ht="15.75" thickBot="1" x14ac:dyDescent="0.3">
      <c r="A1601" t="s">
        <v>2967</v>
      </c>
      <c r="B1601" t="s">
        <v>2967</v>
      </c>
      <c r="C1601" t="s">
        <v>2967</v>
      </c>
      <c r="D1601" t="s">
        <v>629</v>
      </c>
      <c r="E1601" s="259" t="s">
        <v>1970</v>
      </c>
      <c r="F1601" t="s">
        <v>620</v>
      </c>
      <c r="G1601" s="89">
        <v>2008</v>
      </c>
      <c r="H1601" s="341" t="s">
        <v>731</v>
      </c>
      <c r="I1601" s="337" t="str">
        <f t="shared" si="74"/>
        <v>Pesado de Passageiros M3: I : Gasóleo : E4</v>
      </c>
      <c r="J1601" s="125">
        <v>41</v>
      </c>
      <c r="K1601" s="264">
        <v>2022</v>
      </c>
      <c r="L1601" s="85">
        <v>18671.8</v>
      </c>
      <c r="M1601" s="85" t="s">
        <v>630</v>
      </c>
      <c r="N1601" s="128">
        <v>41050</v>
      </c>
      <c r="O1601" s="128">
        <f t="shared" si="75"/>
        <v>1683050</v>
      </c>
      <c r="P1601" s="89">
        <v>1064</v>
      </c>
      <c r="Q1601" t="s">
        <v>47</v>
      </c>
      <c r="R1601" s="220" t="s">
        <v>1888</v>
      </c>
      <c r="S1601" s="220" t="s">
        <v>1861</v>
      </c>
      <c r="U1601" t="s">
        <v>1972</v>
      </c>
      <c r="V1601" t="s">
        <v>2832</v>
      </c>
    </row>
    <row r="1602" spans="1:22" ht="15.75" thickBot="1" x14ac:dyDescent="0.3">
      <c r="A1602" t="s">
        <v>2967</v>
      </c>
      <c r="B1602" t="s">
        <v>2967</v>
      </c>
      <c r="C1602" t="s">
        <v>2967</v>
      </c>
      <c r="D1602" t="s">
        <v>629</v>
      </c>
      <c r="E1602" s="259" t="s">
        <v>1970</v>
      </c>
      <c r="F1602" t="s">
        <v>620</v>
      </c>
      <c r="G1602" s="89">
        <v>2019</v>
      </c>
      <c r="H1602" s="341" t="s">
        <v>733</v>
      </c>
      <c r="I1602" s="337" t="str">
        <f t="shared" si="74"/>
        <v>Pesado de Passageiros M3: I : Gasóleo : E6</v>
      </c>
      <c r="J1602" s="125">
        <v>72</v>
      </c>
      <c r="K1602" s="264">
        <v>2022</v>
      </c>
      <c r="L1602" s="85">
        <v>14398.8</v>
      </c>
      <c r="M1602" s="85" t="s">
        <v>630</v>
      </c>
      <c r="N1602" s="128">
        <v>45055</v>
      </c>
      <c r="O1602" s="128">
        <f t="shared" si="75"/>
        <v>3243960</v>
      </c>
      <c r="P1602" s="89">
        <v>1065</v>
      </c>
      <c r="Q1602" t="s">
        <v>47</v>
      </c>
      <c r="R1602" s="220" t="s">
        <v>1888</v>
      </c>
      <c r="S1602" s="220" t="s">
        <v>1861</v>
      </c>
      <c r="U1602" t="s">
        <v>1972</v>
      </c>
      <c r="V1602" t="s">
        <v>2832</v>
      </c>
    </row>
    <row r="1603" spans="1:22" ht="15.75" thickBot="1" x14ac:dyDescent="0.3">
      <c r="A1603" t="s">
        <v>4686</v>
      </c>
      <c r="B1603" t="s">
        <v>4686</v>
      </c>
      <c r="C1603" t="s">
        <v>4686</v>
      </c>
      <c r="D1603" t="s">
        <v>629</v>
      </c>
      <c r="E1603" s="259" t="s">
        <v>1853</v>
      </c>
      <c r="F1603" t="s">
        <v>620</v>
      </c>
      <c r="G1603" s="89">
        <v>2006</v>
      </c>
      <c r="H1603" s="341" t="s">
        <v>731</v>
      </c>
      <c r="I1603" s="337" t="str">
        <f t="shared" si="74"/>
        <v>Pesado de Passageiros M3: III : Gasóleo : E4</v>
      </c>
      <c r="J1603" s="125">
        <v>97</v>
      </c>
      <c r="K1603" s="264">
        <v>2022</v>
      </c>
      <c r="L1603" s="85">
        <v>2394.4900000000002</v>
      </c>
      <c r="M1603" s="85" t="s">
        <v>630</v>
      </c>
      <c r="N1603" s="128">
        <v>7977</v>
      </c>
      <c r="O1603" s="128">
        <f t="shared" si="75"/>
        <v>773769</v>
      </c>
      <c r="Q1603" t="s">
        <v>47</v>
      </c>
      <c r="R1603" s="220" t="s">
        <v>1888</v>
      </c>
      <c r="S1603" s="220" t="s">
        <v>1861</v>
      </c>
      <c r="T1603" t="s">
        <v>2251</v>
      </c>
      <c r="U1603" t="s">
        <v>1972</v>
      </c>
      <c r="V1603" t="s">
        <v>2832</v>
      </c>
    </row>
    <row r="1604" spans="1:22" ht="15.75" thickBot="1" x14ac:dyDescent="0.3">
      <c r="A1604" t="s">
        <v>4686</v>
      </c>
      <c r="B1604" t="s">
        <v>4686</v>
      </c>
      <c r="C1604" t="s">
        <v>4686</v>
      </c>
      <c r="D1604" t="s">
        <v>629</v>
      </c>
      <c r="E1604" s="259" t="s">
        <v>1853</v>
      </c>
      <c r="F1604" t="s">
        <v>620</v>
      </c>
      <c r="G1604" s="89">
        <v>2006</v>
      </c>
      <c r="H1604" s="341" t="s">
        <v>731</v>
      </c>
      <c r="I1604" s="337" t="str">
        <f t="shared" ref="I1604:I1667" si="76">D1604&amp;": "&amp;E1604&amp;" : "&amp;F1604&amp;" : "&amp;H1604</f>
        <v>Pesado de Passageiros M3: III : Gasóleo : E4</v>
      </c>
      <c r="J1604" s="125">
        <v>97</v>
      </c>
      <c r="K1604" s="264">
        <v>2022</v>
      </c>
      <c r="L1604" s="85">
        <v>2210.13</v>
      </c>
      <c r="M1604" s="85" t="s">
        <v>630</v>
      </c>
      <c r="N1604" s="128">
        <v>6963</v>
      </c>
      <c r="O1604" s="128">
        <f t="shared" ref="O1604:O1667" si="77">N1604*J1604</f>
        <v>675411</v>
      </c>
      <c r="Q1604" t="s">
        <v>47</v>
      </c>
      <c r="R1604" s="220" t="s">
        <v>1888</v>
      </c>
      <c r="S1604" s="220" t="s">
        <v>1861</v>
      </c>
      <c r="T1604" t="s">
        <v>2252</v>
      </c>
      <c r="U1604" t="s">
        <v>1972</v>
      </c>
      <c r="V1604" t="s">
        <v>2832</v>
      </c>
    </row>
    <row r="1605" spans="1:22" ht="15.75" thickBot="1" x14ac:dyDescent="0.3">
      <c r="A1605" t="s">
        <v>4686</v>
      </c>
      <c r="B1605" t="s">
        <v>4686</v>
      </c>
      <c r="C1605" t="s">
        <v>4686</v>
      </c>
      <c r="D1605" t="s">
        <v>629</v>
      </c>
      <c r="E1605" s="259" t="s">
        <v>1853</v>
      </c>
      <c r="F1605" t="s">
        <v>620</v>
      </c>
      <c r="G1605" s="89">
        <v>2006</v>
      </c>
      <c r="H1605" s="341" t="s">
        <v>731</v>
      </c>
      <c r="I1605" s="337" t="str">
        <f t="shared" si="76"/>
        <v>Pesado de Passageiros M3: III : Gasóleo : E4</v>
      </c>
      <c r="J1605" s="125">
        <v>97</v>
      </c>
      <c r="K1605" s="264">
        <v>2022</v>
      </c>
      <c r="L1605" s="85">
        <v>1991.86</v>
      </c>
      <c r="M1605" s="85" t="s">
        <v>630</v>
      </c>
      <c r="N1605" s="128">
        <v>6635</v>
      </c>
      <c r="O1605" s="128">
        <f t="shared" si="77"/>
        <v>643595</v>
      </c>
      <c r="Q1605" t="s">
        <v>47</v>
      </c>
      <c r="R1605" s="220" t="s">
        <v>1888</v>
      </c>
      <c r="S1605" s="220" t="s">
        <v>1861</v>
      </c>
      <c r="T1605" t="s">
        <v>2253</v>
      </c>
      <c r="U1605" t="s">
        <v>1972</v>
      </c>
      <c r="V1605" t="s">
        <v>2832</v>
      </c>
    </row>
    <row r="1606" spans="1:22" ht="15.75" thickBot="1" x14ac:dyDescent="0.3">
      <c r="A1606" t="s">
        <v>4686</v>
      </c>
      <c r="B1606" t="s">
        <v>4686</v>
      </c>
      <c r="C1606" t="s">
        <v>4686</v>
      </c>
      <c r="D1606" t="s">
        <v>629</v>
      </c>
      <c r="E1606" s="259" t="s">
        <v>1853</v>
      </c>
      <c r="F1606" t="s">
        <v>620</v>
      </c>
      <c r="G1606" s="89">
        <v>2016</v>
      </c>
      <c r="H1606" s="341" t="s">
        <v>733</v>
      </c>
      <c r="I1606" s="337" t="str">
        <f t="shared" si="76"/>
        <v>Pesado de Passageiros M3: III : Gasóleo : E6</v>
      </c>
      <c r="J1606" s="125">
        <v>26</v>
      </c>
      <c r="K1606" s="264">
        <v>2022</v>
      </c>
      <c r="L1606" s="85">
        <v>6996.08</v>
      </c>
      <c r="M1606" s="85" t="s">
        <v>630</v>
      </c>
      <c r="N1606" s="128">
        <v>33606</v>
      </c>
      <c r="O1606" s="128">
        <f t="shared" si="77"/>
        <v>873756</v>
      </c>
      <c r="Q1606" t="s">
        <v>47</v>
      </c>
      <c r="R1606" s="220" t="s">
        <v>1888</v>
      </c>
      <c r="S1606" s="220" t="s">
        <v>1861</v>
      </c>
      <c r="T1606" t="s">
        <v>2254</v>
      </c>
      <c r="U1606" t="s">
        <v>1972</v>
      </c>
      <c r="V1606" t="s">
        <v>2832</v>
      </c>
    </row>
    <row r="1607" spans="1:22" ht="15.75" thickBot="1" x14ac:dyDescent="0.3">
      <c r="A1607" t="s">
        <v>4686</v>
      </c>
      <c r="B1607" t="s">
        <v>4686</v>
      </c>
      <c r="C1607" t="s">
        <v>4686</v>
      </c>
      <c r="D1607" t="s">
        <v>629</v>
      </c>
      <c r="E1607" s="259" t="s">
        <v>1853</v>
      </c>
      <c r="F1607" t="s">
        <v>620</v>
      </c>
      <c r="G1607" s="89">
        <v>2016</v>
      </c>
      <c r="H1607" s="341" t="s">
        <v>733</v>
      </c>
      <c r="I1607" s="337" t="str">
        <f t="shared" si="76"/>
        <v>Pesado de Passageiros M3: III : Gasóleo : E6</v>
      </c>
      <c r="J1607" s="125">
        <v>26</v>
      </c>
      <c r="K1607" s="264">
        <v>2022</v>
      </c>
      <c r="L1607" s="85">
        <v>4986.6999999999989</v>
      </c>
      <c r="M1607" s="85" t="s">
        <v>630</v>
      </c>
      <c r="N1607" s="128">
        <v>26330</v>
      </c>
      <c r="O1607" s="128">
        <f t="shared" si="77"/>
        <v>684580</v>
      </c>
      <c r="Q1607" t="s">
        <v>47</v>
      </c>
      <c r="R1607" s="220" t="s">
        <v>1888</v>
      </c>
      <c r="S1607" s="220" t="s">
        <v>1861</v>
      </c>
      <c r="T1607" t="s">
        <v>2255</v>
      </c>
      <c r="U1607" t="s">
        <v>1972</v>
      </c>
      <c r="V1607" t="s">
        <v>2832</v>
      </c>
    </row>
    <row r="1608" spans="1:22" ht="15.75" thickBot="1" x14ac:dyDescent="0.3">
      <c r="A1608" t="s">
        <v>4686</v>
      </c>
      <c r="B1608" t="s">
        <v>4686</v>
      </c>
      <c r="C1608" t="s">
        <v>4686</v>
      </c>
      <c r="D1608" t="s">
        <v>629</v>
      </c>
      <c r="E1608" s="259" t="s">
        <v>1853</v>
      </c>
      <c r="F1608" t="s">
        <v>620</v>
      </c>
      <c r="G1608" s="89">
        <v>2011</v>
      </c>
      <c r="H1608" s="341" t="s">
        <v>734</v>
      </c>
      <c r="I1608" s="337" t="str">
        <f t="shared" si="76"/>
        <v>Pesado de Passageiros M3: III : Gasóleo : E5</v>
      </c>
      <c r="J1608" s="125">
        <v>26</v>
      </c>
      <c r="K1608" s="264">
        <v>2022</v>
      </c>
      <c r="L1608" s="85">
        <v>2004.88</v>
      </c>
      <c r="M1608" s="85" t="s">
        <v>630</v>
      </c>
      <c r="N1608" s="128">
        <v>10006</v>
      </c>
      <c r="O1608" s="128">
        <f t="shared" si="77"/>
        <v>260156</v>
      </c>
      <c r="Q1608" t="s">
        <v>47</v>
      </c>
      <c r="R1608" s="220" t="s">
        <v>1888</v>
      </c>
      <c r="S1608" s="220" t="s">
        <v>1861</v>
      </c>
      <c r="T1608" t="s">
        <v>2256</v>
      </c>
      <c r="U1608" t="s">
        <v>1972</v>
      </c>
      <c r="V1608" t="s">
        <v>2832</v>
      </c>
    </row>
    <row r="1609" spans="1:22" ht="15.75" thickBot="1" x14ac:dyDescent="0.3">
      <c r="A1609" t="s">
        <v>4686</v>
      </c>
      <c r="B1609" t="s">
        <v>4686</v>
      </c>
      <c r="C1609" t="s">
        <v>4686</v>
      </c>
      <c r="D1609" t="s">
        <v>629</v>
      </c>
      <c r="E1609" s="259" t="s">
        <v>1853</v>
      </c>
      <c r="F1609" t="s">
        <v>620</v>
      </c>
      <c r="G1609" s="89">
        <v>2011</v>
      </c>
      <c r="H1609" s="341" t="s">
        <v>734</v>
      </c>
      <c r="I1609" s="337" t="str">
        <f t="shared" si="76"/>
        <v>Pesado de Passageiros M3: III : Gasóleo : E5</v>
      </c>
      <c r="J1609" s="125">
        <v>26</v>
      </c>
      <c r="K1609" s="264">
        <v>2022</v>
      </c>
      <c r="L1609" s="85">
        <v>2540.8699999999994</v>
      </c>
      <c r="M1609" s="85" t="s">
        <v>630</v>
      </c>
      <c r="N1609" s="128">
        <v>10926</v>
      </c>
      <c r="O1609" s="128">
        <f t="shared" si="77"/>
        <v>284076</v>
      </c>
      <c r="Q1609" t="s">
        <v>47</v>
      </c>
      <c r="R1609" s="220" t="s">
        <v>1888</v>
      </c>
      <c r="S1609" s="220" t="s">
        <v>1861</v>
      </c>
      <c r="T1609" t="s">
        <v>2257</v>
      </c>
      <c r="U1609" t="s">
        <v>1972</v>
      </c>
      <c r="V1609" t="s">
        <v>2832</v>
      </c>
    </row>
    <row r="1610" spans="1:22" ht="15.75" thickBot="1" x14ac:dyDescent="0.3">
      <c r="A1610" t="s">
        <v>4686</v>
      </c>
      <c r="B1610" t="s">
        <v>4686</v>
      </c>
      <c r="C1610" t="s">
        <v>4686</v>
      </c>
      <c r="D1610" t="s">
        <v>629</v>
      </c>
      <c r="E1610" s="259" t="s">
        <v>1853</v>
      </c>
      <c r="F1610" t="s">
        <v>620</v>
      </c>
      <c r="G1610" s="89">
        <v>2016</v>
      </c>
      <c r="H1610" s="341" t="s">
        <v>733</v>
      </c>
      <c r="I1610" s="337" t="str">
        <f t="shared" si="76"/>
        <v>Pesado de Passageiros M3: III : Gasóleo : E6</v>
      </c>
      <c r="J1610" s="125">
        <v>26</v>
      </c>
      <c r="K1610" s="264">
        <v>2022</v>
      </c>
      <c r="L1610" s="85">
        <v>12651.99</v>
      </c>
      <c r="M1610" s="85" t="s">
        <v>630</v>
      </c>
      <c r="N1610" s="128">
        <v>58148</v>
      </c>
      <c r="O1610" s="128">
        <f t="shared" si="77"/>
        <v>1511848</v>
      </c>
      <c r="Q1610" t="s">
        <v>47</v>
      </c>
      <c r="R1610" s="220" t="s">
        <v>1888</v>
      </c>
      <c r="S1610" s="220" t="s">
        <v>1861</v>
      </c>
      <c r="T1610" t="s">
        <v>2258</v>
      </c>
      <c r="U1610" t="s">
        <v>1972</v>
      </c>
      <c r="V1610" t="s">
        <v>2832</v>
      </c>
    </row>
    <row r="1611" spans="1:22" ht="15.75" thickBot="1" x14ac:dyDescent="0.3">
      <c r="A1611" t="s">
        <v>4686</v>
      </c>
      <c r="B1611" t="s">
        <v>4686</v>
      </c>
      <c r="C1611" t="s">
        <v>4686</v>
      </c>
      <c r="D1611" t="s">
        <v>629</v>
      </c>
      <c r="E1611" s="259" t="s">
        <v>1853</v>
      </c>
      <c r="F1611" t="s">
        <v>620</v>
      </c>
      <c r="G1611" s="89">
        <v>2016</v>
      </c>
      <c r="H1611" s="341" t="s">
        <v>733</v>
      </c>
      <c r="I1611" s="337" t="str">
        <f t="shared" si="76"/>
        <v>Pesado de Passageiros M3: III : Gasóleo : E6</v>
      </c>
      <c r="J1611" s="125">
        <v>26</v>
      </c>
      <c r="K1611" s="264">
        <v>2022</v>
      </c>
      <c r="L1611" s="85">
        <v>5415.7999999999993</v>
      </c>
      <c r="M1611" s="85" t="s">
        <v>630</v>
      </c>
      <c r="N1611" s="128">
        <v>33635</v>
      </c>
      <c r="O1611" s="128">
        <f t="shared" si="77"/>
        <v>874510</v>
      </c>
      <c r="Q1611" t="s">
        <v>47</v>
      </c>
      <c r="R1611" s="220" t="s">
        <v>1888</v>
      </c>
      <c r="S1611" s="220" t="s">
        <v>1861</v>
      </c>
      <c r="T1611" t="s">
        <v>2259</v>
      </c>
      <c r="U1611" t="s">
        <v>1972</v>
      </c>
      <c r="V1611" t="s">
        <v>2832</v>
      </c>
    </row>
    <row r="1612" spans="1:22" ht="15.75" thickBot="1" x14ac:dyDescent="0.3">
      <c r="A1612" t="s">
        <v>4686</v>
      </c>
      <c r="B1612" t="s">
        <v>4686</v>
      </c>
      <c r="C1612" t="s">
        <v>4686</v>
      </c>
      <c r="D1612" t="s">
        <v>629</v>
      </c>
      <c r="E1612" s="259" t="s">
        <v>1853</v>
      </c>
      <c r="F1612" t="s">
        <v>620</v>
      </c>
      <c r="G1612" s="89">
        <v>2016</v>
      </c>
      <c r="H1612" s="341" t="s">
        <v>733</v>
      </c>
      <c r="I1612" s="337" t="str">
        <f t="shared" si="76"/>
        <v>Pesado de Passageiros M3: III : Gasóleo : E6</v>
      </c>
      <c r="J1612" s="125">
        <v>26</v>
      </c>
      <c r="K1612" s="264">
        <v>2022</v>
      </c>
      <c r="L1612" s="85">
        <v>12303.289999999997</v>
      </c>
      <c r="M1612" s="85" t="s">
        <v>630</v>
      </c>
      <c r="N1612" s="128">
        <v>57584</v>
      </c>
      <c r="O1612" s="128">
        <f t="shared" si="77"/>
        <v>1497184</v>
      </c>
      <c r="Q1612" t="s">
        <v>47</v>
      </c>
      <c r="R1612" s="220" t="s">
        <v>1888</v>
      </c>
      <c r="S1612" s="220" t="s">
        <v>1861</v>
      </c>
      <c r="T1612" t="s">
        <v>2260</v>
      </c>
      <c r="U1612" t="s">
        <v>1972</v>
      </c>
      <c r="V1612" t="s">
        <v>2832</v>
      </c>
    </row>
    <row r="1613" spans="1:22" ht="15.75" thickBot="1" x14ac:dyDescent="0.3">
      <c r="A1613" t="s">
        <v>4686</v>
      </c>
      <c r="B1613" t="s">
        <v>4686</v>
      </c>
      <c r="C1613" t="s">
        <v>4686</v>
      </c>
      <c r="D1613" t="s">
        <v>629</v>
      </c>
      <c r="E1613" s="259" t="s">
        <v>1853</v>
      </c>
      <c r="F1613" t="s">
        <v>620</v>
      </c>
      <c r="G1613" s="89">
        <v>2016</v>
      </c>
      <c r="H1613" s="341" t="s">
        <v>733</v>
      </c>
      <c r="I1613" s="337" t="str">
        <f t="shared" si="76"/>
        <v>Pesado de Passageiros M3: III : Gasóleo : E6</v>
      </c>
      <c r="J1613" s="125">
        <v>26</v>
      </c>
      <c r="K1613" s="264">
        <v>2022</v>
      </c>
      <c r="L1613" s="85">
        <v>6217.77</v>
      </c>
      <c r="M1613" s="85" t="s">
        <v>630</v>
      </c>
      <c r="N1613" s="128">
        <v>30832</v>
      </c>
      <c r="O1613" s="128">
        <f t="shared" si="77"/>
        <v>801632</v>
      </c>
      <c r="Q1613" t="s">
        <v>47</v>
      </c>
      <c r="R1613" s="220" t="s">
        <v>1888</v>
      </c>
      <c r="S1613" s="220" t="s">
        <v>1861</v>
      </c>
      <c r="T1613" t="s">
        <v>2261</v>
      </c>
      <c r="U1613" t="s">
        <v>1972</v>
      </c>
      <c r="V1613" t="s">
        <v>2832</v>
      </c>
    </row>
    <row r="1614" spans="1:22" ht="15.75" thickBot="1" x14ac:dyDescent="0.3">
      <c r="A1614" t="s">
        <v>4686</v>
      </c>
      <c r="B1614" t="s">
        <v>4686</v>
      </c>
      <c r="C1614" t="s">
        <v>4686</v>
      </c>
      <c r="D1614" t="s">
        <v>629</v>
      </c>
      <c r="E1614" s="259" t="s">
        <v>1853</v>
      </c>
      <c r="F1614" t="s">
        <v>620</v>
      </c>
      <c r="G1614" s="89">
        <v>2017</v>
      </c>
      <c r="H1614" s="341" t="s">
        <v>733</v>
      </c>
      <c r="I1614" s="337" t="str">
        <f t="shared" si="76"/>
        <v>Pesado de Passageiros M3: III : Gasóleo : E6</v>
      </c>
      <c r="J1614" s="125">
        <v>26</v>
      </c>
      <c r="K1614" s="264">
        <v>2022</v>
      </c>
      <c r="L1614" s="85">
        <v>4732.5</v>
      </c>
      <c r="M1614" s="85" t="s">
        <v>630</v>
      </c>
      <c r="N1614" s="128">
        <v>23138</v>
      </c>
      <c r="O1614" s="128">
        <f t="shared" si="77"/>
        <v>601588</v>
      </c>
      <c r="Q1614" t="s">
        <v>47</v>
      </c>
      <c r="R1614" s="220" t="s">
        <v>1888</v>
      </c>
      <c r="S1614" s="220" t="s">
        <v>1861</v>
      </c>
      <c r="T1614" t="s">
        <v>2262</v>
      </c>
      <c r="U1614" t="s">
        <v>1972</v>
      </c>
      <c r="V1614" t="s">
        <v>2832</v>
      </c>
    </row>
    <row r="1615" spans="1:22" ht="15.75" thickBot="1" x14ac:dyDescent="0.3">
      <c r="A1615" t="s">
        <v>4686</v>
      </c>
      <c r="B1615" t="s">
        <v>4686</v>
      </c>
      <c r="C1615" t="s">
        <v>4686</v>
      </c>
      <c r="D1615" t="s">
        <v>629</v>
      </c>
      <c r="E1615" s="259" t="s">
        <v>1853</v>
      </c>
      <c r="F1615" t="s">
        <v>620</v>
      </c>
      <c r="G1615" s="89">
        <v>2017</v>
      </c>
      <c r="H1615" s="341" t="s">
        <v>733</v>
      </c>
      <c r="I1615" s="337" t="str">
        <f t="shared" si="76"/>
        <v>Pesado de Passageiros M3: III : Gasóleo : E6</v>
      </c>
      <c r="J1615" s="125">
        <v>26</v>
      </c>
      <c r="K1615" s="264">
        <v>2022</v>
      </c>
      <c r="L1615" s="85">
        <v>2705.96</v>
      </c>
      <c r="M1615" s="85" t="s">
        <v>630</v>
      </c>
      <c r="N1615" s="128">
        <v>14887</v>
      </c>
      <c r="O1615" s="128">
        <f t="shared" si="77"/>
        <v>387062</v>
      </c>
      <c r="Q1615" t="s">
        <v>47</v>
      </c>
      <c r="R1615" s="220" t="s">
        <v>1888</v>
      </c>
      <c r="S1615" s="220" t="s">
        <v>1861</v>
      </c>
      <c r="T1615" t="s">
        <v>2263</v>
      </c>
      <c r="U1615" t="s">
        <v>1972</v>
      </c>
      <c r="V1615" t="s">
        <v>2832</v>
      </c>
    </row>
    <row r="1616" spans="1:22" ht="15.75" thickBot="1" x14ac:dyDescent="0.3">
      <c r="A1616" t="s">
        <v>4686</v>
      </c>
      <c r="B1616" t="s">
        <v>4686</v>
      </c>
      <c r="C1616" t="s">
        <v>4686</v>
      </c>
      <c r="D1616" t="s">
        <v>629</v>
      </c>
      <c r="E1616" s="259" t="s">
        <v>1853</v>
      </c>
      <c r="F1616" t="s">
        <v>620</v>
      </c>
      <c r="G1616" s="89">
        <v>2019</v>
      </c>
      <c r="H1616" s="341" t="s">
        <v>733</v>
      </c>
      <c r="I1616" s="337" t="str">
        <f t="shared" si="76"/>
        <v>Pesado de Passageiros M3: III : Gasóleo : E6</v>
      </c>
      <c r="J1616" s="125">
        <v>15</v>
      </c>
      <c r="K1616" s="264">
        <v>2022</v>
      </c>
      <c r="L1616" s="85">
        <v>6336.19</v>
      </c>
      <c r="M1616" s="85" t="s">
        <v>630</v>
      </c>
      <c r="N1616" s="128">
        <v>35390</v>
      </c>
      <c r="O1616" s="128">
        <f t="shared" si="77"/>
        <v>530850</v>
      </c>
      <c r="Q1616" t="s">
        <v>47</v>
      </c>
      <c r="R1616" s="220" t="s">
        <v>1888</v>
      </c>
      <c r="S1616" s="220" t="s">
        <v>1861</v>
      </c>
      <c r="T1616" t="s">
        <v>2264</v>
      </c>
      <c r="U1616" t="s">
        <v>1972</v>
      </c>
      <c r="V1616" t="s">
        <v>2832</v>
      </c>
    </row>
    <row r="1617" spans="1:22" ht="15.75" thickBot="1" x14ac:dyDescent="0.3">
      <c r="A1617" t="s">
        <v>4686</v>
      </c>
      <c r="B1617" t="s">
        <v>4686</v>
      </c>
      <c r="C1617" t="s">
        <v>4686</v>
      </c>
      <c r="D1617" t="s">
        <v>629</v>
      </c>
      <c r="E1617" s="259" t="s">
        <v>1853</v>
      </c>
      <c r="F1617" t="s">
        <v>620</v>
      </c>
      <c r="G1617" s="89">
        <v>2019</v>
      </c>
      <c r="H1617" s="341" t="s">
        <v>733</v>
      </c>
      <c r="I1617" s="337" t="str">
        <f t="shared" si="76"/>
        <v>Pesado de Passageiros M3: III : Gasóleo : E6</v>
      </c>
      <c r="J1617" s="125">
        <v>15</v>
      </c>
      <c r="K1617" s="264">
        <v>2022</v>
      </c>
      <c r="L1617" s="85">
        <v>6983.59</v>
      </c>
      <c r="M1617" s="85" t="s">
        <v>630</v>
      </c>
      <c r="N1617" s="128">
        <v>38151</v>
      </c>
      <c r="O1617" s="128">
        <f t="shared" si="77"/>
        <v>572265</v>
      </c>
      <c r="Q1617" t="s">
        <v>47</v>
      </c>
      <c r="R1617" s="220" t="s">
        <v>1888</v>
      </c>
      <c r="S1617" s="220" t="s">
        <v>1861</v>
      </c>
      <c r="T1617" t="s">
        <v>2265</v>
      </c>
      <c r="U1617" t="s">
        <v>1972</v>
      </c>
      <c r="V1617" t="s">
        <v>2832</v>
      </c>
    </row>
    <row r="1618" spans="1:22" ht="15.75" thickBot="1" x14ac:dyDescent="0.3">
      <c r="A1618" t="s">
        <v>4686</v>
      </c>
      <c r="B1618" t="s">
        <v>4686</v>
      </c>
      <c r="C1618" t="s">
        <v>4686</v>
      </c>
      <c r="D1618" t="s">
        <v>629</v>
      </c>
      <c r="E1618" s="259" t="s">
        <v>1853</v>
      </c>
      <c r="F1618" t="s">
        <v>620</v>
      </c>
      <c r="G1618" s="89">
        <v>2020</v>
      </c>
      <c r="H1618" s="341" t="s">
        <v>733</v>
      </c>
      <c r="I1618" s="337" t="str">
        <f t="shared" si="76"/>
        <v>Pesado de Passageiros M3: III : Gasóleo : E6</v>
      </c>
      <c r="J1618" s="125">
        <v>26</v>
      </c>
      <c r="K1618" s="264">
        <v>2022</v>
      </c>
      <c r="L1618" s="85">
        <v>7533.2300000000005</v>
      </c>
      <c r="M1618" s="85" t="s">
        <v>630</v>
      </c>
      <c r="N1618" s="128">
        <v>42586</v>
      </c>
      <c r="O1618" s="128">
        <f t="shared" si="77"/>
        <v>1107236</v>
      </c>
      <c r="Q1618" t="s">
        <v>47</v>
      </c>
      <c r="R1618" s="220" t="s">
        <v>1888</v>
      </c>
      <c r="S1618" s="220" t="s">
        <v>1861</v>
      </c>
      <c r="T1618" t="s">
        <v>2266</v>
      </c>
      <c r="U1618" t="s">
        <v>1972</v>
      </c>
      <c r="V1618" t="s">
        <v>2832</v>
      </c>
    </row>
    <row r="1619" spans="1:22" ht="15.75" thickBot="1" x14ac:dyDescent="0.3">
      <c r="A1619" t="s">
        <v>4686</v>
      </c>
      <c r="B1619" t="s">
        <v>4686</v>
      </c>
      <c r="C1619" t="s">
        <v>4686</v>
      </c>
      <c r="D1619" t="s">
        <v>629</v>
      </c>
      <c r="E1619" s="259" t="s">
        <v>1853</v>
      </c>
      <c r="F1619" t="s">
        <v>620</v>
      </c>
      <c r="G1619" s="89">
        <v>2020</v>
      </c>
      <c r="H1619" s="341" t="s">
        <v>733</v>
      </c>
      <c r="I1619" s="337" t="str">
        <f t="shared" si="76"/>
        <v>Pesado de Passageiros M3: III : Gasóleo : E6</v>
      </c>
      <c r="J1619" s="125">
        <v>26</v>
      </c>
      <c r="K1619" s="264">
        <v>2022</v>
      </c>
      <c r="L1619" s="85">
        <v>7690.0100000000011</v>
      </c>
      <c r="M1619" s="85" t="s">
        <v>630</v>
      </c>
      <c r="N1619" s="128">
        <v>45747</v>
      </c>
      <c r="O1619" s="128">
        <f t="shared" si="77"/>
        <v>1189422</v>
      </c>
      <c r="Q1619" t="s">
        <v>47</v>
      </c>
      <c r="R1619" s="220" t="s">
        <v>1888</v>
      </c>
      <c r="S1619" s="220" t="s">
        <v>1861</v>
      </c>
      <c r="T1619" t="s">
        <v>2267</v>
      </c>
      <c r="U1619" t="s">
        <v>1972</v>
      </c>
      <c r="V1619" t="s">
        <v>2832</v>
      </c>
    </row>
    <row r="1620" spans="1:22" ht="15.75" thickBot="1" x14ac:dyDescent="0.3">
      <c r="A1620" t="s">
        <v>4686</v>
      </c>
      <c r="B1620" t="s">
        <v>4686</v>
      </c>
      <c r="C1620" t="s">
        <v>4686</v>
      </c>
      <c r="D1620" t="s">
        <v>629</v>
      </c>
      <c r="E1620" s="259" t="s">
        <v>1853</v>
      </c>
      <c r="F1620" t="s">
        <v>620</v>
      </c>
      <c r="G1620" s="89">
        <v>2020</v>
      </c>
      <c r="H1620" s="341" t="s">
        <v>733</v>
      </c>
      <c r="I1620" s="337" t="str">
        <f t="shared" si="76"/>
        <v>Pesado de Passageiros M3: III : Gasóleo : E6</v>
      </c>
      <c r="J1620" s="125">
        <v>26</v>
      </c>
      <c r="K1620" s="264">
        <v>2022</v>
      </c>
      <c r="L1620" s="85">
        <v>8723.66</v>
      </c>
      <c r="M1620" s="85" t="s">
        <v>630</v>
      </c>
      <c r="N1620" s="128">
        <v>47894</v>
      </c>
      <c r="O1620" s="128">
        <f t="shared" si="77"/>
        <v>1245244</v>
      </c>
      <c r="Q1620" t="s">
        <v>47</v>
      </c>
      <c r="R1620" s="220" t="s">
        <v>1888</v>
      </c>
      <c r="S1620" s="220" t="s">
        <v>1861</v>
      </c>
      <c r="T1620" t="s">
        <v>2268</v>
      </c>
      <c r="U1620" t="s">
        <v>1972</v>
      </c>
      <c r="V1620" t="s">
        <v>2832</v>
      </c>
    </row>
    <row r="1621" spans="1:22" ht="15.75" thickBot="1" x14ac:dyDescent="0.3">
      <c r="A1621" t="s">
        <v>4686</v>
      </c>
      <c r="B1621" t="s">
        <v>4686</v>
      </c>
      <c r="C1621" t="s">
        <v>4686</v>
      </c>
      <c r="D1621" t="s">
        <v>629</v>
      </c>
      <c r="E1621" s="259" t="s">
        <v>1853</v>
      </c>
      <c r="F1621" t="s">
        <v>620</v>
      </c>
      <c r="G1621" s="89">
        <v>2020</v>
      </c>
      <c r="H1621" s="341" t="s">
        <v>733</v>
      </c>
      <c r="I1621" s="337" t="str">
        <f t="shared" si="76"/>
        <v>Pesado de Passageiros M3: III : Gasóleo : E6</v>
      </c>
      <c r="J1621" s="125">
        <v>26</v>
      </c>
      <c r="K1621" s="264">
        <v>2022</v>
      </c>
      <c r="L1621" s="85">
        <v>8128.99</v>
      </c>
      <c r="M1621" s="85" t="s">
        <v>630</v>
      </c>
      <c r="N1621" s="128">
        <v>45322</v>
      </c>
      <c r="O1621" s="128">
        <f t="shared" si="77"/>
        <v>1178372</v>
      </c>
      <c r="Q1621" t="s">
        <v>47</v>
      </c>
      <c r="R1621" s="220" t="s">
        <v>1888</v>
      </c>
      <c r="S1621" s="220" t="s">
        <v>1861</v>
      </c>
      <c r="T1621" t="s">
        <v>2269</v>
      </c>
      <c r="U1621" t="s">
        <v>1972</v>
      </c>
      <c r="V1621" t="s">
        <v>2832</v>
      </c>
    </row>
    <row r="1622" spans="1:22" ht="15.75" thickBot="1" x14ac:dyDescent="0.3">
      <c r="A1622" t="s">
        <v>4686</v>
      </c>
      <c r="B1622" t="s">
        <v>4686</v>
      </c>
      <c r="C1622" t="s">
        <v>4686</v>
      </c>
      <c r="D1622" t="s">
        <v>629</v>
      </c>
      <c r="E1622" s="259" t="s">
        <v>1853</v>
      </c>
      <c r="F1622" t="s">
        <v>620</v>
      </c>
      <c r="G1622" s="89">
        <v>2020</v>
      </c>
      <c r="H1622" s="341" t="s">
        <v>733</v>
      </c>
      <c r="I1622" s="337" t="str">
        <f t="shared" si="76"/>
        <v>Pesado de Passageiros M3: III : Gasóleo : E6</v>
      </c>
      <c r="J1622" s="125">
        <v>26</v>
      </c>
      <c r="K1622" s="264">
        <v>2022</v>
      </c>
      <c r="L1622" s="85">
        <v>6836.12</v>
      </c>
      <c r="M1622" s="85" t="s">
        <v>630</v>
      </c>
      <c r="N1622" s="128">
        <v>37658</v>
      </c>
      <c r="O1622" s="128">
        <f t="shared" si="77"/>
        <v>979108</v>
      </c>
      <c r="Q1622" t="s">
        <v>47</v>
      </c>
      <c r="R1622" s="220" t="s">
        <v>1888</v>
      </c>
      <c r="S1622" s="220" t="s">
        <v>1861</v>
      </c>
      <c r="T1622" t="s">
        <v>2270</v>
      </c>
      <c r="U1622" t="s">
        <v>1972</v>
      </c>
      <c r="V1622" t="s">
        <v>2832</v>
      </c>
    </row>
    <row r="1623" spans="1:22" ht="15.75" thickBot="1" x14ac:dyDescent="0.3">
      <c r="A1623" t="s">
        <v>4686</v>
      </c>
      <c r="B1623" t="s">
        <v>4686</v>
      </c>
      <c r="C1623" t="s">
        <v>4686</v>
      </c>
      <c r="D1623" t="s">
        <v>629</v>
      </c>
      <c r="E1623" s="259" t="s">
        <v>1853</v>
      </c>
      <c r="F1623" t="s">
        <v>620</v>
      </c>
      <c r="G1623" s="89">
        <v>2004</v>
      </c>
      <c r="H1623" s="341" t="s">
        <v>732</v>
      </c>
      <c r="I1623" s="337" t="str">
        <f t="shared" si="76"/>
        <v>Pesado de Passageiros M3: III : Gasóleo : E3</v>
      </c>
      <c r="J1623" s="125">
        <v>50</v>
      </c>
      <c r="K1623" s="264">
        <v>2022</v>
      </c>
      <c r="L1623" s="85">
        <v>19374.989999999998</v>
      </c>
      <c r="M1623" s="85" t="s">
        <v>630</v>
      </c>
      <c r="N1623" s="128">
        <v>54984</v>
      </c>
      <c r="O1623" s="128">
        <f t="shared" si="77"/>
        <v>2749200</v>
      </c>
      <c r="Q1623" t="s">
        <v>47</v>
      </c>
      <c r="R1623" s="220" t="s">
        <v>1888</v>
      </c>
      <c r="S1623" s="220" t="s">
        <v>1861</v>
      </c>
      <c r="T1623" t="s">
        <v>2271</v>
      </c>
      <c r="U1623" t="s">
        <v>1972</v>
      </c>
      <c r="V1623" t="s">
        <v>2832</v>
      </c>
    </row>
    <row r="1624" spans="1:22" ht="15.75" thickBot="1" x14ac:dyDescent="0.3">
      <c r="A1624" t="s">
        <v>4686</v>
      </c>
      <c r="B1624" t="s">
        <v>4686</v>
      </c>
      <c r="C1624" t="s">
        <v>4686</v>
      </c>
      <c r="D1624" t="s">
        <v>629</v>
      </c>
      <c r="E1624" s="259" t="s">
        <v>1853</v>
      </c>
      <c r="F1624" t="s">
        <v>620</v>
      </c>
      <c r="G1624" s="89">
        <v>2004</v>
      </c>
      <c r="H1624" s="341" t="s">
        <v>732</v>
      </c>
      <c r="I1624" s="337" t="str">
        <f t="shared" si="76"/>
        <v>Pesado de Passageiros M3: III : Gasóleo : E3</v>
      </c>
      <c r="J1624" s="125">
        <v>54</v>
      </c>
      <c r="K1624" s="264">
        <v>2022</v>
      </c>
      <c r="L1624" s="85">
        <v>9659.74</v>
      </c>
      <c r="M1624" s="85" t="s">
        <v>630</v>
      </c>
      <c r="N1624" s="128">
        <v>30299</v>
      </c>
      <c r="O1624" s="128">
        <f t="shared" si="77"/>
        <v>1636146</v>
      </c>
      <c r="Q1624" t="s">
        <v>47</v>
      </c>
      <c r="R1624" s="220" t="s">
        <v>1888</v>
      </c>
      <c r="S1624" s="220" t="s">
        <v>1861</v>
      </c>
      <c r="T1624" t="s">
        <v>2272</v>
      </c>
      <c r="U1624" t="s">
        <v>1972</v>
      </c>
      <c r="V1624" t="s">
        <v>2832</v>
      </c>
    </row>
    <row r="1625" spans="1:22" ht="15.75" thickBot="1" x14ac:dyDescent="0.3">
      <c r="A1625" t="s">
        <v>4686</v>
      </c>
      <c r="B1625" t="s">
        <v>4686</v>
      </c>
      <c r="C1625" t="s">
        <v>4686</v>
      </c>
      <c r="D1625" t="s">
        <v>629</v>
      </c>
      <c r="E1625" s="259" t="s">
        <v>1853</v>
      </c>
      <c r="F1625" t="s">
        <v>620</v>
      </c>
      <c r="G1625" s="89">
        <v>2004</v>
      </c>
      <c r="H1625" s="341" t="s">
        <v>732</v>
      </c>
      <c r="I1625" s="337" t="str">
        <f t="shared" si="76"/>
        <v>Pesado de Passageiros M3: III : Gasóleo : E3</v>
      </c>
      <c r="J1625" s="125">
        <v>54</v>
      </c>
      <c r="K1625" s="264">
        <v>2022</v>
      </c>
      <c r="L1625" s="85">
        <v>14302.819999999998</v>
      </c>
      <c r="M1625" s="85" t="s">
        <v>630</v>
      </c>
      <c r="N1625" s="128">
        <v>44710</v>
      </c>
      <c r="O1625" s="128">
        <f t="shared" si="77"/>
        <v>2414340</v>
      </c>
      <c r="Q1625" t="s">
        <v>47</v>
      </c>
      <c r="R1625" s="220" t="s">
        <v>1888</v>
      </c>
      <c r="S1625" s="220" t="s">
        <v>1861</v>
      </c>
      <c r="T1625" t="s">
        <v>2273</v>
      </c>
      <c r="U1625" t="s">
        <v>1972</v>
      </c>
      <c r="V1625" t="s">
        <v>2832</v>
      </c>
    </row>
    <row r="1626" spans="1:22" ht="15.75" thickBot="1" x14ac:dyDescent="0.3">
      <c r="A1626" t="s">
        <v>4686</v>
      </c>
      <c r="B1626" t="s">
        <v>4686</v>
      </c>
      <c r="C1626" t="s">
        <v>4686</v>
      </c>
      <c r="D1626" t="s">
        <v>629</v>
      </c>
      <c r="E1626" s="259" t="s">
        <v>1853</v>
      </c>
      <c r="F1626" t="s">
        <v>620</v>
      </c>
      <c r="G1626" s="89">
        <v>2004</v>
      </c>
      <c r="H1626" s="341" t="s">
        <v>732</v>
      </c>
      <c r="I1626" s="337" t="str">
        <f t="shared" si="76"/>
        <v>Pesado de Passageiros M3: III : Gasóleo : E3</v>
      </c>
      <c r="J1626" s="125">
        <v>54</v>
      </c>
      <c r="K1626" s="264">
        <v>2022</v>
      </c>
      <c r="L1626" s="85">
        <v>18059.62</v>
      </c>
      <c r="M1626" s="85" t="s">
        <v>630</v>
      </c>
      <c r="N1626" s="128">
        <v>56704</v>
      </c>
      <c r="O1626" s="128">
        <f t="shared" si="77"/>
        <v>3062016</v>
      </c>
      <c r="Q1626" t="s">
        <v>47</v>
      </c>
      <c r="R1626" s="220" t="s">
        <v>1888</v>
      </c>
      <c r="S1626" s="220" t="s">
        <v>1861</v>
      </c>
      <c r="T1626" t="s">
        <v>2274</v>
      </c>
      <c r="U1626" t="s">
        <v>1972</v>
      </c>
      <c r="V1626" t="s">
        <v>2832</v>
      </c>
    </row>
    <row r="1627" spans="1:22" ht="15.75" thickBot="1" x14ac:dyDescent="0.3">
      <c r="A1627" t="s">
        <v>4686</v>
      </c>
      <c r="B1627" t="s">
        <v>4686</v>
      </c>
      <c r="C1627" t="s">
        <v>4686</v>
      </c>
      <c r="D1627" t="s">
        <v>629</v>
      </c>
      <c r="E1627" s="259" t="s">
        <v>1853</v>
      </c>
      <c r="F1627" t="s">
        <v>620</v>
      </c>
      <c r="G1627" s="89">
        <v>2004</v>
      </c>
      <c r="H1627" s="341" t="s">
        <v>732</v>
      </c>
      <c r="I1627" s="337" t="str">
        <f t="shared" si="76"/>
        <v>Pesado de Passageiros M3: III : Gasóleo : E3</v>
      </c>
      <c r="J1627" s="125">
        <v>54</v>
      </c>
      <c r="K1627" s="264">
        <v>2022</v>
      </c>
      <c r="L1627" s="85">
        <v>15138.499999999998</v>
      </c>
      <c r="M1627" s="85" t="s">
        <v>630</v>
      </c>
      <c r="N1627" s="128">
        <v>45866</v>
      </c>
      <c r="O1627" s="128">
        <f t="shared" si="77"/>
        <v>2476764</v>
      </c>
      <c r="Q1627" t="s">
        <v>47</v>
      </c>
      <c r="R1627" s="220" t="s">
        <v>1888</v>
      </c>
      <c r="S1627" s="220" t="s">
        <v>1861</v>
      </c>
      <c r="T1627" t="s">
        <v>2275</v>
      </c>
      <c r="U1627" t="s">
        <v>1972</v>
      </c>
      <c r="V1627" t="s">
        <v>2832</v>
      </c>
    </row>
    <row r="1628" spans="1:22" ht="15.75" thickBot="1" x14ac:dyDescent="0.3">
      <c r="A1628" t="s">
        <v>4686</v>
      </c>
      <c r="B1628" t="s">
        <v>4686</v>
      </c>
      <c r="C1628" t="s">
        <v>4686</v>
      </c>
      <c r="D1628" t="s">
        <v>629</v>
      </c>
      <c r="E1628" s="259" t="s">
        <v>1853</v>
      </c>
      <c r="F1628" t="s">
        <v>620</v>
      </c>
      <c r="G1628" s="89">
        <v>2000</v>
      </c>
      <c r="H1628" s="341" t="s">
        <v>732</v>
      </c>
      <c r="I1628" s="337" t="str">
        <f t="shared" si="76"/>
        <v>Pesado de Passageiros M3: III : Gasóleo : E3</v>
      </c>
      <c r="J1628" s="125">
        <v>83</v>
      </c>
      <c r="K1628" s="264">
        <v>2022</v>
      </c>
      <c r="L1628" s="85">
        <v>3605.8</v>
      </c>
      <c r="M1628" s="85" t="s">
        <v>630</v>
      </c>
      <c r="N1628" s="128">
        <v>11283</v>
      </c>
      <c r="O1628" s="128">
        <f t="shared" si="77"/>
        <v>936489</v>
      </c>
      <c r="Q1628" t="s">
        <v>47</v>
      </c>
      <c r="R1628" s="220" t="s">
        <v>1888</v>
      </c>
      <c r="S1628" s="220" t="s">
        <v>1861</v>
      </c>
      <c r="T1628" t="s">
        <v>2276</v>
      </c>
      <c r="U1628" t="s">
        <v>1972</v>
      </c>
      <c r="V1628" t="s">
        <v>2832</v>
      </c>
    </row>
    <row r="1629" spans="1:22" ht="15.75" thickBot="1" x14ac:dyDescent="0.3">
      <c r="A1629" t="s">
        <v>4686</v>
      </c>
      <c r="B1629" t="s">
        <v>4686</v>
      </c>
      <c r="C1629" t="s">
        <v>4686</v>
      </c>
      <c r="D1629" t="s">
        <v>629</v>
      </c>
      <c r="E1629" s="259" t="s">
        <v>1853</v>
      </c>
      <c r="F1629" t="s">
        <v>620</v>
      </c>
      <c r="G1629" s="89">
        <v>2002</v>
      </c>
      <c r="H1629" s="341" t="s">
        <v>732</v>
      </c>
      <c r="I1629" s="337" t="str">
        <f t="shared" si="76"/>
        <v>Pesado de Passageiros M3: III : Gasóleo : E3</v>
      </c>
      <c r="J1629" s="125">
        <v>76</v>
      </c>
      <c r="K1629" s="264">
        <v>2022</v>
      </c>
      <c r="L1629" s="85">
        <v>8489.69</v>
      </c>
      <c r="M1629" s="85" t="s">
        <v>630</v>
      </c>
      <c r="N1629" s="128">
        <v>27341</v>
      </c>
      <c r="O1629" s="128">
        <f t="shared" si="77"/>
        <v>2077916</v>
      </c>
      <c r="Q1629" t="s">
        <v>47</v>
      </c>
      <c r="R1629" s="220" t="s">
        <v>1888</v>
      </c>
      <c r="S1629" s="220" t="s">
        <v>1861</v>
      </c>
      <c r="T1629" t="s">
        <v>2277</v>
      </c>
      <c r="U1629" t="s">
        <v>1972</v>
      </c>
      <c r="V1629" t="s">
        <v>2832</v>
      </c>
    </row>
    <row r="1630" spans="1:22" ht="15.75" thickBot="1" x14ac:dyDescent="0.3">
      <c r="A1630" t="s">
        <v>4686</v>
      </c>
      <c r="B1630" t="s">
        <v>4686</v>
      </c>
      <c r="C1630" t="s">
        <v>4686</v>
      </c>
      <c r="D1630" t="s">
        <v>629</v>
      </c>
      <c r="E1630" s="259" t="s">
        <v>1853</v>
      </c>
      <c r="F1630" t="s">
        <v>620</v>
      </c>
      <c r="G1630" s="89">
        <v>2018</v>
      </c>
      <c r="H1630" s="341" t="s">
        <v>733</v>
      </c>
      <c r="I1630" s="337" t="str">
        <f t="shared" si="76"/>
        <v>Pesado de Passageiros M3: III : Gasóleo : E6</v>
      </c>
      <c r="J1630" s="125">
        <v>64</v>
      </c>
      <c r="K1630" s="264">
        <v>2022</v>
      </c>
      <c r="L1630" s="85">
        <v>49547.09</v>
      </c>
      <c r="M1630" s="85" t="s">
        <v>630</v>
      </c>
      <c r="N1630" s="128">
        <v>158862</v>
      </c>
      <c r="O1630" s="128">
        <f t="shared" si="77"/>
        <v>10167168</v>
      </c>
      <c r="Q1630" t="s">
        <v>47</v>
      </c>
      <c r="R1630" s="220" t="s">
        <v>1888</v>
      </c>
      <c r="S1630" s="220" t="s">
        <v>1861</v>
      </c>
      <c r="T1630" t="s">
        <v>2278</v>
      </c>
      <c r="U1630" t="s">
        <v>1972</v>
      </c>
      <c r="V1630" t="s">
        <v>2832</v>
      </c>
    </row>
    <row r="1631" spans="1:22" ht="15.75" thickBot="1" x14ac:dyDescent="0.3">
      <c r="A1631" t="s">
        <v>4686</v>
      </c>
      <c r="B1631" t="s">
        <v>4686</v>
      </c>
      <c r="C1631" t="s">
        <v>4686</v>
      </c>
      <c r="D1631" t="s">
        <v>629</v>
      </c>
      <c r="E1631" s="259" t="s">
        <v>1853</v>
      </c>
      <c r="F1631" t="s">
        <v>620</v>
      </c>
      <c r="G1631" s="89">
        <v>2017</v>
      </c>
      <c r="H1631" s="341" t="s">
        <v>733</v>
      </c>
      <c r="I1631" s="337" t="str">
        <f t="shared" si="76"/>
        <v>Pesado de Passageiros M3: III : Gasóleo : E6</v>
      </c>
      <c r="J1631" s="125">
        <v>59</v>
      </c>
      <c r="K1631" s="264">
        <v>2022</v>
      </c>
      <c r="L1631" s="85">
        <v>27920.17</v>
      </c>
      <c r="M1631" s="85" t="s">
        <v>630</v>
      </c>
      <c r="N1631" s="128">
        <v>102339</v>
      </c>
      <c r="O1631" s="128">
        <f t="shared" si="77"/>
        <v>6038001</v>
      </c>
      <c r="Q1631" t="s">
        <v>47</v>
      </c>
      <c r="R1631" s="220" t="s">
        <v>1888</v>
      </c>
      <c r="S1631" s="220" t="s">
        <v>1861</v>
      </c>
      <c r="T1631" t="s">
        <v>2279</v>
      </c>
      <c r="U1631" t="s">
        <v>1972</v>
      </c>
      <c r="V1631" t="s">
        <v>2832</v>
      </c>
    </row>
    <row r="1632" spans="1:22" ht="15.75" thickBot="1" x14ac:dyDescent="0.3">
      <c r="A1632" t="s">
        <v>4686</v>
      </c>
      <c r="B1632" t="s">
        <v>4686</v>
      </c>
      <c r="C1632" t="s">
        <v>4686</v>
      </c>
      <c r="D1632" t="s">
        <v>629</v>
      </c>
      <c r="E1632" s="259" t="s">
        <v>1853</v>
      </c>
      <c r="F1632" t="s">
        <v>620</v>
      </c>
      <c r="G1632" s="89">
        <v>2014</v>
      </c>
      <c r="H1632" s="341" t="s">
        <v>734</v>
      </c>
      <c r="I1632" s="337" t="str">
        <f t="shared" si="76"/>
        <v>Pesado de Passageiros M3: III : Gasóleo : E5</v>
      </c>
      <c r="J1632" s="125">
        <v>54</v>
      </c>
      <c r="K1632" s="264">
        <v>2022</v>
      </c>
      <c r="L1632" s="85">
        <v>50206.65</v>
      </c>
      <c r="M1632" s="85" t="s">
        <v>630</v>
      </c>
      <c r="N1632" s="128">
        <v>189395</v>
      </c>
      <c r="O1632" s="128">
        <f t="shared" si="77"/>
        <v>10227330</v>
      </c>
      <c r="Q1632" t="s">
        <v>47</v>
      </c>
      <c r="R1632" s="220" t="s">
        <v>1888</v>
      </c>
      <c r="S1632" s="220" t="s">
        <v>1861</v>
      </c>
      <c r="T1632" t="s">
        <v>2280</v>
      </c>
      <c r="U1632" t="s">
        <v>1972</v>
      </c>
      <c r="V1632" t="s">
        <v>2832</v>
      </c>
    </row>
    <row r="1633" spans="1:22" ht="15.75" thickBot="1" x14ac:dyDescent="0.3">
      <c r="A1633" t="s">
        <v>4686</v>
      </c>
      <c r="B1633" t="s">
        <v>4686</v>
      </c>
      <c r="C1633" t="s">
        <v>4686</v>
      </c>
      <c r="D1633" t="s">
        <v>629</v>
      </c>
      <c r="E1633" s="259" t="s">
        <v>1853</v>
      </c>
      <c r="F1633" t="s">
        <v>620</v>
      </c>
      <c r="G1633" s="89">
        <v>2014</v>
      </c>
      <c r="H1633" s="341" t="s">
        <v>734</v>
      </c>
      <c r="I1633" s="337" t="str">
        <f t="shared" si="76"/>
        <v>Pesado de Passageiros M3: III : Gasóleo : E5</v>
      </c>
      <c r="J1633" s="125">
        <v>54</v>
      </c>
      <c r="K1633" s="264">
        <v>2022</v>
      </c>
      <c r="L1633" s="85">
        <v>52287.950000000004</v>
      </c>
      <c r="M1633" s="85" t="s">
        <v>630</v>
      </c>
      <c r="N1633" s="128">
        <v>206861</v>
      </c>
      <c r="O1633" s="128">
        <f t="shared" si="77"/>
        <v>11170494</v>
      </c>
      <c r="Q1633" t="s">
        <v>47</v>
      </c>
      <c r="R1633" s="220" t="s">
        <v>1888</v>
      </c>
      <c r="S1633" s="220" t="s">
        <v>1861</v>
      </c>
      <c r="T1633" t="s">
        <v>2281</v>
      </c>
      <c r="U1633" t="s">
        <v>1972</v>
      </c>
      <c r="V1633" t="s">
        <v>2832</v>
      </c>
    </row>
    <row r="1634" spans="1:22" ht="15.75" thickBot="1" x14ac:dyDescent="0.3">
      <c r="A1634" t="s">
        <v>4686</v>
      </c>
      <c r="B1634" t="s">
        <v>4686</v>
      </c>
      <c r="C1634" t="s">
        <v>4686</v>
      </c>
      <c r="D1634" t="s">
        <v>629</v>
      </c>
      <c r="E1634" s="259" t="s">
        <v>1853</v>
      </c>
      <c r="F1634" t="s">
        <v>620</v>
      </c>
      <c r="G1634" s="89">
        <v>2014</v>
      </c>
      <c r="H1634" s="341" t="s">
        <v>734</v>
      </c>
      <c r="I1634" s="337" t="str">
        <f t="shared" si="76"/>
        <v>Pesado de Passageiros M3: III : Gasóleo : E5</v>
      </c>
      <c r="J1634" s="125">
        <v>54</v>
      </c>
      <c r="K1634" s="264">
        <v>2022</v>
      </c>
      <c r="L1634" s="85">
        <v>39053.279999999992</v>
      </c>
      <c r="M1634" s="85" t="s">
        <v>630</v>
      </c>
      <c r="N1634" s="128">
        <v>145891</v>
      </c>
      <c r="O1634" s="128">
        <f t="shared" si="77"/>
        <v>7878114</v>
      </c>
      <c r="Q1634" t="s">
        <v>47</v>
      </c>
      <c r="R1634" s="220" t="s">
        <v>1888</v>
      </c>
      <c r="S1634" s="220" t="s">
        <v>1861</v>
      </c>
      <c r="T1634" t="s">
        <v>2282</v>
      </c>
      <c r="U1634" t="s">
        <v>1972</v>
      </c>
      <c r="V1634" t="s">
        <v>2832</v>
      </c>
    </row>
    <row r="1635" spans="1:22" ht="15.75" thickBot="1" x14ac:dyDescent="0.3">
      <c r="A1635" t="s">
        <v>4686</v>
      </c>
      <c r="B1635" t="s">
        <v>4686</v>
      </c>
      <c r="C1635" t="s">
        <v>4686</v>
      </c>
      <c r="D1635" t="s">
        <v>629</v>
      </c>
      <c r="E1635" s="259" t="s">
        <v>1853</v>
      </c>
      <c r="F1635" t="s">
        <v>620</v>
      </c>
      <c r="G1635" s="89">
        <v>2014</v>
      </c>
      <c r="H1635" s="341" t="s">
        <v>734</v>
      </c>
      <c r="I1635" s="337" t="str">
        <f t="shared" si="76"/>
        <v>Pesado de Passageiros M3: III : Gasóleo : E5</v>
      </c>
      <c r="J1635" s="125">
        <v>54</v>
      </c>
      <c r="K1635" s="264">
        <v>2022</v>
      </c>
      <c r="L1635" s="85">
        <v>49156.829999999994</v>
      </c>
      <c r="M1635" s="85" t="s">
        <v>630</v>
      </c>
      <c r="N1635" s="128">
        <v>195792</v>
      </c>
      <c r="O1635" s="128">
        <f t="shared" si="77"/>
        <v>10572768</v>
      </c>
      <c r="Q1635" t="s">
        <v>47</v>
      </c>
      <c r="R1635" s="220" t="s">
        <v>1888</v>
      </c>
      <c r="S1635" s="220" t="s">
        <v>1861</v>
      </c>
      <c r="T1635" t="s">
        <v>2283</v>
      </c>
      <c r="U1635" t="s">
        <v>1972</v>
      </c>
      <c r="V1635" t="s">
        <v>2832</v>
      </c>
    </row>
    <row r="1636" spans="1:22" ht="15.75" thickBot="1" x14ac:dyDescent="0.3">
      <c r="A1636" t="s">
        <v>4686</v>
      </c>
      <c r="B1636" t="s">
        <v>4686</v>
      </c>
      <c r="C1636" t="s">
        <v>4686</v>
      </c>
      <c r="D1636" t="s">
        <v>629</v>
      </c>
      <c r="E1636" s="259" t="s">
        <v>1853</v>
      </c>
      <c r="F1636" t="s">
        <v>620</v>
      </c>
      <c r="G1636" s="89">
        <v>2016</v>
      </c>
      <c r="H1636" s="341" t="s">
        <v>733</v>
      </c>
      <c r="I1636" s="337" t="str">
        <f t="shared" si="76"/>
        <v>Pesado de Passageiros M3: III : Gasóleo : E6</v>
      </c>
      <c r="J1636" s="125">
        <v>54</v>
      </c>
      <c r="K1636" s="264">
        <v>2022</v>
      </c>
      <c r="L1636" s="85">
        <v>32668.260000000002</v>
      </c>
      <c r="M1636" s="85" t="s">
        <v>630</v>
      </c>
      <c r="N1636" s="128">
        <v>129649</v>
      </c>
      <c r="O1636" s="128">
        <f t="shared" si="77"/>
        <v>7001046</v>
      </c>
      <c r="Q1636" t="s">
        <v>47</v>
      </c>
      <c r="R1636" s="220" t="s">
        <v>1888</v>
      </c>
      <c r="S1636" s="220" t="s">
        <v>1861</v>
      </c>
      <c r="T1636" t="s">
        <v>2284</v>
      </c>
      <c r="U1636" t="s">
        <v>1972</v>
      </c>
      <c r="V1636" t="s">
        <v>2832</v>
      </c>
    </row>
    <row r="1637" spans="1:22" ht="15.75" thickBot="1" x14ac:dyDescent="0.3">
      <c r="A1637" t="s">
        <v>4686</v>
      </c>
      <c r="B1637" t="s">
        <v>4686</v>
      </c>
      <c r="C1637" t="s">
        <v>4686</v>
      </c>
      <c r="D1637" t="s">
        <v>629</v>
      </c>
      <c r="E1637" s="259" t="s">
        <v>1853</v>
      </c>
      <c r="F1637" t="s">
        <v>620</v>
      </c>
      <c r="G1637" s="89">
        <v>2016</v>
      </c>
      <c r="H1637" s="341" t="s">
        <v>733</v>
      </c>
      <c r="I1637" s="337" t="str">
        <f t="shared" si="76"/>
        <v>Pesado de Passageiros M3: III : Gasóleo : E6</v>
      </c>
      <c r="J1637" s="125">
        <v>54</v>
      </c>
      <c r="K1637" s="264">
        <v>2022</v>
      </c>
      <c r="L1637" s="85">
        <v>46577.05</v>
      </c>
      <c r="M1637" s="85" t="s">
        <v>630</v>
      </c>
      <c r="N1637" s="128">
        <v>178046</v>
      </c>
      <c r="O1637" s="128">
        <f t="shared" si="77"/>
        <v>9614484</v>
      </c>
      <c r="Q1637" t="s">
        <v>47</v>
      </c>
      <c r="R1637" s="220" t="s">
        <v>1888</v>
      </c>
      <c r="S1637" s="220" t="s">
        <v>1861</v>
      </c>
      <c r="T1637" t="s">
        <v>2285</v>
      </c>
      <c r="U1637" t="s">
        <v>1972</v>
      </c>
      <c r="V1637" t="s">
        <v>2832</v>
      </c>
    </row>
    <row r="1638" spans="1:22" ht="15.75" thickBot="1" x14ac:dyDescent="0.3">
      <c r="A1638" t="s">
        <v>4686</v>
      </c>
      <c r="B1638" t="s">
        <v>4686</v>
      </c>
      <c r="C1638" t="s">
        <v>4686</v>
      </c>
      <c r="D1638" t="s">
        <v>629</v>
      </c>
      <c r="E1638" s="259" t="s">
        <v>1853</v>
      </c>
      <c r="F1638" t="s">
        <v>620</v>
      </c>
      <c r="G1638" s="89">
        <v>2016</v>
      </c>
      <c r="H1638" s="341" t="s">
        <v>733</v>
      </c>
      <c r="I1638" s="337" t="str">
        <f t="shared" si="76"/>
        <v>Pesado de Passageiros M3: III : Gasóleo : E6</v>
      </c>
      <c r="J1638" s="125">
        <v>54</v>
      </c>
      <c r="K1638" s="264">
        <v>2022</v>
      </c>
      <c r="L1638" s="85">
        <v>38822.800000000003</v>
      </c>
      <c r="M1638" s="85" t="s">
        <v>630</v>
      </c>
      <c r="N1638" s="128">
        <v>147489</v>
      </c>
      <c r="O1638" s="128">
        <f t="shared" si="77"/>
        <v>7964406</v>
      </c>
      <c r="Q1638" t="s">
        <v>47</v>
      </c>
      <c r="R1638" s="220" t="s">
        <v>1888</v>
      </c>
      <c r="S1638" s="220" t="s">
        <v>1861</v>
      </c>
      <c r="T1638" t="s">
        <v>2286</v>
      </c>
      <c r="U1638" t="s">
        <v>1972</v>
      </c>
      <c r="V1638" t="s">
        <v>2832</v>
      </c>
    </row>
    <row r="1639" spans="1:22" ht="15.75" thickBot="1" x14ac:dyDescent="0.3">
      <c r="A1639" t="s">
        <v>4686</v>
      </c>
      <c r="B1639" t="s">
        <v>4686</v>
      </c>
      <c r="C1639" t="s">
        <v>4686</v>
      </c>
      <c r="D1639" t="s">
        <v>629</v>
      </c>
      <c r="E1639" s="259" t="s">
        <v>1853</v>
      </c>
      <c r="F1639" t="s">
        <v>620</v>
      </c>
      <c r="G1639" s="89">
        <v>2016</v>
      </c>
      <c r="H1639" s="341" t="s">
        <v>733</v>
      </c>
      <c r="I1639" s="337" t="str">
        <f t="shared" si="76"/>
        <v>Pesado de Passageiros M3: III : Gasóleo : E6</v>
      </c>
      <c r="J1639" s="125">
        <v>54</v>
      </c>
      <c r="K1639" s="264">
        <v>2022</v>
      </c>
      <c r="L1639" s="85">
        <v>41398.794000000002</v>
      </c>
      <c r="M1639" s="85" t="s">
        <v>630</v>
      </c>
      <c r="N1639" s="128">
        <v>162052</v>
      </c>
      <c r="O1639" s="128">
        <f t="shared" si="77"/>
        <v>8750808</v>
      </c>
      <c r="Q1639" t="s">
        <v>47</v>
      </c>
      <c r="R1639" s="220" t="s">
        <v>1888</v>
      </c>
      <c r="S1639" s="220" t="s">
        <v>1861</v>
      </c>
      <c r="T1639" t="s">
        <v>2287</v>
      </c>
      <c r="U1639" t="s">
        <v>1972</v>
      </c>
      <c r="V1639" t="s">
        <v>2832</v>
      </c>
    </row>
    <row r="1640" spans="1:22" ht="15.75" thickBot="1" x14ac:dyDescent="0.3">
      <c r="A1640" t="s">
        <v>4686</v>
      </c>
      <c r="B1640" t="s">
        <v>4686</v>
      </c>
      <c r="C1640" t="s">
        <v>4686</v>
      </c>
      <c r="D1640" t="s">
        <v>629</v>
      </c>
      <c r="E1640" s="259" t="s">
        <v>1853</v>
      </c>
      <c r="F1640" t="s">
        <v>620</v>
      </c>
      <c r="G1640" s="89">
        <v>2016</v>
      </c>
      <c r="H1640" s="341" t="s">
        <v>733</v>
      </c>
      <c r="I1640" s="337" t="str">
        <f t="shared" si="76"/>
        <v>Pesado de Passageiros M3: III : Gasóleo : E6</v>
      </c>
      <c r="J1640" s="125">
        <v>54</v>
      </c>
      <c r="K1640" s="264">
        <v>2022</v>
      </c>
      <c r="L1640" s="85">
        <v>50304.5</v>
      </c>
      <c r="M1640" s="85" t="s">
        <v>630</v>
      </c>
      <c r="N1640" s="128">
        <v>199744</v>
      </c>
      <c r="O1640" s="128">
        <f t="shared" si="77"/>
        <v>10786176</v>
      </c>
      <c r="Q1640" t="s">
        <v>47</v>
      </c>
      <c r="R1640" s="220" t="s">
        <v>1888</v>
      </c>
      <c r="S1640" s="220" t="s">
        <v>1861</v>
      </c>
      <c r="T1640" t="s">
        <v>2288</v>
      </c>
      <c r="U1640" t="s">
        <v>1972</v>
      </c>
      <c r="V1640" t="s">
        <v>2832</v>
      </c>
    </row>
    <row r="1641" spans="1:22" ht="15.75" thickBot="1" x14ac:dyDescent="0.3">
      <c r="A1641" t="s">
        <v>4686</v>
      </c>
      <c r="B1641" t="s">
        <v>4686</v>
      </c>
      <c r="C1641" t="s">
        <v>4686</v>
      </c>
      <c r="D1641" t="s">
        <v>629</v>
      </c>
      <c r="E1641" s="259" t="s">
        <v>1853</v>
      </c>
      <c r="F1641" t="s">
        <v>620</v>
      </c>
      <c r="G1641" s="89">
        <v>2013</v>
      </c>
      <c r="H1641" s="341" t="s">
        <v>734</v>
      </c>
      <c r="I1641" s="337" t="str">
        <f t="shared" si="76"/>
        <v>Pesado de Passageiros M3: III : Gasóleo : E5</v>
      </c>
      <c r="J1641" s="125">
        <v>54</v>
      </c>
      <c r="K1641" s="264">
        <v>2022</v>
      </c>
      <c r="L1641" s="85">
        <v>28407.759999999998</v>
      </c>
      <c r="M1641" s="85" t="s">
        <v>630</v>
      </c>
      <c r="N1641" s="128">
        <v>105413</v>
      </c>
      <c r="O1641" s="128">
        <f t="shared" si="77"/>
        <v>5692302</v>
      </c>
      <c r="Q1641" t="s">
        <v>47</v>
      </c>
      <c r="R1641" s="220" t="s">
        <v>1888</v>
      </c>
      <c r="S1641" s="220" t="s">
        <v>1861</v>
      </c>
      <c r="T1641" t="s">
        <v>2289</v>
      </c>
      <c r="U1641" t="s">
        <v>1972</v>
      </c>
      <c r="V1641" t="s">
        <v>2832</v>
      </c>
    </row>
    <row r="1642" spans="1:22" ht="15.75" thickBot="1" x14ac:dyDescent="0.3">
      <c r="A1642" t="s">
        <v>4686</v>
      </c>
      <c r="B1642" t="s">
        <v>4686</v>
      </c>
      <c r="C1642" t="s">
        <v>4686</v>
      </c>
      <c r="D1642" t="s">
        <v>629</v>
      </c>
      <c r="E1642" s="259" t="s">
        <v>1853</v>
      </c>
      <c r="F1642" t="s">
        <v>620</v>
      </c>
      <c r="G1642" s="89">
        <v>2013</v>
      </c>
      <c r="H1642" s="341" t="s">
        <v>734</v>
      </c>
      <c r="I1642" s="337" t="str">
        <f t="shared" si="76"/>
        <v>Pesado de Passageiros M3: III : Gasóleo : E5</v>
      </c>
      <c r="J1642" s="125">
        <v>54</v>
      </c>
      <c r="K1642" s="264">
        <v>2022</v>
      </c>
      <c r="L1642" s="85">
        <v>32053.339999999997</v>
      </c>
      <c r="M1642" s="85" t="s">
        <v>630</v>
      </c>
      <c r="N1642" s="128">
        <v>114175</v>
      </c>
      <c r="O1642" s="128">
        <f t="shared" si="77"/>
        <v>6165450</v>
      </c>
      <c r="Q1642" t="s">
        <v>47</v>
      </c>
      <c r="R1642" s="220" t="s">
        <v>1888</v>
      </c>
      <c r="S1642" s="220" t="s">
        <v>1861</v>
      </c>
      <c r="T1642" t="s">
        <v>2290</v>
      </c>
      <c r="U1642" t="s">
        <v>1972</v>
      </c>
      <c r="V1642" t="s">
        <v>2832</v>
      </c>
    </row>
    <row r="1643" spans="1:22" ht="15.75" thickBot="1" x14ac:dyDescent="0.3">
      <c r="A1643" t="s">
        <v>4686</v>
      </c>
      <c r="B1643" t="s">
        <v>4686</v>
      </c>
      <c r="C1643" t="s">
        <v>4686</v>
      </c>
      <c r="D1643" t="s">
        <v>629</v>
      </c>
      <c r="E1643" s="259" t="s">
        <v>1853</v>
      </c>
      <c r="F1643" t="s">
        <v>620</v>
      </c>
      <c r="G1643" s="89">
        <v>2013</v>
      </c>
      <c r="H1643" s="341" t="s">
        <v>734</v>
      </c>
      <c r="I1643" s="337" t="str">
        <f t="shared" si="76"/>
        <v>Pesado de Passageiros M3: III : Gasóleo : E5</v>
      </c>
      <c r="J1643" s="125">
        <v>55</v>
      </c>
      <c r="K1643" s="264">
        <v>2022</v>
      </c>
      <c r="L1643" s="85">
        <v>49797.27</v>
      </c>
      <c r="M1643" s="85" t="s">
        <v>630</v>
      </c>
      <c r="N1643" s="128">
        <v>179093</v>
      </c>
      <c r="O1643" s="128">
        <f t="shared" si="77"/>
        <v>9850115</v>
      </c>
      <c r="Q1643" t="s">
        <v>47</v>
      </c>
      <c r="R1643" s="220" t="s">
        <v>1888</v>
      </c>
      <c r="S1643" s="220" t="s">
        <v>1861</v>
      </c>
      <c r="T1643" t="s">
        <v>2291</v>
      </c>
      <c r="U1643" t="s">
        <v>1972</v>
      </c>
      <c r="V1643" t="s">
        <v>2832</v>
      </c>
    </row>
    <row r="1644" spans="1:22" ht="15.75" thickBot="1" x14ac:dyDescent="0.3">
      <c r="A1644" t="s">
        <v>4686</v>
      </c>
      <c r="B1644" t="s">
        <v>4686</v>
      </c>
      <c r="C1644" t="s">
        <v>4686</v>
      </c>
      <c r="D1644" t="s">
        <v>629</v>
      </c>
      <c r="E1644" s="259" t="s">
        <v>1853</v>
      </c>
      <c r="F1644" t="s">
        <v>620</v>
      </c>
      <c r="G1644" s="89">
        <v>2013</v>
      </c>
      <c r="H1644" s="341" t="s">
        <v>734</v>
      </c>
      <c r="I1644" s="337" t="str">
        <f t="shared" si="76"/>
        <v>Pesado de Passageiros M3: III : Gasóleo : E5</v>
      </c>
      <c r="J1644" s="125">
        <v>55</v>
      </c>
      <c r="K1644" s="264">
        <v>2022</v>
      </c>
      <c r="L1644" s="85">
        <v>42580.62</v>
      </c>
      <c r="M1644" s="85" t="s">
        <v>630</v>
      </c>
      <c r="N1644" s="128">
        <v>162713</v>
      </c>
      <c r="O1644" s="128">
        <f t="shared" si="77"/>
        <v>8949215</v>
      </c>
      <c r="Q1644" t="s">
        <v>47</v>
      </c>
      <c r="R1644" s="220" t="s">
        <v>1888</v>
      </c>
      <c r="S1644" s="220" t="s">
        <v>1861</v>
      </c>
      <c r="T1644" t="s">
        <v>2292</v>
      </c>
      <c r="U1644" t="s">
        <v>1972</v>
      </c>
      <c r="V1644" t="s">
        <v>2832</v>
      </c>
    </row>
    <row r="1645" spans="1:22" ht="15.75" thickBot="1" x14ac:dyDescent="0.3">
      <c r="A1645" t="s">
        <v>4686</v>
      </c>
      <c r="B1645" t="s">
        <v>4686</v>
      </c>
      <c r="C1645" t="s">
        <v>4686</v>
      </c>
      <c r="D1645" t="s">
        <v>629</v>
      </c>
      <c r="E1645" s="259" t="s">
        <v>1853</v>
      </c>
      <c r="F1645" t="s">
        <v>620</v>
      </c>
      <c r="G1645" s="89">
        <v>2016</v>
      </c>
      <c r="H1645" s="341" t="s">
        <v>733</v>
      </c>
      <c r="I1645" s="337" t="str">
        <f t="shared" si="76"/>
        <v>Pesado de Passageiros M3: III : Gasóleo : E6</v>
      </c>
      <c r="J1645" s="125">
        <v>54</v>
      </c>
      <c r="K1645" s="264">
        <v>2022</v>
      </c>
      <c r="L1645" s="85">
        <v>36512.030000000006</v>
      </c>
      <c r="M1645" s="85" t="s">
        <v>630</v>
      </c>
      <c r="N1645" s="128">
        <v>121616</v>
      </c>
      <c r="O1645" s="128">
        <f t="shared" si="77"/>
        <v>6567264</v>
      </c>
      <c r="Q1645" t="s">
        <v>47</v>
      </c>
      <c r="R1645" s="220" t="s">
        <v>1888</v>
      </c>
      <c r="S1645" s="220" t="s">
        <v>1861</v>
      </c>
      <c r="T1645" t="s">
        <v>2293</v>
      </c>
      <c r="U1645" t="s">
        <v>1972</v>
      </c>
      <c r="V1645" t="s">
        <v>2832</v>
      </c>
    </row>
    <row r="1646" spans="1:22" ht="15.75" thickBot="1" x14ac:dyDescent="0.3">
      <c r="A1646" t="s">
        <v>4686</v>
      </c>
      <c r="B1646" t="s">
        <v>4686</v>
      </c>
      <c r="C1646" t="s">
        <v>4686</v>
      </c>
      <c r="D1646" t="s">
        <v>629</v>
      </c>
      <c r="E1646" s="259" t="s">
        <v>1853</v>
      </c>
      <c r="F1646" t="s">
        <v>620</v>
      </c>
      <c r="G1646" s="89">
        <v>2016</v>
      </c>
      <c r="H1646" s="341" t="s">
        <v>733</v>
      </c>
      <c r="I1646" s="337" t="str">
        <f t="shared" si="76"/>
        <v>Pesado de Passageiros M3: III : Gasóleo : E6</v>
      </c>
      <c r="J1646" s="125">
        <v>54</v>
      </c>
      <c r="K1646" s="264">
        <v>2022</v>
      </c>
      <c r="L1646" s="85">
        <v>40852.49</v>
      </c>
      <c r="M1646" s="85" t="s">
        <v>630</v>
      </c>
      <c r="N1646" s="128">
        <v>147334</v>
      </c>
      <c r="O1646" s="128">
        <f t="shared" si="77"/>
        <v>7956036</v>
      </c>
      <c r="Q1646" t="s">
        <v>47</v>
      </c>
      <c r="R1646" s="220" t="s">
        <v>1888</v>
      </c>
      <c r="S1646" s="220" t="s">
        <v>1861</v>
      </c>
      <c r="T1646" t="s">
        <v>2294</v>
      </c>
      <c r="U1646" t="s">
        <v>1972</v>
      </c>
      <c r="V1646" t="s">
        <v>2832</v>
      </c>
    </row>
    <row r="1647" spans="1:22" ht="15.75" thickBot="1" x14ac:dyDescent="0.3">
      <c r="A1647" t="s">
        <v>4686</v>
      </c>
      <c r="B1647" t="s">
        <v>4686</v>
      </c>
      <c r="C1647" t="s">
        <v>4686</v>
      </c>
      <c r="D1647" t="s">
        <v>629</v>
      </c>
      <c r="E1647" s="259" t="s">
        <v>1853</v>
      </c>
      <c r="F1647" t="s">
        <v>620</v>
      </c>
      <c r="G1647" s="89">
        <v>2016</v>
      </c>
      <c r="H1647" s="341" t="s">
        <v>733</v>
      </c>
      <c r="I1647" s="337" t="str">
        <f t="shared" si="76"/>
        <v>Pesado de Passageiros M3: III : Gasóleo : E6</v>
      </c>
      <c r="J1647" s="125">
        <v>54</v>
      </c>
      <c r="K1647" s="264">
        <v>2022</v>
      </c>
      <c r="L1647" s="85">
        <v>23322.1</v>
      </c>
      <c r="M1647" s="85" t="s">
        <v>630</v>
      </c>
      <c r="N1647" s="128">
        <v>84564</v>
      </c>
      <c r="O1647" s="128">
        <f t="shared" si="77"/>
        <v>4566456</v>
      </c>
      <c r="Q1647" t="s">
        <v>47</v>
      </c>
      <c r="R1647" s="220" t="s">
        <v>1888</v>
      </c>
      <c r="S1647" s="220" t="s">
        <v>1861</v>
      </c>
      <c r="T1647" t="s">
        <v>2295</v>
      </c>
      <c r="U1647" t="s">
        <v>1972</v>
      </c>
      <c r="V1647" t="s">
        <v>2832</v>
      </c>
    </row>
    <row r="1648" spans="1:22" ht="15.75" thickBot="1" x14ac:dyDescent="0.3">
      <c r="A1648" t="s">
        <v>4686</v>
      </c>
      <c r="B1648" t="s">
        <v>4686</v>
      </c>
      <c r="C1648" t="s">
        <v>4686</v>
      </c>
      <c r="D1648" t="s">
        <v>629</v>
      </c>
      <c r="E1648" s="259" t="s">
        <v>1853</v>
      </c>
      <c r="F1648" t="s">
        <v>620</v>
      </c>
      <c r="G1648" s="89">
        <v>2016</v>
      </c>
      <c r="H1648" s="341" t="s">
        <v>733</v>
      </c>
      <c r="I1648" s="337" t="str">
        <f t="shared" si="76"/>
        <v>Pesado de Passageiros M3: III : Gasóleo : E6</v>
      </c>
      <c r="J1648" s="125">
        <v>54</v>
      </c>
      <c r="K1648" s="264">
        <v>2022</v>
      </c>
      <c r="L1648" s="85">
        <v>65288.149999999994</v>
      </c>
      <c r="M1648" s="85" t="s">
        <v>630</v>
      </c>
      <c r="N1648" s="128">
        <v>220314</v>
      </c>
      <c r="O1648" s="128">
        <f t="shared" si="77"/>
        <v>11896956</v>
      </c>
      <c r="Q1648" t="s">
        <v>47</v>
      </c>
      <c r="R1648" s="220" t="s">
        <v>1888</v>
      </c>
      <c r="S1648" s="220" t="s">
        <v>1861</v>
      </c>
      <c r="T1648" t="s">
        <v>2296</v>
      </c>
      <c r="U1648" t="s">
        <v>1972</v>
      </c>
      <c r="V1648" t="s">
        <v>2832</v>
      </c>
    </row>
    <row r="1649" spans="1:22" ht="15.75" thickBot="1" x14ac:dyDescent="0.3">
      <c r="A1649" t="s">
        <v>4686</v>
      </c>
      <c r="B1649" t="s">
        <v>4686</v>
      </c>
      <c r="C1649" t="s">
        <v>4686</v>
      </c>
      <c r="D1649" t="s">
        <v>629</v>
      </c>
      <c r="E1649" s="259" t="s">
        <v>1853</v>
      </c>
      <c r="F1649" t="s">
        <v>620</v>
      </c>
      <c r="G1649" s="89">
        <v>2016</v>
      </c>
      <c r="H1649" s="341" t="s">
        <v>733</v>
      </c>
      <c r="I1649" s="337" t="str">
        <f t="shared" si="76"/>
        <v>Pesado de Passageiros M3: III : Gasóleo : E6</v>
      </c>
      <c r="J1649" s="125">
        <v>54</v>
      </c>
      <c r="K1649" s="264">
        <v>2022</v>
      </c>
      <c r="L1649" s="85">
        <v>32957.269999999997</v>
      </c>
      <c r="M1649" s="85" t="s">
        <v>630</v>
      </c>
      <c r="N1649" s="128">
        <v>120344</v>
      </c>
      <c r="O1649" s="128">
        <f t="shared" si="77"/>
        <v>6498576</v>
      </c>
      <c r="Q1649" t="s">
        <v>47</v>
      </c>
      <c r="R1649" s="220" t="s">
        <v>1888</v>
      </c>
      <c r="S1649" s="220" t="s">
        <v>1861</v>
      </c>
      <c r="T1649" t="s">
        <v>2297</v>
      </c>
      <c r="U1649" t="s">
        <v>1972</v>
      </c>
      <c r="V1649" t="s">
        <v>2832</v>
      </c>
    </row>
    <row r="1650" spans="1:22" ht="15.75" thickBot="1" x14ac:dyDescent="0.3">
      <c r="A1650" t="s">
        <v>4686</v>
      </c>
      <c r="B1650" t="s">
        <v>4686</v>
      </c>
      <c r="C1650" t="s">
        <v>4686</v>
      </c>
      <c r="D1650" t="s">
        <v>629</v>
      </c>
      <c r="E1650" s="259" t="s">
        <v>1853</v>
      </c>
      <c r="F1650" t="s">
        <v>620</v>
      </c>
      <c r="G1650" s="89">
        <v>2019</v>
      </c>
      <c r="H1650" s="341" t="s">
        <v>733</v>
      </c>
      <c r="I1650" s="337" t="str">
        <f t="shared" si="76"/>
        <v>Pesado de Passageiros M3: III : Gasóleo : E6</v>
      </c>
      <c r="J1650" s="125">
        <v>54</v>
      </c>
      <c r="K1650" s="264">
        <v>2022</v>
      </c>
      <c r="L1650" s="85">
        <v>46352.420000000006</v>
      </c>
      <c r="M1650" s="85" t="s">
        <v>630</v>
      </c>
      <c r="N1650" s="128">
        <v>193865</v>
      </c>
      <c r="O1650" s="128">
        <f t="shared" si="77"/>
        <v>10468710</v>
      </c>
      <c r="Q1650" t="s">
        <v>47</v>
      </c>
      <c r="R1650" s="220" t="s">
        <v>1888</v>
      </c>
      <c r="S1650" s="220" t="s">
        <v>1861</v>
      </c>
      <c r="T1650" t="s">
        <v>2298</v>
      </c>
      <c r="U1650" t="s">
        <v>1972</v>
      </c>
      <c r="V1650" t="s">
        <v>2832</v>
      </c>
    </row>
    <row r="1651" spans="1:22" ht="15.75" thickBot="1" x14ac:dyDescent="0.3">
      <c r="A1651" t="s">
        <v>4686</v>
      </c>
      <c r="B1651" t="s">
        <v>4686</v>
      </c>
      <c r="C1651" t="s">
        <v>4686</v>
      </c>
      <c r="D1651" t="s">
        <v>629</v>
      </c>
      <c r="E1651" s="259" t="s">
        <v>1853</v>
      </c>
      <c r="F1651" t="s">
        <v>620</v>
      </c>
      <c r="G1651" s="89">
        <v>2019</v>
      </c>
      <c r="H1651" s="341" t="s">
        <v>733</v>
      </c>
      <c r="I1651" s="337" t="str">
        <f t="shared" si="76"/>
        <v>Pesado de Passageiros M3: III : Gasóleo : E6</v>
      </c>
      <c r="J1651" s="125">
        <v>54</v>
      </c>
      <c r="K1651" s="264">
        <v>2022</v>
      </c>
      <c r="L1651" s="85">
        <v>49632.08</v>
      </c>
      <c r="M1651" s="85" t="s">
        <v>630</v>
      </c>
      <c r="N1651" s="128">
        <v>205681</v>
      </c>
      <c r="O1651" s="128">
        <f t="shared" si="77"/>
        <v>11106774</v>
      </c>
      <c r="Q1651" t="s">
        <v>47</v>
      </c>
      <c r="R1651" s="220" t="s">
        <v>1888</v>
      </c>
      <c r="S1651" s="220" t="s">
        <v>1861</v>
      </c>
      <c r="T1651" t="s">
        <v>2299</v>
      </c>
      <c r="U1651" t="s">
        <v>1972</v>
      </c>
      <c r="V1651" t="s">
        <v>2832</v>
      </c>
    </row>
    <row r="1652" spans="1:22" ht="15.75" thickBot="1" x14ac:dyDescent="0.3">
      <c r="A1652" t="s">
        <v>4686</v>
      </c>
      <c r="B1652" t="s">
        <v>4686</v>
      </c>
      <c r="C1652" t="s">
        <v>4686</v>
      </c>
      <c r="D1652" t="s">
        <v>629</v>
      </c>
      <c r="E1652" s="259" t="s">
        <v>1853</v>
      </c>
      <c r="F1652" t="s">
        <v>620</v>
      </c>
      <c r="G1652" s="89">
        <v>2019</v>
      </c>
      <c r="H1652" s="341" t="s">
        <v>733</v>
      </c>
      <c r="I1652" s="337" t="str">
        <f t="shared" si="76"/>
        <v>Pesado de Passageiros M3: III : Gasóleo : E6</v>
      </c>
      <c r="J1652" s="125">
        <v>64</v>
      </c>
      <c r="K1652" s="264">
        <v>2022</v>
      </c>
      <c r="L1652" s="85">
        <v>58789.3</v>
      </c>
      <c r="M1652" s="85" t="s">
        <v>630</v>
      </c>
      <c r="N1652" s="128">
        <v>204901</v>
      </c>
      <c r="O1652" s="128">
        <f t="shared" si="77"/>
        <v>13113664</v>
      </c>
      <c r="Q1652" t="s">
        <v>47</v>
      </c>
      <c r="R1652" s="220" t="s">
        <v>1888</v>
      </c>
      <c r="S1652" s="220" t="s">
        <v>1861</v>
      </c>
      <c r="T1652" t="s">
        <v>2300</v>
      </c>
      <c r="U1652" t="s">
        <v>1972</v>
      </c>
      <c r="V1652" t="s">
        <v>2832</v>
      </c>
    </row>
    <row r="1653" spans="1:22" ht="15.75" thickBot="1" x14ac:dyDescent="0.3">
      <c r="A1653" t="s">
        <v>4686</v>
      </c>
      <c r="B1653" t="s">
        <v>4686</v>
      </c>
      <c r="C1653" t="s">
        <v>4686</v>
      </c>
      <c r="D1653" t="s">
        <v>629</v>
      </c>
      <c r="E1653" s="259" t="s">
        <v>1853</v>
      </c>
      <c r="F1653" t="s">
        <v>620</v>
      </c>
      <c r="G1653" s="89">
        <v>2019</v>
      </c>
      <c r="H1653" s="341" t="s">
        <v>733</v>
      </c>
      <c r="I1653" s="337" t="str">
        <f t="shared" si="76"/>
        <v>Pesado de Passageiros M3: III : Gasóleo : E6</v>
      </c>
      <c r="J1653" s="125">
        <v>64</v>
      </c>
      <c r="K1653" s="264">
        <v>2022</v>
      </c>
      <c r="L1653" s="85">
        <v>41493.81</v>
      </c>
      <c r="M1653" s="85" t="s">
        <v>630</v>
      </c>
      <c r="N1653" s="128">
        <v>135620</v>
      </c>
      <c r="O1653" s="128">
        <f t="shared" si="77"/>
        <v>8679680</v>
      </c>
      <c r="Q1653" t="s">
        <v>47</v>
      </c>
      <c r="R1653" s="220" t="s">
        <v>1888</v>
      </c>
      <c r="S1653" s="220" t="s">
        <v>1861</v>
      </c>
      <c r="T1653" t="s">
        <v>2301</v>
      </c>
      <c r="U1653" t="s">
        <v>1972</v>
      </c>
      <c r="V1653" t="s">
        <v>2832</v>
      </c>
    </row>
    <row r="1654" spans="1:22" ht="15.75" thickBot="1" x14ac:dyDescent="0.3">
      <c r="A1654" t="s">
        <v>4686</v>
      </c>
      <c r="B1654" t="s">
        <v>4686</v>
      </c>
      <c r="C1654" t="s">
        <v>4686</v>
      </c>
      <c r="D1654" t="s">
        <v>629</v>
      </c>
      <c r="E1654" s="259" t="s">
        <v>1853</v>
      </c>
      <c r="F1654" t="s">
        <v>620</v>
      </c>
      <c r="G1654" s="89">
        <v>2020</v>
      </c>
      <c r="H1654" s="341" t="s">
        <v>733</v>
      </c>
      <c r="I1654" s="337" t="str">
        <f t="shared" si="76"/>
        <v>Pesado de Passageiros M3: III : Gasóleo : E6</v>
      </c>
      <c r="J1654" s="125">
        <v>64</v>
      </c>
      <c r="K1654" s="264">
        <v>2022</v>
      </c>
      <c r="L1654" s="85">
        <v>47702.46</v>
      </c>
      <c r="M1654" s="85" t="s">
        <v>630</v>
      </c>
      <c r="N1654" s="128">
        <v>151799</v>
      </c>
      <c r="O1654" s="128">
        <f t="shared" si="77"/>
        <v>9715136</v>
      </c>
      <c r="Q1654" t="s">
        <v>47</v>
      </c>
      <c r="R1654" s="220" t="s">
        <v>1888</v>
      </c>
      <c r="S1654" s="220" t="s">
        <v>1861</v>
      </c>
      <c r="T1654" t="s">
        <v>2302</v>
      </c>
      <c r="U1654" t="s">
        <v>1972</v>
      </c>
      <c r="V1654" t="s">
        <v>2832</v>
      </c>
    </row>
    <row r="1655" spans="1:22" ht="15.75" thickBot="1" x14ac:dyDescent="0.3">
      <c r="A1655" t="s">
        <v>4686</v>
      </c>
      <c r="B1655" t="s">
        <v>4686</v>
      </c>
      <c r="C1655" t="s">
        <v>4686</v>
      </c>
      <c r="D1655" t="s">
        <v>629</v>
      </c>
      <c r="E1655" s="259" t="s">
        <v>1853</v>
      </c>
      <c r="F1655" t="s">
        <v>620</v>
      </c>
      <c r="G1655" s="89">
        <v>2020</v>
      </c>
      <c r="H1655" s="341" t="s">
        <v>733</v>
      </c>
      <c r="I1655" s="337" t="str">
        <f t="shared" si="76"/>
        <v>Pesado de Passageiros M3: III : Gasóleo : E6</v>
      </c>
      <c r="J1655" s="125">
        <v>64</v>
      </c>
      <c r="K1655" s="264">
        <v>2022</v>
      </c>
      <c r="L1655" s="85">
        <v>47637.240000000005</v>
      </c>
      <c r="M1655" s="85" t="s">
        <v>630</v>
      </c>
      <c r="N1655" s="128">
        <v>156000</v>
      </c>
      <c r="O1655" s="128">
        <f t="shared" si="77"/>
        <v>9984000</v>
      </c>
      <c r="Q1655" t="s">
        <v>47</v>
      </c>
      <c r="R1655" s="220" t="s">
        <v>1888</v>
      </c>
      <c r="S1655" s="220" t="s">
        <v>1861</v>
      </c>
      <c r="T1655" t="s">
        <v>2303</v>
      </c>
      <c r="U1655" t="s">
        <v>1972</v>
      </c>
      <c r="V1655" t="s">
        <v>2832</v>
      </c>
    </row>
    <row r="1656" spans="1:22" ht="15.75" thickBot="1" x14ac:dyDescent="0.3">
      <c r="A1656" t="s">
        <v>4686</v>
      </c>
      <c r="B1656" t="s">
        <v>4686</v>
      </c>
      <c r="C1656" t="s">
        <v>4686</v>
      </c>
      <c r="D1656" t="s">
        <v>629</v>
      </c>
      <c r="E1656" s="259" t="s">
        <v>1853</v>
      </c>
      <c r="F1656" t="s">
        <v>620</v>
      </c>
      <c r="G1656" s="89">
        <v>2016</v>
      </c>
      <c r="H1656" s="341" t="s">
        <v>733</v>
      </c>
      <c r="I1656" s="337" t="str">
        <f t="shared" si="76"/>
        <v>Pesado de Passageiros M3: III : Gasóleo : E6</v>
      </c>
      <c r="J1656" s="125">
        <v>54</v>
      </c>
      <c r="K1656" s="264">
        <v>2022</v>
      </c>
      <c r="L1656" s="85">
        <v>41521.450000000004</v>
      </c>
      <c r="M1656" s="85" t="s">
        <v>630</v>
      </c>
      <c r="N1656" s="128">
        <v>161910</v>
      </c>
      <c r="O1656" s="128">
        <f t="shared" si="77"/>
        <v>8743140</v>
      </c>
      <c r="Q1656" t="s">
        <v>47</v>
      </c>
      <c r="R1656" s="220" t="s">
        <v>1888</v>
      </c>
      <c r="S1656" s="220" t="s">
        <v>1861</v>
      </c>
      <c r="T1656" t="s">
        <v>2304</v>
      </c>
      <c r="U1656" t="s">
        <v>1972</v>
      </c>
      <c r="V1656" t="s">
        <v>2832</v>
      </c>
    </row>
    <row r="1657" spans="1:22" ht="15.75" thickBot="1" x14ac:dyDescent="0.3">
      <c r="A1657" t="s">
        <v>4686</v>
      </c>
      <c r="B1657" t="s">
        <v>4686</v>
      </c>
      <c r="C1657" t="s">
        <v>4686</v>
      </c>
      <c r="D1657" t="s">
        <v>629</v>
      </c>
      <c r="E1657" s="259" t="s">
        <v>1853</v>
      </c>
      <c r="F1657" t="s">
        <v>620</v>
      </c>
      <c r="G1657" s="89">
        <v>2016</v>
      </c>
      <c r="H1657" s="341" t="s">
        <v>733</v>
      </c>
      <c r="I1657" s="337" t="str">
        <f t="shared" si="76"/>
        <v>Pesado de Passageiros M3: III : Gasóleo : E6</v>
      </c>
      <c r="J1657" s="125">
        <v>54</v>
      </c>
      <c r="K1657" s="264">
        <v>2022</v>
      </c>
      <c r="L1657" s="85">
        <v>49659.450000000004</v>
      </c>
      <c r="M1657" s="85" t="s">
        <v>630</v>
      </c>
      <c r="N1657" s="128">
        <v>181695</v>
      </c>
      <c r="O1657" s="128">
        <f t="shared" si="77"/>
        <v>9811530</v>
      </c>
      <c r="Q1657" t="s">
        <v>47</v>
      </c>
      <c r="R1657" s="220" t="s">
        <v>1888</v>
      </c>
      <c r="S1657" s="220" t="s">
        <v>1861</v>
      </c>
      <c r="T1657" t="s">
        <v>2305</v>
      </c>
      <c r="U1657" t="s">
        <v>1972</v>
      </c>
      <c r="V1657" t="s">
        <v>2832</v>
      </c>
    </row>
    <row r="1658" spans="1:22" ht="15.75" thickBot="1" x14ac:dyDescent="0.3">
      <c r="A1658" t="s">
        <v>4686</v>
      </c>
      <c r="B1658" t="s">
        <v>4686</v>
      </c>
      <c r="C1658" t="s">
        <v>4686</v>
      </c>
      <c r="D1658" t="s">
        <v>629</v>
      </c>
      <c r="E1658" s="259" t="s">
        <v>1853</v>
      </c>
      <c r="F1658" t="s">
        <v>620</v>
      </c>
      <c r="G1658" s="89">
        <v>2017</v>
      </c>
      <c r="H1658" s="341" t="s">
        <v>733</v>
      </c>
      <c r="I1658" s="337" t="str">
        <f t="shared" si="76"/>
        <v>Pesado de Passageiros M3: III : Gasóleo : E6</v>
      </c>
      <c r="J1658" s="125">
        <v>54</v>
      </c>
      <c r="K1658" s="264">
        <v>2022</v>
      </c>
      <c r="L1658" s="85">
        <v>44488.649999999994</v>
      </c>
      <c r="M1658" s="85" t="s">
        <v>630</v>
      </c>
      <c r="N1658" s="128">
        <v>177863</v>
      </c>
      <c r="O1658" s="128">
        <f t="shared" si="77"/>
        <v>9604602</v>
      </c>
      <c r="Q1658" t="s">
        <v>47</v>
      </c>
      <c r="R1658" s="220" t="s">
        <v>1888</v>
      </c>
      <c r="S1658" s="220" t="s">
        <v>1861</v>
      </c>
      <c r="T1658" t="s">
        <v>2306</v>
      </c>
      <c r="U1658" t="s">
        <v>1972</v>
      </c>
      <c r="V1658" t="s">
        <v>2832</v>
      </c>
    </row>
    <row r="1659" spans="1:22" ht="15.75" thickBot="1" x14ac:dyDescent="0.3">
      <c r="A1659" t="s">
        <v>4686</v>
      </c>
      <c r="B1659" t="s">
        <v>4686</v>
      </c>
      <c r="C1659" t="s">
        <v>4686</v>
      </c>
      <c r="D1659" t="s">
        <v>629</v>
      </c>
      <c r="E1659" s="259" t="s">
        <v>1853</v>
      </c>
      <c r="F1659" t="s">
        <v>620</v>
      </c>
      <c r="G1659" s="89">
        <v>2017</v>
      </c>
      <c r="H1659" s="341" t="s">
        <v>733</v>
      </c>
      <c r="I1659" s="337" t="str">
        <f t="shared" si="76"/>
        <v>Pesado de Passageiros M3: III : Gasóleo : E6</v>
      </c>
      <c r="J1659" s="125">
        <v>54</v>
      </c>
      <c r="K1659" s="264">
        <v>2022</v>
      </c>
      <c r="L1659" s="85">
        <v>40908.559999999998</v>
      </c>
      <c r="M1659" s="85" t="s">
        <v>630</v>
      </c>
      <c r="N1659" s="128">
        <v>162077</v>
      </c>
      <c r="O1659" s="128">
        <f t="shared" si="77"/>
        <v>8752158</v>
      </c>
      <c r="Q1659" t="s">
        <v>47</v>
      </c>
      <c r="R1659" s="220" t="s">
        <v>1888</v>
      </c>
      <c r="S1659" s="220" t="s">
        <v>1861</v>
      </c>
      <c r="T1659" t="s">
        <v>2307</v>
      </c>
      <c r="U1659" t="s">
        <v>1972</v>
      </c>
      <c r="V1659" t="s">
        <v>2832</v>
      </c>
    </row>
    <row r="1660" spans="1:22" ht="15.75" thickBot="1" x14ac:dyDescent="0.3">
      <c r="A1660" t="s">
        <v>4686</v>
      </c>
      <c r="B1660" t="s">
        <v>4686</v>
      </c>
      <c r="C1660" t="s">
        <v>4686</v>
      </c>
      <c r="D1660" t="s">
        <v>629</v>
      </c>
      <c r="E1660" s="259" t="s">
        <v>1853</v>
      </c>
      <c r="F1660" t="s">
        <v>620</v>
      </c>
      <c r="G1660" s="89">
        <v>2017</v>
      </c>
      <c r="H1660" s="341" t="s">
        <v>733</v>
      </c>
      <c r="I1660" s="337" t="str">
        <f t="shared" si="76"/>
        <v>Pesado de Passageiros M3: III : Gasóleo : E6</v>
      </c>
      <c r="J1660" s="125">
        <v>54</v>
      </c>
      <c r="K1660" s="264">
        <v>2022</v>
      </c>
      <c r="L1660" s="85">
        <v>44015.37000000001</v>
      </c>
      <c r="M1660" s="85" t="s">
        <v>630</v>
      </c>
      <c r="N1660" s="128">
        <v>178395</v>
      </c>
      <c r="O1660" s="128">
        <f t="shared" si="77"/>
        <v>9633330</v>
      </c>
      <c r="Q1660" t="s">
        <v>47</v>
      </c>
      <c r="R1660" s="220" t="s">
        <v>1888</v>
      </c>
      <c r="S1660" s="220" t="s">
        <v>1861</v>
      </c>
      <c r="T1660" t="s">
        <v>2308</v>
      </c>
      <c r="U1660" t="s">
        <v>1972</v>
      </c>
      <c r="V1660" t="s">
        <v>2832</v>
      </c>
    </row>
    <row r="1661" spans="1:22" ht="15.75" thickBot="1" x14ac:dyDescent="0.3">
      <c r="A1661" t="s">
        <v>4686</v>
      </c>
      <c r="B1661" t="s">
        <v>4686</v>
      </c>
      <c r="C1661" t="s">
        <v>4686</v>
      </c>
      <c r="D1661" t="s">
        <v>629</v>
      </c>
      <c r="E1661" s="259" t="s">
        <v>1853</v>
      </c>
      <c r="F1661" t="s">
        <v>620</v>
      </c>
      <c r="G1661" s="89">
        <v>2018</v>
      </c>
      <c r="H1661" s="341" t="s">
        <v>733</v>
      </c>
      <c r="I1661" s="337" t="str">
        <f t="shared" si="76"/>
        <v>Pesado de Passageiros M3: III : Gasóleo : E6</v>
      </c>
      <c r="J1661" s="125">
        <v>54</v>
      </c>
      <c r="K1661" s="264">
        <v>2022</v>
      </c>
      <c r="L1661" s="85">
        <v>50518.34</v>
      </c>
      <c r="M1661" s="85" t="s">
        <v>630</v>
      </c>
      <c r="N1661" s="128">
        <v>193770</v>
      </c>
      <c r="O1661" s="128">
        <f t="shared" si="77"/>
        <v>10463580</v>
      </c>
      <c r="Q1661" t="s">
        <v>47</v>
      </c>
      <c r="R1661" s="220" t="s">
        <v>1888</v>
      </c>
      <c r="S1661" s="220" t="s">
        <v>1861</v>
      </c>
      <c r="T1661" t="s">
        <v>2309</v>
      </c>
      <c r="U1661" t="s">
        <v>1972</v>
      </c>
      <c r="V1661" t="s">
        <v>2832</v>
      </c>
    </row>
    <row r="1662" spans="1:22" ht="15.75" thickBot="1" x14ac:dyDescent="0.3">
      <c r="A1662" t="s">
        <v>4686</v>
      </c>
      <c r="B1662" t="s">
        <v>4686</v>
      </c>
      <c r="C1662" t="s">
        <v>4686</v>
      </c>
      <c r="D1662" t="s">
        <v>629</v>
      </c>
      <c r="E1662" s="259" t="s">
        <v>1853</v>
      </c>
      <c r="F1662" t="s">
        <v>620</v>
      </c>
      <c r="G1662" s="89">
        <v>2018</v>
      </c>
      <c r="H1662" s="341" t="s">
        <v>733</v>
      </c>
      <c r="I1662" s="337" t="str">
        <f t="shared" si="76"/>
        <v>Pesado de Passageiros M3: III : Gasóleo : E6</v>
      </c>
      <c r="J1662" s="125">
        <v>54</v>
      </c>
      <c r="K1662" s="264">
        <v>2022</v>
      </c>
      <c r="L1662" s="85">
        <v>37766.57</v>
      </c>
      <c r="M1662" s="85" t="s">
        <v>630</v>
      </c>
      <c r="N1662" s="128">
        <v>139712</v>
      </c>
      <c r="O1662" s="128">
        <f t="shared" si="77"/>
        <v>7544448</v>
      </c>
      <c r="Q1662" t="s">
        <v>47</v>
      </c>
      <c r="R1662" s="220" t="s">
        <v>1888</v>
      </c>
      <c r="S1662" s="220" t="s">
        <v>1861</v>
      </c>
      <c r="T1662" t="s">
        <v>2310</v>
      </c>
      <c r="U1662" t="s">
        <v>1972</v>
      </c>
      <c r="V1662" t="s">
        <v>2832</v>
      </c>
    </row>
    <row r="1663" spans="1:22" ht="15.75" thickBot="1" x14ac:dyDescent="0.3">
      <c r="A1663" t="s">
        <v>4686</v>
      </c>
      <c r="B1663" t="s">
        <v>4686</v>
      </c>
      <c r="C1663" t="s">
        <v>4686</v>
      </c>
      <c r="D1663" t="s">
        <v>629</v>
      </c>
      <c r="E1663" s="259" t="s">
        <v>1853</v>
      </c>
      <c r="F1663" t="s">
        <v>620</v>
      </c>
      <c r="G1663" s="89">
        <v>2018</v>
      </c>
      <c r="H1663" s="341" t="s">
        <v>733</v>
      </c>
      <c r="I1663" s="337" t="str">
        <f t="shared" si="76"/>
        <v>Pesado de Passageiros M3: III : Gasóleo : E6</v>
      </c>
      <c r="J1663" s="125">
        <v>54</v>
      </c>
      <c r="K1663" s="264">
        <v>2022</v>
      </c>
      <c r="L1663" s="85">
        <v>48360.149999999994</v>
      </c>
      <c r="M1663" s="85" t="s">
        <v>630</v>
      </c>
      <c r="N1663" s="128">
        <v>178543</v>
      </c>
      <c r="O1663" s="128">
        <f t="shared" si="77"/>
        <v>9641322</v>
      </c>
      <c r="Q1663" t="s">
        <v>47</v>
      </c>
      <c r="R1663" s="220" t="s">
        <v>1888</v>
      </c>
      <c r="S1663" s="220" t="s">
        <v>1861</v>
      </c>
      <c r="T1663" t="s">
        <v>2311</v>
      </c>
      <c r="U1663" t="s">
        <v>1972</v>
      </c>
      <c r="V1663" t="s">
        <v>2832</v>
      </c>
    </row>
    <row r="1664" spans="1:22" ht="15.75" thickBot="1" x14ac:dyDescent="0.3">
      <c r="A1664" t="s">
        <v>4686</v>
      </c>
      <c r="B1664" t="s">
        <v>4686</v>
      </c>
      <c r="C1664" t="s">
        <v>4686</v>
      </c>
      <c r="D1664" t="s">
        <v>629</v>
      </c>
      <c r="E1664" s="259" t="s">
        <v>1853</v>
      </c>
      <c r="F1664" t="s">
        <v>620</v>
      </c>
      <c r="G1664" s="89">
        <v>2018</v>
      </c>
      <c r="H1664" s="341" t="s">
        <v>733</v>
      </c>
      <c r="I1664" s="337" t="str">
        <f t="shared" si="76"/>
        <v>Pesado de Passageiros M3: III : Gasóleo : E6</v>
      </c>
      <c r="J1664" s="125">
        <v>54</v>
      </c>
      <c r="K1664" s="264">
        <v>2022</v>
      </c>
      <c r="L1664" s="85">
        <v>26815.4</v>
      </c>
      <c r="M1664" s="85" t="s">
        <v>630</v>
      </c>
      <c r="N1664" s="128">
        <v>99215</v>
      </c>
      <c r="O1664" s="128">
        <f t="shared" si="77"/>
        <v>5357610</v>
      </c>
      <c r="Q1664" t="s">
        <v>47</v>
      </c>
      <c r="R1664" s="220" t="s">
        <v>1888</v>
      </c>
      <c r="S1664" s="220" t="s">
        <v>1861</v>
      </c>
      <c r="T1664" t="s">
        <v>2312</v>
      </c>
      <c r="U1664" t="s">
        <v>1972</v>
      </c>
      <c r="V1664" t="s">
        <v>2832</v>
      </c>
    </row>
    <row r="1665" spans="1:22" ht="15.75" thickBot="1" x14ac:dyDescent="0.3">
      <c r="A1665" t="s">
        <v>4686</v>
      </c>
      <c r="B1665" t="s">
        <v>4686</v>
      </c>
      <c r="C1665" t="s">
        <v>4686</v>
      </c>
      <c r="D1665" t="s">
        <v>629</v>
      </c>
      <c r="E1665" s="259" t="s">
        <v>1853</v>
      </c>
      <c r="F1665" t="s">
        <v>620</v>
      </c>
      <c r="G1665" s="89">
        <v>2019</v>
      </c>
      <c r="H1665" s="341" t="s">
        <v>733</v>
      </c>
      <c r="I1665" s="337" t="str">
        <f t="shared" si="76"/>
        <v>Pesado de Passageiros M3: III : Gasóleo : E6</v>
      </c>
      <c r="J1665" s="125">
        <v>54</v>
      </c>
      <c r="K1665" s="264">
        <v>2022</v>
      </c>
      <c r="L1665" s="85">
        <v>59404.66</v>
      </c>
      <c r="M1665" s="85" t="s">
        <v>630</v>
      </c>
      <c r="N1665" s="128">
        <v>220996</v>
      </c>
      <c r="O1665" s="128">
        <f t="shared" si="77"/>
        <v>11933784</v>
      </c>
      <c r="Q1665" t="s">
        <v>47</v>
      </c>
      <c r="R1665" s="220" t="s">
        <v>1888</v>
      </c>
      <c r="S1665" s="220" t="s">
        <v>1861</v>
      </c>
      <c r="T1665" t="s">
        <v>2313</v>
      </c>
      <c r="U1665" t="s">
        <v>1972</v>
      </c>
      <c r="V1665" t="s">
        <v>2832</v>
      </c>
    </row>
    <row r="1666" spans="1:22" ht="15.75" thickBot="1" x14ac:dyDescent="0.3">
      <c r="A1666" t="s">
        <v>4686</v>
      </c>
      <c r="B1666" t="s">
        <v>4686</v>
      </c>
      <c r="C1666" t="s">
        <v>4686</v>
      </c>
      <c r="D1666" t="s">
        <v>629</v>
      </c>
      <c r="E1666" s="259" t="s">
        <v>1853</v>
      </c>
      <c r="F1666" t="s">
        <v>620</v>
      </c>
      <c r="G1666" s="89">
        <v>2019</v>
      </c>
      <c r="H1666" s="341" t="s">
        <v>733</v>
      </c>
      <c r="I1666" s="337" t="str">
        <f t="shared" si="76"/>
        <v>Pesado de Passageiros M3: III : Gasóleo : E6</v>
      </c>
      <c r="J1666" s="125">
        <v>54</v>
      </c>
      <c r="K1666" s="264">
        <v>2022</v>
      </c>
      <c r="L1666" s="85">
        <v>48053.33</v>
      </c>
      <c r="M1666" s="85" t="s">
        <v>630</v>
      </c>
      <c r="N1666" s="128">
        <v>183511</v>
      </c>
      <c r="O1666" s="128">
        <f t="shared" si="77"/>
        <v>9909594</v>
      </c>
      <c r="Q1666" t="s">
        <v>47</v>
      </c>
      <c r="R1666" s="220" t="s">
        <v>1888</v>
      </c>
      <c r="S1666" s="220" t="s">
        <v>1861</v>
      </c>
      <c r="T1666" t="s">
        <v>2314</v>
      </c>
      <c r="U1666" t="s">
        <v>1972</v>
      </c>
      <c r="V1666" t="s">
        <v>2832</v>
      </c>
    </row>
    <row r="1667" spans="1:22" ht="15.75" thickBot="1" x14ac:dyDescent="0.3">
      <c r="A1667" t="s">
        <v>4686</v>
      </c>
      <c r="B1667" t="s">
        <v>4686</v>
      </c>
      <c r="C1667" t="s">
        <v>4686</v>
      </c>
      <c r="D1667" t="s">
        <v>629</v>
      </c>
      <c r="E1667" s="259" t="s">
        <v>1853</v>
      </c>
      <c r="F1667" t="s">
        <v>620</v>
      </c>
      <c r="G1667" s="89">
        <v>2019</v>
      </c>
      <c r="H1667" s="341" t="s">
        <v>733</v>
      </c>
      <c r="I1667" s="337" t="str">
        <f t="shared" si="76"/>
        <v>Pesado de Passageiros M3: III : Gasóleo : E6</v>
      </c>
      <c r="J1667" s="125">
        <v>54</v>
      </c>
      <c r="K1667" s="264">
        <v>2022</v>
      </c>
      <c r="L1667" s="85">
        <v>52041.409999999996</v>
      </c>
      <c r="M1667" s="85" t="s">
        <v>630</v>
      </c>
      <c r="N1667" s="128">
        <v>199130</v>
      </c>
      <c r="O1667" s="128">
        <f t="shared" si="77"/>
        <v>10753020</v>
      </c>
      <c r="Q1667" t="s">
        <v>47</v>
      </c>
      <c r="R1667" s="220" t="s">
        <v>1888</v>
      </c>
      <c r="S1667" s="220" t="s">
        <v>1861</v>
      </c>
      <c r="T1667" t="s">
        <v>2315</v>
      </c>
      <c r="U1667" t="s">
        <v>1972</v>
      </c>
      <c r="V1667" t="s">
        <v>2832</v>
      </c>
    </row>
    <row r="1668" spans="1:22" ht="15.75" thickBot="1" x14ac:dyDescent="0.3">
      <c r="A1668" t="s">
        <v>4686</v>
      </c>
      <c r="B1668" t="s">
        <v>4686</v>
      </c>
      <c r="C1668" t="s">
        <v>4686</v>
      </c>
      <c r="D1668" t="s">
        <v>629</v>
      </c>
      <c r="E1668" s="259" t="s">
        <v>1853</v>
      </c>
      <c r="F1668" t="s">
        <v>620</v>
      </c>
      <c r="G1668" s="89">
        <v>2019</v>
      </c>
      <c r="H1668" s="341" t="s">
        <v>733</v>
      </c>
      <c r="I1668" s="337" t="str">
        <f t="shared" ref="I1668:I1731" si="78">D1668&amp;": "&amp;E1668&amp;" : "&amp;F1668&amp;" : "&amp;H1668</f>
        <v>Pesado de Passageiros M3: III : Gasóleo : E6</v>
      </c>
      <c r="J1668" s="125">
        <v>54</v>
      </c>
      <c r="K1668" s="264">
        <v>2022</v>
      </c>
      <c r="L1668" s="85">
        <v>60848.429999999993</v>
      </c>
      <c r="M1668" s="85" t="s">
        <v>630</v>
      </c>
      <c r="N1668" s="128">
        <v>240034</v>
      </c>
      <c r="O1668" s="128">
        <f t="shared" ref="O1668:O1731" si="79">N1668*J1668</f>
        <v>12961836</v>
      </c>
      <c r="Q1668" t="s">
        <v>47</v>
      </c>
      <c r="R1668" s="220" t="s">
        <v>1888</v>
      </c>
      <c r="S1668" s="220" t="s">
        <v>1861</v>
      </c>
      <c r="T1668" t="s">
        <v>2316</v>
      </c>
      <c r="U1668" t="s">
        <v>1972</v>
      </c>
      <c r="V1668" t="s">
        <v>2832</v>
      </c>
    </row>
    <row r="1669" spans="1:22" ht="15.75" thickBot="1" x14ac:dyDescent="0.3">
      <c r="A1669" t="s">
        <v>4686</v>
      </c>
      <c r="B1669" t="s">
        <v>4686</v>
      </c>
      <c r="C1669" t="s">
        <v>4686</v>
      </c>
      <c r="D1669" t="s">
        <v>629</v>
      </c>
      <c r="E1669" s="259" t="s">
        <v>1853</v>
      </c>
      <c r="F1669" t="s">
        <v>620</v>
      </c>
      <c r="G1669" s="89">
        <v>2019</v>
      </c>
      <c r="H1669" s="341" t="s">
        <v>733</v>
      </c>
      <c r="I1669" s="337" t="str">
        <f t="shared" si="78"/>
        <v>Pesado de Passageiros M3: III : Gasóleo : E6</v>
      </c>
      <c r="J1669" s="125">
        <v>54</v>
      </c>
      <c r="K1669" s="264">
        <v>2022</v>
      </c>
      <c r="L1669" s="85">
        <v>48888.939999999995</v>
      </c>
      <c r="M1669" s="85" t="s">
        <v>630</v>
      </c>
      <c r="N1669" s="128">
        <v>187424</v>
      </c>
      <c r="O1669" s="128">
        <f t="shared" si="79"/>
        <v>10120896</v>
      </c>
      <c r="Q1669" t="s">
        <v>47</v>
      </c>
      <c r="R1669" s="220" t="s">
        <v>1888</v>
      </c>
      <c r="S1669" s="220" t="s">
        <v>1861</v>
      </c>
      <c r="T1669" t="s">
        <v>2317</v>
      </c>
      <c r="U1669" t="s">
        <v>1972</v>
      </c>
      <c r="V1669" t="s">
        <v>2832</v>
      </c>
    </row>
    <row r="1670" spans="1:22" ht="15.75" thickBot="1" x14ac:dyDescent="0.3">
      <c r="A1670" t="s">
        <v>4686</v>
      </c>
      <c r="B1670" t="s">
        <v>4686</v>
      </c>
      <c r="C1670" t="s">
        <v>4686</v>
      </c>
      <c r="D1670" t="s">
        <v>629</v>
      </c>
      <c r="E1670" s="259" t="s">
        <v>1853</v>
      </c>
      <c r="F1670" t="s">
        <v>620</v>
      </c>
      <c r="G1670" s="89">
        <v>2013</v>
      </c>
      <c r="H1670" s="341" t="s">
        <v>734</v>
      </c>
      <c r="I1670" s="337" t="str">
        <f t="shared" si="78"/>
        <v>Pesado de Passageiros M3: III : Gasóleo : E5</v>
      </c>
      <c r="J1670" s="125">
        <v>54</v>
      </c>
      <c r="K1670" s="264">
        <v>2022</v>
      </c>
      <c r="L1670" s="85">
        <v>53782.659999999996</v>
      </c>
      <c r="M1670" s="85" t="s">
        <v>630</v>
      </c>
      <c r="N1670" s="128">
        <v>178102</v>
      </c>
      <c r="O1670" s="128">
        <f t="shared" si="79"/>
        <v>9617508</v>
      </c>
      <c r="Q1670" t="s">
        <v>47</v>
      </c>
      <c r="R1670" s="220" t="s">
        <v>1888</v>
      </c>
      <c r="S1670" s="220" t="s">
        <v>1861</v>
      </c>
      <c r="T1670" t="s">
        <v>2318</v>
      </c>
      <c r="U1670" t="s">
        <v>1972</v>
      </c>
      <c r="V1670" t="s">
        <v>2832</v>
      </c>
    </row>
    <row r="1671" spans="1:22" ht="15.75" thickBot="1" x14ac:dyDescent="0.3">
      <c r="A1671" t="s">
        <v>4686</v>
      </c>
      <c r="B1671" t="s">
        <v>4686</v>
      </c>
      <c r="C1671" t="s">
        <v>4686</v>
      </c>
      <c r="D1671" t="s">
        <v>629</v>
      </c>
      <c r="E1671" s="259" t="s">
        <v>1853</v>
      </c>
      <c r="F1671" t="s">
        <v>620</v>
      </c>
      <c r="G1671" s="89">
        <v>2013</v>
      </c>
      <c r="H1671" s="341" t="s">
        <v>734</v>
      </c>
      <c r="I1671" s="337" t="str">
        <f t="shared" si="78"/>
        <v>Pesado de Passageiros M3: III : Gasóleo : E5</v>
      </c>
      <c r="J1671" s="125">
        <v>54</v>
      </c>
      <c r="K1671" s="264">
        <v>2022</v>
      </c>
      <c r="L1671" s="85">
        <v>64415.770000000004</v>
      </c>
      <c r="M1671" s="85" t="s">
        <v>630</v>
      </c>
      <c r="N1671" s="128">
        <v>214757</v>
      </c>
      <c r="O1671" s="128">
        <f t="shared" si="79"/>
        <v>11596878</v>
      </c>
      <c r="Q1671" t="s">
        <v>47</v>
      </c>
      <c r="R1671" s="220" t="s">
        <v>1888</v>
      </c>
      <c r="S1671" s="220" t="s">
        <v>1861</v>
      </c>
      <c r="T1671" t="s">
        <v>2319</v>
      </c>
      <c r="U1671" t="s">
        <v>1972</v>
      </c>
      <c r="V1671" t="s">
        <v>2832</v>
      </c>
    </row>
    <row r="1672" spans="1:22" ht="15.75" thickBot="1" x14ac:dyDescent="0.3">
      <c r="A1672" t="s">
        <v>4686</v>
      </c>
      <c r="B1672" t="s">
        <v>4686</v>
      </c>
      <c r="C1672" t="s">
        <v>4686</v>
      </c>
      <c r="D1672" t="s">
        <v>629</v>
      </c>
      <c r="E1672" s="259" t="s">
        <v>1853</v>
      </c>
      <c r="F1672" t="s">
        <v>620</v>
      </c>
      <c r="G1672" s="89">
        <v>2014</v>
      </c>
      <c r="H1672" s="341" t="s">
        <v>734</v>
      </c>
      <c r="I1672" s="337" t="str">
        <f t="shared" si="78"/>
        <v>Pesado de Passageiros M3: III : Gasóleo : E5</v>
      </c>
      <c r="J1672" s="125">
        <v>54</v>
      </c>
      <c r="K1672" s="264">
        <v>2022</v>
      </c>
      <c r="L1672" s="85">
        <v>49381.87</v>
      </c>
      <c r="M1672" s="85" t="s">
        <v>630</v>
      </c>
      <c r="N1672" s="128">
        <v>164243</v>
      </c>
      <c r="O1672" s="128">
        <f t="shared" si="79"/>
        <v>8869122</v>
      </c>
      <c r="Q1672" t="s">
        <v>47</v>
      </c>
      <c r="R1672" s="220" t="s">
        <v>1888</v>
      </c>
      <c r="S1672" s="220" t="s">
        <v>1861</v>
      </c>
      <c r="T1672" t="s">
        <v>2320</v>
      </c>
      <c r="U1672" t="s">
        <v>1972</v>
      </c>
      <c r="V1672" t="s">
        <v>2832</v>
      </c>
    </row>
    <row r="1673" spans="1:22" ht="15.75" thickBot="1" x14ac:dyDescent="0.3">
      <c r="A1673" t="s">
        <v>4686</v>
      </c>
      <c r="B1673" t="s">
        <v>4686</v>
      </c>
      <c r="C1673" t="s">
        <v>4686</v>
      </c>
      <c r="D1673" t="s">
        <v>629</v>
      </c>
      <c r="E1673" s="259" t="s">
        <v>1853</v>
      </c>
      <c r="F1673" t="s">
        <v>620</v>
      </c>
      <c r="G1673" s="89">
        <v>2015</v>
      </c>
      <c r="H1673" s="341" t="s">
        <v>733</v>
      </c>
      <c r="I1673" s="337" t="str">
        <f t="shared" si="78"/>
        <v>Pesado de Passageiros M3: III : Gasóleo : E6</v>
      </c>
      <c r="J1673" s="125">
        <v>54</v>
      </c>
      <c r="K1673" s="264">
        <v>2022</v>
      </c>
      <c r="L1673" s="85">
        <v>52652.76</v>
      </c>
      <c r="M1673" s="85" t="s">
        <v>630</v>
      </c>
      <c r="N1673" s="128">
        <v>196207</v>
      </c>
      <c r="O1673" s="128">
        <f t="shared" si="79"/>
        <v>10595178</v>
      </c>
      <c r="Q1673" t="s">
        <v>47</v>
      </c>
      <c r="R1673" s="220" t="s">
        <v>1888</v>
      </c>
      <c r="S1673" s="220" t="s">
        <v>1861</v>
      </c>
      <c r="T1673" t="s">
        <v>2321</v>
      </c>
      <c r="U1673" t="s">
        <v>1972</v>
      </c>
      <c r="V1673" t="s">
        <v>2832</v>
      </c>
    </row>
    <row r="1674" spans="1:22" ht="15.75" thickBot="1" x14ac:dyDescent="0.3">
      <c r="A1674" t="s">
        <v>4686</v>
      </c>
      <c r="B1674" t="s">
        <v>4686</v>
      </c>
      <c r="C1674" t="s">
        <v>4686</v>
      </c>
      <c r="D1674" t="s">
        <v>629</v>
      </c>
      <c r="E1674" s="259" t="s">
        <v>1853</v>
      </c>
      <c r="F1674" t="s">
        <v>620</v>
      </c>
      <c r="G1674" s="89">
        <v>2015</v>
      </c>
      <c r="H1674" s="341" t="s">
        <v>733</v>
      </c>
      <c r="I1674" s="337" t="str">
        <f t="shared" si="78"/>
        <v>Pesado de Passageiros M3: III : Gasóleo : E6</v>
      </c>
      <c r="J1674" s="125">
        <v>54</v>
      </c>
      <c r="K1674" s="264">
        <v>2022</v>
      </c>
      <c r="L1674" s="85">
        <v>36968.939999999995</v>
      </c>
      <c r="M1674" s="85" t="s">
        <v>630</v>
      </c>
      <c r="N1674" s="128">
        <v>141108</v>
      </c>
      <c r="O1674" s="128">
        <f t="shared" si="79"/>
        <v>7619832</v>
      </c>
      <c r="Q1674" t="s">
        <v>47</v>
      </c>
      <c r="R1674" s="220" t="s">
        <v>1888</v>
      </c>
      <c r="S1674" s="220" t="s">
        <v>1861</v>
      </c>
      <c r="T1674" t="s">
        <v>2322</v>
      </c>
      <c r="U1674" t="s">
        <v>1972</v>
      </c>
      <c r="V1674" t="s">
        <v>2832</v>
      </c>
    </row>
    <row r="1675" spans="1:22" ht="15.75" thickBot="1" x14ac:dyDescent="0.3">
      <c r="A1675" t="s">
        <v>4686</v>
      </c>
      <c r="B1675" t="s">
        <v>4686</v>
      </c>
      <c r="C1675" t="s">
        <v>4686</v>
      </c>
      <c r="D1675" t="s">
        <v>629</v>
      </c>
      <c r="E1675" s="259" t="s">
        <v>1853</v>
      </c>
      <c r="F1675" t="s">
        <v>620</v>
      </c>
      <c r="G1675" s="89">
        <v>2015</v>
      </c>
      <c r="H1675" s="341" t="s">
        <v>733</v>
      </c>
      <c r="I1675" s="337" t="str">
        <f t="shared" si="78"/>
        <v>Pesado de Passageiros M3: III : Gasóleo : E6</v>
      </c>
      <c r="J1675" s="125">
        <v>54</v>
      </c>
      <c r="K1675" s="264">
        <v>2022</v>
      </c>
      <c r="L1675" s="85">
        <v>55823.840000000004</v>
      </c>
      <c r="M1675" s="85" t="s">
        <v>630</v>
      </c>
      <c r="N1675" s="128">
        <v>207466</v>
      </c>
      <c r="O1675" s="128">
        <f t="shared" si="79"/>
        <v>11203164</v>
      </c>
      <c r="Q1675" t="s">
        <v>47</v>
      </c>
      <c r="R1675" s="220" t="s">
        <v>1888</v>
      </c>
      <c r="S1675" s="220" t="s">
        <v>1861</v>
      </c>
      <c r="T1675" t="s">
        <v>2323</v>
      </c>
      <c r="U1675" t="s">
        <v>1972</v>
      </c>
      <c r="V1675" t="s">
        <v>2832</v>
      </c>
    </row>
    <row r="1676" spans="1:22" ht="15.75" thickBot="1" x14ac:dyDescent="0.3">
      <c r="A1676" t="s">
        <v>4686</v>
      </c>
      <c r="B1676" t="s">
        <v>4686</v>
      </c>
      <c r="C1676" t="s">
        <v>4686</v>
      </c>
      <c r="D1676" t="s">
        <v>629</v>
      </c>
      <c r="E1676" s="259" t="s">
        <v>1853</v>
      </c>
      <c r="F1676" t="s">
        <v>620</v>
      </c>
      <c r="G1676" s="89">
        <v>2017</v>
      </c>
      <c r="H1676" s="341" t="s">
        <v>733</v>
      </c>
      <c r="I1676" s="337" t="str">
        <f t="shared" si="78"/>
        <v>Pesado de Passageiros M3: III : Gasóleo : E6</v>
      </c>
      <c r="J1676" s="125">
        <v>58</v>
      </c>
      <c r="K1676" s="264">
        <v>2022</v>
      </c>
      <c r="L1676" s="85">
        <v>67078.41</v>
      </c>
      <c r="M1676" s="85" t="s">
        <v>630</v>
      </c>
      <c r="N1676" s="128">
        <v>242277</v>
      </c>
      <c r="O1676" s="128">
        <f t="shared" si="79"/>
        <v>14052066</v>
      </c>
      <c r="Q1676" t="s">
        <v>47</v>
      </c>
      <c r="R1676" s="220" t="s">
        <v>1888</v>
      </c>
      <c r="S1676" s="220" t="s">
        <v>1861</v>
      </c>
      <c r="T1676" t="s">
        <v>2324</v>
      </c>
      <c r="U1676" t="s">
        <v>1972</v>
      </c>
      <c r="V1676" t="s">
        <v>2832</v>
      </c>
    </row>
    <row r="1677" spans="1:22" ht="15.75" thickBot="1" x14ac:dyDescent="0.3">
      <c r="A1677" t="s">
        <v>4686</v>
      </c>
      <c r="B1677" t="s">
        <v>4686</v>
      </c>
      <c r="C1677" t="s">
        <v>4686</v>
      </c>
      <c r="D1677" t="s">
        <v>629</v>
      </c>
      <c r="E1677" s="259" t="s">
        <v>1853</v>
      </c>
      <c r="F1677" t="s">
        <v>620</v>
      </c>
      <c r="G1677" s="89">
        <v>2011</v>
      </c>
      <c r="H1677" s="341" t="s">
        <v>734</v>
      </c>
      <c r="I1677" s="337" t="str">
        <f t="shared" si="78"/>
        <v>Pesado de Passageiros M3: III : Gasóleo : E5</v>
      </c>
      <c r="J1677" s="125">
        <v>57</v>
      </c>
      <c r="K1677" s="264">
        <v>2022</v>
      </c>
      <c r="L1677" s="85">
        <v>18956.290000000005</v>
      </c>
      <c r="M1677" s="85" t="s">
        <v>630</v>
      </c>
      <c r="N1677" s="128">
        <v>59829</v>
      </c>
      <c r="O1677" s="128">
        <f t="shared" si="79"/>
        <v>3410253</v>
      </c>
      <c r="Q1677" t="s">
        <v>47</v>
      </c>
      <c r="R1677" s="220" t="s">
        <v>1888</v>
      </c>
      <c r="S1677" s="220" t="s">
        <v>1861</v>
      </c>
      <c r="T1677" t="s">
        <v>2325</v>
      </c>
      <c r="U1677" t="s">
        <v>1972</v>
      </c>
      <c r="V1677" t="s">
        <v>2832</v>
      </c>
    </row>
    <row r="1678" spans="1:22" ht="15.75" thickBot="1" x14ac:dyDescent="0.3">
      <c r="A1678" t="s">
        <v>4686</v>
      </c>
      <c r="B1678" t="s">
        <v>4686</v>
      </c>
      <c r="C1678" t="s">
        <v>4686</v>
      </c>
      <c r="D1678" t="s">
        <v>629</v>
      </c>
      <c r="E1678" s="259" t="s">
        <v>1853</v>
      </c>
      <c r="F1678" t="s">
        <v>620</v>
      </c>
      <c r="G1678" s="89">
        <v>2006</v>
      </c>
      <c r="H1678" s="341" t="s">
        <v>731</v>
      </c>
      <c r="I1678" s="337" t="str">
        <f t="shared" si="78"/>
        <v>Pesado de Passageiros M3: III : Gasóleo : E4</v>
      </c>
      <c r="J1678" s="125">
        <v>49</v>
      </c>
      <c r="K1678" s="264">
        <v>2022</v>
      </c>
      <c r="L1678" s="85">
        <v>7133.06</v>
      </c>
      <c r="M1678" s="85" t="s">
        <v>630</v>
      </c>
      <c r="N1678" s="128">
        <v>22606</v>
      </c>
      <c r="O1678" s="128">
        <f t="shared" si="79"/>
        <v>1107694</v>
      </c>
      <c r="Q1678" t="s">
        <v>47</v>
      </c>
      <c r="R1678" s="220" t="s">
        <v>1888</v>
      </c>
      <c r="S1678" s="220" t="s">
        <v>1861</v>
      </c>
      <c r="T1678" t="s">
        <v>2326</v>
      </c>
      <c r="U1678" t="s">
        <v>1972</v>
      </c>
      <c r="V1678" t="s">
        <v>2832</v>
      </c>
    </row>
    <row r="1679" spans="1:22" ht="15.75" thickBot="1" x14ac:dyDescent="0.3">
      <c r="A1679" t="s">
        <v>4686</v>
      </c>
      <c r="B1679" t="s">
        <v>4686</v>
      </c>
      <c r="C1679" t="s">
        <v>4686</v>
      </c>
      <c r="D1679" t="s">
        <v>629</v>
      </c>
      <c r="E1679" s="259" t="s">
        <v>1853</v>
      </c>
      <c r="F1679" t="s">
        <v>620</v>
      </c>
      <c r="G1679" s="89">
        <v>2006</v>
      </c>
      <c r="H1679" s="341" t="s">
        <v>731</v>
      </c>
      <c r="I1679" s="337" t="str">
        <f t="shared" si="78"/>
        <v>Pesado de Passageiros M3: III : Gasóleo : E4</v>
      </c>
      <c r="J1679" s="125">
        <v>49</v>
      </c>
      <c r="K1679" s="264">
        <v>2022</v>
      </c>
      <c r="L1679" s="85">
        <v>15237.94</v>
      </c>
      <c r="M1679" s="85" t="s">
        <v>630</v>
      </c>
      <c r="N1679" s="128">
        <v>53166</v>
      </c>
      <c r="O1679" s="128">
        <f t="shared" si="79"/>
        <v>2605134</v>
      </c>
      <c r="Q1679" t="s">
        <v>47</v>
      </c>
      <c r="R1679" s="220" t="s">
        <v>1888</v>
      </c>
      <c r="S1679" s="220" t="s">
        <v>1861</v>
      </c>
      <c r="T1679" t="s">
        <v>2327</v>
      </c>
      <c r="U1679" t="s">
        <v>1972</v>
      </c>
      <c r="V1679" t="s">
        <v>2832</v>
      </c>
    </row>
    <row r="1680" spans="1:22" ht="15.75" thickBot="1" x14ac:dyDescent="0.3">
      <c r="A1680" t="s">
        <v>4686</v>
      </c>
      <c r="B1680" t="s">
        <v>4686</v>
      </c>
      <c r="C1680" t="s">
        <v>4686</v>
      </c>
      <c r="D1680" t="s">
        <v>629</v>
      </c>
      <c r="E1680" s="259" t="s">
        <v>1853</v>
      </c>
      <c r="F1680" t="s">
        <v>620</v>
      </c>
      <c r="G1680" s="89">
        <v>2006</v>
      </c>
      <c r="H1680" s="341" t="s">
        <v>731</v>
      </c>
      <c r="I1680" s="337" t="str">
        <f t="shared" si="78"/>
        <v>Pesado de Passageiros M3: III : Gasóleo : E4</v>
      </c>
      <c r="J1680" s="125">
        <v>49</v>
      </c>
      <c r="K1680" s="264">
        <v>2022</v>
      </c>
      <c r="L1680" s="85">
        <v>16340.119999999997</v>
      </c>
      <c r="M1680" s="85" t="s">
        <v>630</v>
      </c>
      <c r="N1680" s="128">
        <v>55467</v>
      </c>
      <c r="O1680" s="128">
        <f t="shared" si="79"/>
        <v>2717883</v>
      </c>
      <c r="Q1680" t="s">
        <v>47</v>
      </c>
      <c r="R1680" s="220" t="s">
        <v>1888</v>
      </c>
      <c r="S1680" s="220" t="s">
        <v>1861</v>
      </c>
      <c r="T1680" t="s">
        <v>2328</v>
      </c>
      <c r="U1680" t="s">
        <v>1972</v>
      </c>
      <c r="V1680" t="s">
        <v>2832</v>
      </c>
    </row>
    <row r="1681" spans="1:22" ht="15.75" thickBot="1" x14ac:dyDescent="0.3">
      <c r="A1681" t="s">
        <v>4686</v>
      </c>
      <c r="B1681" t="s">
        <v>4686</v>
      </c>
      <c r="C1681" t="s">
        <v>4686</v>
      </c>
      <c r="D1681" t="s">
        <v>629</v>
      </c>
      <c r="E1681" s="259" t="s">
        <v>1853</v>
      </c>
      <c r="F1681" t="s">
        <v>620</v>
      </c>
      <c r="G1681" s="89">
        <v>2008</v>
      </c>
      <c r="H1681" s="341" t="s">
        <v>731</v>
      </c>
      <c r="I1681" s="337" t="str">
        <f t="shared" si="78"/>
        <v>Pesado de Passageiros M3: III : Gasóleo : E4</v>
      </c>
      <c r="J1681" s="125">
        <v>54</v>
      </c>
      <c r="K1681" s="264">
        <v>2022</v>
      </c>
      <c r="L1681" s="85">
        <v>13839.399999999998</v>
      </c>
      <c r="M1681" s="85" t="s">
        <v>630</v>
      </c>
      <c r="N1681" s="128">
        <v>50677</v>
      </c>
      <c r="O1681" s="128">
        <f t="shared" si="79"/>
        <v>2736558</v>
      </c>
      <c r="Q1681" t="s">
        <v>47</v>
      </c>
      <c r="R1681" s="220" t="s">
        <v>1888</v>
      </c>
      <c r="S1681" s="220" t="s">
        <v>1861</v>
      </c>
      <c r="T1681" t="s">
        <v>2329</v>
      </c>
      <c r="U1681" t="s">
        <v>1972</v>
      </c>
      <c r="V1681" t="s">
        <v>2832</v>
      </c>
    </row>
    <row r="1682" spans="1:22" ht="15.75" thickBot="1" x14ac:dyDescent="0.3">
      <c r="A1682" t="s">
        <v>4686</v>
      </c>
      <c r="B1682" t="s">
        <v>4686</v>
      </c>
      <c r="C1682" t="s">
        <v>4686</v>
      </c>
      <c r="D1682" t="s">
        <v>629</v>
      </c>
      <c r="E1682" s="259" t="s">
        <v>1853</v>
      </c>
      <c r="F1682" t="s">
        <v>620</v>
      </c>
      <c r="G1682" s="89">
        <v>2006</v>
      </c>
      <c r="H1682" s="341" t="s">
        <v>731</v>
      </c>
      <c r="I1682" s="337" t="str">
        <f t="shared" si="78"/>
        <v>Pesado de Passageiros M3: III : Gasóleo : E4</v>
      </c>
      <c r="J1682" s="125">
        <v>54</v>
      </c>
      <c r="K1682" s="264">
        <v>2022</v>
      </c>
      <c r="L1682" s="85">
        <v>19211.82</v>
      </c>
      <c r="M1682" s="85" t="s">
        <v>630</v>
      </c>
      <c r="N1682" s="128">
        <v>61954</v>
      </c>
      <c r="O1682" s="128">
        <f t="shared" si="79"/>
        <v>3345516</v>
      </c>
      <c r="Q1682" t="s">
        <v>47</v>
      </c>
      <c r="R1682" s="220" t="s">
        <v>1888</v>
      </c>
      <c r="S1682" s="220" t="s">
        <v>1861</v>
      </c>
      <c r="T1682" t="s">
        <v>2330</v>
      </c>
      <c r="U1682" t="s">
        <v>1972</v>
      </c>
      <c r="V1682" t="s">
        <v>2832</v>
      </c>
    </row>
    <row r="1683" spans="1:22" ht="15.75" thickBot="1" x14ac:dyDescent="0.3">
      <c r="A1683" t="s">
        <v>4686</v>
      </c>
      <c r="B1683" t="s">
        <v>4686</v>
      </c>
      <c r="C1683" t="s">
        <v>4686</v>
      </c>
      <c r="D1683" t="s">
        <v>629</v>
      </c>
      <c r="E1683" s="259" t="s">
        <v>1853</v>
      </c>
      <c r="F1683" t="s">
        <v>620</v>
      </c>
      <c r="G1683" s="89">
        <v>2006</v>
      </c>
      <c r="H1683" s="341" t="s">
        <v>731</v>
      </c>
      <c r="I1683" s="337" t="str">
        <f t="shared" si="78"/>
        <v>Pesado de Passageiros M3: III : Gasóleo : E4</v>
      </c>
      <c r="J1683" s="125">
        <v>54</v>
      </c>
      <c r="K1683" s="264">
        <v>2022</v>
      </c>
      <c r="L1683" s="85">
        <v>19642.97</v>
      </c>
      <c r="M1683" s="85" t="s">
        <v>630</v>
      </c>
      <c r="N1683" s="128">
        <v>66026</v>
      </c>
      <c r="O1683" s="128">
        <f t="shared" si="79"/>
        <v>3565404</v>
      </c>
      <c r="Q1683" t="s">
        <v>47</v>
      </c>
      <c r="R1683" s="220" t="s">
        <v>1888</v>
      </c>
      <c r="S1683" s="220" t="s">
        <v>1861</v>
      </c>
      <c r="T1683" t="s">
        <v>2331</v>
      </c>
      <c r="U1683" t="s">
        <v>1972</v>
      </c>
      <c r="V1683" t="s">
        <v>2832</v>
      </c>
    </row>
    <row r="1684" spans="1:22" ht="15.75" thickBot="1" x14ac:dyDescent="0.3">
      <c r="A1684" t="s">
        <v>4686</v>
      </c>
      <c r="B1684" t="s">
        <v>4686</v>
      </c>
      <c r="C1684" t="s">
        <v>4686</v>
      </c>
      <c r="D1684" t="s">
        <v>629</v>
      </c>
      <c r="E1684" s="259" t="s">
        <v>1853</v>
      </c>
      <c r="F1684" t="s">
        <v>620</v>
      </c>
      <c r="G1684" s="89">
        <v>2006</v>
      </c>
      <c r="H1684" s="341" t="s">
        <v>731</v>
      </c>
      <c r="I1684" s="337" t="str">
        <f t="shared" si="78"/>
        <v>Pesado de Passageiros M3: III : Gasóleo : E4</v>
      </c>
      <c r="J1684" s="125">
        <v>54</v>
      </c>
      <c r="K1684" s="264">
        <v>2022</v>
      </c>
      <c r="L1684" s="85">
        <v>15720.970000000001</v>
      </c>
      <c r="M1684" s="85" t="s">
        <v>630</v>
      </c>
      <c r="N1684" s="128">
        <v>53762</v>
      </c>
      <c r="O1684" s="128">
        <f t="shared" si="79"/>
        <v>2903148</v>
      </c>
      <c r="Q1684" t="s">
        <v>47</v>
      </c>
      <c r="R1684" s="220" t="s">
        <v>1888</v>
      </c>
      <c r="S1684" s="220" t="s">
        <v>1861</v>
      </c>
      <c r="T1684" t="s">
        <v>2332</v>
      </c>
      <c r="U1684" t="s">
        <v>1972</v>
      </c>
      <c r="V1684" t="s">
        <v>2832</v>
      </c>
    </row>
    <row r="1685" spans="1:22" ht="15.75" thickBot="1" x14ac:dyDescent="0.3">
      <c r="A1685" t="s">
        <v>4686</v>
      </c>
      <c r="B1685" t="s">
        <v>4686</v>
      </c>
      <c r="C1685" t="s">
        <v>4686</v>
      </c>
      <c r="D1685" t="s">
        <v>629</v>
      </c>
      <c r="E1685" s="259" t="s">
        <v>1853</v>
      </c>
      <c r="F1685" t="s">
        <v>620</v>
      </c>
      <c r="G1685" s="89">
        <v>2008</v>
      </c>
      <c r="H1685" s="341" t="s">
        <v>731</v>
      </c>
      <c r="I1685" s="337" t="str">
        <f t="shared" si="78"/>
        <v>Pesado de Passageiros M3: III : Gasóleo : E4</v>
      </c>
      <c r="J1685" s="125">
        <v>53</v>
      </c>
      <c r="K1685" s="264">
        <v>2022</v>
      </c>
      <c r="L1685" s="85">
        <v>20374.47</v>
      </c>
      <c r="M1685" s="85" t="s">
        <v>630</v>
      </c>
      <c r="N1685" s="128">
        <v>65398</v>
      </c>
      <c r="O1685" s="128">
        <f t="shared" si="79"/>
        <v>3466094</v>
      </c>
      <c r="Q1685" t="s">
        <v>47</v>
      </c>
      <c r="R1685" s="220" t="s">
        <v>1888</v>
      </c>
      <c r="S1685" s="220" t="s">
        <v>1861</v>
      </c>
      <c r="T1685" t="s">
        <v>2333</v>
      </c>
      <c r="U1685" t="s">
        <v>1972</v>
      </c>
      <c r="V1685" t="s">
        <v>2832</v>
      </c>
    </row>
    <row r="1686" spans="1:22" ht="15.75" thickBot="1" x14ac:dyDescent="0.3">
      <c r="A1686" t="s">
        <v>4686</v>
      </c>
      <c r="B1686" t="s">
        <v>4686</v>
      </c>
      <c r="C1686" t="s">
        <v>4686</v>
      </c>
      <c r="D1686" t="s">
        <v>629</v>
      </c>
      <c r="E1686" s="259" t="s">
        <v>1853</v>
      </c>
      <c r="F1686" t="s">
        <v>620</v>
      </c>
      <c r="G1686" s="89">
        <v>2008</v>
      </c>
      <c r="H1686" s="341" t="s">
        <v>731</v>
      </c>
      <c r="I1686" s="337" t="str">
        <f t="shared" si="78"/>
        <v>Pesado de Passageiros M3: III : Gasóleo : E4</v>
      </c>
      <c r="J1686" s="125">
        <v>54</v>
      </c>
      <c r="K1686" s="264">
        <v>2022</v>
      </c>
      <c r="L1686" s="85">
        <v>13192.34</v>
      </c>
      <c r="M1686" s="85" t="s">
        <v>630</v>
      </c>
      <c r="N1686" s="128">
        <v>41084</v>
      </c>
      <c r="O1686" s="128">
        <f t="shared" si="79"/>
        <v>2218536</v>
      </c>
      <c r="Q1686" t="s">
        <v>47</v>
      </c>
      <c r="R1686" s="220" t="s">
        <v>1888</v>
      </c>
      <c r="S1686" s="220" t="s">
        <v>1861</v>
      </c>
      <c r="T1686" t="s">
        <v>2334</v>
      </c>
      <c r="U1686" t="s">
        <v>1972</v>
      </c>
      <c r="V1686" t="s">
        <v>2832</v>
      </c>
    </row>
    <row r="1687" spans="1:22" ht="15.75" thickBot="1" x14ac:dyDescent="0.3">
      <c r="A1687" t="s">
        <v>4686</v>
      </c>
      <c r="B1687" t="s">
        <v>4686</v>
      </c>
      <c r="C1687" t="s">
        <v>4686</v>
      </c>
      <c r="D1687" t="s">
        <v>629</v>
      </c>
      <c r="E1687" s="259" t="s">
        <v>1853</v>
      </c>
      <c r="F1687" t="s">
        <v>620</v>
      </c>
      <c r="G1687" s="89">
        <v>2008</v>
      </c>
      <c r="H1687" s="341" t="s">
        <v>731</v>
      </c>
      <c r="I1687" s="337" t="str">
        <f t="shared" si="78"/>
        <v>Pesado de Passageiros M3: III : Gasóleo : E4</v>
      </c>
      <c r="J1687" s="125">
        <v>54</v>
      </c>
      <c r="K1687" s="264">
        <v>2022</v>
      </c>
      <c r="L1687" s="85">
        <v>13771.019999999997</v>
      </c>
      <c r="M1687" s="85" t="s">
        <v>630</v>
      </c>
      <c r="N1687" s="128">
        <v>41242</v>
      </c>
      <c r="O1687" s="128">
        <f t="shared" si="79"/>
        <v>2227068</v>
      </c>
      <c r="Q1687" t="s">
        <v>47</v>
      </c>
      <c r="R1687" s="220" t="s">
        <v>1888</v>
      </c>
      <c r="S1687" s="220" t="s">
        <v>1861</v>
      </c>
      <c r="T1687" t="s">
        <v>2335</v>
      </c>
      <c r="U1687" t="s">
        <v>1972</v>
      </c>
      <c r="V1687" t="s">
        <v>2832</v>
      </c>
    </row>
    <row r="1688" spans="1:22" ht="15.75" thickBot="1" x14ac:dyDescent="0.3">
      <c r="A1688" t="s">
        <v>4686</v>
      </c>
      <c r="B1688" t="s">
        <v>4686</v>
      </c>
      <c r="C1688" t="s">
        <v>4686</v>
      </c>
      <c r="D1688" t="s">
        <v>629</v>
      </c>
      <c r="E1688" s="259" t="s">
        <v>1853</v>
      </c>
      <c r="F1688" t="s">
        <v>620</v>
      </c>
      <c r="G1688" s="89">
        <v>2008</v>
      </c>
      <c r="H1688" s="341" t="s">
        <v>731</v>
      </c>
      <c r="I1688" s="337" t="str">
        <f t="shared" si="78"/>
        <v>Pesado de Passageiros M3: III : Gasóleo : E4</v>
      </c>
      <c r="J1688" s="125">
        <v>56</v>
      </c>
      <c r="K1688" s="264">
        <v>2022</v>
      </c>
      <c r="L1688" s="85">
        <v>21011.71</v>
      </c>
      <c r="M1688" s="85" t="s">
        <v>630</v>
      </c>
      <c r="N1688" s="128">
        <v>67322</v>
      </c>
      <c r="O1688" s="128">
        <f t="shared" si="79"/>
        <v>3770032</v>
      </c>
      <c r="Q1688" t="s">
        <v>47</v>
      </c>
      <c r="R1688" s="220" t="s">
        <v>1888</v>
      </c>
      <c r="S1688" s="220" t="s">
        <v>1861</v>
      </c>
      <c r="T1688" t="s">
        <v>2336</v>
      </c>
      <c r="U1688" t="s">
        <v>1972</v>
      </c>
      <c r="V1688" t="s">
        <v>2832</v>
      </c>
    </row>
    <row r="1689" spans="1:22" ht="15.75" thickBot="1" x14ac:dyDescent="0.3">
      <c r="A1689" t="s">
        <v>4686</v>
      </c>
      <c r="B1689" t="s">
        <v>4686</v>
      </c>
      <c r="C1689" t="s">
        <v>4686</v>
      </c>
      <c r="D1689" t="s">
        <v>629</v>
      </c>
      <c r="E1689" s="259" t="s">
        <v>1853</v>
      </c>
      <c r="F1689" t="s">
        <v>620</v>
      </c>
      <c r="G1689" s="89">
        <v>2013</v>
      </c>
      <c r="H1689" s="341" t="s">
        <v>734</v>
      </c>
      <c r="I1689" s="337" t="str">
        <f t="shared" si="78"/>
        <v>Pesado de Passageiros M3: III : Gasóleo : E5</v>
      </c>
      <c r="J1689" s="125">
        <v>66</v>
      </c>
      <c r="K1689" s="264">
        <v>2022</v>
      </c>
      <c r="L1689" s="85">
        <v>12768.6</v>
      </c>
      <c r="M1689" s="85" t="s">
        <v>630</v>
      </c>
      <c r="N1689" s="128">
        <v>39966</v>
      </c>
      <c r="O1689" s="128">
        <f t="shared" si="79"/>
        <v>2637756</v>
      </c>
      <c r="Q1689" t="s">
        <v>47</v>
      </c>
      <c r="R1689" s="220" t="s">
        <v>1888</v>
      </c>
      <c r="S1689" s="220" t="s">
        <v>1861</v>
      </c>
      <c r="T1689" t="s">
        <v>2337</v>
      </c>
      <c r="U1689" t="s">
        <v>1972</v>
      </c>
      <c r="V1689" t="s">
        <v>2832</v>
      </c>
    </row>
    <row r="1690" spans="1:22" ht="15.75" thickBot="1" x14ac:dyDescent="0.3">
      <c r="A1690" t="s">
        <v>4686</v>
      </c>
      <c r="B1690" t="s">
        <v>4686</v>
      </c>
      <c r="C1690" t="s">
        <v>4686</v>
      </c>
      <c r="D1690" t="s">
        <v>629</v>
      </c>
      <c r="E1690" s="259" t="s">
        <v>1853</v>
      </c>
      <c r="F1690" t="s">
        <v>620</v>
      </c>
      <c r="G1690" s="89">
        <v>2017</v>
      </c>
      <c r="H1690" s="341" t="s">
        <v>733</v>
      </c>
      <c r="I1690" s="337" t="str">
        <f t="shared" si="78"/>
        <v>Pesado de Passageiros M3: III : Gasóleo : E6</v>
      </c>
      <c r="J1690" s="125">
        <v>58</v>
      </c>
      <c r="K1690" s="264">
        <v>2022</v>
      </c>
      <c r="L1690" s="85">
        <v>32814.489999999991</v>
      </c>
      <c r="M1690" s="85" t="s">
        <v>630</v>
      </c>
      <c r="N1690" s="128">
        <v>123947</v>
      </c>
      <c r="O1690" s="128">
        <f t="shared" si="79"/>
        <v>7188926</v>
      </c>
      <c r="Q1690" t="s">
        <v>47</v>
      </c>
      <c r="R1690" s="220" t="s">
        <v>1888</v>
      </c>
      <c r="S1690" s="220" t="s">
        <v>1861</v>
      </c>
      <c r="T1690" t="s">
        <v>2338</v>
      </c>
      <c r="U1690" t="s">
        <v>1972</v>
      </c>
      <c r="V1690" t="s">
        <v>2832</v>
      </c>
    </row>
    <row r="1691" spans="1:22" ht="15.75" thickBot="1" x14ac:dyDescent="0.3">
      <c r="A1691" t="s">
        <v>4686</v>
      </c>
      <c r="B1691" t="s">
        <v>4686</v>
      </c>
      <c r="C1691" t="s">
        <v>4686</v>
      </c>
      <c r="D1691" t="s">
        <v>629</v>
      </c>
      <c r="E1691" s="259" t="s">
        <v>1853</v>
      </c>
      <c r="F1691" t="s">
        <v>620</v>
      </c>
      <c r="G1691" s="89">
        <v>2009</v>
      </c>
      <c r="H1691" s="341" t="s">
        <v>731</v>
      </c>
      <c r="I1691" s="337" t="str">
        <f t="shared" si="78"/>
        <v>Pesado de Passageiros M3: III : Gasóleo : E4</v>
      </c>
      <c r="J1691" s="125">
        <v>56</v>
      </c>
      <c r="K1691" s="264">
        <v>2022</v>
      </c>
      <c r="L1691" s="85">
        <v>18438.400000000001</v>
      </c>
      <c r="M1691" s="85" t="s">
        <v>630</v>
      </c>
      <c r="N1691" s="128">
        <v>59517</v>
      </c>
      <c r="O1691" s="128">
        <f t="shared" si="79"/>
        <v>3332952</v>
      </c>
      <c r="Q1691" t="s">
        <v>47</v>
      </c>
      <c r="R1691" s="220" t="s">
        <v>1888</v>
      </c>
      <c r="S1691" s="220" t="s">
        <v>1861</v>
      </c>
      <c r="T1691" t="s">
        <v>2339</v>
      </c>
      <c r="U1691" t="s">
        <v>1972</v>
      </c>
      <c r="V1691" t="s">
        <v>2832</v>
      </c>
    </row>
    <row r="1692" spans="1:22" ht="15.75" thickBot="1" x14ac:dyDescent="0.3">
      <c r="A1692" t="s">
        <v>4686</v>
      </c>
      <c r="B1692" t="s">
        <v>4686</v>
      </c>
      <c r="C1692" t="s">
        <v>4686</v>
      </c>
      <c r="D1692" t="s">
        <v>629</v>
      </c>
      <c r="E1692" s="259" t="s">
        <v>1853</v>
      </c>
      <c r="F1692" t="s">
        <v>620</v>
      </c>
      <c r="G1692" s="89">
        <v>2009</v>
      </c>
      <c r="H1692" s="341" t="s">
        <v>731</v>
      </c>
      <c r="I1692" s="337" t="str">
        <f t="shared" si="78"/>
        <v>Pesado de Passageiros M3: III : Gasóleo : E4</v>
      </c>
      <c r="J1692" s="125">
        <v>56</v>
      </c>
      <c r="K1692" s="264">
        <v>2022</v>
      </c>
      <c r="L1692" s="85">
        <v>22138.51</v>
      </c>
      <c r="M1692" s="85" t="s">
        <v>630</v>
      </c>
      <c r="N1692" s="128">
        <v>70625</v>
      </c>
      <c r="O1692" s="128">
        <f t="shared" si="79"/>
        <v>3955000</v>
      </c>
      <c r="Q1692" t="s">
        <v>47</v>
      </c>
      <c r="R1692" s="220" t="s">
        <v>1888</v>
      </c>
      <c r="S1692" s="220" t="s">
        <v>1861</v>
      </c>
      <c r="T1692" t="s">
        <v>2340</v>
      </c>
      <c r="U1692" t="s">
        <v>1972</v>
      </c>
      <c r="V1692" t="s">
        <v>2832</v>
      </c>
    </row>
    <row r="1693" spans="1:22" ht="15.75" thickBot="1" x14ac:dyDescent="0.3">
      <c r="A1693" t="s">
        <v>4686</v>
      </c>
      <c r="B1693" t="s">
        <v>4686</v>
      </c>
      <c r="C1693" t="s">
        <v>4686</v>
      </c>
      <c r="D1693" t="s">
        <v>629</v>
      </c>
      <c r="E1693" s="259" t="s">
        <v>1853</v>
      </c>
      <c r="F1693" t="s">
        <v>620</v>
      </c>
      <c r="G1693" s="89">
        <v>2009</v>
      </c>
      <c r="H1693" s="341" t="s">
        <v>731</v>
      </c>
      <c r="I1693" s="337" t="str">
        <f t="shared" si="78"/>
        <v>Pesado de Passageiros M3: III : Gasóleo : E4</v>
      </c>
      <c r="J1693" s="125">
        <v>56</v>
      </c>
      <c r="K1693" s="264">
        <v>2022</v>
      </c>
      <c r="L1693" s="85">
        <v>15356.160000000002</v>
      </c>
      <c r="M1693" s="85" t="s">
        <v>630</v>
      </c>
      <c r="N1693" s="128">
        <v>49456</v>
      </c>
      <c r="O1693" s="128">
        <f t="shared" si="79"/>
        <v>2769536</v>
      </c>
      <c r="Q1693" t="s">
        <v>47</v>
      </c>
      <c r="R1693" s="220" t="s">
        <v>1888</v>
      </c>
      <c r="S1693" s="220" t="s">
        <v>1861</v>
      </c>
      <c r="T1693" t="s">
        <v>2341</v>
      </c>
      <c r="U1693" t="s">
        <v>1972</v>
      </c>
      <c r="V1693" t="s">
        <v>2832</v>
      </c>
    </row>
    <row r="1694" spans="1:22" ht="15.75" thickBot="1" x14ac:dyDescent="0.3">
      <c r="A1694" t="s">
        <v>4686</v>
      </c>
      <c r="B1694" t="s">
        <v>4686</v>
      </c>
      <c r="C1694" t="s">
        <v>4686</v>
      </c>
      <c r="D1694" t="s">
        <v>629</v>
      </c>
      <c r="E1694" s="259" t="s">
        <v>1853</v>
      </c>
      <c r="F1694" t="s">
        <v>620</v>
      </c>
      <c r="G1694" s="89">
        <v>2009</v>
      </c>
      <c r="H1694" s="341" t="s">
        <v>731</v>
      </c>
      <c r="I1694" s="337" t="str">
        <f t="shared" si="78"/>
        <v>Pesado de Passageiros M3: III : Gasóleo : E4</v>
      </c>
      <c r="J1694" s="125">
        <v>56</v>
      </c>
      <c r="K1694" s="264">
        <v>2022</v>
      </c>
      <c r="L1694" s="85">
        <v>25368.708999999999</v>
      </c>
      <c r="M1694" s="85" t="s">
        <v>630</v>
      </c>
      <c r="N1694" s="128">
        <v>85628</v>
      </c>
      <c r="O1694" s="128">
        <f t="shared" si="79"/>
        <v>4795168</v>
      </c>
      <c r="Q1694" t="s">
        <v>47</v>
      </c>
      <c r="R1694" s="220" t="s">
        <v>1888</v>
      </c>
      <c r="S1694" s="220" t="s">
        <v>1861</v>
      </c>
      <c r="T1694" t="s">
        <v>2342</v>
      </c>
      <c r="U1694" t="s">
        <v>1972</v>
      </c>
      <c r="V1694" t="s">
        <v>2832</v>
      </c>
    </row>
    <row r="1695" spans="1:22" ht="15.75" thickBot="1" x14ac:dyDescent="0.3">
      <c r="A1695" t="s">
        <v>4686</v>
      </c>
      <c r="B1695" t="s">
        <v>4686</v>
      </c>
      <c r="C1695" t="s">
        <v>4686</v>
      </c>
      <c r="D1695" t="s">
        <v>629</v>
      </c>
      <c r="E1695" s="259" t="s">
        <v>1853</v>
      </c>
      <c r="F1695" t="s">
        <v>620</v>
      </c>
      <c r="G1695" s="89">
        <v>2009</v>
      </c>
      <c r="H1695" s="341" t="s">
        <v>731</v>
      </c>
      <c r="I1695" s="337" t="str">
        <f t="shared" si="78"/>
        <v>Pesado de Passageiros M3: III : Gasóleo : E4</v>
      </c>
      <c r="J1695" s="125">
        <v>56</v>
      </c>
      <c r="K1695" s="264">
        <v>2022</v>
      </c>
      <c r="L1695" s="85">
        <v>22109.55</v>
      </c>
      <c r="M1695" s="85" t="s">
        <v>630</v>
      </c>
      <c r="N1695" s="128">
        <v>72784</v>
      </c>
      <c r="O1695" s="128">
        <f t="shared" si="79"/>
        <v>4075904</v>
      </c>
      <c r="Q1695" t="s">
        <v>47</v>
      </c>
      <c r="R1695" s="220" t="s">
        <v>1888</v>
      </c>
      <c r="S1695" s="220" t="s">
        <v>1861</v>
      </c>
      <c r="T1695" t="s">
        <v>2343</v>
      </c>
      <c r="U1695" t="s">
        <v>1972</v>
      </c>
      <c r="V1695" t="s">
        <v>2832</v>
      </c>
    </row>
    <row r="1696" spans="1:22" ht="15.75" thickBot="1" x14ac:dyDescent="0.3">
      <c r="A1696" t="s">
        <v>4686</v>
      </c>
      <c r="B1696" t="s">
        <v>4686</v>
      </c>
      <c r="C1696" t="s">
        <v>4686</v>
      </c>
      <c r="D1696" t="s">
        <v>629</v>
      </c>
      <c r="E1696" s="259" t="s">
        <v>1853</v>
      </c>
      <c r="F1696" t="s">
        <v>620</v>
      </c>
      <c r="G1696" s="89">
        <v>2014</v>
      </c>
      <c r="H1696" s="341" t="s">
        <v>734</v>
      </c>
      <c r="I1696" s="337" t="str">
        <f t="shared" si="78"/>
        <v>Pesado de Passageiros M3: III : Gasóleo : E5</v>
      </c>
      <c r="J1696" s="125">
        <v>54</v>
      </c>
      <c r="K1696" s="264">
        <v>2022</v>
      </c>
      <c r="L1696" s="85">
        <v>36058.21</v>
      </c>
      <c r="M1696" s="85" t="s">
        <v>630</v>
      </c>
      <c r="N1696" s="128">
        <v>123584</v>
      </c>
      <c r="O1696" s="128">
        <f t="shared" si="79"/>
        <v>6673536</v>
      </c>
      <c r="Q1696" t="s">
        <v>47</v>
      </c>
      <c r="R1696" s="220" t="s">
        <v>1888</v>
      </c>
      <c r="S1696" s="220" t="s">
        <v>1861</v>
      </c>
      <c r="T1696" t="s">
        <v>2344</v>
      </c>
      <c r="U1696" t="s">
        <v>1972</v>
      </c>
      <c r="V1696" t="s">
        <v>2832</v>
      </c>
    </row>
    <row r="1697" spans="1:22" ht="15.75" thickBot="1" x14ac:dyDescent="0.3">
      <c r="A1697" t="s">
        <v>4686</v>
      </c>
      <c r="B1697" t="s">
        <v>4686</v>
      </c>
      <c r="C1697" t="s">
        <v>4686</v>
      </c>
      <c r="D1697" t="s">
        <v>629</v>
      </c>
      <c r="E1697" s="259" t="s">
        <v>1853</v>
      </c>
      <c r="F1697" t="s">
        <v>620</v>
      </c>
      <c r="G1697" s="89">
        <v>2018</v>
      </c>
      <c r="H1697" s="341" t="s">
        <v>733</v>
      </c>
      <c r="I1697" s="337" t="str">
        <f t="shared" si="78"/>
        <v>Pesado de Passageiros M3: III : Gasóleo : E6</v>
      </c>
      <c r="J1697" s="125">
        <v>54</v>
      </c>
      <c r="K1697" s="264">
        <v>2022</v>
      </c>
      <c r="L1697" s="85">
        <v>22236.21</v>
      </c>
      <c r="M1697" s="85" t="s">
        <v>630</v>
      </c>
      <c r="N1697" s="128">
        <v>77726</v>
      </c>
      <c r="O1697" s="128">
        <f t="shared" si="79"/>
        <v>4197204</v>
      </c>
      <c r="Q1697" t="s">
        <v>47</v>
      </c>
      <c r="R1697" s="220" t="s">
        <v>1888</v>
      </c>
      <c r="S1697" s="220" t="s">
        <v>1861</v>
      </c>
      <c r="T1697" t="s">
        <v>2345</v>
      </c>
      <c r="U1697" t="s">
        <v>1972</v>
      </c>
      <c r="V1697" t="s">
        <v>2832</v>
      </c>
    </row>
    <row r="1698" spans="1:22" ht="15.75" thickBot="1" x14ac:dyDescent="0.3">
      <c r="A1698" t="s">
        <v>4686</v>
      </c>
      <c r="B1698" t="s">
        <v>4686</v>
      </c>
      <c r="C1698" t="s">
        <v>4686</v>
      </c>
      <c r="D1698" t="s">
        <v>629</v>
      </c>
      <c r="E1698" s="259" t="s">
        <v>1853</v>
      </c>
      <c r="F1698" t="s">
        <v>620</v>
      </c>
      <c r="G1698" s="89">
        <v>2018</v>
      </c>
      <c r="H1698" s="341" t="s">
        <v>733</v>
      </c>
      <c r="I1698" s="337" t="str">
        <f t="shared" si="78"/>
        <v>Pesado de Passageiros M3: III : Gasóleo : E6</v>
      </c>
      <c r="J1698" s="125">
        <v>54</v>
      </c>
      <c r="K1698" s="264">
        <v>2022</v>
      </c>
      <c r="L1698" s="85">
        <v>24913</v>
      </c>
      <c r="M1698" s="85" t="s">
        <v>630</v>
      </c>
      <c r="N1698" s="128">
        <v>92451</v>
      </c>
      <c r="O1698" s="128">
        <f t="shared" si="79"/>
        <v>4992354</v>
      </c>
      <c r="Q1698" t="s">
        <v>47</v>
      </c>
      <c r="R1698" s="220" t="s">
        <v>1888</v>
      </c>
      <c r="S1698" s="220" t="s">
        <v>1861</v>
      </c>
      <c r="T1698" t="s">
        <v>2346</v>
      </c>
      <c r="U1698" t="s">
        <v>1972</v>
      </c>
      <c r="V1698" t="s">
        <v>2832</v>
      </c>
    </row>
    <row r="1699" spans="1:22" ht="15.75" thickBot="1" x14ac:dyDescent="0.3">
      <c r="A1699" t="s">
        <v>4686</v>
      </c>
      <c r="B1699" t="s">
        <v>4686</v>
      </c>
      <c r="C1699" t="s">
        <v>4686</v>
      </c>
      <c r="D1699" t="s">
        <v>629</v>
      </c>
      <c r="E1699" s="259" t="s">
        <v>1853</v>
      </c>
      <c r="F1699" t="s">
        <v>620</v>
      </c>
      <c r="G1699" s="89">
        <v>2018</v>
      </c>
      <c r="H1699" s="341" t="s">
        <v>733</v>
      </c>
      <c r="I1699" s="337" t="str">
        <f t="shared" si="78"/>
        <v>Pesado de Passageiros M3: III : Gasóleo : E6</v>
      </c>
      <c r="J1699" s="125">
        <v>54</v>
      </c>
      <c r="K1699" s="264">
        <v>2022</v>
      </c>
      <c r="L1699" s="85">
        <v>25182.84</v>
      </c>
      <c r="M1699" s="85" t="s">
        <v>630</v>
      </c>
      <c r="N1699" s="128">
        <v>92961</v>
      </c>
      <c r="O1699" s="128">
        <f t="shared" si="79"/>
        <v>5019894</v>
      </c>
      <c r="Q1699" t="s">
        <v>47</v>
      </c>
      <c r="R1699" s="220" t="s">
        <v>1888</v>
      </c>
      <c r="S1699" s="220" t="s">
        <v>1861</v>
      </c>
      <c r="T1699" t="s">
        <v>2347</v>
      </c>
      <c r="U1699" t="s">
        <v>1972</v>
      </c>
      <c r="V1699" t="s">
        <v>2832</v>
      </c>
    </row>
    <row r="1700" spans="1:22" ht="15.75" thickBot="1" x14ac:dyDescent="0.3">
      <c r="A1700" t="s">
        <v>4686</v>
      </c>
      <c r="B1700" t="s">
        <v>4686</v>
      </c>
      <c r="C1700" t="s">
        <v>4686</v>
      </c>
      <c r="D1700" t="s">
        <v>629</v>
      </c>
      <c r="E1700" s="259" t="s">
        <v>1853</v>
      </c>
      <c r="F1700" t="s">
        <v>620</v>
      </c>
      <c r="G1700" s="89">
        <v>2009</v>
      </c>
      <c r="H1700" s="341" t="s">
        <v>731</v>
      </c>
      <c r="I1700" s="337" t="str">
        <f t="shared" si="78"/>
        <v>Pesado de Passageiros M3: III : Gasóleo : E4</v>
      </c>
      <c r="J1700" s="125">
        <v>55</v>
      </c>
      <c r="K1700" s="264">
        <v>2022</v>
      </c>
      <c r="L1700" s="85">
        <v>19291.16</v>
      </c>
      <c r="M1700" s="85" t="s">
        <v>630</v>
      </c>
      <c r="N1700" s="128">
        <v>66324</v>
      </c>
      <c r="O1700" s="128">
        <f t="shared" si="79"/>
        <v>3647820</v>
      </c>
      <c r="Q1700" t="s">
        <v>47</v>
      </c>
      <c r="R1700" s="220" t="s">
        <v>1888</v>
      </c>
      <c r="S1700" s="220" t="s">
        <v>1861</v>
      </c>
      <c r="T1700" t="s">
        <v>2348</v>
      </c>
      <c r="U1700" t="s">
        <v>1972</v>
      </c>
      <c r="V1700" t="s">
        <v>2832</v>
      </c>
    </row>
    <row r="1701" spans="1:22" ht="15.75" thickBot="1" x14ac:dyDescent="0.3">
      <c r="A1701" t="s">
        <v>4686</v>
      </c>
      <c r="B1701" t="s">
        <v>4686</v>
      </c>
      <c r="C1701" t="s">
        <v>4686</v>
      </c>
      <c r="D1701" t="s">
        <v>629</v>
      </c>
      <c r="E1701" s="259" t="s">
        <v>1853</v>
      </c>
      <c r="F1701" t="s">
        <v>620</v>
      </c>
      <c r="G1701" s="89">
        <v>2008</v>
      </c>
      <c r="H1701" s="341" t="s">
        <v>731</v>
      </c>
      <c r="I1701" s="337" t="str">
        <f t="shared" si="78"/>
        <v>Pesado de Passageiros M3: III : Gasóleo : E4</v>
      </c>
      <c r="J1701" s="125">
        <v>57</v>
      </c>
      <c r="K1701" s="264">
        <v>2022</v>
      </c>
      <c r="L1701" s="85">
        <v>32977.67</v>
      </c>
      <c r="M1701" s="85" t="s">
        <v>630</v>
      </c>
      <c r="N1701" s="128">
        <v>110785</v>
      </c>
      <c r="O1701" s="128">
        <f t="shared" si="79"/>
        <v>6314745</v>
      </c>
      <c r="Q1701" t="s">
        <v>47</v>
      </c>
      <c r="R1701" s="220" t="s">
        <v>1888</v>
      </c>
      <c r="S1701" s="220" t="s">
        <v>1861</v>
      </c>
      <c r="T1701" t="s">
        <v>2349</v>
      </c>
      <c r="U1701" t="s">
        <v>1972</v>
      </c>
      <c r="V1701" t="s">
        <v>2832</v>
      </c>
    </row>
    <row r="1702" spans="1:22" ht="15.75" thickBot="1" x14ac:dyDescent="0.3">
      <c r="A1702" t="s">
        <v>4686</v>
      </c>
      <c r="B1702" t="s">
        <v>4686</v>
      </c>
      <c r="C1702" t="s">
        <v>4686</v>
      </c>
      <c r="D1702" t="s">
        <v>629</v>
      </c>
      <c r="E1702" s="259" t="s">
        <v>1853</v>
      </c>
      <c r="F1702" t="s">
        <v>620</v>
      </c>
      <c r="G1702" s="89">
        <v>2008</v>
      </c>
      <c r="H1702" s="341" t="s">
        <v>731</v>
      </c>
      <c r="I1702" s="337" t="str">
        <f t="shared" si="78"/>
        <v>Pesado de Passageiros M3: III : Gasóleo : E4</v>
      </c>
      <c r="J1702" s="125">
        <v>54</v>
      </c>
      <c r="K1702" s="264">
        <v>2022</v>
      </c>
      <c r="L1702" s="85">
        <v>21030.05</v>
      </c>
      <c r="M1702" s="85" t="s">
        <v>630</v>
      </c>
      <c r="N1702" s="128">
        <v>73306</v>
      </c>
      <c r="O1702" s="128">
        <f t="shared" si="79"/>
        <v>3958524</v>
      </c>
      <c r="Q1702" t="s">
        <v>47</v>
      </c>
      <c r="R1702" s="220" t="s">
        <v>1888</v>
      </c>
      <c r="S1702" s="220" t="s">
        <v>1861</v>
      </c>
      <c r="T1702" t="s">
        <v>2350</v>
      </c>
      <c r="U1702" t="s">
        <v>1972</v>
      </c>
      <c r="V1702" t="s">
        <v>2832</v>
      </c>
    </row>
    <row r="1703" spans="1:22" ht="15.75" thickBot="1" x14ac:dyDescent="0.3">
      <c r="A1703" t="s">
        <v>4686</v>
      </c>
      <c r="B1703" t="s">
        <v>4686</v>
      </c>
      <c r="C1703" t="s">
        <v>4686</v>
      </c>
      <c r="D1703" t="s">
        <v>629</v>
      </c>
      <c r="E1703" s="259" t="s">
        <v>1853</v>
      </c>
      <c r="F1703" t="s">
        <v>620</v>
      </c>
      <c r="G1703" s="89">
        <v>2008</v>
      </c>
      <c r="H1703" s="341" t="s">
        <v>731</v>
      </c>
      <c r="I1703" s="337" t="str">
        <f t="shared" si="78"/>
        <v>Pesado de Passageiros M3: III : Gasóleo : E4</v>
      </c>
      <c r="J1703" s="125">
        <v>55</v>
      </c>
      <c r="K1703" s="264">
        <v>2022</v>
      </c>
      <c r="L1703" s="85">
        <v>20615.000000000004</v>
      </c>
      <c r="M1703" s="85" t="s">
        <v>630</v>
      </c>
      <c r="N1703" s="128">
        <v>72899</v>
      </c>
      <c r="O1703" s="128">
        <f t="shared" si="79"/>
        <v>4009445</v>
      </c>
      <c r="Q1703" t="s">
        <v>47</v>
      </c>
      <c r="R1703" s="220" t="s">
        <v>1888</v>
      </c>
      <c r="S1703" s="220" t="s">
        <v>1861</v>
      </c>
      <c r="T1703" t="s">
        <v>2351</v>
      </c>
      <c r="U1703" t="s">
        <v>1972</v>
      </c>
      <c r="V1703" t="s">
        <v>2832</v>
      </c>
    </row>
    <row r="1704" spans="1:22" ht="15.75" thickBot="1" x14ac:dyDescent="0.3">
      <c r="A1704" t="s">
        <v>4686</v>
      </c>
      <c r="B1704" t="s">
        <v>4686</v>
      </c>
      <c r="C1704" t="s">
        <v>4686</v>
      </c>
      <c r="D1704" t="s">
        <v>629</v>
      </c>
      <c r="E1704" s="259" t="s">
        <v>1853</v>
      </c>
      <c r="F1704" t="s">
        <v>620</v>
      </c>
      <c r="G1704" s="89">
        <v>2011</v>
      </c>
      <c r="H1704" s="341" t="s">
        <v>734</v>
      </c>
      <c r="I1704" s="337" t="str">
        <f t="shared" si="78"/>
        <v>Pesado de Passageiros M3: III : Gasóleo : E5</v>
      </c>
      <c r="J1704" s="125">
        <v>55</v>
      </c>
      <c r="K1704" s="264">
        <v>2022</v>
      </c>
      <c r="L1704" s="85">
        <v>27777</v>
      </c>
      <c r="M1704" s="85" t="s">
        <v>630</v>
      </c>
      <c r="N1704" s="128">
        <v>98502</v>
      </c>
      <c r="O1704" s="128">
        <f t="shared" si="79"/>
        <v>5417610</v>
      </c>
      <c r="Q1704" t="s">
        <v>47</v>
      </c>
      <c r="R1704" s="220" t="s">
        <v>1888</v>
      </c>
      <c r="S1704" s="220" t="s">
        <v>1861</v>
      </c>
      <c r="T1704" t="s">
        <v>2352</v>
      </c>
      <c r="U1704" t="s">
        <v>1972</v>
      </c>
      <c r="V1704" t="s">
        <v>2832</v>
      </c>
    </row>
    <row r="1705" spans="1:22" ht="15.75" thickBot="1" x14ac:dyDescent="0.3">
      <c r="A1705" t="s">
        <v>4686</v>
      </c>
      <c r="B1705" t="s">
        <v>4686</v>
      </c>
      <c r="C1705" t="s">
        <v>4686</v>
      </c>
      <c r="D1705" t="s">
        <v>629</v>
      </c>
      <c r="E1705" s="259" t="s">
        <v>1853</v>
      </c>
      <c r="F1705" t="s">
        <v>620</v>
      </c>
      <c r="G1705" s="89">
        <v>2011</v>
      </c>
      <c r="H1705" s="341" t="s">
        <v>734</v>
      </c>
      <c r="I1705" s="337" t="str">
        <f t="shared" si="78"/>
        <v>Pesado de Passageiros M3: III : Gasóleo : E5</v>
      </c>
      <c r="J1705" s="125">
        <v>55</v>
      </c>
      <c r="K1705" s="264">
        <v>2022</v>
      </c>
      <c r="L1705" s="85">
        <v>25143.190000000002</v>
      </c>
      <c r="M1705" s="85" t="s">
        <v>630</v>
      </c>
      <c r="N1705" s="128">
        <v>89348</v>
      </c>
      <c r="O1705" s="128">
        <f t="shared" si="79"/>
        <v>4914140</v>
      </c>
      <c r="Q1705" t="s">
        <v>47</v>
      </c>
      <c r="R1705" s="220" t="s">
        <v>1888</v>
      </c>
      <c r="S1705" s="220" t="s">
        <v>1861</v>
      </c>
      <c r="T1705" t="s">
        <v>2353</v>
      </c>
      <c r="U1705" t="s">
        <v>1972</v>
      </c>
      <c r="V1705" t="s">
        <v>2832</v>
      </c>
    </row>
    <row r="1706" spans="1:22" ht="15.75" thickBot="1" x14ac:dyDescent="0.3">
      <c r="A1706" t="s">
        <v>4686</v>
      </c>
      <c r="B1706" t="s">
        <v>4686</v>
      </c>
      <c r="C1706" t="s">
        <v>4686</v>
      </c>
      <c r="D1706" t="s">
        <v>629</v>
      </c>
      <c r="E1706" s="259" t="s">
        <v>1853</v>
      </c>
      <c r="F1706" t="s">
        <v>620</v>
      </c>
      <c r="G1706" s="89">
        <v>2011</v>
      </c>
      <c r="H1706" s="341" t="s">
        <v>734</v>
      </c>
      <c r="I1706" s="337" t="str">
        <f t="shared" si="78"/>
        <v>Pesado de Passageiros M3: III : Gasóleo : E5</v>
      </c>
      <c r="J1706" s="125">
        <v>55</v>
      </c>
      <c r="K1706" s="264">
        <v>2022</v>
      </c>
      <c r="L1706" s="85">
        <v>28299.86</v>
      </c>
      <c r="M1706" s="85" t="s">
        <v>630</v>
      </c>
      <c r="N1706" s="128">
        <v>102065</v>
      </c>
      <c r="O1706" s="128">
        <f t="shared" si="79"/>
        <v>5613575</v>
      </c>
      <c r="Q1706" t="s">
        <v>47</v>
      </c>
      <c r="R1706" s="220" t="s">
        <v>1888</v>
      </c>
      <c r="S1706" s="220" t="s">
        <v>1861</v>
      </c>
      <c r="T1706" t="s">
        <v>2354</v>
      </c>
      <c r="U1706" t="s">
        <v>1972</v>
      </c>
      <c r="V1706" t="s">
        <v>2832</v>
      </c>
    </row>
    <row r="1707" spans="1:22" ht="15.75" thickBot="1" x14ac:dyDescent="0.3">
      <c r="A1707" t="s">
        <v>4686</v>
      </c>
      <c r="B1707" t="s">
        <v>4686</v>
      </c>
      <c r="C1707" t="s">
        <v>4686</v>
      </c>
      <c r="D1707" t="s">
        <v>629</v>
      </c>
      <c r="E1707" s="259" t="s">
        <v>1853</v>
      </c>
      <c r="F1707" t="s">
        <v>620</v>
      </c>
      <c r="G1707" s="89">
        <v>2011</v>
      </c>
      <c r="H1707" s="341" t="s">
        <v>734</v>
      </c>
      <c r="I1707" s="337" t="str">
        <f t="shared" si="78"/>
        <v>Pesado de Passageiros M3: III : Gasóleo : E5</v>
      </c>
      <c r="J1707" s="125">
        <v>55</v>
      </c>
      <c r="K1707" s="264">
        <v>2022</v>
      </c>
      <c r="L1707" s="85">
        <v>26970.399999999994</v>
      </c>
      <c r="M1707" s="85" t="s">
        <v>630</v>
      </c>
      <c r="N1707" s="128">
        <v>96366</v>
      </c>
      <c r="O1707" s="128">
        <f t="shared" si="79"/>
        <v>5300130</v>
      </c>
      <c r="Q1707" t="s">
        <v>47</v>
      </c>
      <c r="R1707" s="220" t="s">
        <v>1888</v>
      </c>
      <c r="S1707" s="220" t="s">
        <v>1861</v>
      </c>
      <c r="T1707" t="s">
        <v>2355</v>
      </c>
      <c r="U1707" t="s">
        <v>1972</v>
      </c>
      <c r="V1707" t="s">
        <v>2832</v>
      </c>
    </row>
    <row r="1708" spans="1:22" ht="15.75" thickBot="1" x14ac:dyDescent="0.3">
      <c r="A1708" t="s">
        <v>4686</v>
      </c>
      <c r="B1708" t="s">
        <v>4686</v>
      </c>
      <c r="C1708" t="s">
        <v>4686</v>
      </c>
      <c r="D1708" t="s">
        <v>629</v>
      </c>
      <c r="E1708" s="259" t="s">
        <v>1853</v>
      </c>
      <c r="F1708" t="s">
        <v>620</v>
      </c>
      <c r="G1708" s="89">
        <v>2011</v>
      </c>
      <c r="H1708" s="341" t="s">
        <v>734</v>
      </c>
      <c r="I1708" s="337" t="str">
        <f t="shared" si="78"/>
        <v>Pesado de Passageiros M3: III : Gasóleo : E5</v>
      </c>
      <c r="J1708" s="125">
        <v>55</v>
      </c>
      <c r="K1708" s="264">
        <v>2022</v>
      </c>
      <c r="L1708" s="85">
        <v>23939.440000000002</v>
      </c>
      <c r="M1708" s="85" t="s">
        <v>630</v>
      </c>
      <c r="N1708" s="128">
        <v>82946</v>
      </c>
      <c r="O1708" s="128">
        <f t="shared" si="79"/>
        <v>4562030</v>
      </c>
      <c r="Q1708" t="s">
        <v>47</v>
      </c>
      <c r="R1708" s="220" t="s">
        <v>1888</v>
      </c>
      <c r="S1708" s="220" t="s">
        <v>1861</v>
      </c>
      <c r="T1708" t="s">
        <v>2356</v>
      </c>
      <c r="U1708" t="s">
        <v>1972</v>
      </c>
      <c r="V1708" t="s">
        <v>2832</v>
      </c>
    </row>
    <row r="1709" spans="1:22" ht="15.75" thickBot="1" x14ac:dyDescent="0.3">
      <c r="A1709" t="s">
        <v>4686</v>
      </c>
      <c r="B1709" t="s">
        <v>4686</v>
      </c>
      <c r="C1709" t="s">
        <v>4686</v>
      </c>
      <c r="D1709" t="s">
        <v>629</v>
      </c>
      <c r="E1709" s="259" t="s">
        <v>1853</v>
      </c>
      <c r="F1709" t="s">
        <v>620</v>
      </c>
      <c r="G1709" s="89">
        <v>2012</v>
      </c>
      <c r="H1709" s="341" t="s">
        <v>734</v>
      </c>
      <c r="I1709" s="337" t="str">
        <f t="shared" si="78"/>
        <v>Pesado de Passageiros M3: III : Gasóleo : E5</v>
      </c>
      <c r="J1709" s="125">
        <v>55</v>
      </c>
      <c r="K1709" s="264">
        <v>2022</v>
      </c>
      <c r="L1709" s="85">
        <v>31728.17</v>
      </c>
      <c r="M1709" s="85" t="s">
        <v>630</v>
      </c>
      <c r="N1709" s="128">
        <v>111087</v>
      </c>
      <c r="O1709" s="128">
        <f t="shared" si="79"/>
        <v>6109785</v>
      </c>
      <c r="Q1709" t="s">
        <v>47</v>
      </c>
      <c r="R1709" s="220" t="s">
        <v>1888</v>
      </c>
      <c r="S1709" s="220" t="s">
        <v>1861</v>
      </c>
      <c r="T1709" t="s">
        <v>2357</v>
      </c>
      <c r="U1709" t="s">
        <v>1972</v>
      </c>
      <c r="V1709" t="s">
        <v>2832</v>
      </c>
    </row>
    <row r="1710" spans="1:22" ht="15.75" thickBot="1" x14ac:dyDescent="0.3">
      <c r="A1710" t="s">
        <v>4686</v>
      </c>
      <c r="B1710" t="s">
        <v>4686</v>
      </c>
      <c r="C1710" t="s">
        <v>4686</v>
      </c>
      <c r="D1710" t="s">
        <v>629</v>
      </c>
      <c r="E1710" s="259" t="s">
        <v>1853</v>
      </c>
      <c r="F1710" t="s">
        <v>620</v>
      </c>
      <c r="G1710" s="89">
        <v>2009</v>
      </c>
      <c r="H1710" s="341" t="s">
        <v>731</v>
      </c>
      <c r="I1710" s="337" t="str">
        <f t="shared" si="78"/>
        <v>Pesado de Passageiros M3: III : Gasóleo : E4</v>
      </c>
      <c r="J1710" s="125">
        <v>60</v>
      </c>
      <c r="K1710" s="264">
        <v>2022</v>
      </c>
      <c r="L1710" s="85">
        <v>18449.640000000003</v>
      </c>
      <c r="M1710" s="85" t="s">
        <v>630</v>
      </c>
      <c r="N1710" s="128">
        <v>58393</v>
      </c>
      <c r="O1710" s="128">
        <f t="shared" si="79"/>
        <v>3503580</v>
      </c>
      <c r="Q1710" t="s">
        <v>47</v>
      </c>
      <c r="R1710" s="220" t="s">
        <v>1888</v>
      </c>
      <c r="S1710" s="220" t="s">
        <v>1861</v>
      </c>
      <c r="T1710" t="s">
        <v>2358</v>
      </c>
      <c r="U1710" t="s">
        <v>1972</v>
      </c>
      <c r="V1710" t="s">
        <v>2832</v>
      </c>
    </row>
    <row r="1711" spans="1:22" ht="15.75" thickBot="1" x14ac:dyDescent="0.3">
      <c r="A1711" t="s">
        <v>4686</v>
      </c>
      <c r="B1711" t="s">
        <v>4686</v>
      </c>
      <c r="C1711" t="s">
        <v>4686</v>
      </c>
      <c r="D1711" t="s">
        <v>629</v>
      </c>
      <c r="E1711" s="259" t="s">
        <v>1853</v>
      </c>
      <c r="F1711" t="s">
        <v>620</v>
      </c>
      <c r="G1711" s="89">
        <v>2011</v>
      </c>
      <c r="H1711" s="341" t="s">
        <v>734</v>
      </c>
      <c r="I1711" s="337" t="str">
        <f t="shared" si="78"/>
        <v>Pesado de Passageiros M3: III : Gasóleo : E5</v>
      </c>
      <c r="J1711" s="125">
        <v>66</v>
      </c>
      <c r="K1711" s="264">
        <v>2022</v>
      </c>
      <c r="L1711" s="85">
        <v>36343.85</v>
      </c>
      <c r="M1711" s="85" t="s">
        <v>630</v>
      </c>
      <c r="N1711" s="128">
        <v>119155</v>
      </c>
      <c r="O1711" s="128">
        <f t="shared" si="79"/>
        <v>7864230</v>
      </c>
      <c r="Q1711" t="s">
        <v>47</v>
      </c>
      <c r="R1711" s="220" t="s">
        <v>1888</v>
      </c>
      <c r="S1711" s="220" t="s">
        <v>1861</v>
      </c>
      <c r="T1711" t="s">
        <v>2359</v>
      </c>
      <c r="U1711" t="s">
        <v>1972</v>
      </c>
      <c r="V1711" t="s">
        <v>2832</v>
      </c>
    </row>
    <row r="1712" spans="1:22" ht="15.75" thickBot="1" x14ac:dyDescent="0.3">
      <c r="A1712" t="s">
        <v>4686</v>
      </c>
      <c r="B1712" t="s">
        <v>4686</v>
      </c>
      <c r="C1712" t="s">
        <v>4686</v>
      </c>
      <c r="D1712" t="s">
        <v>629</v>
      </c>
      <c r="E1712" s="259" t="s">
        <v>1853</v>
      </c>
      <c r="F1712" t="s">
        <v>620</v>
      </c>
      <c r="G1712" s="89">
        <v>2012</v>
      </c>
      <c r="H1712" s="341" t="s">
        <v>734</v>
      </c>
      <c r="I1712" s="337" t="str">
        <f t="shared" si="78"/>
        <v>Pesado de Passageiros M3: III : Gasóleo : E5</v>
      </c>
      <c r="J1712" s="125">
        <v>55</v>
      </c>
      <c r="K1712" s="264">
        <v>2022</v>
      </c>
      <c r="L1712" s="85">
        <v>13991.51</v>
      </c>
      <c r="M1712" s="85" t="s">
        <v>630</v>
      </c>
      <c r="N1712" s="128">
        <v>49281</v>
      </c>
      <c r="O1712" s="128">
        <f t="shared" si="79"/>
        <v>2710455</v>
      </c>
      <c r="Q1712" t="s">
        <v>47</v>
      </c>
      <c r="R1712" s="220" t="s">
        <v>1888</v>
      </c>
      <c r="S1712" s="220" t="s">
        <v>1861</v>
      </c>
      <c r="T1712" t="s">
        <v>2360</v>
      </c>
      <c r="U1712" t="s">
        <v>1972</v>
      </c>
      <c r="V1712" t="s">
        <v>2832</v>
      </c>
    </row>
    <row r="1713" spans="1:22" ht="15.75" thickBot="1" x14ac:dyDescent="0.3">
      <c r="A1713" t="s">
        <v>4686</v>
      </c>
      <c r="B1713" t="s">
        <v>4686</v>
      </c>
      <c r="C1713" t="s">
        <v>4686</v>
      </c>
      <c r="D1713" t="s">
        <v>629</v>
      </c>
      <c r="E1713" s="259" t="s">
        <v>1853</v>
      </c>
      <c r="F1713" t="s">
        <v>620</v>
      </c>
      <c r="G1713" s="89">
        <v>2012</v>
      </c>
      <c r="H1713" s="341" t="s">
        <v>734</v>
      </c>
      <c r="I1713" s="337" t="str">
        <f t="shared" si="78"/>
        <v>Pesado de Passageiros M3: III : Gasóleo : E5</v>
      </c>
      <c r="J1713" s="125">
        <v>55</v>
      </c>
      <c r="K1713" s="264">
        <v>2022</v>
      </c>
      <c r="L1713" s="85">
        <v>39755.01</v>
      </c>
      <c r="M1713" s="85" t="s">
        <v>630</v>
      </c>
      <c r="N1713" s="128">
        <v>143142</v>
      </c>
      <c r="O1713" s="128">
        <f t="shared" si="79"/>
        <v>7872810</v>
      </c>
      <c r="Q1713" t="s">
        <v>47</v>
      </c>
      <c r="R1713" s="220" t="s">
        <v>1888</v>
      </c>
      <c r="S1713" s="220" t="s">
        <v>1861</v>
      </c>
      <c r="T1713" t="s">
        <v>2361</v>
      </c>
      <c r="U1713" t="s">
        <v>1972</v>
      </c>
      <c r="V1713" t="s">
        <v>2832</v>
      </c>
    </row>
    <row r="1714" spans="1:22" ht="15.75" thickBot="1" x14ac:dyDescent="0.3">
      <c r="A1714" t="s">
        <v>4686</v>
      </c>
      <c r="B1714" t="s">
        <v>4686</v>
      </c>
      <c r="C1714" t="s">
        <v>4686</v>
      </c>
      <c r="D1714" t="s">
        <v>629</v>
      </c>
      <c r="E1714" s="259" t="s">
        <v>1853</v>
      </c>
      <c r="F1714" t="s">
        <v>620</v>
      </c>
      <c r="G1714" s="89">
        <v>2019</v>
      </c>
      <c r="H1714" s="341" t="s">
        <v>733</v>
      </c>
      <c r="I1714" s="337" t="str">
        <f t="shared" si="78"/>
        <v>Pesado de Passageiros M3: III : Gasóleo : E6</v>
      </c>
      <c r="J1714" s="125">
        <v>20</v>
      </c>
      <c r="K1714" s="264">
        <v>2022</v>
      </c>
      <c r="L1714" s="85">
        <v>10618.960000000001</v>
      </c>
      <c r="M1714" s="85" t="s">
        <v>630</v>
      </c>
      <c r="N1714" s="128">
        <v>74285</v>
      </c>
      <c r="O1714" s="128">
        <f t="shared" si="79"/>
        <v>1485700</v>
      </c>
      <c r="Q1714" t="s">
        <v>47</v>
      </c>
      <c r="R1714" s="220" t="s">
        <v>1888</v>
      </c>
      <c r="S1714" s="220" t="s">
        <v>1861</v>
      </c>
      <c r="T1714" t="s">
        <v>2362</v>
      </c>
      <c r="U1714" t="s">
        <v>1972</v>
      </c>
      <c r="V1714" t="s">
        <v>2832</v>
      </c>
    </row>
    <row r="1715" spans="1:22" ht="15.75" thickBot="1" x14ac:dyDescent="0.3">
      <c r="A1715" t="s">
        <v>4686</v>
      </c>
      <c r="B1715" t="s">
        <v>4686</v>
      </c>
      <c r="C1715" t="s">
        <v>4686</v>
      </c>
      <c r="D1715" t="s">
        <v>629</v>
      </c>
      <c r="E1715" s="259" t="s">
        <v>1853</v>
      </c>
      <c r="F1715" t="s">
        <v>620</v>
      </c>
      <c r="G1715" s="89">
        <v>2019</v>
      </c>
      <c r="H1715" s="341" t="s">
        <v>733</v>
      </c>
      <c r="I1715" s="337" t="str">
        <f t="shared" si="78"/>
        <v>Pesado de Passageiros M3: III : Gasóleo : E6</v>
      </c>
      <c r="J1715" s="125">
        <v>20</v>
      </c>
      <c r="K1715" s="264">
        <v>2022</v>
      </c>
      <c r="L1715" s="85">
        <v>11348.95</v>
      </c>
      <c r="M1715" s="85" t="s">
        <v>630</v>
      </c>
      <c r="N1715" s="128">
        <v>78877</v>
      </c>
      <c r="O1715" s="128">
        <f t="shared" si="79"/>
        <v>1577540</v>
      </c>
      <c r="Q1715" t="s">
        <v>47</v>
      </c>
      <c r="R1715" s="220" t="s">
        <v>1888</v>
      </c>
      <c r="S1715" s="220" t="s">
        <v>1861</v>
      </c>
      <c r="T1715" t="s">
        <v>2363</v>
      </c>
      <c r="U1715" t="s">
        <v>1972</v>
      </c>
      <c r="V1715" t="s">
        <v>2832</v>
      </c>
    </row>
    <row r="1716" spans="1:22" ht="15.75" thickBot="1" x14ac:dyDescent="0.3">
      <c r="A1716" t="s">
        <v>4686</v>
      </c>
      <c r="B1716" t="s">
        <v>4686</v>
      </c>
      <c r="C1716" t="s">
        <v>4686</v>
      </c>
      <c r="D1716" t="s">
        <v>629</v>
      </c>
      <c r="E1716" s="259" t="s">
        <v>1853</v>
      </c>
      <c r="F1716" t="s">
        <v>620</v>
      </c>
      <c r="G1716" s="89">
        <v>2019</v>
      </c>
      <c r="H1716" s="341" t="s">
        <v>733</v>
      </c>
      <c r="I1716" s="337" t="str">
        <f t="shared" si="78"/>
        <v>Pesado de Passageiros M3: III : Gasóleo : E6</v>
      </c>
      <c r="J1716" s="125">
        <v>20</v>
      </c>
      <c r="K1716" s="264">
        <v>2022</v>
      </c>
      <c r="L1716" s="85">
        <v>8698.68</v>
      </c>
      <c r="M1716" s="85" t="s">
        <v>630</v>
      </c>
      <c r="N1716" s="128">
        <v>59443</v>
      </c>
      <c r="O1716" s="128">
        <f t="shared" si="79"/>
        <v>1188860</v>
      </c>
      <c r="Q1716" t="s">
        <v>47</v>
      </c>
      <c r="R1716" s="220" t="s">
        <v>1888</v>
      </c>
      <c r="S1716" s="220" t="s">
        <v>1861</v>
      </c>
      <c r="T1716" t="s">
        <v>2364</v>
      </c>
      <c r="U1716" t="s">
        <v>1972</v>
      </c>
      <c r="V1716" t="s">
        <v>2832</v>
      </c>
    </row>
    <row r="1717" spans="1:22" ht="15.75" thickBot="1" x14ac:dyDescent="0.3">
      <c r="A1717" t="s">
        <v>4686</v>
      </c>
      <c r="B1717" t="s">
        <v>4686</v>
      </c>
      <c r="C1717" t="s">
        <v>4686</v>
      </c>
      <c r="D1717" t="s">
        <v>629</v>
      </c>
      <c r="E1717" s="259" t="s">
        <v>1853</v>
      </c>
      <c r="F1717" t="s">
        <v>620</v>
      </c>
      <c r="G1717" s="89">
        <v>2003</v>
      </c>
      <c r="H1717" s="341" t="s">
        <v>732</v>
      </c>
      <c r="I1717" s="337" t="str">
        <f t="shared" si="78"/>
        <v>Pesado de Passageiros M3: III : Gasóleo : E3</v>
      </c>
      <c r="J1717" s="125">
        <v>73</v>
      </c>
      <c r="K1717" s="264">
        <v>2022</v>
      </c>
      <c r="L1717" s="85">
        <v>7464.33</v>
      </c>
      <c r="M1717" s="85" t="s">
        <v>630</v>
      </c>
      <c r="N1717" s="128">
        <v>21339</v>
      </c>
      <c r="O1717" s="128">
        <f t="shared" si="79"/>
        <v>1557747</v>
      </c>
      <c r="Q1717" t="s">
        <v>47</v>
      </c>
      <c r="R1717" s="220" t="s">
        <v>1888</v>
      </c>
      <c r="S1717" s="220" t="s">
        <v>1861</v>
      </c>
      <c r="T1717" t="s">
        <v>2365</v>
      </c>
      <c r="U1717" t="s">
        <v>1972</v>
      </c>
      <c r="V1717" t="s">
        <v>2832</v>
      </c>
    </row>
    <row r="1718" spans="1:22" ht="15.75" thickBot="1" x14ac:dyDescent="0.3">
      <c r="A1718" t="s">
        <v>4686</v>
      </c>
      <c r="B1718" t="s">
        <v>4686</v>
      </c>
      <c r="C1718" t="s">
        <v>4686</v>
      </c>
      <c r="D1718" t="s">
        <v>629</v>
      </c>
      <c r="E1718" s="259" t="s">
        <v>1853</v>
      </c>
      <c r="F1718" t="s">
        <v>620</v>
      </c>
      <c r="G1718" s="89">
        <v>2001</v>
      </c>
      <c r="H1718" s="341" t="s">
        <v>732</v>
      </c>
      <c r="I1718" s="337" t="str">
        <f t="shared" si="78"/>
        <v>Pesado de Passageiros M3: III : Gasóleo : E3</v>
      </c>
      <c r="J1718" s="125">
        <v>76</v>
      </c>
      <c r="K1718" s="264">
        <v>2022</v>
      </c>
      <c r="L1718" s="85">
        <v>8685.6699999999983</v>
      </c>
      <c r="M1718" s="85" t="s">
        <v>630</v>
      </c>
      <c r="N1718" s="128">
        <v>24843</v>
      </c>
      <c r="O1718" s="128">
        <f t="shared" si="79"/>
        <v>1888068</v>
      </c>
      <c r="Q1718" t="s">
        <v>47</v>
      </c>
      <c r="R1718" s="220" t="s">
        <v>1888</v>
      </c>
      <c r="S1718" s="220" t="s">
        <v>1861</v>
      </c>
      <c r="T1718" t="s">
        <v>2366</v>
      </c>
      <c r="U1718" t="s">
        <v>1972</v>
      </c>
      <c r="V1718" t="s">
        <v>2832</v>
      </c>
    </row>
    <row r="1719" spans="1:22" ht="15.75" thickBot="1" x14ac:dyDescent="0.3">
      <c r="A1719" t="s">
        <v>4686</v>
      </c>
      <c r="B1719" t="s">
        <v>4686</v>
      </c>
      <c r="C1719" t="s">
        <v>4686</v>
      </c>
      <c r="D1719" t="s">
        <v>629</v>
      </c>
      <c r="E1719" s="259" t="s">
        <v>1853</v>
      </c>
      <c r="F1719" t="s">
        <v>620</v>
      </c>
      <c r="G1719" s="89">
        <v>2006</v>
      </c>
      <c r="H1719" s="341" t="s">
        <v>731</v>
      </c>
      <c r="I1719" s="337" t="str">
        <f t="shared" si="78"/>
        <v>Pesado de Passageiros M3: III : Gasóleo : E4</v>
      </c>
      <c r="J1719" s="125">
        <v>96</v>
      </c>
      <c r="K1719" s="264">
        <v>2022</v>
      </c>
      <c r="L1719" s="85">
        <v>2715.95</v>
      </c>
      <c r="M1719" s="85" t="s">
        <v>630</v>
      </c>
      <c r="N1719" s="128">
        <v>7029</v>
      </c>
      <c r="O1719" s="128">
        <f t="shared" si="79"/>
        <v>674784</v>
      </c>
      <c r="Q1719" t="s">
        <v>47</v>
      </c>
      <c r="R1719" s="220" t="s">
        <v>1888</v>
      </c>
      <c r="S1719" s="220" t="s">
        <v>1861</v>
      </c>
      <c r="T1719" t="s">
        <v>2367</v>
      </c>
      <c r="U1719" t="s">
        <v>1972</v>
      </c>
      <c r="V1719" t="s">
        <v>2832</v>
      </c>
    </row>
    <row r="1720" spans="1:22" ht="15.75" thickBot="1" x14ac:dyDescent="0.3">
      <c r="A1720" t="s">
        <v>4686</v>
      </c>
      <c r="B1720" t="s">
        <v>4686</v>
      </c>
      <c r="C1720" t="s">
        <v>4686</v>
      </c>
      <c r="D1720" t="s">
        <v>629</v>
      </c>
      <c r="E1720" s="259" t="s">
        <v>1853</v>
      </c>
      <c r="F1720" t="s">
        <v>620</v>
      </c>
      <c r="G1720" s="89">
        <v>2006</v>
      </c>
      <c r="H1720" s="341" t="s">
        <v>731</v>
      </c>
      <c r="I1720" s="337" t="str">
        <f t="shared" si="78"/>
        <v>Pesado de Passageiros M3: III : Gasóleo : E4</v>
      </c>
      <c r="J1720" s="125">
        <v>96</v>
      </c>
      <c r="K1720" s="264">
        <v>2022</v>
      </c>
      <c r="L1720" s="85">
        <v>4337.6500000000005</v>
      </c>
      <c r="M1720" s="85" t="s">
        <v>630</v>
      </c>
      <c r="N1720" s="128">
        <v>11150</v>
      </c>
      <c r="O1720" s="128">
        <f t="shared" si="79"/>
        <v>1070400</v>
      </c>
      <c r="Q1720" t="s">
        <v>47</v>
      </c>
      <c r="R1720" s="220" t="s">
        <v>1888</v>
      </c>
      <c r="S1720" s="220" t="s">
        <v>1861</v>
      </c>
      <c r="T1720" t="s">
        <v>2368</v>
      </c>
      <c r="U1720" t="s">
        <v>1972</v>
      </c>
      <c r="V1720" t="s">
        <v>2832</v>
      </c>
    </row>
    <row r="1721" spans="1:22" ht="15.75" thickBot="1" x14ac:dyDescent="0.3">
      <c r="A1721" t="s">
        <v>4686</v>
      </c>
      <c r="B1721" t="s">
        <v>4686</v>
      </c>
      <c r="C1721" t="s">
        <v>4686</v>
      </c>
      <c r="D1721" t="s">
        <v>629</v>
      </c>
      <c r="E1721" s="259" t="s">
        <v>1853</v>
      </c>
      <c r="F1721" t="s">
        <v>620</v>
      </c>
      <c r="G1721" s="89">
        <v>2006</v>
      </c>
      <c r="H1721" s="341" t="s">
        <v>731</v>
      </c>
      <c r="I1721" s="337" t="str">
        <f t="shared" si="78"/>
        <v>Pesado de Passageiros M3: III : Gasóleo : E4</v>
      </c>
      <c r="J1721" s="125">
        <v>97</v>
      </c>
      <c r="K1721" s="264">
        <v>2022</v>
      </c>
      <c r="L1721" s="85">
        <v>3817.5</v>
      </c>
      <c r="M1721" s="85" t="s">
        <v>630</v>
      </c>
      <c r="N1721" s="128">
        <v>10774</v>
      </c>
      <c r="O1721" s="128">
        <f t="shared" si="79"/>
        <v>1045078</v>
      </c>
      <c r="Q1721" t="s">
        <v>47</v>
      </c>
      <c r="R1721" s="220" t="s">
        <v>1888</v>
      </c>
      <c r="S1721" s="220" t="s">
        <v>1861</v>
      </c>
      <c r="T1721" t="s">
        <v>2369</v>
      </c>
      <c r="U1721" t="s">
        <v>1972</v>
      </c>
      <c r="V1721" t="s">
        <v>2832</v>
      </c>
    </row>
    <row r="1722" spans="1:22" ht="15.75" thickBot="1" x14ac:dyDescent="0.3">
      <c r="A1722" t="s">
        <v>4686</v>
      </c>
      <c r="B1722" t="s">
        <v>4686</v>
      </c>
      <c r="C1722" t="s">
        <v>4686</v>
      </c>
      <c r="D1722" t="s">
        <v>629</v>
      </c>
      <c r="E1722" s="259" t="s">
        <v>1853</v>
      </c>
      <c r="F1722" t="s">
        <v>620</v>
      </c>
      <c r="G1722" s="89">
        <v>2015</v>
      </c>
      <c r="H1722" s="341" t="s">
        <v>733</v>
      </c>
      <c r="I1722" s="337" t="str">
        <f t="shared" si="78"/>
        <v>Pesado de Passageiros M3: III : Gasóleo : E6</v>
      </c>
      <c r="J1722" s="125">
        <v>26</v>
      </c>
      <c r="K1722" s="264">
        <v>2022</v>
      </c>
      <c r="L1722" s="85">
        <v>15678.689999999997</v>
      </c>
      <c r="M1722" s="85" t="s">
        <v>630</v>
      </c>
      <c r="N1722" s="128">
        <v>79307</v>
      </c>
      <c r="O1722" s="128">
        <f t="shared" si="79"/>
        <v>2061982</v>
      </c>
      <c r="Q1722" t="s">
        <v>47</v>
      </c>
      <c r="R1722" s="220" t="s">
        <v>1888</v>
      </c>
      <c r="S1722" s="220" t="s">
        <v>1861</v>
      </c>
      <c r="T1722" t="s">
        <v>2370</v>
      </c>
      <c r="U1722" t="s">
        <v>1972</v>
      </c>
      <c r="V1722" t="s">
        <v>2832</v>
      </c>
    </row>
    <row r="1723" spans="1:22" ht="15.75" thickBot="1" x14ac:dyDescent="0.3">
      <c r="A1723" t="s">
        <v>4686</v>
      </c>
      <c r="B1723" t="s">
        <v>4686</v>
      </c>
      <c r="C1723" t="s">
        <v>4686</v>
      </c>
      <c r="D1723" t="s">
        <v>629</v>
      </c>
      <c r="E1723" s="259" t="s">
        <v>1853</v>
      </c>
      <c r="F1723" t="s">
        <v>620</v>
      </c>
      <c r="G1723" s="89">
        <v>2015</v>
      </c>
      <c r="H1723" s="341" t="s">
        <v>733</v>
      </c>
      <c r="I1723" s="337" t="str">
        <f t="shared" si="78"/>
        <v>Pesado de Passageiros M3: III : Gasóleo : E6</v>
      </c>
      <c r="J1723" s="125">
        <v>26</v>
      </c>
      <c r="K1723" s="264">
        <v>2022</v>
      </c>
      <c r="L1723" s="85">
        <v>11815.990000000002</v>
      </c>
      <c r="M1723" s="85" t="s">
        <v>630</v>
      </c>
      <c r="N1723" s="128">
        <v>57411</v>
      </c>
      <c r="O1723" s="128">
        <f t="shared" si="79"/>
        <v>1492686</v>
      </c>
      <c r="Q1723" t="s">
        <v>47</v>
      </c>
      <c r="R1723" s="220" t="s">
        <v>1888</v>
      </c>
      <c r="S1723" s="220" t="s">
        <v>1861</v>
      </c>
      <c r="T1723" t="s">
        <v>2371</v>
      </c>
      <c r="U1723" t="s">
        <v>1972</v>
      </c>
      <c r="V1723" t="s">
        <v>2832</v>
      </c>
    </row>
    <row r="1724" spans="1:22" ht="15.75" thickBot="1" x14ac:dyDescent="0.3">
      <c r="A1724" t="s">
        <v>4686</v>
      </c>
      <c r="B1724" t="s">
        <v>4686</v>
      </c>
      <c r="C1724" t="s">
        <v>4686</v>
      </c>
      <c r="D1724" t="s">
        <v>629</v>
      </c>
      <c r="E1724" s="259" t="s">
        <v>1853</v>
      </c>
      <c r="F1724" t="s">
        <v>620</v>
      </c>
      <c r="G1724" s="89">
        <v>2015</v>
      </c>
      <c r="H1724" s="341" t="s">
        <v>733</v>
      </c>
      <c r="I1724" s="337" t="str">
        <f t="shared" si="78"/>
        <v>Pesado de Passageiros M3: III : Gasóleo : E6</v>
      </c>
      <c r="J1724" s="125">
        <v>26</v>
      </c>
      <c r="K1724" s="264">
        <v>2022</v>
      </c>
      <c r="L1724" s="85">
        <v>14964.939999999999</v>
      </c>
      <c r="M1724" s="85" t="s">
        <v>630</v>
      </c>
      <c r="N1724" s="128">
        <v>77261</v>
      </c>
      <c r="O1724" s="128">
        <f t="shared" si="79"/>
        <v>2008786</v>
      </c>
      <c r="Q1724" t="s">
        <v>47</v>
      </c>
      <c r="R1724" s="220" t="s">
        <v>1888</v>
      </c>
      <c r="S1724" s="220" t="s">
        <v>1861</v>
      </c>
      <c r="T1724" t="s">
        <v>2372</v>
      </c>
      <c r="U1724" t="s">
        <v>1972</v>
      </c>
      <c r="V1724" t="s">
        <v>2832</v>
      </c>
    </row>
    <row r="1725" spans="1:22" ht="15.75" thickBot="1" x14ac:dyDescent="0.3">
      <c r="A1725" t="s">
        <v>4686</v>
      </c>
      <c r="B1725" t="s">
        <v>4686</v>
      </c>
      <c r="C1725" t="s">
        <v>4686</v>
      </c>
      <c r="D1725" t="s">
        <v>629</v>
      </c>
      <c r="E1725" s="259" t="s">
        <v>1853</v>
      </c>
      <c r="F1725" t="s">
        <v>620</v>
      </c>
      <c r="G1725" s="89">
        <v>2015</v>
      </c>
      <c r="H1725" s="341" t="s">
        <v>733</v>
      </c>
      <c r="I1725" s="337" t="str">
        <f t="shared" si="78"/>
        <v>Pesado de Passageiros M3: III : Gasóleo : E6</v>
      </c>
      <c r="J1725" s="125">
        <v>26</v>
      </c>
      <c r="K1725" s="264">
        <v>2022</v>
      </c>
      <c r="L1725" s="85">
        <v>13688.410000000002</v>
      </c>
      <c r="M1725" s="85" t="s">
        <v>630</v>
      </c>
      <c r="N1725" s="128">
        <v>74352</v>
      </c>
      <c r="O1725" s="128">
        <f t="shared" si="79"/>
        <v>1933152</v>
      </c>
      <c r="Q1725" t="s">
        <v>47</v>
      </c>
      <c r="R1725" s="220" t="s">
        <v>1888</v>
      </c>
      <c r="S1725" s="220" t="s">
        <v>1861</v>
      </c>
      <c r="T1725" t="s">
        <v>2373</v>
      </c>
      <c r="U1725" t="s">
        <v>1972</v>
      </c>
      <c r="V1725" t="s">
        <v>2832</v>
      </c>
    </row>
    <row r="1726" spans="1:22" ht="15.75" thickBot="1" x14ac:dyDescent="0.3">
      <c r="A1726" t="s">
        <v>4686</v>
      </c>
      <c r="B1726" t="s">
        <v>4686</v>
      </c>
      <c r="C1726" t="s">
        <v>4686</v>
      </c>
      <c r="D1726" t="s">
        <v>629</v>
      </c>
      <c r="E1726" s="259" t="s">
        <v>1853</v>
      </c>
      <c r="F1726" t="s">
        <v>620</v>
      </c>
      <c r="G1726" s="89">
        <v>2010</v>
      </c>
      <c r="H1726" s="341" t="s">
        <v>734</v>
      </c>
      <c r="I1726" s="337" t="str">
        <f t="shared" si="78"/>
        <v>Pesado de Passageiros M3: III : Gasóleo : E5</v>
      </c>
      <c r="J1726" s="125">
        <v>53</v>
      </c>
      <c r="K1726" s="264">
        <v>2022</v>
      </c>
      <c r="L1726" s="85">
        <v>19120.399999999998</v>
      </c>
      <c r="M1726" s="85" t="s">
        <v>630</v>
      </c>
      <c r="N1726" s="128">
        <v>50696</v>
      </c>
      <c r="O1726" s="128">
        <f t="shared" si="79"/>
        <v>2686888</v>
      </c>
      <c r="Q1726" t="s">
        <v>47</v>
      </c>
      <c r="R1726" s="220" t="s">
        <v>1888</v>
      </c>
      <c r="S1726" s="220" t="s">
        <v>1861</v>
      </c>
      <c r="T1726" t="s">
        <v>2374</v>
      </c>
      <c r="U1726" t="s">
        <v>1972</v>
      </c>
      <c r="V1726" t="s">
        <v>2832</v>
      </c>
    </row>
    <row r="1727" spans="1:22" ht="15.75" thickBot="1" x14ac:dyDescent="0.3">
      <c r="A1727" t="s">
        <v>4686</v>
      </c>
      <c r="B1727" t="s">
        <v>4686</v>
      </c>
      <c r="C1727" t="s">
        <v>4686</v>
      </c>
      <c r="D1727" t="s">
        <v>629</v>
      </c>
      <c r="E1727" s="259" t="s">
        <v>1853</v>
      </c>
      <c r="F1727" t="s">
        <v>620</v>
      </c>
      <c r="G1727" s="89">
        <v>2015</v>
      </c>
      <c r="H1727" s="341" t="s">
        <v>733</v>
      </c>
      <c r="I1727" s="337" t="str">
        <f t="shared" si="78"/>
        <v>Pesado de Passageiros M3: III : Gasóleo : E6</v>
      </c>
      <c r="J1727" s="125">
        <v>62</v>
      </c>
      <c r="K1727" s="264">
        <v>2022</v>
      </c>
      <c r="L1727" s="85">
        <v>29072.999999999996</v>
      </c>
      <c r="M1727" s="85" t="s">
        <v>630</v>
      </c>
      <c r="N1727" s="128">
        <v>71919</v>
      </c>
      <c r="O1727" s="128">
        <f t="shared" si="79"/>
        <v>4458978</v>
      </c>
      <c r="Q1727" t="s">
        <v>47</v>
      </c>
      <c r="R1727" s="220" t="s">
        <v>1888</v>
      </c>
      <c r="S1727" s="220" t="s">
        <v>1861</v>
      </c>
      <c r="T1727" t="s">
        <v>2375</v>
      </c>
      <c r="U1727" t="s">
        <v>1972</v>
      </c>
      <c r="V1727" t="s">
        <v>2832</v>
      </c>
    </row>
    <row r="1728" spans="1:22" ht="15.75" thickBot="1" x14ac:dyDescent="0.3">
      <c r="A1728" t="s">
        <v>4686</v>
      </c>
      <c r="B1728" t="s">
        <v>4686</v>
      </c>
      <c r="C1728" t="s">
        <v>4686</v>
      </c>
      <c r="D1728" t="s">
        <v>629</v>
      </c>
      <c r="E1728" s="259" t="s">
        <v>1853</v>
      </c>
      <c r="F1728" t="s">
        <v>620</v>
      </c>
      <c r="G1728" s="89">
        <v>2004</v>
      </c>
      <c r="H1728" s="341" t="s">
        <v>732</v>
      </c>
      <c r="I1728" s="337" t="str">
        <f t="shared" si="78"/>
        <v>Pesado de Passageiros M3: III : Gasóleo : E3</v>
      </c>
      <c r="J1728" s="125">
        <v>73</v>
      </c>
      <c r="K1728" s="264">
        <v>2022</v>
      </c>
      <c r="L1728" s="85">
        <v>16487.48</v>
      </c>
      <c r="M1728" s="85" t="s">
        <v>630</v>
      </c>
      <c r="N1728" s="128">
        <v>47395</v>
      </c>
      <c r="O1728" s="128">
        <f t="shared" si="79"/>
        <v>3459835</v>
      </c>
      <c r="Q1728" t="s">
        <v>47</v>
      </c>
      <c r="R1728" s="220" t="s">
        <v>1888</v>
      </c>
      <c r="S1728" s="220" t="s">
        <v>1861</v>
      </c>
      <c r="T1728" t="s">
        <v>2376</v>
      </c>
      <c r="U1728" t="s">
        <v>1972</v>
      </c>
      <c r="V1728" t="s">
        <v>2832</v>
      </c>
    </row>
    <row r="1729" spans="1:22" ht="15.75" thickBot="1" x14ac:dyDescent="0.3">
      <c r="A1729" t="s">
        <v>4686</v>
      </c>
      <c r="B1729" t="s">
        <v>4686</v>
      </c>
      <c r="C1729" t="s">
        <v>4686</v>
      </c>
      <c r="D1729" t="s">
        <v>629</v>
      </c>
      <c r="E1729" s="259" t="s">
        <v>1853</v>
      </c>
      <c r="F1729" t="s">
        <v>620</v>
      </c>
      <c r="G1729" s="89">
        <v>2019</v>
      </c>
      <c r="H1729" s="341" t="s">
        <v>733</v>
      </c>
      <c r="I1729" s="337" t="str">
        <f t="shared" si="78"/>
        <v>Pesado de Passageiros M3: III : Gasóleo : E6</v>
      </c>
      <c r="J1729" s="125">
        <v>53</v>
      </c>
      <c r="K1729" s="264">
        <v>2022</v>
      </c>
      <c r="L1729" s="85">
        <v>20839.239999999998</v>
      </c>
      <c r="M1729" s="85" t="s">
        <v>630</v>
      </c>
      <c r="N1729" s="128">
        <v>54778</v>
      </c>
      <c r="O1729" s="128">
        <f t="shared" si="79"/>
        <v>2903234</v>
      </c>
      <c r="Q1729" t="s">
        <v>47</v>
      </c>
      <c r="R1729" s="220" t="s">
        <v>1888</v>
      </c>
      <c r="S1729" s="220" t="s">
        <v>1861</v>
      </c>
      <c r="T1729" t="s">
        <v>2377</v>
      </c>
      <c r="U1729" t="s">
        <v>1972</v>
      </c>
      <c r="V1729" t="s">
        <v>2832</v>
      </c>
    </row>
    <row r="1730" spans="1:22" ht="15.75" thickBot="1" x14ac:dyDescent="0.3">
      <c r="A1730" t="s">
        <v>4686</v>
      </c>
      <c r="B1730" t="s">
        <v>4686</v>
      </c>
      <c r="C1730" t="s">
        <v>4686</v>
      </c>
      <c r="D1730" t="s">
        <v>629</v>
      </c>
      <c r="E1730" s="259" t="s">
        <v>1853</v>
      </c>
      <c r="F1730" t="s">
        <v>620</v>
      </c>
      <c r="G1730" s="89">
        <v>2019</v>
      </c>
      <c r="H1730" s="341" t="s">
        <v>733</v>
      </c>
      <c r="I1730" s="337" t="str">
        <f t="shared" si="78"/>
        <v>Pesado de Passageiros M3: III : Gasóleo : E6</v>
      </c>
      <c r="J1730" s="125">
        <v>53</v>
      </c>
      <c r="K1730" s="264">
        <v>2022</v>
      </c>
      <c r="L1730" s="85">
        <v>17707.239999999998</v>
      </c>
      <c r="M1730" s="85" t="s">
        <v>630</v>
      </c>
      <c r="N1730" s="128">
        <v>47791</v>
      </c>
      <c r="O1730" s="128">
        <f t="shared" si="79"/>
        <v>2532923</v>
      </c>
      <c r="Q1730" t="s">
        <v>47</v>
      </c>
      <c r="R1730" s="220" t="s">
        <v>1888</v>
      </c>
      <c r="S1730" s="220" t="s">
        <v>1861</v>
      </c>
      <c r="T1730" t="s">
        <v>2378</v>
      </c>
      <c r="U1730" t="s">
        <v>1972</v>
      </c>
      <c r="V1730" t="s">
        <v>2832</v>
      </c>
    </row>
    <row r="1731" spans="1:22" ht="15.75" thickBot="1" x14ac:dyDescent="0.3">
      <c r="A1731" t="s">
        <v>4686</v>
      </c>
      <c r="B1731" t="s">
        <v>4686</v>
      </c>
      <c r="C1731" t="s">
        <v>4686</v>
      </c>
      <c r="D1731" t="s">
        <v>629</v>
      </c>
      <c r="E1731" s="259" t="s">
        <v>1853</v>
      </c>
      <c r="F1731" t="s">
        <v>620</v>
      </c>
      <c r="G1731" s="89">
        <v>2019</v>
      </c>
      <c r="H1731" s="341" t="s">
        <v>733</v>
      </c>
      <c r="I1731" s="337" t="str">
        <f t="shared" si="78"/>
        <v>Pesado de Passageiros M3: III : Gasóleo : E6</v>
      </c>
      <c r="J1731" s="125">
        <v>53</v>
      </c>
      <c r="K1731" s="264">
        <v>2022</v>
      </c>
      <c r="L1731" s="85">
        <v>17926.699999999997</v>
      </c>
      <c r="M1731" s="85" t="s">
        <v>630</v>
      </c>
      <c r="N1731" s="128">
        <v>46122</v>
      </c>
      <c r="O1731" s="128">
        <f t="shared" si="79"/>
        <v>2444466</v>
      </c>
      <c r="Q1731" t="s">
        <v>47</v>
      </c>
      <c r="R1731" s="220" t="s">
        <v>1888</v>
      </c>
      <c r="S1731" s="220" t="s">
        <v>1861</v>
      </c>
      <c r="T1731" t="s">
        <v>2379</v>
      </c>
      <c r="U1731" t="s">
        <v>1972</v>
      </c>
      <c r="V1731" t="s">
        <v>2832</v>
      </c>
    </row>
    <row r="1732" spans="1:22" ht="15.75" thickBot="1" x14ac:dyDescent="0.3">
      <c r="A1732" t="s">
        <v>4686</v>
      </c>
      <c r="B1732" t="s">
        <v>4686</v>
      </c>
      <c r="C1732" t="s">
        <v>4686</v>
      </c>
      <c r="D1732" t="s">
        <v>629</v>
      </c>
      <c r="E1732" s="259" t="s">
        <v>1853</v>
      </c>
      <c r="F1732" t="s">
        <v>620</v>
      </c>
      <c r="G1732" s="89">
        <v>2015</v>
      </c>
      <c r="H1732" s="341" t="s">
        <v>733</v>
      </c>
      <c r="I1732" s="337" t="str">
        <f t="shared" ref="I1732:I1795" si="80">D1732&amp;": "&amp;E1732&amp;" : "&amp;F1732&amp;" : "&amp;H1732</f>
        <v>Pesado de Passageiros M3: III : Gasóleo : E6</v>
      </c>
      <c r="J1732" s="125">
        <v>62</v>
      </c>
      <c r="K1732" s="264">
        <v>2022</v>
      </c>
      <c r="L1732" s="85">
        <v>30367.97</v>
      </c>
      <c r="M1732" s="85" t="s">
        <v>630</v>
      </c>
      <c r="N1732" s="128">
        <v>78326</v>
      </c>
      <c r="O1732" s="128">
        <f t="shared" ref="O1732:O1795" si="81">N1732*J1732</f>
        <v>4856212</v>
      </c>
      <c r="Q1732" t="s">
        <v>47</v>
      </c>
      <c r="R1732" s="220" t="s">
        <v>1888</v>
      </c>
      <c r="S1732" s="220" t="s">
        <v>1861</v>
      </c>
      <c r="T1732" t="s">
        <v>2380</v>
      </c>
      <c r="U1732" t="s">
        <v>1972</v>
      </c>
      <c r="V1732" t="s">
        <v>2832</v>
      </c>
    </row>
    <row r="1733" spans="1:22" ht="15.75" thickBot="1" x14ac:dyDescent="0.3">
      <c r="A1733" t="s">
        <v>4686</v>
      </c>
      <c r="B1733" t="s">
        <v>4686</v>
      </c>
      <c r="C1733" t="s">
        <v>4686</v>
      </c>
      <c r="D1733" t="s">
        <v>629</v>
      </c>
      <c r="E1733" s="259" t="s">
        <v>1853</v>
      </c>
      <c r="F1733" t="s">
        <v>620</v>
      </c>
      <c r="G1733" s="89">
        <v>2015</v>
      </c>
      <c r="H1733" s="341" t="s">
        <v>733</v>
      </c>
      <c r="I1733" s="337" t="str">
        <f t="shared" si="80"/>
        <v>Pesado de Passageiros M3: III : Gasóleo : E6</v>
      </c>
      <c r="J1733" s="125">
        <v>62</v>
      </c>
      <c r="K1733" s="264">
        <v>2022</v>
      </c>
      <c r="L1733" s="85">
        <v>30963.780000000006</v>
      </c>
      <c r="M1733" s="85" t="s">
        <v>630</v>
      </c>
      <c r="N1733" s="128">
        <v>75871</v>
      </c>
      <c r="O1733" s="128">
        <f t="shared" si="81"/>
        <v>4704002</v>
      </c>
      <c r="Q1733" t="s">
        <v>47</v>
      </c>
      <c r="R1733" s="220" t="s">
        <v>1888</v>
      </c>
      <c r="S1733" s="220" t="s">
        <v>1861</v>
      </c>
      <c r="T1733" t="s">
        <v>2381</v>
      </c>
      <c r="U1733" t="s">
        <v>1972</v>
      </c>
      <c r="V1733" t="s">
        <v>2832</v>
      </c>
    </row>
    <row r="1734" spans="1:22" ht="15.75" thickBot="1" x14ac:dyDescent="0.3">
      <c r="A1734" t="s">
        <v>4686</v>
      </c>
      <c r="B1734" t="s">
        <v>4686</v>
      </c>
      <c r="C1734" t="s">
        <v>4686</v>
      </c>
      <c r="D1734" t="s">
        <v>629</v>
      </c>
      <c r="E1734" s="259" t="s">
        <v>1853</v>
      </c>
      <c r="F1734" t="s">
        <v>620</v>
      </c>
      <c r="G1734" s="89">
        <v>2015</v>
      </c>
      <c r="H1734" s="341" t="s">
        <v>733</v>
      </c>
      <c r="I1734" s="337" t="str">
        <f t="shared" si="80"/>
        <v>Pesado de Passageiros M3: III : Gasóleo : E6</v>
      </c>
      <c r="J1734" s="125">
        <v>62</v>
      </c>
      <c r="K1734" s="264">
        <v>2022</v>
      </c>
      <c r="L1734" s="85">
        <v>22245.420000000002</v>
      </c>
      <c r="M1734" s="85" t="s">
        <v>630</v>
      </c>
      <c r="N1734" s="128">
        <v>55989</v>
      </c>
      <c r="O1734" s="128">
        <f t="shared" si="81"/>
        <v>3471318</v>
      </c>
      <c r="Q1734" t="s">
        <v>47</v>
      </c>
      <c r="R1734" s="220" t="s">
        <v>1888</v>
      </c>
      <c r="S1734" s="220" t="s">
        <v>1861</v>
      </c>
      <c r="T1734" t="s">
        <v>2382</v>
      </c>
      <c r="U1734" t="s">
        <v>1972</v>
      </c>
      <c r="V1734" t="s">
        <v>2832</v>
      </c>
    </row>
    <row r="1735" spans="1:22" ht="15.75" thickBot="1" x14ac:dyDescent="0.3">
      <c r="A1735" t="s">
        <v>4686</v>
      </c>
      <c r="B1735" t="s">
        <v>4686</v>
      </c>
      <c r="C1735" t="s">
        <v>4686</v>
      </c>
      <c r="D1735" t="s">
        <v>629</v>
      </c>
      <c r="E1735" s="259" t="s">
        <v>1853</v>
      </c>
      <c r="F1735" t="s">
        <v>620</v>
      </c>
      <c r="G1735" s="89">
        <v>2000</v>
      </c>
      <c r="H1735" s="341" t="s">
        <v>732</v>
      </c>
      <c r="I1735" s="337" t="str">
        <f t="shared" si="80"/>
        <v>Pesado de Passageiros M3: III : Gasóleo : E3</v>
      </c>
      <c r="J1735" s="125">
        <v>68</v>
      </c>
      <c r="K1735" s="264">
        <v>2022</v>
      </c>
      <c r="L1735" s="85">
        <v>10008.040000000001</v>
      </c>
      <c r="M1735" s="85" t="s">
        <v>630</v>
      </c>
      <c r="N1735" s="128">
        <v>30117</v>
      </c>
      <c r="O1735" s="128">
        <f t="shared" si="81"/>
        <v>2047956</v>
      </c>
      <c r="Q1735" t="s">
        <v>47</v>
      </c>
      <c r="R1735" s="220" t="s">
        <v>1888</v>
      </c>
      <c r="S1735" s="220" t="s">
        <v>1861</v>
      </c>
      <c r="T1735" t="s">
        <v>2383</v>
      </c>
      <c r="U1735" t="s">
        <v>1972</v>
      </c>
      <c r="V1735" t="s">
        <v>2832</v>
      </c>
    </row>
    <row r="1736" spans="1:22" ht="15.75" thickBot="1" x14ac:dyDescent="0.3">
      <c r="A1736" t="s">
        <v>4686</v>
      </c>
      <c r="B1736" t="s">
        <v>4686</v>
      </c>
      <c r="C1736" t="s">
        <v>4686</v>
      </c>
      <c r="D1736" t="s">
        <v>623</v>
      </c>
      <c r="E1736" s="262" t="s">
        <v>2250</v>
      </c>
      <c r="F1736" t="s">
        <v>620</v>
      </c>
      <c r="G1736" s="89">
        <v>2018</v>
      </c>
      <c r="H1736" s="341" t="s">
        <v>733</v>
      </c>
      <c r="I1736" s="339" t="s">
        <v>2837</v>
      </c>
      <c r="J1736" s="125">
        <v>8</v>
      </c>
      <c r="K1736" s="264">
        <v>2022</v>
      </c>
      <c r="L1736" s="85">
        <v>6306.6</v>
      </c>
      <c r="M1736" s="85" t="s">
        <v>630</v>
      </c>
      <c r="N1736" s="128">
        <v>79882</v>
      </c>
      <c r="O1736" s="128">
        <f t="shared" si="81"/>
        <v>639056</v>
      </c>
      <c r="Q1736" t="s">
        <v>47</v>
      </c>
      <c r="R1736" s="220" t="s">
        <v>1888</v>
      </c>
      <c r="S1736" s="220" t="s">
        <v>1861</v>
      </c>
      <c r="T1736" t="s">
        <v>2384</v>
      </c>
      <c r="U1736" t="s">
        <v>1972</v>
      </c>
      <c r="V1736" t="s">
        <v>2832</v>
      </c>
    </row>
    <row r="1737" spans="1:22" ht="15.75" thickBot="1" x14ac:dyDescent="0.3">
      <c r="A1737" t="s">
        <v>4686</v>
      </c>
      <c r="B1737" t="s">
        <v>4686</v>
      </c>
      <c r="C1737" t="s">
        <v>4686</v>
      </c>
      <c r="D1737" t="s">
        <v>623</v>
      </c>
      <c r="E1737" s="262" t="s">
        <v>2250</v>
      </c>
      <c r="F1737" t="s">
        <v>620</v>
      </c>
      <c r="G1737" s="89">
        <v>2013</v>
      </c>
      <c r="H1737" s="341" t="s">
        <v>734</v>
      </c>
      <c r="I1737" s="339" t="s">
        <v>2837</v>
      </c>
      <c r="J1737" s="125">
        <v>8</v>
      </c>
      <c r="K1737" s="264">
        <v>2022</v>
      </c>
      <c r="L1737" s="85">
        <v>3833.46</v>
      </c>
      <c r="M1737" s="85" t="s">
        <v>630</v>
      </c>
      <c r="N1737" s="128">
        <v>47918.25</v>
      </c>
      <c r="O1737" s="128">
        <f t="shared" si="81"/>
        <v>383346</v>
      </c>
      <c r="Q1737" t="s">
        <v>47</v>
      </c>
      <c r="R1737" s="220" t="s">
        <v>1888</v>
      </c>
      <c r="S1737" s="220" t="s">
        <v>1861</v>
      </c>
      <c r="T1737" t="s">
        <v>2385</v>
      </c>
      <c r="U1737" t="s">
        <v>1972</v>
      </c>
      <c r="V1737" t="s">
        <v>2832</v>
      </c>
    </row>
    <row r="1738" spans="1:22" ht="15.75" thickBot="1" x14ac:dyDescent="0.3">
      <c r="A1738" t="s">
        <v>4687</v>
      </c>
      <c r="B1738" t="s">
        <v>4687</v>
      </c>
      <c r="C1738" t="s">
        <v>4687</v>
      </c>
      <c r="D1738" t="s">
        <v>629</v>
      </c>
      <c r="E1738" s="259" t="s">
        <v>1853</v>
      </c>
      <c r="F1738" t="s">
        <v>620</v>
      </c>
      <c r="G1738" s="89">
        <v>2013</v>
      </c>
      <c r="H1738" s="341" t="s">
        <v>734</v>
      </c>
      <c r="I1738" s="337" t="str">
        <f t="shared" si="80"/>
        <v>Pesado de Passageiros M3: III : Gasóleo : E5</v>
      </c>
      <c r="J1738" s="125">
        <v>24</v>
      </c>
      <c r="K1738" s="264">
        <v>2022</v>
      </c>
      <c r="L1738" s="85">
        <v>1015.35</v>
      </c>
      <c r="M1738" s="85" t="s">
        <v>630</v>
      </c>
      <c r="N1738" s="128">
        <v>5402</v>
      </c>
      <c r="O1738" s="128">
        <f t="shared" si="81"/>
        <v>129648</v>
      </c>
      <c r="Q1738" t="s">
        <v>47</v>
      </c>
      <c r="R1738" s="220" t="s">
        <v>1888</v>
      </c>
      <c r="S1738" s="220" t="s">
        <v>1861</v>
      </c>
      <c r="T1738" t="s">
        <v>2386</v>
      </c>
      <c r="U1738" t="s">
        <v>1972</v>
      </c>
      <c r="V1738" t="s">
        <v>2832</v>
      </c>
    </row>
    <row r="1739" spans="1:22" ht="15.75" thickBot="1" x14ac:dyDescent="0.3">
      <c r="A1739" t="s">
        <v>4687</v>
      </c>
      <c r="B1739" t="s">
        <v>4687</v>
      </c>
      <c r="C1739" t="s">
        <v>4687</v>
      </c>
      <c r="D1739" t="s">
        <v>629</v>
      </c>
      <c r="E1739" s="259" t="s">
        <v>1853</v>
      </c>
      <c r="F1739" t="s">
        <v>620</v>
      </c>
      <c r="G1739" s="89">
        <v>2017</v>
      </c>
      <c r="H1739" s="341" t="s">
        <v>733</v>
      </c>
      <c r="I1739" s="337" t="str">
        <f t="shared" si="80"/>
        <v>Pesado de Passageiros M3: III : Gasóleo : E6</v>
      </c>
      <c r="J1739" s="125">
        <v>54</v>
      </c>
      <c r="K1739" s="264">
        <v>2022</v>
      </c>
      <c r="L1739" s="85">
        <v>9447.1299999999974</v>
      </c>
      <c r="M1739" s="85" t="s">
        <v>630</v>
      </c>
      <c r="N1739" s="128">
        <v>31308</v>
      </c>
      <c r="O1739" s="128">
        <f t="shared" si="81"/>
        <v>1690632</v>
      </c>
      <c r="Q1739" t="s">
        <v>47</v>
      </c>
      <c r="R1739" s="220" t="s">
        <v>1888</v>
      </c>
      <c r="S1739" s="220" t="s">
        <v>1861</v>
      </c>
      <c r="T1739" t="s">
        <v>2387</v>
      </c>
      <c r="U1739" t="s">
        <v>1972</v>
      </c>
      <c r="V1739" t="s">
        <v>2832</v>
      </c>
    </row>
    <row r="1740" spans="1:22" ht="15.75" thickBot="1" x14ac:dyDescent="0.3">
      <c r="A1740" t="s">
        <v>4687</v>
      </c>
      <c r="B1740" t="s">
        <v>4687</v>
      </c>
      <c r="C1740" t="s">
        <v>4687</v>
      </c>
      <c r="D1740" t="s">
        <v>629</v>
      </c>
      <c r="E1740" s="259" t="s">
        <v>1853</v>
      </c>
      <c r="F1740" t="s">
        <v>620</v>
      </c>
      <c r="G1740" s="89">
        <v>2017</v>
      </c>
      <c r="H1740" s="341" t="s">
        <v>733</v>
      </c>
      <c r="I1740" s="337" t="str">
        <f t="shared" si="80"/>
        <v>Pesado de Passageiros M3: III : Gasóleo : E6</v>
      </c>
      <c r="J1740" s="125">
        <v>54</v>
      </c>
      <c r="K1740" s="264">
        <v>2022</v>
      </c>
      <c r="L1740" s="85">
        <v>8826.14</v>
      </c>
      <c r="M1740" s="85" t="s">
        <v>630</v>
      </c>
      <c r="N1740" s="128">
        <v>32269</v>
      </c>
      <c r="O1740" s="128">
        <f t="shared" si="81"/>
        <v>1742526</v>
      </c>
      <c r="Q1740" t="s">
        <v>47</v>
      </c>
      <c r="R1740" s="220" t="s">
        <v>1888</v>
      </c>
      <c r="S1740" s="220" t="s">
        <v>1861</v>
      </c>
      <c r="T1740" t="s">
        <v>2388</v>
      </c>
      <c r="U1740" t="s">
        <v>1972</v>
      </c>
      <c r="V1740" t="s">
        <v>2832</v>
      </c>
    </row>
    <row r="1741" spans="1:22" ht="15.75" thickBot="1" x14ac:dyDescent="0.3">
      <c r="A1741" t="s">
        <v>4687</v>
      </c>
      <c r="B1741" t="s">
        <v>4687</v>
      </c>
      <c r="C1741" t="s">
        <v>4687</v>
      </c>
      <c r="D1741" t="s">
        <v>629</v>
      </c>
      <c r="E1741" s="259" t="s">
        <v>1853</v>
      </c>
      <c r="F1741" t="s">
        <v>620</v>
      </c>
      <c r="G1741" s="89">
        <v>2017</v>
      </c>
      <c r="H1741" s="341" t="s">
        <v>733</v>
      </c>
      <c r="I1741" s="337" t="str">
        <f t="shared" si="80"/>
        <v>Pesado de Passageiros M3: III : Gasóleo : E6</v>
      </c>
      <c r="J1741" s="125">
        <v>54</v>
      </c>
      <c r="K1741" s="264">
        <v>2022</v>
      </c>
      <c r="L1741" s="85">
        <v>8957.99</v>
      </c>
      <c r="M1741" s="85" t="s">
        <v>630</v>
      </c>
      <c r="N1741" s="128">
        <v>32126</v>
      </c>
      <c r="O1741" s="128">
        <f t="shared" si="81"/>
        <v>1734804</v>
      </c>
      <c r="Q1741" t="s">
        <v>47</v>
      </c>
      <c r="R1741" s="220" t="s">
        <v>1888</v>
      </c>
      <c r="S1741" s="220" t="s">
        <v>1861</v>
      </c>
      <c r="T1741" t="s">
        <v>2389</v>
      </c>
      <c r="U1741" t="s">
        <v>1972</v>
      </c>
      <c r="V1741" t="s">
        <v>2832</v>
      </c>
    </row>
    <row r="1742" spans="1:22" ht="15.75" thickBot="1" x14ac:dyDescent="0.3">
      <c r="A1742" t="s">
        <v>4687</v>
      </c>
      <c r="B1742" t="s">
        <v>4687</v>
      </c>
      <c r="C1742" t="s">
        <v>4687</v>
      </c>
      <c r="D1742" t="s">
        <v>629</v>
      </c>
      <c r="E1742" s="259" t="s">
        <v>1853</v>
      </c>
      <c r="F1742" t="s">
        <v>620</v>
      </c>
      <c r="G1742" s="89">
        <v>2017</v>
      </c>
      <c r="H1742" s="341" t="s">
        <v>733</v>
      </c>
      <c r="I1742" s="337" t="str">
        <f t="shared" si="80"/>
        <v>Pesado de Passageiros M3: III : Gasóleo : E6</v>
      </c>
      <c r="J1742" s="125">
        <v>54</v>
      </c>
      <c r="K1742" s="264">
        <v>2022</v>
      </c>
      <c r="L1742" s="85">
        <v>5344.4800000000005</v>
      </c>
      <c r="M1742" s="85" t="s">
        <v>630</v>
      </c>
      <c r="N1742" s="128">
        <v>18590</v>
      </c>
      <c r="O1742" s="128">
        <f t="shared" si="81"/>
        <v>1003860</v>
      </c>
      <c r="Q1742" t="s">
        <v>47</v>
      </c>
      <c r="R1742" s="220" t="s">
        <v>1888</v>
      </c>
      <c r="S1742" s="220" t="s">
        <v>1861</v>
      </c>
      <c r="T1742" t="s">
        <v>2390</v>
      </c>
      <c r="U1742" t="s">
        <v>1972</v>
      </c>
      <c r="V1742" t="s">
        <v>2832</v>
      </c>
    </row>
    <row r="1743" spans="1:22" ht="15.75" thickBot="1" x14ac:dyDescent="0.3">
      <c r="A1743" t="s">
        <v>4687</v>
      </c>
      <c r="B1743" t="s">
        <v>4687</v>
      </c>
      <c r="C1743" t="s">
        <v>4687</v>
      </c>
      <c r="D1743" t="s">
        <v>629</v>
      </c>
      <c r="E1743" s="259" t="s">
        <v>1853</v>
      </c>
      <c r="F1743" t="s">
        <v>620</v>
      </c>
      <c r="G1743" s="89">
        <v>2017</v>
      </c>
      <c r="H1743" s="341" t="s">
        <v>733</v>
      </c>
      <c r="I1743" s="337" t="str">
        <f t="shared" si="80"/>
        <v>Pesado de Passageiros M3: III : Gasóleo : E6</v>
      </c>
      <c r="J1743" s="125">
        <v>54</v>
      </c>
      <c r="K1743" s="264">
        <v>2022</v>
      </c>
      <c r="L1743" s="85">
        <v>12168.569999999998</v>
      </c>
      <c r="M1743" s="85" t="s">
        <v>630</v>
      </c>
      <c r="N1743" s="128">
        <v>42410</v>
      </c>
      <c r="O1743" s="128">
        <f t="shared" si="81"/>
        <v>2290140</v>
      </c>
      <c r="Q1743" t="s">
        <v>47</v>
      </c>
      <c r="R1743" s="220" t="s">
        <v>1888</v>
      </c>
      <c r="S1743" s="220" t="s">
        <v>1861</v>
      </c>
      <c r="T1743" t="s">
        <v>2391</v>
      </c>
      <c r="U1743" t="s">
        <v>1972</v>
      </c>
      <c r="V1743" t="s">
        <v>2832</v>
      </c>
    </row>
    <row r="1744" spans="1:22" ht="15.75" thickBot="1" x14ac:dyDescent="0.3">
      <c r="A1744" t="s">
        <v>4687</v>
      </c>
      <c r="B1744" t="s">
        <v>4687</v>
      </c>
      <c r="C1744" t="s">
        <v>4687</v>
      </c>
      <c r="D1744" t="s">
        <v>629</v>
      </c>
      <c r="E1744" s="259" t="s">
        <v>1853</v>
      </c>
      <c r="F1744" t="s">
        <v>620</v>
      </c>
      <c r="G1744" s="89">
        <v>2017</v>
      </c>
      <c r="H1744" s="341" t="s">
        <v>733</v>
      </c>
      <c r="I1744" s="337" t="str">
        <f t="shared" si="80"/>
        <v>Pesado de Passageiros M3: III : Gasóleo : E6</v>
      </c>
      <c r="J1744" s="125">
        <v>54</v>
      </c>
      <c r="K1744" s="264">
        <v>2022</v>
      </c>
      <c r="L1744" s="85">
        <v>14215.400000000001</v>
      </c>
      <c r="M1744" s="85" t="s">
        <v>630</v>
      </c>
      <c r="N1744" s="128">
        <v>52026</v>
      </c>
      <c r="O1744" s="128">
        <f t="shared" si="81"/>
        <v>2809404</v>
      </c>
      <c r="Q1744" t="s">
        <v>47</v>
      </c>
      <c r="R1744" s="220" t="s">
        <v>1888</v>
      </c>
      <c r="S1744" s="220" t="s">
        <v>1861</v>
      </c>
      <c r="T1744" t="s">
        <v>2392</v>
      </c>
      <c r="U1744" t="s">
        <v>1972</v>
      </c>
      <c r="V1744" t="s">
        <v>2832</v>
      </c>
    </row>
    <row r="1745" spans="1:22" ht="15.75" thickBot="1" x14ac:dyDescent="0.3">
      <c r="A1745" t="s">
        <v>4687</v>
      </c>
      <c r="B1745" t="s">
        <v>4687</v>
      </c>
      <c r="C1745" t="s">
        <v>4687</v>
      </c>
      <c r="D1745" t="s">
        <v>629</v>
      </c>
      <c r="E1745" s="259" t="s">
        <v>1853</v>
      </c>
      <c r="F1745" t="s">
        <v>620</v>
      </c>
      <c r="G1745" s="89">
        <v>2022</v>
      </c>
      <c r="H1745" s="341" t="s">
        <v>733</v>
      </c>
      <c r="I1745" s="337" t="str">
        <f t="shared" si="80"/>
        <v>Pesado de Passageiros M3: III : Gasóleo : E6</v>
      </c>
      <c r="J1745" s="125">
        <v>54</v>
      </c>
      <c r="K1745" s="264">
        <v>2022</v>
      </c>
      <c r="L1745" s="85">
        <v>12113.83</v>
      </c>
      <c r="M1745" s="85" t="s">
        <v>630</v>
      </c>
      <c r="N1745" s="128">
        <v>43575</v>
      </c>
      <c r="O1745" s="128">
        <f t="shared" si="81"/>
        <v>2353050</v>
      </c>
      <c r="Q1745" t="s">
        <v>47</v>
      </c>
      <c r="R1745" s="220" t="s">
        <v>1888</v>
      </c>
      <c r="S1745" s="220" t="s">
        <v>1861</v>
      </c>
      <c r="T1745" t="s">
        <v>2393</v>
      </c>
      <c r="U1745" t="s">
        <v>1972</v>
      </c>
      <c r="V1745" t="s">
        <v>2832</v>
      </c>
    </row>
    <row r="1746" spans="1:22" ht="15.75" thickBot="1" x14ac:dyDescent="0.3">
      <c r="A1746" t="s">
        <v>4687</v>
      </c>
      <c r="B1746" t="s">
        <v>4687</v>
      </c>
      <c r="C1746" t="s">
        <v>4687</v>
      </c>
      <c r="D1746" t="s">
        <v>629</v>
      </c>
      <c r="E1746" s="259" t="s">
        <v>1853</v>
      </c>
      <c r="F1746" t="s">
        <v>620</v>
      </c>
      <c r="G1746" s="89">
        <v>2022</v>
      </c>
      <c r="H1746" s="341" t="s">
        <v>733</v>
      </c>
      <c r="I1746" s="337" t="str">
        <f t="shared" si="80"/>
        <v>Pesado de Passageiros M3: III : Gasóleo : E6</v>
      </c>
      <c r="J1746" s="125">
        <v>54</v>
      </c>
      <c r="K1746" s="264">
        <v>2022</v>
      </c>
      <c r="L1746" s="85">
        <v>7837.6099999999988</v>
      </c>
      <c r="M1746" s="85" t="s">
        <v>630</v>
      </c>
      <c r="N1746" s="128">
        <v>27029</v>
      </c>
      <c r="O1746" s="128">
        <f t="shared" si="81"/>
        <v>1459566</v>
      </c>
      <c r="Q1746" t="s">
        <v>47</v>
      </c>
      <c r="R1746" s="220" t="s">
        <v>1888</v>
      </c>
      <c r="S1746" s="220" t="s">
        <v>1861</v>
      </c>
      <c r="T1746" t="s">
        <v>2394</v>
      </c>
      <c r="U1746" t="s">
        <v>1972</v>
      </c>
      <c r="V1746" t="s">
        <v>2832</v>
      </c>
    </row>
    <row r="1747" spans="1:22" ht="15.75" thickBot="1" x14ac:dyDescent="0.3">
      <c r="A1747" t="s">
        <v>4687</v>
      </c>
      <c r="B1747" t="s">
        <v>4687</v>
      </c>
      <c r="C1747" t="s">
        <v>4687</v>
      </c>
      <c r="D1747" t="s">
        <v>629</v>
      </c>
      <c r="E1747" s="259" t="s">
        <v>1853</v>
      </c>
      <c r="F1747" t="s">
        <v>620</v>
      </c>
      <c r="G1747" s="89">
        <v>2022</v>
      </c>
      <c r="H1747" s="341" t="s">
        <v>733</v>
      </c>
      <c r="I1747" s="337" t="str">
        <f t="shared" si="80"/>
        <v>Pesado de Passageiros M3: III : Gasóleo : E6</v>
      </c>
      <c r="J1747" s="125">
        <v>54</v>
      </c>
      <c r="K1747" s="264">
        <v>2022</v>
      </c>
      <c r="L1747" s="85">
        <v>11153.08</v>
      </c>
      <c r="M1747" s="85" t="s">
        <v>630</v>
      </c>
      <c r="N1747" s="128">
        <v>40534</v>
      </c>
      <c r="O1747" s="128">
        <f t="shared" si="81"/>
        <v>2188836</v>
      </c>
      <c r="Q1747" t="s">
        <v>47</v>
      </c>
      <c r="R1747" s="220" t="s">
        <v>1888</v>
      </c>
      <c r="S1747" s="220" t="s">
        <v>1861</v>
      </c>
      <c r="T1747" t="s">
        <v>2395</v>
      </c>
      <c r="U1747" t="s">
        <v>1972</v>
      </c>
      <c r="V1747" t="s">
        <v>2832</v>
      </c>
    </row>
    <row r="1748" spans="1:22" ht="15.75" thickBot="1" x14ac:dyDescent="0.3">
      <c r="A1748" t="s">
        <v>4687</v>
      </c>
      <c r="B1748" t="s">
        <v>4687</v>
      </c>
      <c r="C1748" t="s">
        <v>4687</v>
      </c>
      <c r="D1748" t="s">
        <v>629</v>
      </c>
      <c r="E1748" s="259" t="s">
        <v>1853</v>
      </c>
      <c r="F1748" t="s">
        <v>620</v>
      </c>
      <c r="G1748" s="89">
        <v>2018</v>
      </c>
      <c r="H1748" s="341" t="s">
        <v>733</v>
      </c>
      <c r="I1748" s="337" t="str">
        <f t="shared" si="80"/>
        <v>Pesado de Passageiros M3: III : Gasóleo : E6</v>
      </c>
      <c r="J1748" s="125">
        <v>54</v>
      </c>
      <c r="K1748" s="264">
        <v>2022</v>
      </c>
      <c r="L1748" s="85">
        <v>13533.740000000002</v>
      </c>
      <c r="M1748" s="85" t="s">
        <v>630</v>
      </c>
      <c r="N1748" s="128">
        <v>51233</v>
      </c>
      <c r="O1748" s="128">
        <f t="shared" si="81"/>
        <v>2766582</v>
      </c>
      <c r="Q1748" t="s">
        <v>47</v>
      </c>
      <c r="R1748" s="220" t="s">
        <v>1888</v>
      </c>
      <c r="S1748" s="220" t="s">
        <v>1861</v>
      </c>
      <c r="T1748" t="s">
        <v>2396</v>
      </c>
      <c r="U1748" t="s">
        <v>1972</v>
      </c>
      <c r="V1748" t="s">
        <v>2832</v>
      </c>
    </row>
    <row r="1749" spans="1:22" ht="15.75" thickBot="1" x14ac:dyDescent="0.3">
      <c r="A1749" t="s">
        <v>4687</v>
      </c>
      <c r="B1749" t="s">
        <v>4687</v>
      </c>
      <c r="C1749" t="s">
        <v>4687</v>
      </c>
      <c r="D1749" t="s">
        <v>629</v>
      </c>
      <c r="E1749" s="259" t="s">
        <v>1853</v>
      </c>
      <c r="F1749" t="s">
        <v>620</v>
      </c>
      <c r="G1749" s="89">
        <v>2018</v>
      </c>
      <c r="H1749" s="341" t="s">
        <v>733</v>
      </c>
      <c r="I1749" s="337" t="str">
        <f t="shared" si="80"/>
        <v>Pesado de Passageiros M3: III : Gasóleo : E6</v>
      </c>
      <c r="J1749" s="125">
        <v>54</v>
      </c>
      <c r="K1749" s="264">
        <v>2022</v>
      </c>
      <c r="L1749" s="85">
        <v>18952.079999999998</v>
      </c>
      <c r="M1749" s="85" t="s">
        <v>630</v>
      </c>
      <c r="N1749" s="128">
        <v>73065</v>
      </c>
      <c r="O1749" s="128">
        <f t="shared" si="81"/>
        <v>3945510</v>
      </c>
      <c r="Q1749" t="s">
        <v>47</v>
      </c>
      <c r="R1749" s="220" t="s">
        <v>1888</v>
      </c>
      <c r="S1749" s="220" t="s">
        <v>1861</v>
      </c>
      <c r="T1749" t="s">
        <v>2397</v>
      </c>
      <c r="U1749" t="s">
        <v>1972</v>
      </c>
      <c r="V1749" t="s">
        <v>2832</v>
      </c>
    </row>
    <row r="1750" spans="1:22" ht="15.75" thickBot="1" x14ac:dyDescent="0.3">
      <c r="A1750" t="s">
        <v>4687</v>
      </c>
      <c r="B1750" t="s">
        <v>4687</v>
      </c>
      <c r="C1750" t="s">
        <v>4687</v>
      </c>
      <c r="D1750" t="s">
        <v>629</v>
      </c>
      <c r="E1750" s="259" t="s">
        <v>1853</v>
      </c>
      <c r="F1750" t="s">
        <v>620</v>
      </c>
      <c r="G1750" s="89">
        <v>2019</v>
      </c>
      <c r="H1750" s="341" t="s">
        <v>733</v>
      </c>
      <c r="I1750" s="337" t="str">
        <f t="shared" si="80"/>
        <v>Pesado de Passageiros M3: III : Gasóleo : E6</v>
      </c>
      <c r="J1750" s="125">
        <v>54</v>
      </c>
      <c r="K1750" s="264">
        <v>2022</v>
      </c>
      <c r="L1750" s="85">
        <v>14080.410000000002</v>
      </c>
      <c r="M1750" s="85" t="s">
        <v>630</v>
      </c>
      <c r="N1750" s="128">
        <v>49609</v>
      </c>
      <c r="O1750" s="128">
        <f t="shared" si="81"/>
        <v>2678886</v>
      </c>
      <c r="Q1750" t="s">
        <v>47</v>
      </c>
      <c r="R1750" s="220" t="s">
        <v>1888</v>
      </c>
      <c r="S1750" s="220" t="s">
        <v>1861</v>
      </c>
      <c r="T1750" t="s">
        <v>2398</v>
      </c>
      <c r="U1750" t="s">
        <v>1972</v>
      </c>
      <c r="V1750" t="s">
        <v>2832</v>
      </c>
    </row>
    <row r="1751" spans="1:22" ht="15.75" thickBot="1" x14ac:dyDescent="0.3">
      <c r="A1751" t="s">
        <v>4687</v>
      </c>
      <c r="B1751" t="s">
        <v>4687</v>
      </c>
      <c r="C1751" t="s">
        <v>4687</v>
      </c>
      <c r="D1751" t="s">
        <v>629</v>
      </c>
      <c r="E1751" s="259" t="s">
        <v>1853</v>
      </c>
      <c r="F1751" t="s">
        <v>620</v>
      </c>
      <c r="G1751" s="89">
        <v>2019</v>
      </c>
      <c r="H1751" s="341" t="s">
        <v>733</v>
      </c>
      <c r="I1751" s="337" t="str">
        <f t="shared" si="80"/>
        <v>Pesado de Passageiros M3: III : Gasóleo : E6</v>
      </c>
      <c r="J1751" s="125">
        <v>54</v>
      </c>
      <c r="K1751" s="264">
        <v>2022</v>
      </c>
      <c r="L1751" s="85">
        <v>6551.5599999999995</v>
      </c>
      <c r="M1751" s="85" t="s">
        <v>630</v>
      </c>
      <c r="N1751" s="128">
        <v>22494</v>
      </c>
      <c r="O1751" s="128">
        <f t="shared" si="81"/>
        <v>1214676</v>
      </c>
      <c r="Q1751" t="s">
        <v>47</v>
      </c>
      <c r="R1751" s="220" t="s">
        <v>1888</v>
      </c>
      <c r="S1751" s="220" t="s">
        <v>1861</v>
      </c>
      <c r="T1751" t="s">
        <v>2399</v>
      </c>
      <c r="U1751" t="s">
        <v>1972</v>
      </c>
      <c r="V1751" t="s">
        <v>2832</v>
      </c>
    </row>
    <row r="1752" spans="1:22" ht="15.75" thickBot="1" x14ac:dyDescent="0.3">
      <c r="A1752" t="s">
        <v>4687</v>
      </c>
      <c r="B1752" t="s">
        <v>4687</v>
      </c>
      <c r="C1752" t="s">
        <v>4687</v>
      </c>
      <c r="D1752" t="s">
        <v>629</v>
      </c>
      <c r="E1752" s="259" t="s">
        <v>1853</v>
      </c>
      <c r="F1752" t="s">
        <v>620</v>
      </c>
      <c r="G1752" s="89">
        <v>2018</v>
      </c>
      <c r="H1752" s="341" t="s">
        <v>733</v>
      </c>
      <c r="I1752" s="337" t="str">
        <f t="shared" si="80"/>
        <v>Pesado de Passageiros M3: III : Gasóleo : E6</v>
      </c>
      <c r="J1752" s="125">
        <v>34</v>
      </c>
      <c r="K1752" s="264">
        <v>2022</v>
      </c>
      <c r="L1752" s="85">
        <v>3185.8199999999997</v>
      </c>
      <c r="M1752" s="85" t="s">
        <v>630</v>
      </c>
      <c r="N1752" s="128">
        <v>11413</v>
      </c>
      <c r="O1752" s="128">
        <f t="shared" si="81"/>
        <v>388042</v>
      </c>
      <c r="Q1752" t="s">
        <v>47</v>
      </c>
      <c r="R1752" s="220" t="s">
        <v>1888</v>
      </c>
      <c r="S1752" s="220" t="s">
        <v>1861</v>
      </c>
      <c r="T1752" t="s">
        <v>2400</v>
      </c>
      <c r="U1752" t="s">
        <v>1972</v>
      </c>
      <c r="V1752" t="s">
        <v>2832</v>
      </c>
    </row>
    <row r="1753" spans="1:22" ht="15.75" thickBot="1" x14ac:dyDescent="0.3">
      <c r="A1753" t="s">
        <v>4687</v>
      </c>
      <c r="B1753" t="s">
        <v>4687</v>
      </c>
      <c r="C1753" t="s">
        <v>4687</v>
      </c>
      <c r="D1753" t="s">
        <v>629</v>
      </c>
      <c r="E1753" s="259" t="s">
        <v>1853</v>
      </c>
      <c r="F1753" t="s">
        <v>620</v>
      </c>
      <c r="G1753" s="89">
        <v>2019</v>
      </c>
      <c r="H1753" s="341" t="s">
        <v>733</v>
      </c>
      <c r="I1753" s="337" t="str">
        <f t="shared" si="80"/>
        <v>Pesado de Passageiros M3: III : Gasóleo : E6</v>
      </c>
      <c r="J1753" s="125">
        <v>36</v>
      </c>
      <c r="K1753" s="264">
        <v>2022</v>
      </c>
      <c r="L1753" s="85">
        <v>8306.7000000000007</v>
      </c>
      <c r="M1753" s="85" t="s">
        <v>630</v>
      </c>
      <c r="N1753" s="128">
        <v>29178</v>
      </c>
      <c r="O1753" s="128">
        <f t="shared" si="81"/>
        <v>1050408</v>
      </c>
      <c r="Q1753" t="s">
        <v>47</v>
      </c>
      <c r="R1753" s="220" t="s">
        <v>1888</v>
      </c>
      <c r="S1753" s="220" t="s">
        <v>1861</v>
      </c>
      <c r="T1753" t="s">
        <v>2401</v>
      </c>
      <c r="U1753" t="s">
        <v>1972</v>
      </c>
      <c r="V1753" t="s">
        <v>2832</v>
      </c>
    </row>
    <row r="1754" spans="1:22" ht="15.75" thickBot="1" x14ac:dyDescent="0.3">
      <c r="A1754" t="s">
        <v>4687</v>
      </c>
      <c r="B1754" t="s">
        <v>4687</v>
      </c>
      <c r="C1754" t="s">
        <v>4687</v>
      </c>
      <c r="D1754" t="s">
        <v>629</v>
      </c>
      <c r="E1754" s="259" t="s">
        <v>1853</v>
      </c>
      <c r="F1754" t="s">
        <v>620</v>
      </c>
      <c r="G1754" s="89">
        <v>2019</v>
      </c>
      <c r="H1754" s="341" t="s">
        <v>733</v>
      </c>
      <c r="I1754" s="337" t="str">
        <f t="shared" si="80"/>
        <v>Pesado de Passageiros M3: III : Gasóleo : E6</v>
      </c>
      <c r="J1754" s="125">
        <v>36</v>
      </c>
      <c r="K1754" s="264">
        <v>2022</v>
      </c>
      <c r="L1754" s="85">
        <v>10315.849999999999</v>
      </c>
      <c r="M1754" s="85" t="s">
        <v>630</v>
      </c>
      <c r="N1754" s="128">
        <v>34970</v>
      </c>
      <c r="O1754" s="128">
        <f t="shared" si="81"/>
        <v>1258920</v>
      </c>
      <c r="Q1754" t="s">
        <v>47</v>
      </c>
      <c r="R1754" s="220" t="s">
        <v>1888</v>
      </c>
      <c r="S1754" s="220" t="s">
        <v>1861</v>
      </c>
      <c r="T1754" t="s">
        <v>2402</v>
      </c>
      <c r="U1754" t="s">
        <v>1972</v>
      </c>
      <c r="V1754" t="s">
        <v>2832</v>
      </c>
    </row>
    <row r="1755" spans="1:22" ht="15.75" thickBot="1" x14ac:dyDescent="0.3">
      <c r="A1755" t="s">
        <v>4687</v>
      </c>
      <c r="B1755" t="s">
        <v>4687</v>
      </c>
      <c r="C1755" t="s">
        <v>4687</v>
      </c>
      <c r="D1755" t="s">
        <v>629</v>
      </c>
      <c r="E1755" s="259" t="s">
        <v>1853</v>
      </c>
      <c r="F1755" t="s">
        <v>620</v>
      </c>
      <c r="G1755" s="89">
        <v>2010</v>
      </c>
      <c r="H1755" s="341" t="s">
        <v>734</v>
      </c>
      <c r="I1755" s="337" t="str">
        <f t="shared" si="80"/>
        <v>Pesado de Passageiros M3: III : Gasóleo : E5</v>
      </c>
      <c r="J1755" s="125">
        <v>45</v>
      </c>
      <c r="K1755" s="264">
        <v>2022</v>
      </c>
      <c r="L1755" s="85">
        <v>11066.170000000002</v>
      </c>
      <c r="M1755" s="85" t="s">
        <v>630</v>
      </c>
      <c r="N1755" s="128">
        <v>33423</v>
      </c>
      <c r="O1755" s="128">
        <f t="shared" si="81"/>
        <v>1504035</v>
      </c>
      <c r="Q1755" t="s">
        <v>47</v>
      </c>
      <c r="R1755" s="220" t="s">
        <v>1888</v>
      </c>
      <c r="S1755" s="220" t="s">
        <v>1861</v>
      </c>
      <c r="T1755" t="s">
        <v>2403</v>
      </c>
      <c r="U1755" t="s">
        <v>1972</v>
      </c>
      <c r="V1755" t="s">
        <v>2832</v>
      </c>
    </row>
    <row r="1756" spans="1:22" ht="15.75" thickBot="1" x14ac:dyDescent="0.3">
      <c r="A1756" t="s">
        <v>4687</v>
      </c>
      <c r="B1756" t="s">
        <v>4687</v>
      </c>
      <c r="C1756" t="s">
        <v>4687</v>
      </c>
      <c r="D1756" t="s">
        <v>629</v>
      </c>
      <c r="E1756" s="259" t="s">
        <v>1853</v>
      </c>
      <c r="F1756" t="s">
        <v>620</v>
      </c>
      <c r="G1756" s="89">
        <v>2008</v>
      </c>
      <c r="H1756" s="341" t="s">
        <v>731</v>
      </c>
      <c r="I1756" s="337" t="str">
        <f t="shared" si="80"/>
        <v>Pesado de Passageiros M3: III : Gasóleo : E4</v>
      </c>
      <c r="J1756" s="125">
        <v>50</v>
      </c>
      <c r="K1756" s="264">
        <v>2022</v>
      </c>
      <c r="L1756" s="85">
        <v>13791.66</v>
      </c>
      <c r="M1756" s="85" t="s">
        <v>630</v>
      </c>
      <c r="N1756" s="128">
        <v>44414</v>
      </c>
      <c r="O1756" s="128">
        <f t="shared" si="81"/>
        <v>2220700</v>
      </c>
      <c r="Q1756" t="s">
        <v>47</v>
      </c>
      <c r="R1756" s="220" t="s">
        <v>1888</v>
      </c>
      <c r="S1756" s="220" t="s">
        <v>1861</v>
      </c>
      <c r="T1756" t="s">
        <v>2404</v>
      </c>
      <c r="U1756" t="s">
        <v>1972</v>
      </c>
      <c r="V1756" t="s">
        <v>2832</v>
      </c>
    </row>
    <row r="1757" spans="1:22" ht="15.75" thickBot="1" x14ac:dyDescent="0.3">
      <c r="A1757" t="s">
        <v>4687</v>
      </c>
      <c r="B1757" t="s">
        <v>4687</v>
      </c>
      <c r="C1757" t="s">
        <v>4687</v>
      </c>
      <c r="D1757" t="s">
        <v>629</v>
      </c>
      <c r="E1757" s="259" t="s">
        <v>1853</v>
      </c>
      <c r="F1757" t="s">
        <v>620</v>
      </c>
      <c r="G1757" s="89">
        <v>2008</v>
      </c>
      <c r="H1757" s="341" t="s">
        <v>731</v>
      </c>
      <c r="I1757" s="337" t="str">
        <f t="shared" si="80"/>
        <v>Pesado de Passageiros M3: III : Gasóleo : E4</v>
      </c>
      <c r="J1757" s="125">
        <v>54</v>
      </c>
      <c r="K1757" s="264">
        <v>2022</v>
      </c>
      <c r="L1757" s="85">
        <v>3108.9799999999996</v>
      </c>
      <c r="M1757" s="85" t="s">
        <v>630</v>
      </c>
      <c r="N1757" s="128">
        <v>9439</v>
      </c>
      <c r="O1757" s="128">
        <f t="shared" si="81"/>
        <v>509706</v>
      </c>
      <c r="Q1757" t="s">
        <v>47</v>
      </c>
      <c r="R1757" s="220" t="s">
        <v>1888</v>
      </c>
      <c r="S1757" s="220" t="s">
        <v>1861</v>
      </c>
      <c r="T1757" t="s">
        <v>2405</v>
      </c>
      <c r="U1757" t="s">
        <v>1972</v>
      </c>
      <c r="V1757" t="s">
        <v>2832</v>
      </c>
    </row>
    <row r="1758" spans="1:22" ht="15.75" thickBot="1" x14ac:dyDescent="0.3">
      <c r="A1758" t="s">
        <v>4687</v>
      </c>
      <c r="B1758" t="s">
        <v>4687</v>
      </c>
      <c r="C1758" t="s">
        <v>4687</v>
      </c>
      <c r="D1758" t="s">
        <v>629</v>
      </c>
      <c r="E1758" s="259" t="s">
        <v>1853</v>
      </c>
      <c r="F1758" t="s">
        <v>620</v>
      </c>
      <c r="G1758" s="89">
        <v>2001</v>
      </c>
      <c r="H1758" s="341" t="s">
        <v>732</v>
      </c>
      <c r="I1758" s="337" t="str">
        <f t="shared" si="80"/>
        <v>Pesado de Passageiros M3: III : Gasóleo : E3</v>
      </c>
      <c r="J1758" s="125">
        <v>50</v>
      </c>
      <c r="K1758" s="264">
        <v>2022</v>
      </c>
      <c r="L1758" s="85">
        <v>9022.2699999999986</v>
      </c>
      <c r="M1758" s="85" t="s">
        <v>630</v>
      </c>
      <c r="N1758" s="128">
        <v>28434</v>
      </c>
      <c r="O1758" s="128">
        <f t="shared" si="81"/>
        <v>1421700</v>
      </c>
      <c r="Q1758" t="s">
        <v>47</v>
      </c>
      <c r="R1758" s="220" t="s">
        <v>1888</v>
      </c>
      <c r="S1758" s="220" t="s">
        <v>1861</v>
      </c>
      <c r="T1758" t="s">
        <v>2406</v>
      </c>
      <c r="U1758" t="s">
        <v>1972</v>
      </c>
      <c r="V1758" t="s">
        <v>2832</v>
      </c>
    </row>
    <row r="1759" spans="1:22" ht="15.75" thickBot="1" x14ac:dyDescent="0.3">
      <c r="A1759" t="s">
        <v>4687</v>
      </c>
      <c r="B1759" t="s">
        <v>4687</v>
      </c>
      <c r="C1759" t="s">
        <v>4687</v>
      </c>
      <c r="D1759" t="s">
        <v>629</v>
      </c>
      <c r="E1759" s="259" t="s">
        <v>1853</v>
      </c>
      <c r="F1759" t="s">
        <v>620</v>
      </c>
      <c r="G1759" s="89">
        <v>2007</v>
      </c>
      <c r="H1759" s="341" t="s">
        <v>731</v>
      </c>
      <c r="I1759" s="337" t="str">
        <f t="shared" si="80"/>
        <v>Pesado de Passageiros M3: III : Gasóleo : E4</v>
      </c>
      <c r="J1759" s="125">
        <v>50</v>
      </c>
      <c r="K1759" s="264">
        <v>2022</v>
      </c>
      <c r="L1759" s="85">
        <v>12242.4</v>
      </c>
      <c r="M1759" s="85" t="s">
        <v>630</v>
      </c>
      <c r="N1759" s="128">
        <v>39709</v>
      </c>
      <c r="O1759" s="128">
        <f t="shared" si="81"/>
        <v>1985450</v>
      </c>
      <c r="Q1759" t="s">
        <v>47</v>
      </c>
      <c r="R1759" s="220" t="s">
        <v>1888</v>
      </c>
      <c r="S1759" s="220" t="s">
        <v>1861</v>
      </c>
      <c r="T1759" t="s">
        <v>2407</v>
      </c>
      <c r="U1759" t="s">
        <v>1972</v>
      </c>
      <c r="V1759" t="s">
        <v>2832</v>
      </c>
    </row>
    <row r="1760" spans="1:22" ht="15.75" thickBot="1" x14ac:dyDescent="0.3">
      <c r="A1760" t="s">
        <v>4687</v>
      </c>
      <c r="B1760" t="s">
        <v>4687</v>
      </c>
      <c r="C1760" t="s">
        <v>4687</v>
      </c>
      <c r="D1760" t="s">
        <v>629</v>
      </c>
      <c r="E1760" s="259" t="s">
        <v>1853</v>
      </c>
      <c r="F1760" t="s">
        <v>620</v>
      </c>
      <c r="G1760" s="89">
        <v>2018</v>
      </c>
      <c r="H1760" s="341" t="s">
        <v>733</v>
      </c>
      <c r="I1760" s="337" t="str">
        <f t="shared" si="80"/>
        <v>Pesado de Passageiros M3: III : Gasóleo : E6</v>
      </c>
      <c r="J1760" s="125">
        <v>54</v>
      </c>
      <c r="K1760" s="264">
        <v>2022</v>
      </c>
      <c r="L1760" s="85">
        <v>35943.89</v>
      </c>
      <c r="M1760" s="85" t="s">
        <v>630</v>
      </c>
      <c r="N1760" s="128">
        <v>133873</v>
      </c>
      <c r="O1760" s="128">
        <f t="shared" si="81"/>
        <v>7229142</v>
      </c>
      <c r="Q1760" t="s">
        <v>47</v>
      </c>
      <c r="R1760" s="220" t="s">
        <v>1888</v>
      </c>
      <c r="S1760" s="220" t="s">
        <v>1861</v>
      </c>
      <c r="T1760" t="s">
        <v>2408</v>
      </c>
      <c r="U1760" t="s">
        <v>1972</v>
      </c>
      <c r="V1760" t="s">
        <v>2832</v>
      </c>
    </row>
    <row r="1761" spans="1:22" ht="15.75" thickBot="1" x14ac:dyDescent="0.3">
      <c r="A1761" t="s">
        <v>4687</v>
      </c>
      <c r="B1761" t="s">
        <v>4687</v>
      </c>
      <c r="C1761" t="s">
        <v>4687</v>
      </c>
      <c r="D1761" t="s">
        <v>629</v>
      </c>
      <c r="E1761" s="259" t="s">
        <v>1853</v>
      </c>
      <c r="F1761" t="s">
        <v>620</v>
      </c>
      <c r="G1761" s="89">
        <v>2018</v>
      </c>
      <c r="H1761" s="341" t="s">
        <v>733</v>
      </c>
      <c r="I1761" s="337" t="str">
        <f t="shared" si="80"/>
        <v>Pesado de Passageiros M3: III : Gasóleo : E6</v>
      </c>
      <c r="J1761" s="125">
        <v>54</v>
      </c>
      <c r="K1761" s="264">
        <v>2022</v>
      </c>
      <c r="L1761" s="85">
        <v>39724.25</v>
      </c>
      <c r="M1761" s="85" t="s">
        <v>630</v>
      </c>
      <c r="N1761" s="128">
        <v>139151</v>
      </c>
      <c r="O1761" s="128">
        <f t="shared" si="81"/>
        <v>7514154</v>
      </c>
      <c r="Q1761" t="s">
        <v>47</v>
      </c>
      <c r="R1761" s="220" t="s">
        <v>1888</v>
      </c>
      <c r="S1761" s="220" t="s">
        <v>1861</v>
      </c>
      <c r="T1761" t="s">
        <v>2409</v>
      </c>
      <c r="U1761" t="s">
        <v>1972</v>
      </c>
      <c r="V1761" t="s">
        <v>2832</v>
      </c>
    </row>
    <row r="1762" spans="1:22" ht="15.75" thickBot="1" x14ac:dyDescent="0.3">
      <c r="A1762" t="s">
        <v>4687</v>
      </c>
      <c r="B1762" t="s">
        <v>4687</v>
      </c>
      <c r="C1762" t="s">
        <v>4687</v>
      </c>
      <c r="D1762" t="s">
        <v>629</v>
      </c>
      <c r="E1762" s="259" t="s">
        <v>1853</v>
      </c>
      <c r="F1762" t="s">
        <v>620</v>
      </c>
      <c r="G1762" s="89">
        <v>2016</v>
      </c>
      <c r="H1762" s="341" t="s">
        <v>733</v>
      </c>
      <c r="I1762" s="337" t="str">
        <f t="shared" si="80"/>
        <v>Pesado de Passageiros M3: III : Gasóleo : E6</v>
      </c>
      <c r="J1762" s="125">
        <v>58</v>
      </c>
      <c r="K1762" s="264">
        <v>2022</v>
      </c>
      <c r="L1762" s="85">
        <v>18154.480000000003</v>
      </c>
      <c r="M1762" s="85" t="s">
        <v>630</v>
      </c>
      <c r="N1762" s="128">
        <v>56953</v>
      </c>
      <c r="O1762" s="128">
        <f t="shared" si="81"/>
        <v>3303274</v>
      </c>
      <c r="Q1762" t="s">
        <v>47</v>
      </c>
      <c r="R1762" s="220" t="s">
        <v>1888</v>
      </c>
      <c r="S1762" s="220" t="s">
        <v>1861</v>
      </c>
      <c r="T1762" t="s">
        <v>2410</v>
      </c>
      <c r="U1762" t="s">
        <v>1972</v>
      </c>
      <c r="V1762" t="s">
        <v>2832</v>
      </c>
    </row>
    <row r="1763" spans="1:22" ht="15.75" thickBot="1" x14ac:dyDescent="0.3">
      <c r="A1763" t="s">
        <v>4687</v>
      </c>
      <c r="B1763" t="s">
        <v>4687</v>
      </c>
      <c r="C1763" t="s">
        <v>4687</v>
      </c>
      <c r="D1763" t="s">
        <v>629</v>
      </c>
      <c r="E1763" s="259" t="s">
        <v>1853</v>
      </c>
      <c r="F1763" t="s">
        <v>620</v>
      </c>
      <c r="G1763" s="89">
        <v>2009</v>
      </c>
      <c r="H1763" s="341" t="s">
        <v>731</v>
      </c>
      <c r="I1763" s="337" t="str">
        <f t="shared" si="80"/>
        <v>Pesado de Passageiros M3: III : Gasóleo : E4</v>
      </c>
      <c r="J1763" s="125">
        <v>56</v>
      </c>
      <c r="K1763" s="264">
        <v>2022</v>
      </c>
      <c r="L1763" s="85">
        <v>19415.57</v>
      </c>
      <c r="M1763" s="85" t="s">
        <v>630</v>
      </c>
      <c r="N1763" s="128">
        <v>65291</v>
      </c>
      <c r="O1763" s="128">
        <f t="shared" si="81"/>
        <v>3656296</v>
      </c>
      <c r="Q1763" t="s">
        <v>47</v>
      </c>
      <c r="R1763" s="220" t="s">
        <v>1888</v>
      </c>
      <c r="S1763" s="220" t="s">
        <v>1861</v>
      </c>
      <c r="T1763" t="s">
        <v>2411</v>
      </c>
      <c r="U1763" t="s">
        <v>1972</v>
      </c>
      <c r="V1763" t="s">
        <v>2832</v>
      </c>
    </row>
    <row r="1764" spans="1:22" ht="15.75" thickBot="1" x14ac:dyDescent="0.3">
      <c r="A1764" t="s">
        <v>4687</v>
      </c>
      <c r="B1764" t="s">
        <v>4687</v>
      </c>
      <c r="C1764" t="s">
        <v>4687</v>
      </c>
      <c r="D1764" t="s">
        <v>629</v>
      </c>
      <c r="E1764" s="259" t="s">
        <v>1853</v>
      </c>
      <c r="F1764" t="s">
        <v>620</v>
      </c>
      <c r="G1764" s="89">
        <v>2007</v>
      </c>
      <c r="H1764" s="341" t="s">
        <v>731</v>
      </c>
      <c r="I1764" s="337" t="str">
        <f t="shared" si="80"/>
        <v>Pesado de Passageiros M3: III : Gasóleo : E4</v>
      </c>
      <c r="J1764" s="125">
        <v>49</v>
      </c>
      <c r="K1764" s="264">
        <v>2022</v>
      </c>
      <c r="L1764" s="85">
        <v>3017.27</v>
      </c>
      <c r="M1764" s="85" t="s">
        <v>630</v>
      </c>
      <c r="N1764" s="128">
        <v>10458</v>
      </c>
      <c r="O1764" s="128">
        <f t="shared" si="81"/>
        <v>512442</v>
      </c>
      <c r="Q1764" t="s">
        <v>47</v>
      </c>
      <c r="R1764" s="220" t="s">
        <v>1888</v>
      </c>
      <c r="S1764" s="220" t="s">
        <v>1861</v>
      </c>
      <c r="T1764" t="s">
        <v>2412</v>
      </c>
      <c r="U1764" t="s">
        <v>1972</v>
      </c>
      <c r="V1764" t="s">
        <v>2832</v>
      </c>
    </row>
    <row r="1765" spans="1:22" ht="15.75" thickBot="1" x14ac:dyDescent="0.3">
      <c r="A1765" t="s">
        <v>4687</v>
      </c>
      <c r="B1765" t="s">
        <v>4687</v>
      </c>
      <c r="C1765" t="s">
        <v>4687</v>
      </c>
      <c r="D1765" t="s">
        <v>629</v>
      </c>
      <c r="E1765" s="259" t="s">
        <v>1853</v>
      </c>
      <c r="F1765" t="s">
        <v>620</v>
      </c>
      <c r="G1765" s="89">
        <v>2006</v>
      </c>
      <c r="H1765" s="341" t="s">
        <v>731</v>
      </c>
      <c r="I1765" s="337" t="str">
        <f t="shared" si="80"/>
        <v>Pesado de Passageiros M3: III : Gasóleo : E4</v>
      </c>
      <c r="J1765" s="125">
        <v>49</v>
      </c>
      <c r="K1765" s="264">
        <v>2022</v>
      </c>
      <c r="L1765" s="85">
        <v>18778.88</v>
      </c>
      <c r="M1765" s="85" t="s">
        <v>630</v>
      </c>
      <c r="N1765" s="128">
        <v>61524</v>
      </c>
      <c r="O1765" s="128">
        <f t="shared" si="81"/>
        <v>3014676</v>
      </c>
      <c r="Q1765" t="s">
        <v>47</v>
      </c>
      <c r="R1765" s="220" t="s">
        <v>1888</v>
      </c>
      <c r="S1765" s="220" t="s">
        <v>1861</v>
      </c>
      <c r="T1765" t="s">
        <v>2413</v>
      </c>
      <c r="U1765" t="s">
        <v>1972</v>
      </c>
      <c r="V1765" t="s">
        <v>2832</v>
      </c>
    </row>
    <row r="1766" spans="1:22" ht="15.75" thickBot="1" x14ac:dyDescent="0.3">
      <c r="A1766" t="s">
        <v>4687</v>
      </c>
      <c r="B1766" t="s">
        <v>4687</v>
      </c>
      <c r="C1766" t="s">
        <v>4687</v>
      </c>
      <c r="D1766" t="s">
        <v>629</v>
      </c>
      <c r="E1766" s="259" t="s">
        <v>1853</v>
      </c>
      <c r="F1766" t="s">
        <v>620</v>
      </c>
      <c r="G1766" s="89">
        <v>2004</v>
      </c>
      <c r="H1766" s="341" t="s">
        <v>732</v>
      </c>
      <c r="I1766" s="337" t="str">
        <f t="shared" si="80"/>
        <v>Pesado de Passageiros M3: III : Gasóleo : E3</v>
      </c>
      <c r="J1766" s="125">
        <v>54</v>
      </c>
      <c r="K1766" s="264">
        <v>2022</v>
      </c>
      <c r="L1766" s="85">
        <v>6889.6</v>
      </c>
      <c r="M1766" s="85" t="s">
        <v>630</v>
      </c>
      <c r="N1766" s="128">
        <v>20579</v>
      </c>
      <c r="O1766" s="128">
        <f t="shared" si="81"/>
        <v>1111266</v>
      </c>
      <c r="Q1766" t="s">
        <v>47</v>
      </c>
      <c r="R1766" s="220" t="s">
        <v>1888</v>
      </c>
      <c r="S1766" s="220" t="s">
        <v>1861</v>
      </c>
      <c r="T1766" t="s">
        <v>2414</v>
      </c>
      <c r="U1766" t="s">
        <v>1972</v>
      </c>
      <c r="V1766" t="s">
        <v>2832</v>
      </c>
    </row>
    <row r="1767" spans="1:22" ht="15.75" thickBot="1" x14ac:dyDescent="0.3">
      <c r="A1767" t="s">
        <v>4687</v>
      </c>
      <c r="B1767" t="s">
        <v>4687</v>
      </c>
      <c r="C1767" t="s">
        <v>4687</v>
      </c>
      <c r="D1767" t="s">
        <v>629</v>
      </c>
      <c r="E1767" s="259" t="s">
        <v>1853</v>
      </c>
      <c r="F1767" t="s">
        <v>620</v>
      </c>
      <c r="G1767" s="89">
        <v>2002</v>
      </c>
      <c r="H1767" s="341" t="s">
        <v>732</v>
      </c>
      <c r="I1767" s="337" t="str">
        <f t="shared" si="80"/>
        <v>Pesado de Passageiros M3: III : Gasóleo : E3</v>
      </c>
      <c r="J1767" s="125">
        <v>53</v>
      </c>
      <c r="K1767" s="264">
        <v>2022</v>
      </c>
      <c r="L1767" s="85">
        <v>2767.88</v>
      </c>
      <c r="M1767" s="85" t="s">
        <v>630</v>
      </c>
      <c r="N1767" s="128">
        <v>8750</v>
      </c>
      <c r="O1767" s="128">
        <f t="shared" si="81"/>
        <v>463750</v>
      </c>
      <c r="Q1767" t="s">
        <v>47</v>
      </c>
      <c r="R1767" s="220" t="s">
        <v>1888</v>
      </c>
      <c r="S1767" s="220" t="s">
        <v>1861</v>
      </c>
      <c r="T1767" t="s">
        <v>2415</v>
      </c>
      <c r="U1767" t="s">
        <v>1972</v>
      </c>
      <c r="V1767" t="s">
        <v>2832</v>
      </c>
    </row>
    <row r="1768" spans="1:22" ht="15.75" thickBot="1" x14ac:dyDescent="0.3">
      <c r="A1768" t="s">
        <v>4687</v>
      </c>
      <c r="B1768" t="s">
        <v>4687</v>
      </c>
      <c r="C1768" t="s">
        <v>4687</v>
      </c>
      <c r="D1768" t="s">
        <v>629</v>
      </c>
      <c r="E1768" s="259" t="s">
        <v>1853</v>
      </c>
      <c r="F1768" t="s">
        <v>620</v>
      </c>
      <c r="G1768" s="89">
        <v>2004</v>
      </c>
      <c r="H1768" s="341" t="s">
        <v>732</v>
      </c>
      <c r="I1768" s="337" t="str">
        <f t="shared" si="80"/>
        <v>Pesado de Passageiros M3: III : Gasóleo : E3</v>
      </c>
      <c r="J1768" s="125">
        <v>53</v>
      </c>
      <c r="K1768" s="264">
        <v>2022</v>
      </c>
      <c r="L1768" s="85">
        <v>4853.58</v>
      </c>
      <c r="M1768" s="85" t="s">
        <v>630</v>
      </c>
      <c r="N1768" s="128">
        <v>15039</v>
      </c>
      <c r="O1768" s="128">
        <f t="shared" si="81"/>
        <v>797067</v>
      </c>
      <c r="Q1768" t="s">
        <v>47</v>
      </c>
      <c r="R1768" s="220" t="s">
        <v>1888</v>
      </c>
      <c r="S1768" s="220" t="s">
        <v>1861</v>
      </c>
      <c r="T1768" t="s">
        <v>2416</v>
      </c>
      <c r="U1768" t="s">
        <v>1972</v>
      </c>
      <c r="V1768" t="s">
        <v>2832</v>
      </c>
    </row>
    <row r="1769" spans="1:22" ht="15.75" thickBot="1" x14ac:dyDescent="0.3">
      <c r="A1769" t="s">
        <v>4687</v>
      </c>
      <c r="B1769" t="s">
        <v>4687</v>
      </c>
      <c r="C1769" t="s">
        <v>4687</v>
      </c>
      <c r="D1769" t="s">
        <v>629</v>
      </c>
      <c r="E1769" s="259" t="s">
        <v>1853</v>
      </c>
      <c r="F1769" t="s">
        <v>620</v>
      </c>
      <c r="G1769" s="89">
        <v>2010</v>
      </c>
      <c r="H1769" s="341" t="s">
        <v>734</v>
      </c>
      <c r="I1769" s="337" t="str">
        <f t="shared" si="80"/>
        <v>Pesado de Passageiros M3: III : Gasóleo : E5</v>
      </c>
      <c r="J1769" s="125">
        <v>24</v>
      </c>
      <c r="K1769" s="264">
        <v>2022</v>
      </c>
      <c r="L1769" s="85">
        <v>686.98</v>
      </c>
      <c r="M1769" s="85" t="s">
        <v>630</v>
      </c>
      <c r="N1769" s="128">
        <v>3728</v>
      </c>
      <c r="O1769" s="128">
        <f t="shared" si="81"/>
        <v>89472</v>
      </c>
      <c r="Q1769" t="s">
        <v>47</v>
      </c>
      <c r="R1769" s="220" t="s">
        <v>1888</v>
      </c>
      <c r="S1769" s="220" t="s">
        <v>1861</v>
      </c>
      <c r="T1769" t="s">
        <v>2417</v>
      </c>
      <c r="U1769" t="s">
        <v>1972</v>
      </c>
      <c r="V1769" t="s">
        <v>2832</v>
      </c>
    </row>
    <row r="1770" spans="1:22" ht="15.75" thickBot="1" x14ac:dyDescent="0.3">
      <c r="A1770" t="s">
        <v>4687</v>
      </c>
      <c r="B1770" t="s">
        <v>4687</v>
      </c>
      <c r="C1770" t="s">
        <v>4687</v>
      </c>
      <c r="D1770" t="s">
        <v>629</v>
      </c>
      <c r="E1770" s="259" t="s">
        <v>1853</v>
      </c>
      <c r="F1770" t="s">
        <v>620</v>
      </c>
      <c r="G1770" s="89">
        <v>2003</v>
      </c>
      <c r="H1770" s="341" t="s">
        <v>732</v>
      </c>
      <c r="I1770" s="337" t="str">
        <f t="shared" si="80"/>
        <v>Pesado de Passageiros M3: III : Gasóleo : E3</v>
      </c>
      <c r="J1770" s="125">
        <v>79</v>
      </c>
      <c r="K1770" s="264">
        <v>2022</v>
      </c>
      <c r="L1770" s="85">
        <v>9868.17</v>
      </c>
      <c r="M1770" s="85" t="s">
        <v>630</v>
      </c>
      <c r="N1770" s="128">
        <v>29648</v>
      </c>
      <c r="O1770" s="128">
        <f t="shared" si="81"/>
        <v>2342192</v>
      </c>
      <c r="Q1770" t="s">
        <v>47</v>
      </c>
      <c r="R1770" s="220" t="s">
        <v>1888</v>
      </c>
      <c r="S1770" s="220" t="s">
        <v>1861</v>
      </c>
      <c r="T1770" t="s">
        <v>2418</v>
      </c>
      <c r="U1770" t="s">
        <v>1972</v>
      </c>
      <c r="V1770" t="s">
        <v>2832</v>
      </c>
    </row>
    <row r="1771" spans="1:22" ht="15.75" thickBot="1" x14ac:dyDescent="0.3">
      <c r="A1771" t="s">
        <v>4687</v>
      </c>
      <c r="B1771" t="s">
        <v>4687</v>
      </c>
      <c r="C1771" t="s">
        <v>4687</v>
      </c>
      <c r="D1771" t="s">
        <v>629</v>
      </c>
      <c r="E1771" s="259" t="s">
        <v>1853</v>
      </c>
      <c r="F1771" t="s">
        <v>620</v>
      </c>
      <c r="G1771" s="89">
        <v>2018</v>
      </c>
      <c r="H1771" s="341" t="s">
        <v>733</v>
      </c>
      <c r="I1771" s="337" t="str">
        <f t="shared" si="80"/>
        <v>Pesado de Passageiros M3: III : Gasóleo : E6</v>
      </c>
      <c r="J1771" s="125">
        <v>20</v>
      </c>
      <c r="K1771" s="264">
        <v>2022</v>
      </c>
      <c r="L1771" s="85">
        <v>7323.01</v>
      </c>
      <c r="M1771" s="85" t="s">
        <v>630</v>
      </c>
      <c r="N1771" s="128">
        <v>47539</v>
      </c>
      <c r="O1771" s="128">
        <f t="shared" si="81"/>
        <v>950780</v>
      </c>
      <c r="Q1771" t="s">
        <v>47</v>
      </c>
      <c r="R1771" s="220" t="s">
        <v>1888</v>
      </c>
      <c r="S1771" s="220" t="s">
        <v>1861</v>
      </c>
      <c r="T1771" t="s">
        <v>2419</v>
      </c>
      <c r="U1771" t="s">
        <v>1972</v>
      </c>
      <c r="V1771" t="s">
        <v>2832</v>
      </c>
    </row>
    <row r="1772" spans="1:22" ht="15.75" thickBot="1" x14ac:dyDescent="0.3">
      <c r="A1772" t="s">
        <v>4687</v>
      </c>
      <c r="B1772" t="s">
        <v>4687</v>
      </c>
      <c r="C1772" t="s">
        <v>4687</v>
      </c>
      <c r="D1772" t="s">
        <v>629</v>
      </c>
      <c r="E1772" s="259" t="s">
        <v>1853</v>
      </c>
      <c r="F1772" t="s">
        <v>620</v>
      </c>
      <c r="G1772" s="89">
        <v>2013</v>
      </c>
      <c r="H1772" s="341" t="s">
        <v>734</v>
      </c>
      <c r="I1772" s="337" t="str">
        <f t="shared" si="80"/>
        <v>Pesado de Passageiros M3: III : Gasóleo : E5</v>
      </c>
      <c r="J1772" s="125">
        <v>16</v>
      </c>
      <c r="K1772" s="264">
        <v>2022</v>
      </c>
      <c r="L1772" s="85">
        <v>2998.94</v>
      </c>
      <c r="M1772" s="85" t="s">
        <v>630</v>
      </c>
      <c r="N1772" s="128">
        <v>18389</v>
      </c>
      <c r="O1772" s="128">
        <f t="shared" si="81"/>
        <v>294224</v>
      </c>
      <c r="Q1772" t="s">
        <v>47</v>
      </c>
      <c r="R1772" s="220" t="s">
        <v>1888</v>
      </c>
      <c r="S1772" s="220" t="s">
        <v>1861</v>
      </c>
      <c r="T1772" t="s">
        <v>2420</v>
      </c>
      <c r="U1772" t="s">
        <v>1972</v>
      </c>
      <c r="V1772" t="s">
        <v>2832</v>
      </c>
    </row>
    <row r="1773" spans="1:22" ht="15.75" thickBot="1" x14ac:dyDescent="0.3">
      <c r="A1773" t="s">
        <v>4687</v>
      </c>
      <c r="B1773" t="s">
        <v>4687</v>
      </c>
      <c r="C1773" t="s">
        <v>4687</v>
      </c>
      <c r="D1773" t="s">
        <v>629</v>
      </c>
      <c r="E1773" s="259" t="s">
        <v>1853</v>
      </c>
      <c r="F1773" t="s">
        <v>620</v>
      </c>
      <c r="G1773" s="89">
        <v>2013</v>
      </c>
      <c r="H1773" s="341" t="s">
        <v>734</v>
      </c>
      <c r="I1773" s="337" t="str">
        <f t="shared" si="80"/>
        <v>Pesado de Passageiros M3: III : Gasóleo : E5</v>
      </c>
      <c r="J1773" s="125">
        <v>16</v>
      </c>
      <c r="K1773" s="264">
        <v>2022</v>
      </c>
      <c r="L1773" s="85">
        <v>6160.4000000000005</v>
      </c>
      <c r="M1773" s="85" t="s">
        <v>630</v>
      </c>
      <c r="N1773" s="128">
        <v>41475</v>
      </c>
      <c r="O1773" s="128">
        <f t="shared" si="81"/>
        <v>663600</v>
      </c>
      <c r="Q1773" t="s">
        <v>47</v>
      </c>
      <c r="R1773" s="220" t="s">
        <v>1888</v>
      </c>
      <c r="S1773" s="220" t="s">
        <v>1861</v>
      </c>
      <c r="T1773" t="s">
        <v>2421</v>
      </c>
      <c r="U1773" t="s">
        <v>1972</v>
      </c>
      <c r="V1773" t="s">
        <v>2832</v>
      </c>
    </row>
    <row r="1774" spans="1:22" ht="15.75" thickBot="1" x14ac:dyDescent="0.3">
      <c r="A1774" t="s">
        <v>4687</v>
      </c>
      <c r="B1774" t="s">
        <v>4687</v>
      </c>
      <c r="C1774" t="s">
        <v>4687</v>
      </c>
      <c r="D1774" t="s">
        <v>629</v>
      </c>
      <c r="E1774" s="259" t="s">
        <v>1853</v>
      </c>
      <c r="F1774" t="s">
        <v>620</v>
      </c>
      <c r="G1774" s="89">
        <v>2013</v>
      </c>
      <c r="H1774" s="341" t="s">
        <v>734</v>
      </c>
      <c r="I1774" s="337" t="str">
        <f t="shared" si="80"/>
        <v>Pesado de Passageiros M3: III : Gasóleo : E5</v>
      </c>
      <c r="J1774" s="125">
        <v>16</v>
      </c>
      <c r="K1774" s="264">
        <v>2022</v>
      </c>
      <c r="L1774" s="85">
        <v>5129.9199999999992</v>
      </c>
      <c r="M1774" s="85" t="s">
        <v>630</v>
      </c>
      <c r="N1774" s="128">
        <v>33693</v>
      </c>
      <c r="O1774" s="128">
        <f t="shared" si="81"/>
        <v>539088</v>
      </c>
      <c r="Q1774" t="s">
        <v>47</v>
      </c>
      <c r="R1774" s="220" t="s">
        <v>1888</v>
      </c>
      <c r="S1774" s="220" t="s">
        <v>1861</v>
      </c>
      <c r="T1774" t="s">
        <v>2422</v>
      </c>
      <c r="U1774" t="s">
        <v>1972</v>
      </c>
      <c r="V1774" t="s">
        <v>2832</v>
      </c>
    </row>
    <row r="1775" spans="1:22" ht="15.75" thickBot="1" x14ac:dyDescent="0.3">
      <c r="A1775" t="s">
        <v>4687</v>
      </c>
      <c r="B1775" t="s">
        <v>4687</v>
      </c>
      <c r="C1775" t="s">
        <v>4687</v>
      </c>
      <c r="D1775" t="s">
        <v>629</v>
      </c>
      <c r="E1775" s="259" t="s">
        <v>1853</v>
      </c>
      <c r="F1775" t="s">
        <v>620</v>
      </c>
      <c r="G1775" s="89">
        <v>2003</v>
      </c>
      <c r="H1775" s="341" t="s">
        <v>732</v>
      </c>
      <c r="I1775" s="337" t="str">
        <f t="shared" si="80"/>
        <v>Pesado de Passageiros M3: III : Gasóleo : E3</v>
      </c>
      <c r="J1775" s="125">
        <v>57</v>
      </c>
      <c r="K1775" s="264">
        <v>2022</v>
      </c>
      <c r="L1775" s="85">
        <v>7790.1099999999988</v>
      </c>
      <c r="M1775" s="85" t="s">
        <v>630</v>
      </c>
      <c r="N1775" s="128">
        <v>22602</v>
      </c>
      <c r="O1775" s="128">
        <f t="shared" si="81"/>
        <v>1288314</v>
      </c>
      <c r="Q1775" t="s">
        <v>47</v>
      </c>
      <c r="R1775" s="220" t="s">
        <v>1888</v>
      </c>
      <c r="S1775" s="220" t="s">
        <v>1861</v>
      </c>
      <c r="T1775" t="s">
        <v>2423</v>
      </c>
      <c r="U1775" t="s">
        <v>1972</v>
      </c>
      <c r="V1775" t="s">
        <v>2832</v>
      </c>
    </row>
    <row r="1776" spans="1:22" ht="15.75" thickBot="1" x14ac:dyDescent="0.3">
      <c r="A1776" t="s">
        <v>4687</v>
      </c>
      <c r="B1776" t="s">
        <v>4687</v>
      </c>
      <c r="C1776" t="s">
        <v>4687</v>
      </c>
      <c r="D1776" t="s">
        <v>629</v>
      </c>
      <c r="E1776" s="259" t="s">
        <v>1853</v>
      </c>
      <c r="F1776" t="s">
        <v>620</v>
      </c>
      <c r="G1776" s="89">
        <v>2017</v>
      </c>
      <c r="H1776" s="341" t="s">
        <v>733</v>
      </c>
      <c r="I1776" s="337" t="str">
        <f t="shared" si="80"/>
        <v>Pesado de Passageiros M3: III : Gasóleo : E6</v>
      </c>
      <c r="J1776" s="125">
        <v>20</v>
      </c>
      <c r="K1776" s="264">
        <v>2022</v>
      </c>
      <c r="L1776" s="85">
        <v>5724.5399999999991</v>
      </c>
      <c r="M1776" s="85" t="s">
        <v>630</v>
      </c>
      <c r="N1776" s="128">
        <v>38438</v>
      </c>
      <c r="O1776" s="128">
        <f t="shared" si="81"/>
        <v>768760</v>
      </c>
      <c r="Q1776" t="s">
        <v>47</v>
      </c>
      <c r="R1776" s="220" t="s">
        <v>1888</v>
      </c>
      <c r="S1776" s="220" t="s">
        <v>1861</v>
      </c>
      <c r="T1776" t="s">
        <v>2424</v>
      </c>
      <c r="U1776" t="s">
        <v>1972</v>
      </c>
      <c r="V1776" t="s">
        <v>2832</v>
      </c>
    </row>
    <row r="1777" spans="1:22" ht="15.75" thickBot="1" x14ac:dyDescent="0.3">
      <c r="A1777" t="s">
        <v>4687</v>
      </c>
      <c r="B1777" t="s">
        <v>4687</v>
      </c>
      <c r="C1777" t="s">
        <v>4687</v>
      </c>
      <c r="D1777" t="s">
        <v>629</v>
      </c>
      <c r="E1777" s="259" t="s">
        <v>1853</v>
      </c>
      <c r="F1777" t="s">
        <v>620</v>
      </c>
      <c r="G1777" s="89">
        <v>2017</v>
      </c>
      <c r="H1777" s="341" t="s">
        <v>733</v>
      </c>
      <c r="I1777" s="337" t="str">
        <f t="shared" si="80"/>
        <v>Pesado de Passageiros M3: III : Gasóleo : E6</v>
      </c>
      <c r="J1777" s="125">
        <v>20</v>
      </c>
      <c r="K1777" s="264">
        <v>2022</v>
      </c>
      <c r="L1777" s="85">
        <v>8982.6899999999987</v>
      </c>
      <c r="M1777" s="85" t="s">
        <v>630</v>
      </c>
      <c r="N1777" s="128">
        <v>51330</v>
      </c>
      <c r="O1777" s="128">
        <f t="shared" si="81"/>
        <v>1026600</v>
      </c>
      <c r="Q1777" t="s">
        <v>47</v>
      </c>
      <c r="R1777" s="220" t="s">
        <v>1888</v>
      </c>
      <c r="S1777" s="220" t="s">
        <v>1861</v>
      </c>
      <c r="T1777" t="s">
        <v>2425</v>
      </c>
      <c r="U1777" t="s">
        <v>1972</v>
      </c>
      <c r="V1777" t="s">
        <v>2832</v>
      </c>
    </row>
    <row r="1778" spans="1:22" ht="15.75" thickBot="1" x14ac:dyDescent="0.3">
      <c r="A1778" t="s">
        <v>4687</v>
      </c>
      <c r="B1778" t="s">
        <v>4687</v>
      </c>
      <c r="C1778" t="s">
        <v>4687</v>
      </c>
      <c r="D1778" t="s">
        <v>629</v>
      </c>
      <c r="E1778" s="259" t="s">
        <v>1853</v>
      </c>
      <c r="F1778" t="s">
        <v>620</v>
      </c>
      <c r="G1778" s="89">
        <v>2016</v>
      </c>
      <c r="H1778" s="341" t="s">
        <v>733</v>
      </c>
      <c r="I1778" s="337" t="str">
        <f t="shared" si="80"/>
        <v>Pesado de Passageiros M3: III : Gasóleo : E6</v>
      </c>
      <c r="J1778" s="125">
        <v>54</v>
      </c>
      <c r="K1778" s="264">
        <v>2022</v>
      </c>
      <c r="L1778" s="85">
        <v>64247.89</v>
      </c>
      <c r="M1778" s="85" t="s">
        <v>630</v>
      </c>
      <c r="N1778" s="128">
        <v>234666</v>
      </c>
      <c r="O1778" s="128">
        <f t="shared" si="81"/>
        <v>12671964</v>
      </c>
      <c r="Q1778" t="s">
        <v>47</v>
      </c>
      <c r="R1778" s="220" t="s">
        <v>1888</v>
      </c>
      <c r="S1778" s="220" t="s">
        <v>1861</v>
      </c>
      <c r="T1778" t="s">
        <v>2426</v>
      </c>
      <c r="U1778" t="s">
        <v>1972</v>
      </c>
      <c r="V1778" t="s">
        <v>2832</v>
      </c>
    </row>
    <row r="1779" spans="1:22" ht="15.75" thickBot="1" x14ac:dyDescent="0.3">
      <c r="A1779" t="s">
        <v>4687</v>
      </c>
      <c r="B1779" t="s">
        <v>4687</v>
      </c>
      <c r="C1779" t="s">
        <v>4687</v>
      </c>
      <c r="D1779" t="s">
        <v>629</v>
      </c>
      <c r="E1779" s="259" t="s">
        <v>1853</v>
      </c>
      <c r="F1779" t="s">
        <v>620</v>
      </c>
      <c r="G1779" s="89">
        <v>2014</v>
      </c>
      <c r="H1779" s="341" t="s">
        <v>734</v>
      </c>
      <c r="I1779" s="337" t="str">
        <f t="shared" si="80"/>
        <v>Pesado de Passageiros M3: III : Gasóleo : E5</v>
      </c>
      <c r="J1779" s="125">
        <v>53</v>
      </c>
      <c r="K1779" s="264">
        <v>2022</v>
      </c>
      <c r="L1779" s="85">
        <v>34806.480000000003</v>
      </c>
      <c r="M1779" s="85" t="s">
        <v>630</v>
      </c>
      <c r="N1779" s="128">
        <v>129535</v>
      </c>
      <c r="O1779" s="128">
        <f t="shared" si="81"/>
        <v>6865355</v>
      </c>
      <c r="Q1779" t="s">
        <v>47</v>
      </c>
      <c r="R1779" s="220" t="s">
        <v>1888</v>
      </c>
      <c r="S1779" s="220" t="s">
        <v>1861</v>
      </c>
      <c r="T1779" t="s">
        <v>2427</v>
      </c>
      <c r="U1779" t="s">
        <v>1972</v>
      </c>
      <c r="V1779" t="s">
        <v>2832</v>
      </c>
    </row>
    <row r="1780" spans="1:22" ht="15.75" thickBot="1" x14ac:dyDescent="0.3">
      <c r="A1780" t="s">
        <v>4687</v>
      </c>
      <c r="B1780" t="s">
        <v>4687</v>
      </c>
      <c r="C1780" t="s">
        <v>4687</v>
      </c>
      <c r="D1780" t="s">
        <v>629</v>
      </c>
      <c r="E1780" s="259" t="s">
        <v>1853</v>
      </c>
      <c r="F1780" t="s">
        <v>620</v>
      </c>
      <c r="G1780" s="89">
        <v>2015</v>
      </c>
      <c r="H1780" s="341" t="s">
        <v>733</v>
      </c>
      <c r="I1780" s="337" t="str">
        <f t="shared" si="80"/>
        <v>Pesado de Passageiros M3: III : Gasóleo : E6</v>
      </c>
      <c r="J1780" s="125">
        <v>54</v>
      </c>
      <c r="K1780" s="264">
        <v>2022</v>
      </c>
      <c r="L1780" s="85">
        <v>52574.73000000001</v>
      </c>
      <c r="M1780" s="85" t="s">
        <v>630</v>
      </c>
      <c r="N1780" s="128">
        <v>207122</v>
      </c>
      <c r="O1780" s="128">
        <f t="shared" si="81"/>
        <v>11184588</v>
      </c>
      <c r="Q1780" t="s">
        <v>47</v>
      </c>
      <c r="R1780" s="220" t="s">
        <v>1888</v>
      </c>
      <c r="S1780" s="220" t="s">
        <v>1861</v>
      </c>
      <c r="T1780" t="s">
        <v>2428</v>
      </c>
      <c r="U1780" t="s">
        <v>1972</v>
      </c>
      <c r="V1780" t="s">
        <v>2832</v>
      </c>
    </row>
    <row r="1781" spans="1:22" ht="15.75" thickBot="1" x14ac:dyDescent="0.3">
      <c r="A1781" t="s">
        <v>4687</v>
      </c>
      <c r="B1781" t="s">
        <v>4687</v>
      </c>
      <c r="C1781" t="s">
        <v>4687</v>
      </c>
      <c r="D1781" t="s">
        <v>629</v>
      </c>
      <c r="E1781" s="259" t="s">
        <v>1853</v>
      </c>
      <c r="F1781" t="s">
        <v>620</v>
      </c>
      <c r="G1781" s="89">
        <v>2015</v>
      </c>
      <c r="H1781" s="341" t="s">
        <v>733</v>
      </c>
      <c r="I1781" s="337" t="str">
        <f t="shared" si="80"/>
        <v>Pesado de Passageiros M3: III : Gasóleo : E6</v>
      </c>
      <c r="J1781" s="125">
        <v>54</v>
      </c>
      <c r="K1781" s="264">
        <v>2022</v>
      </c>
      <c r="L1781" s="85">
        <v>41271.89</v>
      </c>
      <c r="M1781" s="85" t="s">
        <v>630</v>
      </c>
      <c r="N1781" s="128">
        <v>161802</v>
      </c>
      <c r="O1781" s="128">
        <f t="shared" si="81"/>
        <v>8737308</v>
      </c>
      <c r="Q1781" t="s">
        <v>47</v>
      </c>
      <c r="R1781" s="220" t="s">
        <v>1888</v>
      </c>
      <c r="S1781" s="220" t="s">
        <v>1861</v>
      </c>
      <c r="T1781" t="s">
        <v>2429</v>
      </c>
      <c r="U1781" t="s">
        <v>1972</v>
      </c>
      <c r="V1781" t="s">
        <v>2832</v>
      </c>
    </row>
    <row r="1782" spans="1:22" ht="15.75" thickBot="1" x14ac:dyDescent="0.3">
      <c r="A1782" t="s">
        <v>4687</v>
      </c>
      <c r="B1782" t="s">
        <v>4687</v>
      </c>
      <c r="C1782" t="s">
        <v>4687</v>
      </c>
      <c r="D1782" t="s">
        <v>629</v>
      </c>
      <c r="E1782" s="259" t="s">
        <v>1853</v>
      </c>
      <c r="F1782" t="s">
        <v>620</v>
      </c>
      <c r="G1782" s="89">
        <v>2008</v>
      </c>
      <c r="H1782" s="341" t="s">
        <v>731</v>
      </c>
      <c r="I1782" s="337" t="str">
        <f t="shared" si="80"/>
        <v>Pesado de Passageiros M3: III : Gasóleo : E4</v>
      </c>
      <c r="J1782" s="125">
        <v>59</v>
      </c>
      <c r="K1782" s="264">
        <v>2022</v>
      </c>
      <c r="L1782" s="85">
        <v>12044.450000000003</v>
      </c>
      <c r="M1782" s="85" t="s">
        <v>630</v>
      </c>
      <c r="N1782" s="128">
        <v>37659</v>
      </c>
      <c r="O1782" s="128">
        <f t="shared" si="81"/>
        <v>2221881</v>
      </c>
      <c r="Q1782" t="s">
        <v>47</v>
      </c>
      <c r="R1782" s="220" t="s">
        <v>1888</v>
      </c>
      <c r="S1782" s="220" t="s">
        <v>1861</v>
      </c>
      <c r="T1782" t="s">
        <v>2430</v>
      </c>
      <c r="U1782" t="s">
        <v>1972</v>
      </c>
      <c r="V1782" t="s">
        <v>2832</v>
      </c>
    </row>
    <row r="1783" spans="1:22" ht="15.75" thickBot="1" x14ac:dyDescent="0.3">
      <c r="A1783" t="s">
        <v>4687</v>
      </c>
      <c r="B1783" t="s">
        <v>4687</v>
      </c>
      <c r="C1783" t="s">
        <v>4687</v>
      </c>
      <c r="D1783" t="s">
        <v>629</v>
      </c>
      <c r="E1783" s="259" t="s">
        <v>1853</v>
      </c>
      <c r="F1783" t="s">
        <v>620</v>
      </c>
      <c r="G1783" s="89">
        <v>2016</v>
      </c>
      <c r="H1783" s="341" t="s">
        <v>733</v>
      </c>
      <c r="I1783" s="337" t="str">
        <f t="shared" si="80"/>
        <v>Pesado de Passageiros M3: III : Gasóleo : E6</v>
      </c>
      <c r="J1783" s="125">
        <v>54</v>
      </c>
      <c r="K1783" s="264">
        <v>2022</v>
      </c>
      <c r="L1783" s="85">
        <v>41194.300000000003</v>
      </c>
      <c r="M1783" s="85" t="s">
        <v>630</v>
      </c>
      <c r="N1783" s="128">
        <v>149317</v>
      </c>
      <c r="O1783" s="128">
        <f t="shared" si="81"/>
        <v>8063118</v>
      </c>
      <c r="Q1783" t="s">
        <v>47</v>
      </c>
      <c r="R1783" s="220" t="s">
        <v>1888</v>
      </c>
      <c r="S1783" s="220" t="s">
        <v>1861</v>
      </c>
      <c r="T1783" t="s">
        <v>2431</v>
      </c>
      <c r="U1783" t="s">
        <v>1972</v>
      </c>
      <c r="V1783" t="s">
        <v>2832</v>
      </c>
    </row>
    <row r="1784" spans="1:22" ht="15.75" thickBot="1" x14ac:dyDescent="0.3">
      <c r="A1784" t="s">
        <v>4687</v>
      </c>
      <c r="B1784" t="s">
        <v>4687</v>
      </c>
      <c r="C1784" t="s">
        <v>4687</v>
      </c>
      <c r="D1784" t="s">
        <v>629</v>
      </c>
      <c r="E1784" s="259" t="s">
        <v>1853</v>
      </c>
      <c r="F1784" t="s">
        <v>620</v>
      </c>
      <c r="G1784" s="89">
        <v>2016</v>
      </c>
      <c r="H1784" s="341" t="s">
        <v>733</v>
      </c>
      <c r="I1784" s="337" t="str">
        <f t="shared" si="80"/>
        <v>Pesado de Passageiros M3: III : Gasóleo : E6</v>
      </c>
      <c r="J1784" s="125">
        <v>54</v>
      </c>
      <c r="K1784" s="264">
        <v>2022</v>
      </c>
      <c r="L1784" s="85">
        <v>69115.94</v>
      </c>
      <c r="M1784" s="85" t="s">
        <v>630</v>
      </c>
      <c r="N1784" s="128">
        <v>256533</v>
      </c>
      <c r="O1784" s="128">
        <f t="shared" si="81"/>
        <v>13852782</v>
      </c>
      <c r="Q1784" t="s">
        <v>47</v>
      </c>
      <c r="R1784" s="220" t="s">
        <v>1888</v>
      </c>
      <c r="S1784" s="220" t="s">
        <v>1861</v>
      </c>
      <c r="T1784" t="s">
        <v>2432</v>
      </c>
      <c r="U1784" t="s">
        <v>1972</v>
      </c>
      <c r="V1784" t="s">
        <v>2832</v>
      </c>
    </row>
    <row r="1785" spans="1:22" ht="15.75" thickBot="1" x14ac:dyDescent="0.3">
      <c r="A1785" t="s">
        <v>4687</v>
      </c>
      <c r="B1785" t="s">
        <v>4687</v>
      </c>
      <c r="C1785" t="s">
        <v>4687</v>
      </c>
      <c r="D1785" t="s">
        <v>629</v>
      </c>
      <c r="E1785" s="259" t="s">
        <v>1853</v>
      </c>
      <c r="F1785" t="s">
        <v>620</v>
      </c>
      <c r="G1785" s="89">
        <v>2009</v>
      </c>
      <c r="H1785" s="341" t="s">
        <v>731</v>
      </c>
      <c r="I1785" s="337" t="str">
        <f t="shared" si="80"/>
        <v>Pesado de Passageiros M3: III : Gasóleo : E4</v>
      </c>
      <c r="J1785" s="125">
        <v>56</v>
      </c>
      <c r="K1785" s="264">
        <v>2022</v>
      </c>
      <c r="L1785" s="85">
        <v>10107.4</v>
      </c>
      <c r="M1785" s="85" t="s">
        <v>630</v>
      </c>
      <c r="N1785" s="128">
        <v>34090</v>
      </c>
      <c r="O1785" s="128">
        <f t="shared" si="81"/>
        <v>1909040</v>
      </c>
      <c r="Q1785" t="s">
        <v>47</v>
      </c>
      <c r="R1785" s="220" t="s">
        <v>1888</v>
      </c>
      <c r="S1785" s="220" t="s">
        <v>1861</v>
      </c>
      <c r="T1785" t="s">
        <v>2433</v>
      </c>
      <c r="U1785" t="s">
        <v>1972</v>
      </c>
      <c r="V1785" t="s">
        <v>2832</v>
      </c>
    </row>
    <row r="1786" spans="1:22" ht="15.75" thickBot="1" x14ac:dyDescent="0.3">
      <c r="A1786" t="s">
        <v>4687</v>
      </c>
      <c r="B1786" t="s">
        <v>4687</v>
      </c>
      <c r="C1786" t="s">
        <v>4687</v>
      </c>
      <c r="D1786" t="s">
        <v>629</v>
      </c>
      <c r="E1786" s="259" t="s">
        <v>1853</v>
      </c>
      <c r="F1786" t="s">
        <v>620</v>
      </c>
      <c r="G1786" s="89">
        <v>2009</v>
      </c>
      <c r="H1786" s="341" t="s">
        <v>731</v>
      </c>
      <c r="I1786" s="337" t="str">
        <f t="shared" si="80"/>
        <v>Pesado de Passageiros M3: III : Gasóleo : E4</v>
      </c>
      <c r="J1786" s="125">
        <v>56</v>
      </c>
      <c r="K1786" s="264">
        <v>2022</v>
      </c>
      <c r="L1786" s="85">
        <v>20784.219999999998</v>
      </c>
      <c r="M1786" s="85" t="s">
        <v>630</v>
      </c>
      <c r="N1786" s="128">
        <v>69556</v>
      </c>
      <c r="O1786" s="128">
        <f t="shared" si="81"/>
        <v>3895136</v>
      </c>
      <c r="Q1786" t="s">
        <v>47</v>
      </c>
      <c r="R1786" s="220" t="s">
        <v>1888</v>
      </c>
      <c r="S1786" s="220" t="s">
        <v>1861</v>
      </c>
      <c r="T1786" t="s">
        <v>2434</v>
      </c>
      <c r="U1786" t="s">
        <v>1972</v>
      </c>
      <c r="V1786" t="s">
        <v>2832</v>
      </c>
    </row>
    <row r="1787" spans="1:22" ht="15.75" thickBot="1" x14ac:dyDescent="0.3">
      <c r="A1787" t="s">
        <v>4687</v>
      </c>
      <c r="B1787" t="s">
        <v>4687</v>
      </c>
      <c r="C1787" t="s">
        <v>4687</v>
      </c>
      <c r="D1787" t="s">
        <v>629</v>
      </c>
      <c r="E1787" s="259" t="s">
        <v>1853</v>
      </c>
      <c r="F1787" t="s">
        <v>620</v>
      </c>
      <c r="G1787" s="89">
        <v>2009</v>
      </c>
      <c r="H1787" s="341" t="s">
        <v>731</v>
      </c>
      <c r="I1787" s="337" t="str">
        <f t="shared" si="80"/>
        <v>Pesado de Passageiros M3: III : Gasóleo : E4</v>
      </c>
      <c r="J1787" s="125">
        <v>56</v>
      </c>
      <c r="K1787" s="264">
        <v>2022</v>
      </c>
      <c r="L1787" s="85">
        <v>13919.67</v>
      </c>
      <c r="M1787" s="85" t="s">
        <v>630</v>
      </c>
      <c r="N1787" s="128">
        <v>44301</v>
      </c>
      <c r="O1787" s="128">
        <f t="shared" si="81"/>
        <v>2480856</v>
      </c>
      <c r="Q1787" t="s">
        <v>47</v>
      </c>
      <c r="R1787" s="220" t="s">
        <v>1888</v>
      </c>
      <c r="S1787" s="220" t="s">
        <v>1861</v>
      </c>
      <c r="T1787" t="s">
        <v>2435</v>
      </c>
      <c r="U1787" t="s">
        <v>1972</v>
      </c>
      <c r="V1787" t="s">
        <v>2832</v>
      </c>
    </row>
    <row r="1788" spans="1:22" ht="15.75" thickBot="1" x14ac:dyDescent="0.3">
      <c r="A1788" t="s">
        <v>4687</v>
      </c>
      <c r="B1788" t="s">
        <v>4687</v>
      </c>
      <c r="C1788" t="s">
        <v>4687</v>
      </c>
      <c r="D1788" t="s">
        <v>629</v>
      </c>
      <c r="E1788" s="259" t="s">
        <v>1853</v>
      </c>
      <c r="F1788" t="s">
        <v>620</v>
      </c>
      <c r="G1788" s="89">
        <v>2009</v>
      </c>
      <c r="H1788" s="341" t="s">
        <v>731</v>
      </c>
      <c r="I1788" s="337" t="str">
        <f t="shared" si="80"/>
        <v>Pesado de Passageiros M3: III : Gasóleo : E4</v>
      </c>
      <c r="J1788" s="125">
        <v>35</v>
      </c>
      <c r="K1788" s="264">
        <v>2022</v>
      </c>
      <c r="L1788" s="85">
        <v>6961.15</v>
      </c>
      <c r="M1788" s="85" t="s">
        <v>630</v>
      </c>
      <c r="N1788" s="128">
        <v>27641</v>
      </c>
      <c r="O1788" s="128">
        <f t="shared" si="81"/>
        <v>967435</v>
      </c>
      <c r="Q1788" t="s">
        <v>47</v>
      </c>
      <c r="R1788" s="220" t="s">
        <v>1888</v>
      </c>
      <c r="S1788" s="220" t="s">
        <v>1861</v>
      </c>
      <c r="T1788" t="s">
        <v>2436</v>
      </c>
      <c r="U1788" t="s">
        <v>1972</v>
      </c>
      <c r="V1788" t="s">
        <v>2832</v>
      </c>
    </row>
    <row r="1789" spans="1:22" ht="15.75" thickBot="1" x14ac:dyDescent="0.3">
      <c r="A1789" t="s">
        <v>4687</v>
      </c>
      <c r="B1789" t="s">
        <v>4687</v>
      </c>
      <c r="C1789" t="s">
        <v>4687</v>
      </c>
      <c r="D1789" t="s">
        <v>629</v>
      </c>
      <c r="E1789" s="259" t="s">
        <v>1853</v>
      </c>
      <c r="F1789" t="s">
        <v>620</v>
      </c>
      <c r="G1789" s="89">
        <v>2002</v>
      </c>
      <c r="H1789" s="341" t="s">
        <v>732</v>
      </c>
      <c r="I1789" s="337" t="str">
        <f t="shared" si="80"/>
        <v>Pesado de Passageiros M3: III : Gasóleo : E3</v>
      </c>
      <c r="J1789" s="125">
        <v>54</v>
      </c>
      <c r="K1789" s="264">
        <v>2022</v>
      </c>
      <c r="L1789" s="85">
        <v>414.83</v>
      </c>
      <c r="M1789" s="85" t="s">
        <v>630</v>
      </c>
      <c r="N1789" s="128">
        <v>1381</v>
      </c>
      <c r="O1789" s="128">
        <f t="shared" si="81"/>
        <v>74574</v>
      </c>
      <c r="Q1789" t="s">
        <v>47</v>
      </c>
      <c r="R1789" s="220" t="s">
        <v>1888</v>
      </c>
      <c r="S1789" s="220" t="s">
        <v>1861</v>
      </c>
      <c r="T1789" t="s">
        <v>2437</v>
      </c>
      <c r="U1789" t="s">
        <v>1972</v>
      </c>
      <c r="V1789" t="s">
        <v>2832</v>
      </c>
    </row>
    <row r="1790" spans="1:22" ht="15.75" thickBot="1" x14ac:dyDescent="0.3">
      <c r="A1790" t="s">
        <v>4687</v>
      </c>
      <c r="B1790" t="s">
        <v>4687</v>
      </c>
      <c r="C1790" t="s">
        <v>4687</v>
      </c>
      <c r="D1790" t="s">
        <v>629</v>
      </c>
      <c r="E1790" s="259" t="s">
        <v>1853</v>
      </c>
      <c r="F1790" t="s">
        <v>620</v>
      </c>
      <c r="G1790" s="89">
        <v>2004</v>
      </c>
      <c r="H1790" s="341" t="s">
        <v>732</v>
      </c>
      <c r="I1790" s="337" t="str">
        <f t="shared" si="80"/>
        <v>Pesado de Passageiros M3: III : Gasóleo : E3</v>
      </c>
      <c r="J1790" s="125">
        <v>54</v>
      </c>
      <c r="K1790" s="264">
        <v>2022</v>
      </c>
      <c r="L1790" s="85">
        <v>6113.4100000000008</v>
      </c>
      <c r="M1790" s="85" t="s">
        <v>630</v>
      </c>
      <c r="N1790" s="128">
        <v>17741</v>
      </c>
      <c r="O1790" s="128">
        <f t="shared" si="81"/>
        <v>958014</v>
      </c>
      <c r="Q1790" t="s">
        <v>47</v>
      </c>
      <c r="R1790" s="220" t="s">
        <v>1888</v>
      </c>
      <c r="S1790" s="220" t="s">
        <v>1861</v>
      </c>
      <c r="T1790" t="s">
        <v>2438</v>
      </c>
      <c r="U1790" t="s">
        <v>1972</v>
      </c>
      <c r="V1790" t="s">
        <v>2832</v>
      </c>
    </row>
    <row r="1791" spans="1:22" ht="15.75" thickBot="1" x14ac:dyDescent="0.3">
      <c r="A1791" t="s">
        <v>4687</v>
      </c>
      <c r="B1791" t="s">
        <v>4687</v>
      </c>
      <c r="C1791" t="s">
        <v>4687</v>
      </c>
      <c r="D1791" t="s">
        <v>629</v>
      </c>
      <c r="E1791" s="259" t="s">
        <v>1853</v>
      </c>
      <c r="F1791" t="s">
        <v>620</v>
      </c>
      <c r="G1791" s="89">
        <v>2007</v>
      </c>
      <c r="H1791" s="341" t="s">
        <v>731</v>
      </c>
      <c r="I1791" s="337" t="str">
        <f t="shared" si="80"/>
        <v>Pesado de Passageiros M3: III : Gasóleo : E4</v>
      </c>
      <c r="J1791" s="125">
        <v>50</v>
      </c>
      <c r="K1791" s="264">
        <v>2022</v>
      </c>
      <c r="L1791" s="85">
        <v>9627.02</v>
      </c>
      <c r="M1791" s="85" t="s">
        <v>630</v>
      </c>
      <c r="N1791" s="128">
        <v>29669</v>
      </c>
      <c r="O1791" s="128">
        <f t="shared" si="81"/>
        <v>1483450</v>
      </c>
      <c r="Q1791" t="s">
        <v>47</v>
      </c>
      <c r="R1791" s="220" t="s">
        <v>1888</v>
      </c>
      <c r="S1791" s="220" t="s">
        <v>1861</v>
      </c>
      <c r="T1791" t="s">
        <v>2439</v>
      </c>
      <c r="U1791" t="s">
        <v>1972</v>
      </c>
      <c r="V1791" t="s">
        <v>2832</v>
      </c>
    </row>
    <row r="1792" spans="1:22" ht="15.75" thickBot="1" x14ac:dyDescent="0.3">
      <c r="A1792" t="s">
        <v>4687</v>
      </c>
      <c r="B1792" t="s">
        <v>4687</v>
      </c>
      <c r="C1792" t="s">
        <v>4687</v>
      </c>
      <c r="D1792" t="s">
        <v>629</v>
      </c>
      <c r="E1792" s="259" t="s">
        <v>1853</v>
      </c>
      <c r="F1792" t="s">
        <v>620</v>
      </c>
      <c r="G1792" s="89">
        <v>2010</v>
      </c>
      <c r="H1792" s="341" t="s">
        <v>734</v>
      </c>
      <c r="I1792" s="337" t="str">
        <f t="shared" si="80"/>
        <v>Pesado de Passageiros M3: III : Gasóleo : E5</v>
      </c>
      <c r="J1792" s="125">
        <v>50</v>
      </c>
      <c r="K1792" s="264">
        <v>2022</v>
      </c>
      <c r="L1792" s="85">
        <v>21141.219999999998</v>
      </c>
      <c r="M1792" s="85" t="s">
        <v>630</v>
      </c>
      <c r="N1792" s="128">
        <v>70438</v>
      </c>
      <c r="O1792" s="128">
        <f t="shared" si="81"/>
        <v>3521900</v>
      </c>
      <c r="Q1792" t="s">
        <v>47</v>
      </c>
      <c r="R1792" s="220" t="s">
        <v>1888</v>
      </c>
      <c r="S1792" s="220" t="s">
        <v>1861</v>
      </c>
      <c r="T1792" t="s">
        <v>2440</v>
      </c>
      <c r="U1792" t="s">
        <v>1972</v>
      </c>
      <c r="V1792" t="s">
        <v>2832</v>
      </c>
    </row>
    <row r="1793" spans="1:22" ht="15.75" thickBot="1" x14ac:dyDescent="0.3">
      <c r="A1793" t="s">
        <v>4687</v>
      </c>
      <c r="B1793" t="s">
        <v>4687</v>
      </c>
      <c r="C1793" t="s">
        <v>4687</v>
      </c>
      <c r="D1793" t="s">
        <v>629</v>
      </c>
      <c r="E1793" s="259" t="s">
        <v>1853</v>
      </c>
      <c r="F1793" t="s">
        <v>620</v>
      </c>
      <c r="G1793" s="89">
        <v>2004</v>
      </c>
      <c r="H1793" s="341" t="s">
        <v>732</v>
      </c>
      <c r="I1793" s="337" t="str">
        <f t="shared" si="80"/>
        <v>Pesado de Passageiros M3: III : Gasóleo : E3</v>
      </c>
      <c r="J1793" s="125">
        <v>54</v>
      </c>
      <c r="K1793" s="264">
        <v>2022</v>
      </c>
      <c r="L1793" s="85">
        <v>6034.5199999999995</v>
      </c>
      <c r="M1793" s="85" t="s">
        <v>630</v>
      </c>
      <c r="N1793" s="128">
        <v>17008</v>
      </c>
      <c r="O1793" s="128">
        <f t="shared" si="81"/>
        <v>918432</v>
      </c>
      <c r="Q1793" t="s">
        <v>47</v>
      </c>
      <c r="R1793" s="220" t="s">
        <v>1888</v>
      </c>
      <c r="S1793" s="220" t="s">
        <v>1861</v>
      </c>
      <c r="T1793" t="s">
        <v>2441</v>
      </c>
      <c r="U1793" t="s">
        <v>1972</v>
      </c>
      <c r="V1793" t="s">
        <v>2832</v>
      </c>
    </row>
    <row r="1794" spans="1:22" ht="15.75" thickBot="1" x14ac:dyDescent="0.3">
      <c r="A1794" t="s">
        <v>4687</v>
      </c>
      <c r="B1794" t="s">
        <v>4687</v>
      </c>
      <c r="C1794" t="s">
        <v>4687</v>
      </c>
      <c r="D1794" t="s">
        <v>629</v>
      </c>
      <c r="E1794" s="259" t="s">
        <v>1853</v>
      </c>
      <c r="F1794" t="s">
        <v>620</v>
      </c>
      <c r="G1794" s="89">
        <v>2010</v>
      </c>
      <c r="H1794" s="341" t="s">
        <v>734</v>
      </c>
      <c r="I1794" s="337" t="str">
        <f t="shared" si="80"/>
        <v>Pesado de Passageiros M3: III : Gasóleo : E5</v>
      </c>
      <c r="J1794" s="125">
        <v>56</v>
      </c>
      <c r="K1794" s="264">
        <v>2022</v>
      </c>
      <c r="L1794" s="85">
        <v>17411.329999999998</v>
      </c>
      <c r="M1794" s="85" t="s">
        <v>630</v>
      </c>
      <c r="N1794" s="128">
        <v>58911</v>
      </c>
      <c r="O1794" s="128">
        <f t="shared" si="81"/>
        <v>3299016</v>
      </c>
      <c r="Q1794" t="s">
        <v>47</v>
      </c>
      <c r="R1794" s="220" t="s">
        <v>1888</v>
      </c>
      <c r="S1794" s="220" t="s">
        <v>1861</v>
      </c>
      <c r="T1794" t="s">
        <v>2442</v>
      </c>
      <c r="U1794" t="s">
        <v>1972</v>
      </c>
      <c r="V1794" t="s">
        <v>2832</v>
      </c>
    </row>
    <row r="1795" spans="1:22" ht="15.75" thickBot="1" x14ac:dyDescent="0.3">
      <c r="A1795" t="s">
        <v>4687</v>
      </c>
      <c r="B1795" t="s">
        <v>4687</v>
      </c>
      <c r="C1795" t="s">
        <v>4687</v>
      </c>
      <c r="D1795" t="s">
        <v>629</v>
      </c>
      <c r="E1795" s="259" t="s">
        <v>1853</v>
      </c>
      <c r="F1795" t="s">
        <v>620</v>
      </c>
      <c r="G1795" s="89">
        <v>2010</v>
      </c>
      <c r="H1795" s="341" t="s">
        <v>734</v>
      </c>
      <c r="I1795" s="337" t="str">
        <f t="shared" si="80"/>
        <v>Pesado de Passageiros M3: III : Gasóleo : E5</v>
      </c>
      <c r="J1795" s="125">
        <v>56</v>
      </c>
      <c r="K1795" s="264">
        <v>2022</v>
      </c>
      <c r="L1795" s="85">
        <v>16981.579999999998</v>
      </c>
      <c r="M1795" s="85" t="s">
        <v>630</v>
      </c>
      <c r="N1795" s="128">
        <v>56628</v>
      </c>
      <c r="O1795" s="128">
        <f t="shared" si="81"/>
        <v>3171168</v>
      </c>
      <c r="Q1795" t="s">
        <v>47</v>
      </c>
      <c r="R1795" s="220" t="s">
        <v>1888</v>
      </c>
      <c r="S1795" s="220" t="s">
        <v>1861</v>
      </c>
      <c r="T1795" t="s">
        <v>2443</v>
      </c>
      <c r="U1795" t="s">
        <v>1972</v>
      </c>
      <c r="V1795" t="s">
        <v>2832</v>
      </c>
    </row>
    <row r="1796" spans="1:22" ht="15.75" thickBot="1" x14ac:dyDescent="0.3">
      <c r="A1796" t="s">
        <v>4687</v>
      </c>
      <c r="B1796" t="s">
        <v>4687</v>
      </c>
      <c r="C1796" t="s">
        <v>4687</v>
      </c>
      <c r="D1796" t="s">
        <v>623</v>
      </c>
      <c r="E1796" s="262" t="s">
        <v>2250</v>
      </c>
      <c r="F1796" t="s">
        <v>620</v>
      </c>
      <c r="G1796" s="89">
        <v>2019</v>
      </c>
      <c r="H1796" s="341" t="s">
        <v>733</v>
      </c>
      <c r="I1796" s="339" t="s">
        <v>2837</v>
      </c>
      <c r="J1796" s="125">
        <v>8</v>
      </c>
      <c r="K1796" s="264">
        <v>2022</v>
      </c>
      <c r="L1796" s="85">
        <v>2353.58</v>
      </c>
      <c r="M1796" s="85" t="s">
        <v>630</v>
      </c>
      <c r="N1796" s="128">
        <v>28479</v>
      </c>
      <c r="O1796" s="128">
        <f t="shared" ref="O1796:O1859" si="82">N1796*J1796</f>
        <v>227832</v>
      </c>
      <c r="Q1796" t="s">
        <v>47</v>
      </c>
      <c r="R1796" s="220" t="s">
        <v>1888</v>
      </c>
      <c r="S1796" s="220" t="s">
        <v>1861</v>
      </c>
      <c r="T1796" t="s">
        <v>2444</v>
      </c>
      <c r="U1796" t="s">
        <v>1972</v>
      </c>
      <c r="V1796" t="s">
        <v>2832</v>
      </c>
    </row>
    <row r="1797" spans="1:22" ht="15.75" thickBot="1" x14ac:dyDescent="0.3">
      <c r="A1797" t="s">
        <v>4687</v>
      </c>
      <c r="B1797" t="s">
        <v>4687</v>
      </c>
      <c r="C1797" t="s">
        <v>4687</v>
      </c>
      <c r="D1797" t="s">
        <v>623</v>
      </c>
      <c r="E1797" s="262" t="s">
        <v>2250</v>
      </c>
      <c r="F1797" t="s">
        <v>620</v>
      </c>
      <c r="G1797" s="89">
        <v>2019</v>
      </c>
      <c r="H1797" s="341" t="s">
        <v>733</v>
      </c>
      <c r="I1797" s="339" t="s">
        <v>2837</v>
      </c>
      <c r="J1797" s="125">
        <v>8</v>
      </c>
      <c r="K1797" s="264">
        <v>2022</v>
      </c>
      <c r="L1797" s="85">
        <v>6929.35</v>
      </c>
      <c r="M1797" s="85" t="s">
        <v>630</v>
      </c>
      <c r="N1797" s="128">
        <v>76406</v>
      </c>
      <c r="O1797" s="128">
        <f t="shared" si="82"/>
        <v>611248</v>
      </c>
      <c r="Q1797" t="s">
        <v>47</v>
      </c>
      <c r="R1797" s="220" t="s">
        <v>1888</v>
      </c>
      <c r="S1797" s="220" t="s">
        <v>1861</v>
      </c>
      <c r="T1797" t="s">
        <v>2445</v>
      </c>
      <c r="U1797" t="s">
        <v>1972</v>
      </c>
      <c r="V1797" t="s">
        <v>2832</v>
      </c>
    </row>
    <row r="1798" spans="1:22" ht="15.75" thickBot="1" x14ac:dyDescent="0.3">
      <c r="A1798" t="s">
        <v>4687</v>
      </c>
      <c r="B1798" t="s">
        <v>4687</v>
      </c>
      <c r="C1798" t="s">
        <v>4687</v>
      </c>
      <c r="D1798" t="s">
        <v>623</v>
      </c>
      <c r="E1798" s="262" t="s">
        <v>2250</v>
      </c>
      <c r="F1798" t="s">
        <v>620</v>
      </c>
      <c r="G1798" s="89">
        <v>2019</v>
      </c>
      <c r="H1798" s="341" t="s">
        <v>733</v>
      </c>
      <c r="I1798" s="339" t="s">
        <v>2837</v>
      </c>
      <c r="J1798" s="125">
        <v>8</v>
      </c>
      <c r="K1798" s="264">
        <v>2022</v>
      </c>
      <c r="L1798" s="85">
        <v>6988.57</v>
      </c>
      <c r="M1798" s="85" t="s">
        <v>630</v>
      </c>
      <c r="N1798" s="128">
        <v>83067</v>
      </c>
      <c r="O1798" s="128">
        <f t="shared" si="82"/>
        <v>664536</v>
      </c>
      <c r="Q1798" t="s">
        <v>47</v>
      </c>
      <c r="R1798" s="220" t="s">
        <v>1888</v>
      </c>
      <c r="S1798" s="220" t="s">
        <v>1861</v>
      </c>
      <c r="T1798" t="s">
        <v>2446</v>
      </c>
      <c r="U1798" t="s">
        <v>1972</v>
      </c>
      <c r="V1798" t="s">
        <v>2832</v>
      </c>
    </row>
    <row r="1799" spans="1:22" ht="15.75" thickBot="1" x14ac:dyDescent="0.3">
      <c r="A1799" t="s">
        <v>4687</v>
      </c>
      <c r="B1799" t="s">
        <v>4687</v>
      </c>
      <c r="C1799" t="s">
        <v>4687</v>
      </c>
      <c r="D1799" t="s">
        <v>623</v>
      </c>
      <c r="E1799" s="262" t="s">
        <v>2250</v>
      </c>
      <c r="F1799" t="s">
        <v>620</v>
      </c>
      <c r="G1799" s="89">
        <v>2019</v>
      </c>
      <c r="H1799" s="341" t="s">
        <v>733</v>
      </c>
      <c r="I1799" s="339" t="s">
        <v>2837</v>
      </c>
      <c r="J1799" s="125">
        <v>8</v>
      </c>
      <c r="K1799" s="264">
        <v>2022</v>
      </c>
      <c r="L1799" s="85">
        <v>5697.4</v>
      </c>
      <c r="M1799" s="85" t="s">
        <v>630</v>
      </c>
      <c r="N1799" s="128">
        <v>72273</v>
      </c>
      <c r="O1799" s="128">
        <f t="shared" si="82"/>
        <v>578184</v>
      </c>
      <c r="Q1799" t="s">
        <v>47</v>
      </c>
      <c r="R1799" s="220" t="s">
        <v>1888</v>
      </c>
      <c r="S1799" s="220" t="s">
        <v>1861</v>
      </c>
      <c r="T1799" t="s">
        <v>2447</v>
      </c>
      <c r="U1799" t="s">
        <v>1972</v>
      </c>
      <c r="V1799" t="s">
        <v>2832</v>
      </c>
    </row>
    <row r="1800" spans="1:22" ht="15.75" thickBot="1" x14ac:dyDescent="0.3">
      <c r="A1800" t="s">
        <v>4687</v>
      </c>
      <c r="B1800" t="s">
        <v>4687</v>
      </c>
      <c r="C1800" t="s">
        <v>4687</v>
      </c>
      <c r="D1800" t="s">
        <v>623</v>
      </c>
      <c r="E1800" s="262" t="s">
        <v>2250</v>
      </c>
      <c r="F1800" t="s">
        <v>620</v>
      </c>
      <c r="G1800" s="89">
        <v>2019</v>
      </c>
      <c r="H1800" s="341" t="s">
        <v>733</v>
      </c>
      <c r="I1800" s="339" t="s">
        <v>2837</v>
      </c>
      <c r="J1800" s="125">
        <v>8</v>
      </c>
      <c r="K1800" s="264">
        <v>2022</v>
      </c>
      <c r="L1800" s="85">
        <v>6694.61</v>
      </c>
      <c r="M1800" s="85" t="s">
        <v>630</v>
      </c>
      <c r="N1800" s="128">
        <v>88053</v>
      </c>
      <c r="O1800" s="128">
        <f t="shared" si="82"/>
        <v>704424</v>
      </c>
      <c r="Q1800" t="s">
        <v>47</v>
      </c>
      <c r="R1800" s="220" t="s">
        <v>1888</v>
      </c>
      <c r="S1800" s="220" t="s">
        <v>1861</v>
      </c>
      <c r="T1800" t="s">
        <v>2448</v>
      </c>
      <c r="U1800" t="s">
        <v>1972</v>
      </c>
      <c r="V1800" t="s">
        <v>2832</v>
      </c>
    </row>
    <row r="1801" spans="1:22" ht="15.75" thickBot="1" x14ac:dyDescent="0.3">
      <c r="A1801" t="s">
        <v>4687</v>
      </c>
      <c r="B1801" t="s">
        <v>4687</v>
      </c>
      <c r="C1801" t="s">
        <v>4687</v>
      </c>
      <c r="D1801" t="s">
        <v>623</v>
      </c>
      <c r="E1801" s="262" t="s">
        <v>2250</v>
      </c>
      <c r="F1801" t="s">
        <v>620</v>
      </c>
      <c r="G1801" s="89">
        <v>2019</v>
      </c>
      <c r="H1801" s="341" t="s">
        <v>733</v>
      </c>
      <c r="I1801" s="339" t="s">
        <v>2837</v>
      </c>
      <c r="J1801" s="125">
        <v>8</v>
      </c>
      <c r="K1801" s="264">
        <v>2022</v>
      </c>
      <c r="L1801" s="85">
        <v>7140.38</v>
      </c>
      <c r="M1801" s="85" t="s">
        <v>630</v>
      </c>
      <c r="N1801" s="128">
        <v>92512</v>
      </c>
      <c r="O1801" s="128">
        <f t="shared" si="82"/>
        <v>740096</v>
      </c>
      <c r="Q1801" t="s">
        <v>47</v>
      </c>
      <c r="R1801" s="220" t="s">
        <v>1888</v>
      </c>
      <c r="S1801" s="220" t="s">
        <v>1861</v>
      </c>
      <c r="T1801" t="s">
        <v>2449</v>
      </c>
      <c r="U1801" t="s">
        <v>1972</v>
      </c>
      <c r="V1801" t="s">
        <v>2832</v>
      </c>
    </row>
    <row r="1802" spans="1:22" ht="15.75" thickBot="1" x14ac:dyDescent="0.3">
      <c r="A1802" t="s">
        <v>4687</v>
      </c>
      <c r="B1802" t="s">
        <v>4687</v>
      </c>
      <c r="C1802" t="s">
        <v>4687</v>
      </c>
      <c r="D1802" t="s">
        <v>623</v>
      </c>
      <c r="E1802" s="262" t="s">
        <v>2250</v>
      </c>
      <c r="F1802" t="s">
        <v>620</v>
      </c>
      <c r="G1802" s="89">
        <v>2020</v>
      </c>
      <c r="H1802" s="341" t="s">
        <v>733</v>
      </c>
      <c r="I1802" s="339" t="s">
        <v>2837</v>
      </c>
      <c r="J1802" s="125">
        <v>8</v>
      </c>
      <c r="K1802" s="264">
        <v>2022</v>
      </c>
      <c r="L1802" s="85">
        <v>5885.39</v>
      </c>
      <c r="M1802" s="85" t="s">
        <v>630</v>
      </c>
      <c r="N1802" s="128">
        <v>68931</v>
      </c>
      <c r="O1802" s="128">
        <f t="shared" si="82"/>
        <v>551448</v>
      </c>
      <c r="Q1802" t="s">
        <v>47</v>
      </c>
      <c r="R1802" s="220" t="s">
        <v>1888</v>
      </c>
      <c r="S1802" s="220" t="s">
        <v>1861</v>
      </c>
      <c r="T1802" t="s">
        <v>2450</v>
      </c>
      <c r="U1802" t="s">
        <v>1972</v>
      </c>
      <c r="V1802" t="s">
        <v>2832</v>
      </c>
    </row>
    <row r="1803" spans="1:22" ht="15.75" thickBot="1" x14ac:dyDescent="0.3">
      <c r="A1803" t="s">
        <v>4687</v>
      </c>
      <c r="B1803" t="s">
        <v>4687</v>
      </c>
      <c r="C1803" t="s">
        <v>4687</v>
      </c>
      <c r="D1803" t="s">
        <v>623</v>
      </c>
      <c r="E1803" s="262" t="s">
        <v>2250</v>
      </c>
      <c r="F1803" t="s">
        <v>620</v>
      </c>
      <c r="G1803" s="89">
        <v>2022</v>
      </c>
      <c r="H1803" s="341" t="s">
        <v>733</v>
      </c>
      <c r="I1803" s="339" t="s">
        <v>2837</v>
      </c>
      <c r="J1803" s="125">
        <v>8</v>
      </c>
      <c r="K1803" s="264">
        <v>2022</v>
      </c>
      <c r="L1803" s="85">
        <v>3277.5</v>
      </c>
      <c r="M1803" s="85" t="s">
        <v>630</v>
      </c>
      <c r="N1803" s="128">
        <v>39880</v>
      </c>
      <c r="O1803" s="128">
        <f t="shared" si="82"/>
        <v>319040</v>
      </c>
      <c r="Q1803" t="s">
        <v>47</v>
      </c>
      <c r="R1803" s="220" t="s">
        <v>1888</v>
      </c>
      <c r="S1803" s="220" t="s">
        <v>1861</v>
      </c>
      <c r="T1803" t="s">
        <v>2451</v>
      </c>
      <c r="U1803" t="s">
        <v>1972</v>
      </c>
      <c r="V1803" t="s">
        <v>2832</v>
      </c>
    </row>
    <row r="1804" spans="1:22" ht="15.75" thickBot="1" x14ac:dyDescent="0.3">
      <c r="A1804" t="s">
        <v>4687</v>
      </c>
      <c r="B1804" t="s">
        <v>4687</v>
      </c>
      <c r="C1804" t="s">
        <v>4687</v>
      </c>
      <c r="D1804" t="s">
        <v>623</v>
      </c>
      <c r="E1804" s="262" t="s">
        <v>2250</v>
      </c>
      <c r="F1804" t="s">
        <v>620</v>
      </c>
      <c r="G1804" s="89">
        <v>2022</v>
      </c>
      <c r="H1804" s="341" t="s">
        <v>733</v>
      </c>
      <c r="I1804" s="339" t="s">
        <v>2837</v>
      </c>
      <c r="J1804" s="125">
        <v>8</v>
      </c>
      <c r="K1804" s="264">
        <v>2022</v>
      </c>
      <c r="L1804" s="85">
        <v>3506.67</v>
      </c>
      <c r="M1804" s="85" t="s">
        <v>630</v>
      </c>
      <c r="N1804" s="128">
        <v>40342</v>
      </c>
      <c r="O1804" s="128">
        <f t="shared" si="82"/>
        <v>322736</v>
      </c>
      <c r="Q1804" t="s">
        <v>47</v>
      </c>
      <c r="R1804" s="220" t="s">
        <v>1888</v>
      </c>
      <c r="S1804" s="220" t="s">
        <v>1861</v>
      </c>
      <c r="T1804" t="s">
        <v>2452</v>
      </c>
      <c r="U1804" t="s">
        <v>1972</v>
      </c>
      <c r="V1804" t="s">
        <v>2832</v>
      </c>
    </row>
    <row r="1805" spans="1:22" ht="15.75" thickBot="1" x14ac:dyDescent="0.3">
      <c r="A1805" t="s">
        <v>4687</v>
      </c>
      <c r="B1805" t="s">
        <v>4687</v>
      </c>
      <c r="C1805" t="s">
        <v>4687</v>
      </c>
      <c r="D1805" t="s">
        <v>623</v>
      </c>
      <c r="E1805" s="262" t="s">
        <v>2250</v>
      </c>
      <c r="F1805" t="s">
        <v>620</v>
      </c>
      <c r="G1805" s="89">
        <v>2018</v>
      </c>
      <c r="H1805" s="341" t="s">
        <v>733</v>
      </c>
      <c r="I1805" s="339" t="s">
        <v>2837</v>
      </c>
      <c r="J1805" s="125">
        <v>8</v>
      </c>
      <c r="K1805" s="264">
        <v>2022</v>
      </c>
      <c r="L1805" s="85">
        <v>9229.7800000000007</v>
      </c>
      <c r="M1805" s="85" t="s">
        <v>630</v>
      </c>
      <c r="N1805" s="128">
        <v>104330</v>
      </c>
      <c r="O1805" s="128">
        <f t="shared" si="82"/>
        <v>834640</v>
      </c>
      <c r="Q1805" t="s">
        <v>47</v>
      </c>
      <c r="R1805" s="220" t="s">
        <v>1888</v>
      </c>
      <c r="S1805" s="220" t="s">
        <v>1861</v>
      </c>
      <c r="T1805" t="s">
        <v>2453</v>
      </c>
      <c r="U1805" t="s">
        <v>1972</v>
      </c>
      <c r="V1805" t="s">
        <v>2832</v>
      </c>
    </row>
    <row r="1806" spans="1:22" ht="15.75" thickBot="1" x14ac:dyDescent="0.3">
      <c r="A1806" t="s">
        <v>4687</v>
      </c>
      <c r="B1806" t="s">
        <v>4687</v>
      </c>
      <c r="C1806" t="s">
        <v>4687</v>
      </c>
      <c r="D1806" t="s">
        <v>623</v>
      </c>
      <c r="E1806" s="262" t="s">
        <v>2250</v>
      </c>
      <c r="F1806" t="s">
        <v>620</v>
      </c>
      <c r="G1806" s="89">
        <v>2018</v>
      </c>
      <c r="H1806" s="341" t="s">
        <v>733</v>
      </c>
      <c r="I1806" s="339" t="s">
        <v>2837</v>
      </c>
      <c r="J1806" s="125">
        <v>8</v>
      </c>
      <c r="K1806" s="264">
        <v>2022</v>
      </c>
      <c r="L1806" s="85">
        <v>10173.929999999998</v>
      </c>
      <c r="M1806" s="85" t="s">
        <v>630</v>
      </c>
      <c r="N1806" s="128">
        <v>112400</v>
      </c>
      <c r="O1806" s="128">
        <f t="shared" si="82"/>
        <v>899200</v>
      </c>
      <c r="Q1806" t="s">
        <v>47</v>
      </c>
      <c r="R1806" s="220" t="s">
        <v>1888</v>
      </c>
      <c r="S1806" s="220" t="s">
        <v>1861</v>
      </c>
      <c r="T1806" t="s">
        <v>2454</v>
      </c>
      <c r="U1806" t="s">
        <v>1972</v>
      </c>
      <c r="V1806" t="s">
        <v>2832</v>
      </c>
    </row>
    <row r="1807" spans="1:22" ht="15.75" thickBot="1" x14ac:dyDescent="0.3">
      <c r="A1807" t="s">
        <v>4687</v>
      </c>
      <c r="B1807" t="s">
        <v>4687</v>
      </c>
      <c r="C1807" t="s">
        <v>4687</v>
      </c>
      <c r="D1807" t="s">
        <v>623</v>
      </c>
      <c r="E1807" s="262" t="s">
        <v>2250</v>
      </c>
      <c r="F1807" t="s">
        <v>620</v>
      </c>
      <c r="G1807" s="89">
        <v>2018</v>
      </c>
      <c r="H1807" s="341" t="s">
        <v>733</v>
      </c>
      <c r="I1807" s="339" t="s">
        <v>2837</v>
      </c>
      <c r="J1807" s="125">
        <v>8</v>
      </c>
      <c r="K1807" s="264">
        <v>2022</v>
      </c>
      <c r="L1807" s="85">
        <v>7793.6600000000008</v>
      </c>
      <c r="M1807" s="85" t="s">
        <v>630</v>
      </c>
      <c r="N1807" s="128">
        <v>94290</v>
      </c>
      <c r="O1807" s="128">
        <f t="shared" si="82"/>
        <v>754320</v>
      </c>
      <c r="Q1807" t="s">
        <v>47</v>
      </c>
      <c r="R1807" s="220" t="s">
        <v>1888</v>
      </c>
      <c r="S1807" s="220" t="s">
        <v>1861</v>
      </c>
      <c r="T1807" t="s">
        <v>2455</v>
      </c>
      <c r="U1807" t="s">
        <v>1972</v>
      </c>
      <c r="V1807" t="s">
        <v>2832</v>
      </c>
    </row>
    <row r="1808" spans="1:22" ht="15.75" thickBot="1" x14ac:dyDescent="0.3">
      <c r="A1808" t="s">
        <v>4687</v>
      </c>
      <c r="B1808" t="s">
        <v>4687</v>
      </c>
      <c r="C1808" t="s">
        <v>4687</v>
      </c>
      <c r="D1808" t="s">
        <v>623</v>
      </c>
      <c r="E1808" s="262" t="s">
        <v>2250</v>
      </c>
      <c r="F1808" t="s">
        <v>620</v>
      </c>
      <c r="G1808" s="89">
        <v>2018</v>
      </c>
      <c r="H1808" s="341" t="s">
        <v>733</v>
      </c>
      <c r="I1808" s="339" t="s">
        <v>2837</v>
      </c>
      <c r="J1808" s="125">
        <v>8</v>
      </c>
      <c r="K1808" s="264">
        <v>2022</v>
      </c>
      <c r="L1808" s="85">
        <v>5205.58</v>
      </c>
      <c r="M1808" s="85" t="s">
        <v>630</v>
      </c>
      <c r="N1808" s="128">
        <v>65394</v>
      </c>
      <c r="O1808" s="128">
        <f t="shared" si="82"/>
        <v>523152</v>
      </c>
      <c r="Q1808" t="s">
        <v>47</v>
      </c>
      <c r="R1808" s="220" t="s">
        <v>1888</v>
      </c>
      <c r="S1808" s="220" t="s">
        <v>1861</v>
      </c>
      <c r="T1808" t="s">
        <v>2456</v>
      </c>
      <c r="U1808" t="s">
        <v>1972</v>
      </c>
      <c r="V1808" t="s">
        <v>2832</v>
      </c>
    </row>
    <row r="1809" spans="1:22" ht="15.75" thickBot="1" x14ac:dyDescent="0.3">
      <c r="A1809" t="s">
        <v>4687</v>
      </c>
      <c r="B1809" t="s">
        <v>4687</v>
      </c>
      <c r="C1809" t="s">
        <v>4687</v>
      </c>
      <c r="D1809" t="s">
        <v>623</v>
      </c>
      <c r="E1809" s="262" t="s">
        <v>2250</v>
      </c>
      <c r="F1809" t="s">
        <v>620</v>
      </c>
      <c r="G1809" s="89">
        <v>2018</v>
      </c>
      <c r="H1809" s="341" t="s">
        <v>733</v>
      </c>
      <c r="I1809" s="339" t="s">
        <v>2837</v>
      </c>
      <c r="J1809" s="125">
        <v>8</v>
      </c>
      <c r="K1809" s="264">
        <v>2022</v>
      </c>
      <c r="L1809" s="85">
        <v>10024.490000000002</v>
      </c>
      <c r="M1809" s="85" t="s">
        <v>630</v>
      </c>
      <c r="N1809" s="128">
        <v>115196</v>
      </c>
      <c r="O1809" s="128">
        <f t="shared" si="82"/>
        <v>921568</v>
      </c>
      <c r="Q1809" t="s">
        <v>47</v>
      </c>
      <c r="R1809" s="220" t="s">
        <v>1888</v>
      </c>
      <c r="S1809" s="220" t="s">
        <v>1861</v>
      </c>
      <c r="T1809" t="s">
        <v>2457</v>
      </c>
      <c r="U1809" t="s">
        <v>1972</v>
      </c>
      <c r="V1809" t="s">
        <v>2832</v>
      </c>
    </row>
    <row r="1810" spans="1:22" ht="15.75" thickBot="1" x14ac:dyDescent="0.3">
      <c r="A1810" t="s">
        <v>4687</v>
      </c>
      <c r="B1810" t="s">
        <v>4687</v>
      </c>
      <c r="C1810" t="s">
        <v>4687</v>
      </c>
      <c r="D1810" t="s">
        <v>623</v>
      </c>
      <c r="E1810" s="262" t="s">
        <v>2250</v>
      </c>
      <c r="F1810" t="s">
        <v>620</v>
      </c>
      <c r="G1810" s="89">
        <v>2018</v>
      </c>
      <c r="H1810" s="341" t="s">
        <v>733</v>
      </c>
      <c r="I1810" s="339" t="s">
        <v>2837</v>
      </c>
      <c r="J1810" s="125">
        <v>8</v>
      </c>
      <c r="K1810" s="264">
        <v>2022</v>
      </c>
      <c r="L1810" s="85">
        <v>6203.82</v>
      </c>
      <c r="M1810" s="85" t="s">
        <v>630</v>
      </c>
      <c r="N1810" s="128">
        <v>74140</v>
      </c>
      <c r="O1810" s="128">
        <f t="shared" si="82"/>
        <v>593120</v>
      </c>
      <c r="Q1810" t="s">
        <v>47</v>
      </c>
      <c r="R1810" s="220" t="s">
        <v>1888</v>
      </c>
      <c r="S1810" s="220" t="s">
        <v>1861</v>
      </c>
      <c r="T1810" t="s">
        <v>2458</v>
      </c>
      <c r="U1810" t="s">
        <v>1972</v>
      </c>
      <c r="V1810" t="s">
        <v>2832</v>
      </c>
    </row>
    <row r="1811" spans="1:22" ht="15.75" thickBot="1" x14ac:dyDescent="0.3">
      <c r="A1811" t="s">
        <v>4687</v>
      </c>
      <c r="B1811" t="s">
        <v>4687</v>
      </c>
      <c r="C1811" t="s">
        <v>4687</v>
      </c>
      <c r="D1811" t="s">
        <v>623</v>
      </c>
      <c r="E1811" s="262" t="s">
        <v>2250</v>
      </c>
      <c r="F1811" t="s">
        <v>620</v>
      </c>
      <c r="G1811" s="89">
        <v>2018</v>
      </c>
      <c r="H1811" s="341" t="s">
        <v>733</v>
      </c>
      <c r="I1811" s="339" t="s">
        <v>2837</v>
      </c>
      <c r="J1811" s="125">
        <v>8</v>
      </c>
      <c r="K1811" s="264">
        <v>2022</v>
      </c>
      <c r="L1811" s="85">
        <v>6143.9</v>
      </c>
      <c r="M1811" s="85" t="s">
        <v>630</v>
      </c>
      <c r="N1811" s="128">
        <v>76792</v>
      </c>
      <c r="O1811" s="128">
        <f t="shared" si="82"/>
        <v>614336</v>
      </c>
      <c r="Q1811" t="s">
        <v>47</v>
      </c>
      <c r="R1811" s="220" t="s">
        <v>1888</v>
      </c>
      <c r="S1811" s="220" t="s">
        <v>1861</v>
      </c>
      <c r="T1811" t="s">
        <v>2459</v>
      </c>
      <c r="U1811" t="s">
        <v>1972</v>
      </c>
      <c r="V1811" t="s">
        <v>2832</v>
      </c>
    </row>
    <row r="1812" spans="1:22" ht="15.75" thickBot="1" x14ac:dyDescent="0.3">
      <c r="A1812" t="s">
        <v>4687</v>
      </c>
      <c r="B1812" t="s">
        <v>4687</v>
      </c>
      <c r="C1812" t="s">
        <v>4687</v>
      </c>
      <c r="D1812" t="s">
        <v>623</v>
      </c>
      <c r="E1812" s="262" t="s">
        <v>2250</v>
      </c>
      <c r="F1812" t="s">
        <v>620</v>
      </c>
      <c r="G1812" s="89">
        <v>2016</v>
      </c>
      <c r="H1812" s="341" t="s">
        <v>733</v>
      </c>
      <c r="I1812" s="339" t="s">
        <v>2837</v>
      </c>
      <c r="J1812" s="125">
        <v>8</v>
      </c>
      <c r="K1812" s="264">
        <v>2022</v>
      </c>
      <c r="L1812" s="85">
        <v>5452.1</v>
      </c>
      <c r="M1812" s="85" t="s">
        <v>630</v>
      </c>
      <c r="N1812" s="128">
        <v>62461</v>
      </c>
      <c r="O1812" s="128">
        <f t="shared" si="82"/>
        <v>499688</v>
      </c>
      <c r="Q1812" t="s">
        <v>47</v>
      </c>
      <c r="R1812" s="220" t="s">
        <v>1888</v>
      </c>
      <c r="S1812" s="220" t="s">
        <v>1861</v>
      </c>
      <c r="T1812" t="s">
        <v>2460</v>
      </c>
      <c r="U1812" t="s">
        <v>1972</v>
      </c>
      <c r="V1812" t="s">
        <v>2832</v>
      </c>
    </row>
    <row r="1813" spans="1:22" ht="15.75" thickBot="1" x14ac:dyDescent="0.3">
      <c r="A1813" t="s">
        <v>4687</v>
      </c>
      <c r="B1813" t="s">
        <v>4687</v>
      </c>
      <c r="C1813" t="s">
        <v>4687</v>
      </c>
      <c r="D1813" t="s">
        <v>623</v>
      </c>
      <c r="E1813" s="262" t="s">
        <v>2250</v>
      </c>
      <c r="F1813" t="s">
        <v>620</v>
      </c>
      <c r="G1813" s="89">
        <v>2016</v>
      </c>
      <c r="H1813" s="341" t="s">
        <v>733</v>
      </c>
      <c r="I1813" s="339" t="s">
        <v>2837</v>
      </c>
      <c r="J1813" s="125">
        <v>8</v>
      </c>
      <c r="K1813" s="264">
        <v>2022</v>
      </c>
      <c r="L1813" s="85">
        <v>6186.0499999999993</v>
      </c>
      <c r="M1813" s="85" t="s">
        <v>630</v>
      </c>
      <c r="N1813" s="128">
        <v>60426</v>
      </c>
      <c r="O1813" s="128">
        <f t="shared" si="82"/>
        <v>483408</v>
      </c>
      <c r="Q1813" t="s">
        <v>47</v>
      </c>
      <c r="R1813" s="220" t="s">
        <v>1888</v>
      </c>
      <c r="S1813" s="220" t="s">
        <v>1861</v>
      </c>
      <c r="T1813" t="s">
        <v>2461</v>
      </c>
      <c r="U1813" t="s">
        <v>1972</v>
      </c>
      <c r="V1813" t="s">
        <v>2832</v>
      </c>
    </row>
    <row r="1814" spans="1:22" ht="15.75" thickBot="1" x14ac:dyDescent="0.3">
      <c r="A1814" t="s">
        <v>4687</v>
      </c>
      <c r="B1814" t="s">
        <v>4687</v>
      </c>
      <c r="C1814" t="s">
        <v>4687</v>
      </c>
      <c r="D1814" t="s">
        <v>623</v>
      </c>
      <c r="E1814" s="262" t="s">
        <v>2250</v>
      </c>
      <c r="F1814" t="s">
        <v>620</v>
      </c>
      <c r="G1814" s="89">
        <v>2017</v>
      </c>
      <c r="H1814" s="341" t="s">
        <v>733</v>
      </c>
      <c r="I1814" s="339" t="s">
        <v>2837</v>
      </c>
      <c r="J1814" s="125">
        <v>8</v>
      </c>
      <c r="K1814" s="264">
        <v>2022</v>
      </c>
      <c r="L1814" s="85">
        <v>7013.3099999999995</v>
      </c>
      <c r="M1814" s="85" t="s">
        <v>630</v>
      </c>
      <c r="N1814" s="128">
        <v>78589</v>
      </c>
      <c r="O1814" s="128">
        <f t="shared" si="82"/>
        <v>628712</v>
      </c>
      <c r="Q1814" t="s">
        <v>47</v>
      </c>
      <c r="R1814" s="220" t="s">
        <v>1888</v>
      </c>
      <c r="S1814" s="220" t="s">
        <v>1861</v>
      </c>
      <c r="T1814" t="s">
        <v>2462</v>
      </c>
      <c r="U1814" t="s">
        <v>1972</v>
      </c>
      <c r="V1814" t="s">
        <v>2832</v>
      </c>
    </row>
    <row r="1815" spans="1:22" ht="15.75" thickBot="1" x14ac:dyDescent="0.3">
      <c r="A1815" t="s">
        <v>4687</v>
      </c>
      <c r="B1815" t="s">
        <v>4687</v>
      </c>
      <c r="C1815" t="s">
        <v>4687</v>
      </c>
      <c r="D1815" t="s">
        <v>623</v>
      </c>
      <c r="E1815" s="262" t="s">
        <v>2250</v>
      </c>
      <c r="F1815" t="s">
        <v>620</v>
      </c>
      <c r="G1815" s="89">
        <v>2017</v>
      </c>
      <c r="H1815" s="341" t="s">
        <v>733</v>
      </c>
      <c r="I1815" s="339" t="s">
        <v>2837</v>
      </c>
      <c r="J1815" s="125">
        <v>8</v>
      </c>
      <c r="K1815" s="264">
        <v>2022</v>
      </c>
      <c r="L1815" s="85">
        <v>5346.5300000000007</v>
      </c>
      <c r="M1815" s="85" t="s">
        <v>630</v>
      </c>
      <c r="N1815" s="128">
        <v>60457</v>
      </c>
      <c r="O1815" s="128">
        <f t="shared" si="82"/>
        <v>483656</v>
      </c>
      <c r="Q1815" t="s">
        <v>47</v>
      </c>
      <c r="R1815" s="220" t="s">
        <v>1888</v>
      </c>
      <c r="S1815" s="220" t="s">
        <v>1861</v>
      </c>
      <c r="T1815" t="s">
        <v>2463</v>
      </c>
      <c r="U1815" t="s">
        <v>1972</v>
      </c>
      <c r="V1815" t="s">
        <v>2832</v>
      </c>
    </row>
    <row r="1816" spans="1:22" ht="15.75" thickBot="1" x14ac:dyDescent="0.3">
      <c r="A1816" t="s">
        <v>3511</v>
      </c>
      <c r="B1816" t="s">
        <v>3511</v>
      </c>
      <c r="C1816" t="s">
        <v>3511</v>
      </c>
      <c r="D1816" t="s">
        <v>629</v>
      </c>
      <c r="E1816" s="259" t="s">
        <v>1970</v>
      </c>
      <c r="F1816" t="s">
        <v>620</v>
      </c>
      <c r="G1816" s="89">
        <v>2013</v>
      </c>
      <c r="H1816" s="341" t="s">
        <v>734</v>
      </c>
      <c r="I1816" s="337" t="str">
        <f t="shared" ref="I1816:I1859" si="83">D1816&amp;": "&amp;E1816&amp;" : "&amp;F1816&amp;" : "&amp;H1816</f>
        <v>Pesado de Passageiros M3: I : Gasóleo : E5</v>
      </c>
      <c r="J1816" s="125">
        <v>24</v>
      </c>
      <c r="K1816" s="264">
        <v>2022</v>
      </c>
      <c r="L1816" s="85">
        <v>8326.35</v>
      </c>
      <c r="M1816" s="85" t="s">
        <v>630</v>
      </c>
      <c r="N1816" s="128">
        <v>37798</v>
      </c>
      <c r="O1816" s="128">
        <f t="shared" si="82"/>
        <v>907152</v>
      </c>
      <c r="Q1816" t="s">
        <v>47</v>
      </c>
      <c r="R1816" s="220" t="s">
        <v>1888</v>
      </c>
      <c r="S1816" s="220" t="s">
        <v>1861</v>
      </c>
      <c r="T1816" t="s">
        <v>2464</v>
      </c>
      <c r="U1816" t="s">
        <v>1972</v>
      </c>
      <c r="V1816" t="s">
        <v>2832</v>
      </c>
    </row>
    <row r="1817" spans="1:22" ht="15.75" thickBot="1" x14ac:dyDescent="0.3">
      <c r="A1817" t="s">
        <v>3511</v>
      </c>
      <c r="B1817" t="s">
        <v>3511</v>
      </c>
      <c r="C1817" t="s">
        <v>3511</v>
      </c>
      <c r="D1817" t="s">
        <v>629</v>
      </c>
      <c r="E1817" s="259" t="s">
        <v>1970</v>
      </c>
      <c r="F1817" t="s">
        <v>620</v>
      </c>
      <c r="G1817" s="89">
        <v>2013</v>
      </c>
      <c r="H1817" s="341" t="s">
        <v>734</v>
      </c>
      <c r="I1817" s="337" t="str">
        <f t="shared" si="83"/>
        <v>Pesado de Passageiros M3: I : Gasóleo : E5</v>
      </c>
      <c r="J1817" s="125">
        <v>24</v>
      </c>
      <c r="K1817" s="264">
        <v>2022</v>
      </c>
      <c r="L1817" s="85">
        <v>8393.1200000000008</v>
      </c>
      <c r="M1817" s="85" t="s">
        <v>630</v>
      </c>
      <c r="N1817" s="128">
        <v>36461</v>
      </c>
      <c r="O1817" s="128">
        <f t="shared" si="82"/>
        <v>875064</v>
      </c>
      <c r="Q1817" t="s">
        <v>47</v>
      </c>
      <c r="R1817" s="220" t="s">
        <v>1888</v>
      </c>
      <c r="S1817" s="220" t="s">
        <v>1861</v>
      </c>
      <c r="T1817" t="s">
        <v>2465</v>
      </c>
      <c r="U1817" t="s">
        <v>1972</v>
      </c>
      <c r="V1817" t="s">
        <v>2832</v>
      </c>
    </row>
    <row r="1818" spans="1:22" ht="15.75" thickBot="1" x14ac:dyDescent="0.3">
      <c r="A1818" t="s">
        <v>3511</v>
      </c>
      <c r="B1818" t="s">
        <v>3511</v>
      </c>
      <c r="C1818" t="s">
        <v>3511</v>
      </c>
      <c r="D1818" t="s">
        <v>629</v>
      </c>
      <c r="E1818" s="259" t="s">
        <v>1970</v>
      </c>
      <c r="F1818" t="s">
        <v>620</v>
      </c>
      <c r="G1818" s="89">
        <v>2013</v>
      </c>
      <c r="H1818" s="341" t="s">
        <v>734</v>
      </c>
      <c r="I1818" s="337" t="str">
        <f t="shared" si="83"/>
        <v>Pesado de Passageiros M3: I : Gasóleo : E5</v>
      </c>
      <c r="J1818" s="125">
        <v>24</v>
      </c>
      <c r="K1818" s="264">
        <v>2022</v>
      </c>
      <c r="L1818" s="85">
        <v>6881.59</v>
      </c>
      <c r="M1818" s="85" t="s">
        <v>630</v>
      </c>
      <c r="N1818" s="128">
        <v>31319</v>
      </c>
      <c r="O1818" s="128">
        <f t="shared" si="82"/>
        <v>751656</v>
      </c>
      <c r="Q1818" t="s">
        <v>47</v>
      </c>
      <c r="R1818" s="220" t="s">
        <v>1888</v>
      </c>
      <c r="S1818" s="220" t="s">
        <v>1861</v>
      </c>
      <c r="T1818" t="s">
        <v>2466</v>
      </c>
      <c r="U1818" t="s">
        <v>1972</v>
      </c>
      <c r="V1818" t="s">
        <v>2832</v>
      </c>
    </row>
    <row r="1819" spans="1:22" ht="15.75" thickBot="1" x14ac:dyDescent="0.3">
      <c r="A1819" t="s">
        <v>3511</v>
      </c>
      <c r="B1819" t="s">
        <v>3511</v>
      </c>
      <c r="C1819" t="s">
        <v>3511</v>
      </c>
      <c r="D1819" t="s">
        <v>629</v>
      </c>
      <c r="E1819" s="259" t="s">
        <v>1970</v>
      </c>
      <c r="F1819" t="s">
        <v>620</v>
      </c>
      <c r="G1819" s="89">
        <v>2013</v>
      </c>
      <c r="H1819" s="341" t="s">
        <v>734</v>
      </c>
      <c r="I1819" s="337" t="str">
        <f t="shared" si="83"/>
        <v>Pesado de Passageiros M3: I : Gasóleo : E5</v>
      </c>
      <c r="J1819" s="125">
        <v>24</v>
      </c>
      <c r="K1819" s="264">
        <v>2022</v>
      </c>
      <c r="L1819" s="85">
        <v>6848.8799999999992</v>
      </c>
      <c r="M1819" s="85" t="s">
        <v>630</v>
      </c>
      <c r="N1819" s="128">
        <v>28723</v>
      </c>
      <c r="O1819" s="128">
        <f t="shared" si="82"/>
        <v>689352</v>
      </c>
      <c r="Q1819" t="s">
        <v>47</v>
      </c>
      <c r="R1819" s="220" t="s">
        <v>1888</v>
      </c>
      <c r="S1819" s="220" t="s">
        <v>1861</v>
      </c>
      <c r="T1819" t="s">
        <v>2467</v>
      </c>
      <c r="U1819" t="s">
        <v>1972</v>
      </c>
      <c r="V1819" t="s">
        <v>2832</v>
      </c>
    </row>
    <row r="1820" spans="1:22" ht="15.75" thickBot="1" x14ac:dyDescent="0.3">
      <c r="A1820" t="s">
        <v>3511</v>
      </c>
      <c r="B1820" t="s">
        <v>3511</v>
      </c>
      <c r="C1820" t="s">
        <v>3511</v>
      </c>
      <c r="D1820" t="s">
        <v>629</v>
      </c>
      <c r="E1820" s="259" t="s">
        <v>1970</v>
      </c>
      <c r="F1820" t="s">
        <v>620</v>
      </c>
      <c r="G1820" s="89">
        <v>2018</v>
      </c>
      <c r="H1820" s="341" t="s">
        <v>733</v>
      </c>
      <c r="I1820" s="337" t="str">
        <f t="shared" si="83"/>
        <v>Pesado de Passageiros M3: I : Gasóleo : E6</v>
      </c>
      <c r="J1820" s="125">
        <v>26</v>
      </c>
      <c r="K1820" s="264">
        <v>2022</v>
      </c>
      <c r="L1820" s="85">
        <v>10156.42</v>
      </c>
      <c r="M1820" s="85" t="s">
        <v>630</v>
      </c>
      <c r="N1820" s="128">
        <v>49422</v>
      </c>
      <c r="O1820" s="128">
        <f t="shared" si="82"/>
        <v>1284972</v>
      </c>
      <c r="Q1820" t="s">
        <v>47</v>
      </c>
      <c r="R1820" s="220" t="s">
        <v>1888</v>
      </c>
      <c r="S1820" s="220" t="s">
        <v>1861</v>
      </c>
      <c r="T1820" t="s">
        <v>2468</v>
      </c>
      <c r="U1820" t="s">
        <v>1972</v>
      </c>
      <c r="V1820" t="s">
        <v>2832</v>
      </c>
    </row>
    <row r="1821" spans="1:22" ht="15.75" thickBot="1" x14ac:dyDescent="0.3">
      <c r="A1821" t="s">
        <v>3511</v>
      </c>
      <c r="B1821" t="s">
        <v>3511</v>
      </c>
      <c r="C1821" t="s">
        <v>3511</v>
      </c>
      <c r="D1821" t="s">
        <v>629</v>
      </c>
      <c r="E1821" s="259" t="s">
        <v>1970</v>
      </c>
      <c r="F1821" t="s">
        <v>620</v>
      </c>
      <c r="G1821" s="89">
        <v>2018</v>
      </c>
      <c r="H1821" s="341" t="s">
        <v>733</v>
      </c>
      <c r="I1821" s="337" t="str">
        <f t="shared" si="83"/>
        <v>Pesado de Passageiros M3: I : Gasóleo : E6</v>
      </c>
      <c r="J1821" s="125">
        <v>26</v>
      </c>
      <c r="K1821" s="264">
        <v>2022</v>
      </c>
      <c r="L1821" s="85">
        <v>9669.9699999999993</v>
      </c>
      <c r="M1821" s="85" t="s">
        <v>630</v>
      </c>
      <c r="N1821" s="128">
        <v>46294</v>
      </c>
      <c r="O1821" s="128">
        <f t="shared" si="82"/>
        <v>1203644</v>
      </c>
      <c r="Q1821" t="s">
        <v>47</v>
      </c>
      <c r="R1821" s="220" t="s">
        <v>1888</v>
      </c>
      <c r="S1821" s="220" t="s">
        <v>1861</v>
      </c>
      <c r="T1821" t="s">
        <v>2469</v>
      </c>
      <c r="U1821" t="s">
        <v>1972</v>
      </c>
      <c r="V1821" t="s">
        <v>2832</v>
      </c>
    </row>
    <row r="1822" spans="1:22" ht="15.75" thickBot="1" x14ac:dyDescent="0.3">
      <c r="A1822" t="s">
        <v>3511</v>
      </c>
      <c r="B1822" t="s">
        <v>3511</v>
      </c>
      <c r="C1822" t="s">
        <v>3511</v>
      </c>
      <c r="D1822" t="s">
        <v>629</v>
      </c>
      <c r="E1822" s="259" t="s">
        <v>1970</v>
      </c>
      <c r="F1822" t="s">
        <v>620</v>
      </c>
      <c r="G1822" s="89">
        <v>2019</v>
      </c>
      <c r="H1822" s="341" t="s">
        <v>733</v>
      </c>
      <c r="I1822" s="337" t="str">
        <f t="shared" si="83"/>
        <v>Pesado de Passageiros M3: I : Gasóleo : E6</v>
      </c>
      <c r="J1822" s="125">
        <v>26</v>
      </c>
      <c r="K1822" s="264">
        <v>2022</v>
      </c>
      <c r="L1822" s="85">
        <v>9065.8799999999992</v>
      </c>
      <c r="M1822" s="85" t="s">
        <v>630</v>
      </c>
      <c r="N1822" s="128">
        <v>43176</v>
      </c>
      <c r="O1822" s="128">
        <f t="shared" si="82"/>
        <v>1122576</v>
      </c>
      <c r="Q1822" t="s">
        <v>47</v>
      </c>
      <c r="R1822" s="220" t="s">
        <v>1888</v>
      </c>
      <c r="S1822" s="220" t="s">
        <v>1861</v>
      </c>
      <c r="T1822" t="s">
        <v>2470</v>
      </c>
      <c r="U1822" t="s">
        <v>1972</v>
      </c>
      <c r="V1822" t="s">
        <v>2832</v>
      </c>
    </row>
    <row r="1823" spans="1:22" ht="15.75" thickBot="1" x14ac:dyDescent="0.3">
      <c r="A1823" t="s">
        <v>3511</v>
      </c>
      <c r="B1823" t="s">
        <v>3511</v>
      </c>
      <c r="C1823" t="s">
        <v>3511</v>
      </c>
      <c r="D1823" t="s">
        <v>629</v>
      </c>
      <c r="E1823" s="259" t="s">
        <v>1970</v>
      </c>
      <c r="F1823" t="s">
        <v>620</v>
      </c>
      <c r="G1823" s="89">
        <v>2019</v>
      </c>
      <c r="H1823" s="341" t="s">
        <v>733</v>
      </c>
      <c r="I1823" s="337" t="str">
        <f t="shared" si="83"/>
        <v>Pesado de Passageiros M3: I : Gasóleo : E6</v>
      </c>
      <c r="J1823" s="125">
        <v>26</v>
      </c>
      <c r="K1823" s="264">
        <v>2022</v>
      </c>
      <c r="L1823" s="85">
        <v>9011.2799999999988</v>
      </c>
      <c r="M1823" s="85" t="s">
        <v>630</v>
      </c>
      <c r="N1823" s="128">
        <v>46309</v>
      </c>
      <c r="O1823" s="128">
        <f t="shared" si="82"/>
        <v>1204034</v>
      </c>
      <c r="Q1823" t="s">
        <v>47</v>
      </c>
      <c r="R1823" s="220" t="s">
        <v>1888</v>
      </c>
      <c r="S1823" s="220" t="s">
        <v>1861</v>
      </c>
      <c r="T1823" t="s">
        <v>2471</v>
      </c>
      <c r="U1823" t="s">
        <v>1972</v>
      </c>
      <c r="V1823" t="s">
        <v>2832</v>
      </c>
    </row>
    <row r="1824" spans="1:22" ht="15.75" thickBot="1" x14ac:dyDescent="0.3">
      <c r="A1824" t="s">
        <v>3511</v>
      </c>
      <c r="B1824" t="s">
        <v>3511</v>
      </c>
      <c r="C1824" t="s">
        <v>3511</v>
      </c>
      <c r="D1824" t="s">
        <v>629</v>
      </c>
      <c r="E1824" s="259" t="s">
        <v>1970</v>
      </c>
      <c r="F1824" t="s">
        <v>620</v>
      </c>
      <c r="G1824" s="89">
        <v>2019</v>
      </c>
      <c r="H1824" s="341" t="s">
        <v>733</v>
      </c>
      <c r="I1824" s="337" t="str">
        <f t="shared" si="83"/>
        <v>Pesado de Passageiros M3: I : Gasóleo : E6</v>
      </c>
      <c r="J1824" s="125">
        <v>26</v>
      </c>
      <c r="K1824" s="264">
        <v>2022</v>
      </c>
      <c r="L1824" s="85">
        <v>10315.519999999999</v>
      </c>
      <c r="M1824" s="85" t="s">
        <v>630</v>
      </c>
      <c r="N1824" s="128">
        <v>49899</v>
      </c>
      <c r="O1824" s="128">
        <f t="shared" si="82"/>
        <v>1297374</v>
      </c>
      <c r="Q1824" t="s">
        <v>47</v>
      </c>
      <c r="R1824" s="220" t="s">
        <v>1888</v>
      </c>
      <c r="S1824" s="220" t="s">
        <v>1861</v>
      </c>
      <c r="T1824" t="s">
        <v>2472</v>
      </c>
      <c r="U1824" t="s">
        <v>1972</v>
      </c>
      <c r="V1824" t="s">
        <v>2832</v>
      </c>
    </row>
    <row r="1825" spans="1:22" ht="15.75" thickBot="1" x14ac:dyDescent="0.3">
      <c r="A1825" t="s">
        <v>3511</v>
      </c>
      <c r="B1825" t="s">
        <v>3511</v>
      </c>
      <c r="C1825" t="s">
        <v>3511</v>
      </c>
      <c r="D1825" t="s">
        <v>629</v>
      </c>
      <c r="E1825" s="259" t="s">
        <v>1970</v>
      </c>
      <c r="F1825" t="s">
        <v>620</v>
      </c>
      <c r="G1825" s="89">
        <v>2019</v>
      </c>
      <c r="H1825" s="341" t="s">
        <v>733</v>
      </c>
      <c r="I1825" s="337" t="str">
        <f t="shared" si="83"/>
        <v>Pesado de Passageiros M3: I : Gasóleo : E6</v>
      </c>
      <c r="J1825" s="125">
        <v>26</v>
      </c>
      <c r="K1825" s="264">
        <v>2022</v>
      </c>
      <c r="L1825" s="85">
        <v>8761.5399999999991</v>
      </c>
      <c r="M1825" s="85" t="s">
        <v>630</v>
      </c>
      <c r="N1825" s="128">
        <v>38942</v>
      </c>
      <c r="O1825" s="128">
        <f t="shared" si="82"/>
        <v>1012492</v>
      </c>
      <c r="Q1825" t="s">
        <v>47</v>
      </c>
      <c r="R1825" s="220" t="s">
        <v>1888</v>
      </c>
      <c r="S1825" s="220" t="s">
        <v>1861</v>
      </c>
      <c r="T1825" t="s">
        <v>2473</v>
      </c>
      <c r="U1825" t="s">
        <v>1972</v>
      </c>
      <c r="V1825" t="s">
        <v>2832</v>
      </c>
    </row>
    <row r="1826" spans="1:22" ht="15.75" thickBot="1" x14ac:dyDescent="0.3">
      <c r="A1826" t="s">
        <v>3511</v>
      </c>
      <c r="B1826" t="s">
        <v>3511</v>
      </c>
      <c r="C1826" t="s">
        <v>3511</v>
      </c>
      <c r="D1826" t="s">
        <v>629</v>
      </c>
      <c r="E1826" s="259" t="s">
        <v>1970</v>
      </c>
      <c r="F1826" t="s">
        <v>620</v>
      </c>
      <c r="G1826" s="89">
        <v>2020</v>
      </c>
      <c r="H1826" s="341" t="s">
        <v>733</v>
      </c>
      <c r="I1826" s="337" t="str">
        <f t="shared" si="83"/>
        <v>Pesado de Passageiros M3: I : Gasóleo : E6</v>
      </c>
      <c r="J1826" s="125">
        <v>26</v>
      </c>
      <c r="K1826" s="264">
        <v>2022</v>
      </c>
      <c r="L1826" s="85">
        <v>8820.08</v>
      </c>
      <c r="M1826" s="85" t="s">
        <v>630</v>
      </c>
      <c r="N1826" s="128">
        <v>40761</v>
      </c>
      <c r="O1826" s="128">
        <f t="shared" si="82"/>
        <v>1059786</v>
      </c>
      <c r="Q1826" t="s">
        <v>47</v>
      </c>
      <c r="R1826" s="220" t="s">
        <v>1888</v>
      </c>
      <c r="S1826" s="220" t="s">
        <v>1861</v>
      </c>
      <c r="T1826" t="s">
        <v>2474</v>
      </c>
      <c r="U1826" t="s">
        <v>1972</v>
      </c>
      <c r="V1826" t="s">
        <v>2832</v>
      </c>
    </row>
    <row r="1827" spans="1:22" ht="15.75" thickBot="1" x14ac:dyDescent="0.3">
      <c r="A1827" t="s">
        <v>3511</v>
      </c>
      <c r="B1827" t="s">
        <v>3511</v>
      </c>
      <c r="C1827" t="s">
        <v>3511</v>
      </c>
      <c r="D1827" t="s">
        <v>629</v>
      </c>
      <c r="E1827" s="259" t="s">
        <v>1970</v>
      </c>
      <c r="F1827" t="s">
        <v>620</v>
      </c>
      <c r="G1827" s="89">
        <v>2011</v>
      </c>
      <c r="H1827" s="341" t="s">
        <v>734</v>
      </c>
      <c r="I1827" s="337" t="str">
        <f t="shared" si="83"/>
        <v>Pesado de Passageiros M3: I : Gasóleo : E5</v>
      </c>
      <c r="J1827" s="125">
        <v>69</v>
      </c>
      <c r="K1827" s="264">
        <v>2022</v>
      </c>
      <c r="L1827" s="85">
        <v>4204.1099999999997</v>
      </c>
      <c r="M1827" s="85" t="s">
        <v>630</v>
      </c>
      <c r="N1827" s="128">
        <v>12103</v>
      </c>
      <c r="O1827" s="128">
        <f t="shared" si="82"/>
        <v>835107</v>
      </c>
      <c r="Q1827" t="s">
        <v>47</v>
      </c>
      <c r="R1827" s="220" t="s">
        <v>1888</v>
      </c>
      <c r="S1827" s="220" t="s">
        <v>1861</v>
      </c>
      <c r="T1827" t="s">
        <v>2475</v>
      </c>
      <c r="U1827" t="s">
        <v>1972</v>
      </c>
      <c r="V1827" t="s">
        <v>2832</v>
      </c>
    </row>
    <row r="1828" spans="1:22" ht="15.75" thickBot="1" x14ac:dyDescent="0.3">
      <c r="A1828" t="s">
        <v>3511</v>
      </c>
      <c r="B1828" t="s">
        <v>3511</v>
      </c>
      <c r="C1828" t="s">
        <v>3511</v>
      </c>
      <c r="D1828" t="s">
        <v>629</v>
      </c>
      <c r="E1828" s="259" t="s">
        <v>1970</v>
      </c>
      <c r="F1828" t="s">
        <v>620</v>
      </c>
      <c r="G1828" s="89">
        <v>2011</v>
      </c>
      <c r="H1828" s="341" t="s">
        <v>734</v>
      </c>
      <c r="I1828" s="337" t="str">
        <f t="shared" si="83"/>
        <v>Pesado de Passageiros M3: I : Gasóleo : E5</v>
      </c>
      <c r="J1828" s="125">
        <v>69</v>
      </c>
      <c r="K1828" s="264">
        <v>2022</v>
      </c>
      <c r="L1828" s="85">
        <v>8600.7999999999993</v>
      </c>
      <c r="M1828" s="85" t="s">
        <v>630</v>
      </c>
      <c r="N1828" s="128">
        <v>23278</v>
      </c>
      <c r="O1828" s="128">
        <f t="shared" si="82"/>
        <v>1606182</v>
      </c>
      <c r="Q1828" t="s">
        <v>47</v>
      </c>
      <c r="R1828" s="220" t="s">
        <v>1888</v>
      </c>
      <c r="S1828" s="220" t="s">
        <v>1861</v>
      </c>
      <c r="T1828" t="s">
        <v>2476</v>
      </c>
      <c r="U1828" t="s">
        <v>1972</v>
      </c>
      <c r="V1828" t="s">
        <v>2832</v>
      </c>
    </row>
    <row r="1829" spans="1:22" ht="15.75" thickBot="1" x14ac:dyDescent="0.3">
      <c r="A1829" t="s">
        <v>3511</v>
      </c>
      <c r="B1829" t="s">
        <v>3511</v>
      </c>
      <c r="C1829" t="s">
        <v>3511</v>
      </c>
      <c r="D1829" t="s">
        <v>629</v>
      </c>
      <c r="E1829" s="259" t="s">
        <v>1970</v>
      </c>
      <c r="F1829" t="s">
        <v>620</v>
      </c>
      <c r="G1829" s="89">
        <v>2019</v>
      </c>
      <c r="H1829" s="341" t="s">
        <v>733</v>
      </c>
      <c r="I1829" s="337" t="str">
        <f t="shared" si="83"/>
        <v>Pesado de Passageiros M3: I : Gasóleo : E6</v>
      </c>
      <c r="J1829" s="125">
        <v>70</v>
      </c>
      <c r="K1829" s="264">
        <v>2022</v>
      </c>
      <c r="L1829" s="85">
        <v>6538.97</v>
      </c>
      <c r="M1829" s="85" t="s">
        <v>630</v>
      </c>
      <c r="N1829" s="128">
        <v>19164</v>
      </c>
      <c r="O1829" s="128">
        <f t="shared" si="82"/>
        <v>1341480</v>
      </c>
      <c r="Q1829" t="s">
        <v>47</v>
      </c>
      <c r="R1829" s="220" t="s">
        <v>1888</v>
      </c>
      <c r="S1829" s="220" t="s">
        <v>1861</v>
      </c>
      <c r="T1829" t="s">
        <v>2477</v>
      </c>
      <c r="U1829" t="s">
        <v>1972</v>
      </c>
      <c r="V1829" t="s">
        <v>2832</v>
      </c>
    </row>
    <row r="1830" spans="1:22" ht="15.75" thickBot="1" x14ac:dyDescent="0.3">
      <c r="A1830" t="s">
        <v>3511</v>
      </c>
      <c r="B1830" t="s">
        <v>3511</v>
      </c>
      <c r="C1830" t="s">
        <v>3511</v>
      </c>
      <c r="D1830" t="s">
        <v>629</v>
      </c>
      <c r="E1830" s="259" t="s">
        <v>1970</v>
      </c>
      <c r="F1830" t="s">
        <v>620</v>
      </c>
      <c r="G1830" s="89">
        <v>2013</v>
      </c>
      <c r="H1830" s="341" t="s">
        <v>734</v>
      </c>
      <c r="I1830" s="337" t="str">
        <f t="shared" si="83"/>
        <v>Pesado de Passageiros M3: I : Gasóleo : E5</v>
      </c>
      <c r="J1830" s="125">
        <v>90</v>
      </c>
      <c r="K1830" s="264">
        <v>2022</v>
      </c>
      <c r="L1830" s="85">
        <v>14978.48</v>
      </c>
      <c r="M1830" s="85" t="s">
        <v>630</v>
      </c>
      <c r="N1830" s="128">
        <v>41385</v>
      </c>
      <c r="O1830" s="128">
        <f t="shared" si="82"/>
        <v>3724650</v>
      </c>
      <c r="Q1830" t="s">
        <v>47</v>
      </c>
      <c r="R1830" s="220" t="s">
        <v>1888</v>
      </c>
      <c r="S1830" s="220" t="s">
        <v>1861</v>
      </c>
      <c r="T1830" t="s">
        <v>2478</v>
      </c>
      <c r="U1830" t="s">
        <v>1972</v>
      </c>
      <c r="V1830" t="s">
        <v>2832</v>
      </c>
    </row>
    <row r="1831" spans="1:22" ht="15.75" thickBot="1" x14ac:dyDescent="0.3">
      <c r="A1831" t="s">
        <v>3511</v>
      </c>
      <c r="B1831" t="s">
        <v>3511</v>
      </c>
      <c r="C1831" t="s">
        <v>3511</v>
      </c>
      <c r="D1831" t="s">
        <v>629</v>
      </c>
      <c r="E1831" s="259" t="s">
        <v>1970</v>
      </c>
      <c r="F1831" t="s">
        <v>620</v>
      </c>
      <c r="G1831" s="89">
        <v>2013</v>
      </c>
      <c r="H1831" s="341" t="s">
        <v>734</v>
      </c>
      <c r="I1831" s="337" t="str">
        <f t="shared" si="83"/>
        <v>Pesado de Passageiros M3: I : Gasóleo : E5</v>
      </c>
      <c r="J1831" s="125">
        <v>90</v>
      </c>
      <c r="K1831" s="264">
        <v>2022</v>
      </c>
      <c r="L1831" s="85">
        <v>12954.569999999998</v>
      </c>
      <c r="M1831" s="85" t="s">
        <v>630</v>
      </c>
      <c r="N1831" s="128">
        <v>35190</v>
      </c>
      <c r="O1831" s="128">
        <f t="shared" si="82"/>
        <v>3167100</v>
      </c>
      <c r="Q1831" t="s">
        <v>47</v>
      </c>
      <c r="R1831" s="220" t="s">
        <v>1888</v>
      </c>
      <c r="S1831" s="220" t="s">
        <v>1861</v>
      </c>
      <c r="T1831" t="s">
        <v>2479</v>
      </c>
      <c r="U1831" t="s">
        <v>1972</v>
      </c>
      <c r="V1831" t="s">
        <v>2832</v>
      </c>
    </row>
    <row r="1832" spans="1:22" ht="15.75" thickBot="1" x14ac:dyDescent="0.3">
      <c r="A1832" t="s">
        <v>3511</v>
      </c>
      <c r="B1832" t="s">
        <v>3511</v>
      </c>
      <c r="C1832" t="s">
        <v>3511</v>
      </c>
      <c r="D1832" t="s">
        <v>629</v>
      </c>
      <c r="E1832" s="259" t="s">
        <v>1970</v>
      </c>
      <c r="F1832" t="s">
        <v>620</v>
      </c>
      <c r="G1832" s="89">
        <v>2013</v>
      </c>
      <c r="H1832" s="341" t="s">
        <v>734</v>
      </c>
      <c r="I1832" s="337" t="str">
        <f t="shared" si="83"/>
        <v>Pesado de Passageiros M3: I : Gasóleo : E5</v>
      </c>
      <c r="J1832" s="125">
        <v>90</v>
      </c>
      <c r="K1832" s="264">
        <v>2022</v>
      </c>
      <c r="L1832" s="85">
        <v>15699.61</v>
      </c>
      <c r="M1832" s="85" t="s">
        <v>630</v>
      </c>
      <c r="N1832" s="128">
        <v>41749</v>
      </c>
      <c r="O1832" s="128">
        <f t="shared" si="82"/>
        <v>3757410</v>
      </c>
      <c r="Q1832" t="s">
        <v>47</v>
      </c>
      <c r="R1832" s="220" t="s">
        <v>1888</v>
      </c>
      <c r="S1832" s="220" t="s">
        <v>1861</v>
      </c>
      <c r="T1832" t="s">
        <v>2480</v>
      </c>
      <c r="U1832" t="s">
        <v>1972</v>
      </c>
      <c r="V1832" t="s">
        <v>2832</v>
      </c>
    </row>
    <row r="1833" spans="1:22" ht="15.75" thickBot="1" x14ac:dyDescent="0.3">
      <c r="A1833" t="s">
        <v>3511</v>
      </c>
      <c r="B1833" t="s">
        <v>3511</v>
      </c>
      <c r="C1833" t="s">
        <v>3511</v>
      </c>
      <c r="D1833" t="s">
        <v>629</v>
      </c>
      <c r="E1833" s="259" t="s">
        <v>1970</v>
      </c>
      <c r="F1833" t="s">
        <v>620</v>
      </c>
      <c r="G1833" s="89">
        <v>2013</v>
      </c>
      <c r="H1833" s="341" t="s">
        <v>734</v>
      </c>
      <c r="I1833" s="337" t="str">
        <f t="shared" si="83"/>
        <v>Pesado de Passageiros M3: I : Gasóleo : E5</v>
      </c>
      <c r="J1833" s="125">
        <v>90</v>
      </c>
      <c r="K1833" s="264">
        <v>2022</v>
      </c>
      <c r="L1833" s="85">
        <v>15032.36</v>
      </c>
      <c r="M1833" s="85" t="s">
        <v>630</v>
      </c>
      <c r="N1833" s="128">
        <v>38332</v>
      </c>
      <c r="O1833" s="128">
        <f t="shared" si="82"/>
        <v>3449880</v>
      </c>
      <c r="Q1833" t="s">
        <v>47</v>
      </c>
      <c r="R1833" s="220" t="s">
        <v>1888</v>
      </c>
      <c r="S1833" s="220" t="s">
        <v>1861</v>
      </c>
      <c r="T1833" t="s">
        <v>2481</v>
      </c>
      <c r="U1833" t="s">
        <v>1972</v>
      </c>
      <c r="V1833" t="s">
        <v>2832</v>
      </c>
    </row>
    <row r="1834" spans="1:22" ht="15.75" thickBot="1" x14ac:dyDescent="0.3">
      <c r="A1834" t="s">
        <v>3511</v>
      </c>
      <c r="B1834" t="s">
        <v>3511</v>
      </c>
      <c r="C1834" t="s">
        <v>3511</v>
      </c>
      <c r="D1834" t="s">
        <v>629</v>
      </c>
      <c r="E1834" s="259" t="s">
        <v>1970</v>
      </c>
      <c r="F1834" t="s">
        <v>620</v>
      </c>
      <c r="G1834" s="89">
        <v>2013</v>
      </c>
      <c r="H1834" s="341" t="s">
        <v>734</v>
      </c>
      <c r="I1834" s="337" t="str">
        <f t="shared" si="83"/>
        <v>Pesado de Passageiros M3: I : Gasóleo : E5</v>
      </c>
      <c r="J1834" s="125">
        <v>90</v>
      </c>
      <c r="K1834" s="264">
        <v>2022</v>
      </c>
      <c r="L1834" s="85">
        <v>19160.169999999998</v>
      </c>
      <c r="M1834" s="85" t="s">
        <v>630</v>
      </c>
      <c r="N1834" s="128">
        <v>47959</v>
      </c>
      <c r="O1834" s="128">
        <f t="shared" si="82"/>
        <v>4316310</v>
      </c>
      <c r="Q1834" t="s">
        <v>47</v>
      </c>
      <c r="R1834" s="220" t="s">
        <v>1888</v>
      </c>
      <c r="S1834" s="220" t="s">
        <v>1861</v>
      </c>
      <c r="T1834" t="s">
        <v>2482</v>
      </c>
      <c r="U1834" t="s">
        <v>1972</v>
      </c>
      <c r="V1834" t="s">
        <v>2832</v>
      </c>
    </row>
    <row r="1835" spans="1:22" ht="15.75" thickBot="1" x14ac:dyDescent="0.3">
      <c r="A1835" t="s">
        <v>3511</v>
      </c>
      <c r="B1835" t="s">
        <v>3511</v>
      </c>
      <c r="C1835" t="s">
        <v>3511</v>
      </c>
      <c r="D1835" t="s">
        <v>629</v>
      </c>
      <c r="E1835" s="259" t="s">
        <v>1970</v>
      </c>
      <c r="F1835" t="s">
        <v>620</v>
      </c>
      <c r="G1835" s="89">
        <v>2013</v>
      </c>
      <c r="H1835" s="341" t="s">
        <v>734</v>
      </c>
      <c r="I1835" s="337" t="str">
        <f t="shared" si="83"/>
        <v>Pesado de Passageiros M3: I : Gasóleo : E5</v>
      </c>
      <c r="J1835" s="125">
        <v>90</v>
      </c>
      <c r="K1835" s="264">
        <v>2022</v>
      </c>
      <c r="L1835" s="85">
        <v>19833.53</v>
      </c>
      <c r="M1835" s="85" t="s">
        <v>630</v>
      </c>
      <c r="N1835" s="128">
        <v>50988</v>
      </c>
      <c r="O1835" s="128">
        <f t="shared" si="82"/>
        <v>4588920</v>
      </c>
      <c r="Q1835" t="s">
        <v>47</v>
      </c>
      <c r="R1835" s="220" t="s">
        <v>1888</v>
      </c>
      <c r="S1835" s="220" t="s">
        <v>1861</v>
      </c>
      <c r="T1835" t="s">
        <v>2483</v>
      </c>
      <c r="U1835" t="s">
        <v>1972</v>
      </c>
      <c r="V1835" t="s">
        <v>2832</v>
      </c>
    </row>
    <row r="1836" spans="1:22" ht="15.75" thickBot="1" x14ac:dyDescent="0.3">
      <c r="A1836" t="s">
        <v>3511</v>
      </c>
      <c r="B1836" t="s">
        <v>3511</v>
      </c>
      <c r="C1836" t="s">
        <v>3511</v>
      </c>
      <c r="D1836" t="s">
        <v>629</v>
      </c>
      <c r="E1836" s="259" t="s">
        <v>1970</v>
      </c>
      <c r="F1836" t="s">
        <v>620</v>
      </c>
      <c r="G1836" s="89">
        <v>2013</v>
      </c>
      <c r="H1836" s="341" t="s">
        <v>734</v>
      </c>
      <c r="I1836" s="337" t="str">
        <f t="shared" si="83"/>
        <v>Pesado de Passageiros M3: I : Gasóleo : E5</v>
      </c>
      <c r="J1836" s="125">
        <v>90</v>
      </c>
      <c r="K1836" s="264">
        <v>2022</v>
      </c>
      <c r="L1836" s="85">
        <v>19738.61</v>
      </c>
      <c r="M1836" s="85" t="s">
        <v>630</v>
      </c>
      <c r="N1836" s="128">
        <v>51056</v>
      </c>
      <c r="O1836" s="128">
        <f t="shared" si="82"/>
        <v>4595040</v>
      </c>
      <c r="Q1836" t="s">
        <v>47</v>
      </c>
      <c r="R1836" s="220" t="s">
        <v>1888</v>
      </c>
      <c r="S1836" s="220" t="s">
        <v>1861</v>
      </c>
      <c r="T1836" t="s">
        <v>2484</v>
      </c>
      <c r="U1836" t="s">
        <v>1972</v>
      </c>
      <c r="V1836" t="s">
        <v>2832</v>
      </c>
    </row>
    <row r="1837" spans="1:22" ht="15.75" thickBot="1" x14ac:dyDescent="0.3">
      <c r="A1837" t="s">
        <v>3511</v>
      </c>
      <c r="B1837" t="s">
        <v>3511</v>
      </c>
      <c r="C1837" t="s">
        <v>3511</v>
      </c>
      <c r="D1837" t="s">
        <v>629</v>
      </c>
      <c r="E1837" s="259" t="s">
        <v>1970</v>
      </c>
      <c r="F1837" t="s">
        <v>620</v>
      </c>
      <c r="G1837" s="89">
        <v>2013</v>
      </c>
      <c r="H1837" s="341" t="s">
        <v>734</v>
      </c>
      <c r="I1837" s="337" t="str">
        <f t="shared" si="83"/>
        <v>Pesado de Passageiros M3: I : Gasóleo : E5</v>
      </c>
      <c r="J1837" s="125">
        <v>90</v>
      </c>
      <c r="K1837" s="264">
        <v>2022</v>
      </c>
      <c r="L1837" s="85">
        <v>14007.73</v>
      </c>
      <c r="M1837" s="85" t="s">
        <v>630</v>
      </c>
      <c r="N1837" s="128">
        <v>36828</v>
      </c>
      <c r="O1837" s="128">
        <f t="shared" si="82"/>
        <v>3314520</v>
      </c>
      <c r="Q1837" t="s">
        <v>47</v>
      </c>
      <c r="R1837" s="220" t="s">
        <v>1888</v>
      </c>
      <c r="S1837" s="220" t="s">
        <v>1861</v>
      </c>
      <c r="T1837" t="s">
        <v>2485</v>
      </c>
      <c r="U1837" t="s">
        <v>1972</v>
      </c>
      <c r="V1837" t="s">
        <v>2832</v>
      </c>
    </row>
    <row r="1838" spans="1:22" ht="15.75" thickBot="1" x14ac:dyDescent="0.3">
      <c r="A1838" t="s">
        <v>3511</v>
      </c>
      <c r="B1838" t="s">
        <v>3511</v>
      </c>
      <c r="C1838" t="s">
        <v>3511</v>
      </c>
      <c r="D1838" t="s">
        <v>629</v>
      </c>
      <c r="E1838" s="259" t="s">
        <v>1970</v>
      </c>
      <c r="F1838" t="s">
        <v>620</v>
      </c>
      <c r="G1838" s="89">
        <v>2006</v>
      </c>
      <c r="H1838" s="341" t="s">
        <v>731</v>
      </c>
      <c r="I1838" s="337" t="str">
        <f t="shared" si="83"/>
        <v>Pesado de Passageiros M3: I : Gasóleo : E4</v>
      </c>
      <c r="J1838" s="125">
        <v>96</v>
      </c>
      <c r="K1838" s="264">
        <v>2022</v>
      </c>
      <c r="L1838" s="85">
        <v>5458.57</v>
      </c>
      <c r="M1838" s="85" t="s">
        <v>630</v>
      </c>
      <c r="N1838" s="128">
        <v>14749</v>
      </c>
      <c r="O1838" s="128">
        <f t="shared" si="82"/>
        <v>1415904</v>
      </c>
      <c r="Q1838" t="s">
        <v>47</v>
      </c>
      <c r="R1838" s="220" t="s">
        <v>1888</v>
      </c>
      <c r="S1838" s="220" t="s">
        <v>1861</v>
      </c>
      <c r="T1838" t="s">
        <v>2486</v>
      </c>
      <c r="U1838" t="s">
        <v>1972</v>
      </c>
      <c r="V1838" t="s">
        <v>2832</v>
      </c>
    </row>
    <row r="1839" spans="1:22" ht="15.75" thickBot="1" x14ac:dyDescent="0.3">
      <c r="A1839" t="s">
        <v>3511</v>
      </c>
      <c r="B1839" t="s">
        <v>3511</v>
      </c>
      <c r="C1839" t="s">
        <v>3511</v>
      </c>
      <c r="D1839" t="s">
        <v>629</v>
      </c>
      <c r="E1839" s="259" t="s">
        <v>1970</v>
      </c>
      <c r="F1839" t="s">
        <v>620</v>
      </c>
      <c r="G1839" s="89">
        <v>2018</v>
      </c>
      <c r="H1839" s="341" t="s">
        <v>733</v>
      </c>
      <c r="I1839" s="337" t="str">
        <f t="shared" si="83"/>
        <v>Pesado de Passageiros M3: I : Gasóleo : E6</v>
      </c>
      <c r="J1839" s="125">
        <v>77</v>
      </c>
      <c r="K1839" s="264">
        <v>2022</v>
      </c>
      <c r="L1839" s="85">
        <v>20951.87</v>
      </c>
      <c r="M1839" s="85" t="s">
        <v>630</v>
      </c>
      <c r="N1839" s="128">
        <v>61316</v>
      </c>
      <c r="O1839" s="128">
        <f t="shared" si="82"/>
        <v>4721332</v>
      </c>
      <c r="Q1839" t="s">
        <v>47</v>
      </c>
      <c r="R1839" s="220" t="s">
        <v>1888</v>
      </c>
      <c r="S1839" s="220" t="s">
        <v>1861</v>
      </c>
      <c r="T1839" t="s">
        <v>2487</v>
      </c>
      <c r="U1839" t="s">
        <v>1972</v>
      </c>
      <c r="V1839" t="s">
        <v>2832</v>
      </c>
    </row>
    <row r="1840" spans="1:22" ht="15.75" thickBot="1" x14ac:dyDescent="0.3">
      <c r="A1840" t="s">
        <v>3511</v>
      </c>
      <c r="B1840" t="s">
        <v>3511</v>
      </c>
      <c r="C1840" t="s">
        <v>3511</v>
      </c>
      <c r="D1840" t="s">
        <v>629</v>
      </c>
      <c r="E1840" s="259" t="s">
        <v>1970</v>
      </c>
      <c r="F1840" t="s">
        <v>620</v>
      </c>
      <c r="G1840" s="89">
        <v>2018</v>
      </c>
      <c r="H1840" s="341" t="s">
        <v>733</v>
      </c>
      <c r="I1840" s="337" t="str">
        <f t="shared" si="83"/>
        <v>Pesado de Passageiros M3: I : Gasóleo : E6</v>
      </c>
      <c r="J1840" s="125">
        <v>77</v>
      </c>
      <c r="K1840" s="264">
        <v>2022</v>
      </c>
      <c r="L1840" s="85">
        <v>21551.78</v>
      </c>
      <c r="M1840" s="85" t="s">
        <v>630</v>
      </c>
      <c r="N1840" s="128">
        <v>60187</v>
      </c>
      <c r="O1840" s="128">
        <f t="shared" si="82"/>
        <v>4634399</v>
      </c>
      <c r="Q1840" t="s">
        <v>47</v>
      </c>
      <c r="R1840" s="220" t="s">
        <v>1888</v>
      </c>
      <c r="S1840" s="220" t="s">
        <v>1861</v>
      </c>
      <c r="T1840" t="s">
        <v>2488</v>
      </c>
      <c r="U1840" t="s">
        <v>1972</v>
      </c>
      <c r="V1840" t="s">
        <v>2832</v>
      </c>
    </row>
    <row r="1841" spans="1:22" ht="15.75" thickBot="1" x14ac:dyDescent="0.3">
      <c r="A1841" t="s">
        <v>3511</v>
      </c>
      <c r="B1841" t="s">
        <v>3511</v>
      </c>
      <c r="C1841" t="s">
        <v>3511</v>
      </c>
      <c r="D1841" t="s">
        <v>629</v>
      </c>
      <c r="E1841" s="259" t="s">
        <v>1970</v>
      </c>
      <c r="F1841" t="s">
        <v>620</v>
      </c>
      <c r="G1841" s="89">
        <v>2018</v>
      </c>
      <c r="H1841" s="341" t="s">
        <v>733</v>
      </c>
      <c r="I1841" s="337" t="str">
        <f t="shared" si="83"/>
        <v>Pesado de Passageiros M3: I : Gasóleo : E6</v>
      </c>
      <c r="J1841" s="125">
        <v>77</v>
      </c>
      <c r="K1841" s="264">
        <v>2022</v>
      </c>
      <c r="L1841" s="85">
        <v>18427.190000000002</v>
      </c>
      <c r="M1841" s="85" t="s">
        <v>630</v>
      </c>
      <c r="N1841" s="128">
        <v>49371</v>
      </c>
      <c r="O1841" s="128">
        <f t="shared" si="82"/>
        <v>3801567</v>
      </c>
      <c r="Q1841" t="s">
        <v>47</v>
      </c>
      <c r="R1841" s="220" t="s">
        <v>1888</v>
      </c>
      <c r="S1841" s="220" t="s">
        <v>1861</v>
      </c>
      <c r="T1841" t="s">
        <v>2489</v>
      </c>
      <c r="U1841" t="s">
        <v>1972</v>
      </c>
      <c r="V1841" t="s">
        <v>2832</v>
      </c>
    </row>
    <row r="1842" spans="1:22" ht="15.75" thickBot="1" x14ac:dyDescent="0.3">
      <c r="A1842" t="s">
        <v>3511</v>
      </c>
      <c r="B1842" t="s">
        <v>3511</v>
      </c>
      <c r="C1842" t="s">
        <v>3511</v>
      </c>
      <c r="D1842" t="s">
        <v>629</v>
      </c>
      <c r="E1842" s="259" t="s">
        <v>1970</v>
      </c>
      <c r="F1842" t="s">
        <v>620</v>
      </c>
      <c r="G1842" s="89">
        <v>2018</v>
      </c>
      <c r="H1842" s="341" t="s">
        <v>733</v>
      </c>
      <c r="I1842" s="337" t="str">
        <f t="shared" si="83"/>
        <v>Pesado de Passageiros M3: I : Gasóleo : E6</v>
      </c>
      <c r="J1842" s="125">
        <v>77</v>
      </c>
      <c r="K1842" s="264">
        <v>2022</v>
      </c>
      <c r="L1842" s="85">
        <v>20933.719999999998</v>
      </c>
      <c r="M1842" s="85" t="s">
        <v>630</v>
      </c>
      <c r="N1842" s="128">
        <v>53190</v>
      </c>
      <c r="O1842" s="128">
        <f t="shared" si="82"/>
        <v>4095630</v>
      </c>
      <c r="Q1842" t="s">
        <v>47</v>
      </c>
      <c r="R1842" s="220" t="s">
        <v>1888</v>
      </c>
      <c r="S1842" s="220" t="s">
        <v>1861</v>
      </c>
      <c r="T1842" t="s">
        <v>2490</v>
      </c>
      <c r="U1842" t="s">
        <v>1972</v>
      </c>
      <c r="V1842" t="s">
        <v>2832</v>
      </c>
    </row>
    <row r="1843" spans="1:22" ht="15.75" thickBot="1" x14ac:dyDescent="0.3">
      <c r="A1843" t="s">
        <v>3511</v>
      </c>
      <c r="B1843" t="s">
        <v>3511</v>
      </c>
      <c r="C1843" t="s">
        <v>3511</v>
      </c>
      <c r="D1843" t="s">
        <v>629</v>
      </c>
      <c r="E1843" s="259" t="s">
        <v>1970</v>
      </c>
      <c r="F1843" t="s">
        <v>620</v>
      </c>
      <c r="G1843" s="89">
        <v>2019</v>
      </c>
      <c r="H1843" s="341" t="s">
        <v>733</v>
      </c>
      <c r="I1843" s="337" t="str">
        <f t="shared" si="83"/>
        <v>Pesado de Passageiros M3: I : Gasóleo : E6</v>
      </c>
      <c r="J1843" s="125">
        <v>35</v>
      </c>
      <c r="K1843" s="264">
        <v>2022</v>
      </c>
      <c r="L1843" s="85">
        <v>10499.36</v>
      </c>
      <c r="M1843" s="85" t="s">
        <v>630</v>
      </c>
      <c r="N1843" s="128">
        <v>33258</v>
      </c>
      <c r="O1843" s="128">
        <f t="shared" si="82"/>
        <v>1164030</v>
      </c>
      <c r="Q1843" t="s">
        <v>47</v>
      </c>
      <c r="R1843" s="220" t="s">
        <v>1888</v>
      </c>
      <c r="S1843" s="220" t="s">
        <v>1861</v>
      </c>
      <c r="T1843" t="s">
        <v>2491</v>
      </c>
      <c r="U1843" t="s">
        <v>1972</v>
      </c>
      <c r="V1843" t="s">
        <v>2832</v>
      </c>
    </row>
    <row r="1844" spans="1:22" ht="15.75" thickBot="1" x14ac:dyDescent="0.3">
      <c r="A1844" t="s">
        <v>4688</v>
      </c>
      <c r="B1844" t="s">
        <v>4688</v>
      </c>
      <c r="C1844" t="s">
        <v>4688</v>
      </c>
      <c r="D1844" t="s">
        <v>629</v>
      </c>
      <c r="E1844" s="259" t="s">
        <v>1970</v>
      </c>
      <c r="F1844" t="s">
        <v>620</v>
      </c>
      <c r="G1844" s="89">
        <v>2021</v>
      </c>
      <c r="H1844" s="341" t="s">
        <v>733</v>
      </c>
      <c r="I1844" s="337" t="str">
        <f t="shared" si="83"/>
        <v>Pesado de Passageiros M3: I : Gasóleo : E6</v>
      </c>
      <c r="J1844" s="125">
        <v>83</v>
      </c>
      <c r="K1844" s="264">
        <v>2022</v>
      </c>
      <c r="L1844" s="85">
        <v>17404.75</v>
      </c>
      <c r="M1844" s="85" t="s">
        <v>630</v>
      </c>
      <c r="N1844" s="128">
        <v>52890</v>
      </c>
      <c r="O1844" s="128">
        <f t="shared" si="82"/>
        <v>4389870</v>
      </c>
      <c r="Q1844" t="s">
        <v>47</v>
      </c>
      <c r="R1844" s="220" t="s">
        <v>1888</v>
      </c>
      <c r="S1844" s="220" t="s">
        <v>1861</v>
      </c>
      <c r="T1844" t="s">
        <v>2492</v>
      </c>
      <c r="U1844" t="s">
        <v>1972</v>
      </c>
      <c r="V1844" t="s">
        <v>2832</v>
      </c>
    </row>
    <row r="1845" spans="1:22" ht="15.75" thickBot="1" x14ac:dyDescent="0.3">
      <c r="A1845" t="s">
        <v>4688</v>
      </c>
      <c r="B1845" t="s">
        <v>4688</v>
      </c>
      <c r="C1845" t="s">
        <v>4688</v>
      </c>
      <c r="D1845" t="s">
        <v>629</v>
      </c>
      <c r="E1845" s="259" t="s">
        <v>1970</v>
      </c>
      <c r="F1845" t="s">
        <v>620</v>
      </c>
      <c r="G1845" s="89">
        <v>2018</v>
      </c>
      <c r="H1845" s="341" t="s">
        <v>733</v>
      </c>
      <c r="I1845" s="337" t="str">
        <f t="shared" si="83"/>
        <v>Pesado de Passageiros M3: I : Gasóleo : E6</v>
      </c>
      <c r="J1845" s="125">
        <v>26</v>
      </c>
      <c r="K1845" s="264">
        <v>2022</v>
      </c>
      <c r="L1845" s="85">
        <v>8587.19</v>
      </c>
      <c r="M1845" s="85" t="s">
        <v>630</v>
      </c>
      <c r="N1845" s="128">
        <v>48070</v>
      </c>
      <c r="O1845" s="128">
        <f t="shared" si="82"/>
        <v>1249820</v>
      </c>
      <c r="Q1845" t="s">
        <v>47</v>
      </c>
      <c r="R1845" s="220" t="s">
        <v>1888</v>
      </c>
      <c r="S1845" s="220" t="s">
        <v>1861</v>
      </c>
      <c r="T1845" t="s">
        <v>2493</v>
      </c>
      <c r="U1845" t="s">
        <v>1972</v>
      </c>
      <c r="V1845" t="s">
        <v>2832</v>
      </c>
    </row>
    <row r="1846" spans="1:22" ht="15.75" thickBot="1" x14ac:dyDescent="0.3">
      <c r="A1846" t="s">
        <v>4688</v>
      </c>
      <c r="B1846" t="s">
        <v>4688</v>
      </c>
      <c r="C1846" t="s">
        <v>4688</v>
      </c>
      <c r="D1846" t="s">
        <v>629</v>
      </c>
      <c r="E1846" s="259" t="s">
        <v>1970</v>
      </c>
      <c r="F1846" t="s">
        <v>620</v>
      </c>
      <c r="G1846" s="89">
        <v>2019</v>
      </c>
      <c r="H1846" s="341" t="s">
        <v>733</v>
      </c>
      <c r="I1846" s="337" t="str">
        <f t="shared" si="83"/>
        <v>Pesado de Passageiros M3: I : Gasóleo : E6</v>
      </c>
      <c r="J1846" s="125">
        <v>16</v>
      </c>
      <c r="K1846" s="264">
        <v>2022</v>
      </c>
      <c r="L1846" s="85">
        <v>8197.39</v>
      </c>
      <c r="M1846" s="85" t="s">
        <v>630</v>
      </c>
      <c r="N1846" s="128">
        <v>50026</v>
      </c>
      <c r="O1846" s="128">
        <f t="shared" si="82"/>
        <v>800416</v>
      </c>
      <c r="Q1846" t="s">
        <v>47</v>
      </c>
      <c r="R1846" s="220" t="s">
        <v>1888</v>
      </c>
      <c r="S1846" s="220" t="s">
        <v>1861</v>
      </c>
      <c r="T1846" t="s">
        <v>2494</v>
      </c>
      <c r="U1846" t="s">
        <v>1972</v>
      </c>
      <c r="V1846" t="s">
        <v>2832</v>
      </c>
    </row>
    <row r="1847" spans="1:22" ht="15.75" thickBot="1" x14ac:dyDescent="0.3">
      <c r="A1847" t="s">
        <v>4688</v>
      </c>
      <c r="B1847" t="s">
        <v>4688</v>
      </c>
      <c r="C1847" t="s">
        <v>4688</v>
      </c>
      <c r="D1847" t="s">
        <v>629</v>
      </c>
      <c r="E1847" s="259" t="s">
        <v>1970</v>
      </c>
      <c r="F1847" t="s">
        <v>620</v>
      </c>
      <c r="G1847" s="89">
        <v>2017</v>
      </c>
      <c r="H1847" s="341" t="s">
        <v>733</v>
      </c>
      <c r="I1847" s="337" t="str">
        <f t="shared" si="83"/>
        <v>Pesado de Passageiros M3: I : Gasóleo : E6</v>
      </c>
      <c r="J1847" s="125">
        <v>27</v>
      </c>
      <c r="K1847" s="264">
        <v>2022</v>
      </c>
      <c r="L1847" s="85">
        <v>8781.7100000000009</v>
      </c>
      <c r="M1847" s="85" t="s">
        <v>630</v>
      </c>
      <c r="N1847" s="128">
        <v>46944</v>
      </c>
      <c r="O1847" s="128">
        <f t="shared" si="82"/>
        <v>1267488</v>
      </c>
      <c r="Q1847" t="s">
        <v>47</v>
      </c>
      <c r="R1847" s="220" t="s">
        <v>1888</v>
      </c>
      <c r="S1847" s="220" t="s">
        <v>1861</v>
      </c>
      <c r="T1847" t="s">
        <v>2495</v>
      </c>
      <c r="U1847" t="s">
        <v>1972</v>
      </c>
      <c r="V1847" t="s">
        <v>2832</v>
      </c>
    </row>
    <row r="1848" spans="1:22" ht="15.75" thickBot="1" x14ac:dyDescent="0.3">
      <c r="A1848" t="s">
        <v>4688</v>
      </c>
      <c r="B1848" t="s">
        <v>4688</v>
      </c>
      <c r="C1848" t="s">
        <v>4688</v>
      </c>
      <c r="D1848" t="s">
        <v>629</v>
      </c>
      <c r="E1848" s="259" t="s">
        <v>1970</v>
      </c>
      <c r="F1848" t="s">
        <v>620</v>
      </c>
      <c r="G1848" s="89">
        <v>2017</v>
      </c>
      <c r="H1848" s="341" t="s">
        <v>733</v>
      </c>
      <c r="I1848" s="337" t="str">
        <f t="shared" si="83"/>
        <v>Pesado de Passageiros M3: I : Gasóleo : E6</v>
      </c>
      <c r="J1848" s="125">
        <v>27</v>
      </c>
      <c r="K1848" s="264">
        <v>2022</v>
      </c>
      <c r="L1848" s="85">
        <v>11376.73</v>
      </c>
      <c r="M1848" s="85" t="s">
        <v>630</v>
      </c>
      <c r="N1848" s="128">
        <v>58594</v>
      </c>
      <c r="O1848" s="128">
        <f t="shared" si="82"/>
        <v>1582038</v>
      </c>
      <c r="Q1848" t="s">
        <v>47</v>
      </c>
      <c r="R1848" s="220" t="s">
        <v>1888</v>
      </c>
      <c r="S1848" s="220" t="s">
        <v>1861</v>
      </c>
      <c r="T1848" t="s">
        <v>2496</v>
      </c>
      <c r="U1848" t="s">
        <v>1972</v>
      </c>
      <c r="V1848" t="s">
        <v>2832</v>
      </c>
    </row>
    <row r="1849" spans="1:22" ht="15.75" thickBot="1" x14ac:dyDescent="0.3">
      <c r="A1849" t="s">
        <v>4688</v>
      </c>
      <c r="B1849" t="s">
        <v>4688</v>
      </c>
      <c r="C1849" t="s">
        <v>4688</v>
      </c>
      <c r="D1849" t="s">
        <v>629</v>
      </c>
      <c r="E1849" s="259" t="s">
        <v>1970</v>
      </c>
      <c r="F1849" t="s">
        <v>620</v>
      </c>
      <c r="G1849" s="89">
        <v>2008</v>
      </c>
      <c r="H1849" s="341" t="s">
        <v>731</v>
      </c>
      <c r="I1849" s="337" t="str">
        <f t="shared" si="83"/>
        <v>Pesado de Passageiros M3: I : Gasóleo : E4</v>
      </c>
      <c r="J1849" s="125">
        <v>22</v>
      </c>
      <c r="K1849" s="264">
        <v>2022</v>
      </c>
      <c r="L1849" s="85">
        <v>6952.869999999999</v>
      </c>
      <c r="M1849" s="85" t="s">
        <v>630</v>
      </c>
      <c r="N1849" s="128">
        <v>35375</v>
      </c>
      <c r="O1849" s="128">
        <f t="shared" si="82"/>
        <v>778250</v>
      </c>
      <c r="Q1849" t="s">
        <v>47</v>
      </c>
      <c r="R1849" s="220" t="s">
        <v>1888</v>
      </c>
      <c r="S1849" s="220" t="s">
        <v>1861</v>
      </c>
      <c r="T1849" t="s">
        <v>2497</v>
      </c>
      <c r="U1849" t="s">
        <v>1972</v>
      </c>
      <c r="V1849" t="s">
        <v>2832</v>
      </c>
    </row>
    <row r="1850" spans="1:22" ht="15.75" thickBot="1" x14ac:dyDescent="0.3">
      <c r="A1850" t="s">
        <v>4688</v>
      </c>
      <c r="B1850" t="s">
        <v>4688</v>
      </c>
      <c r="C1850" t="s">
        <v>4688</v>
      </c>
      <c r="D1850" t="s">
        <v>629</v>
      </c>
      <c r="E1850" s="259" t="s">
        <v>1970</v>
      </c>
      <c r="F1850" t="s">
        <v>620</v>
      </c>
      <c r="G1850" s="89">
        <v>2011</v>
      </c>
      <c r="H1850" s="341" t="s">
        <v>734</v>
      </c>
      <c r="I1850" s="337" t="str">
        <f t="shared" si="83"/>
        <v>Pesado de Passageiros M3: I : Gasóleo : E5</v>
      </c>
      <c r="J1850" s="125">
        <v>24</v>
      </c>
      <c r="K1850" s="264">
        <v>2022</v>
      </c>
      <c r="L1850" s="85">
        <v>7536.47</v>
      </c>
      <c r="M1850" s="85" t="s">
        <v>630</v>
      </c>
      <c r="N1850" s="128">
        <v>35154</v>
      </c>
      <c r="O1850" s="128">
        <f t="shared" si="82"/>
        <v>843696</v>
      </c>
      <c r="Q1850" t="s">
        <v>47</v>
      </c>
      <c r="R1850" s="220" t="s">
        <v>1888</v>
      </c>
      <c r="S1850" s="220" t="s">
        <v>1861</v>
      </c>
      <c r="T1850" t="s">
        <v>2498</v>
      </c>
      <c r="U1850" t="s">
        <v>1972</v>
      </c>
      <c r="V1850" t="s">
        <v>2832</v>
      </c>
    </row>
    <row r="1851" spans="1:22" ht="15.75" thickBot="1" x14ac:dyDescent="0.3">
      <c r="A1851" t="s">
        <v>4688</v>
      </c>
      <c r="B1851" t="s">
        <v>4688</v>
      </c>
      <c r="C1851" t="s">
        <v>4688</v>
      </c>
      <c r="D1851" t="s">
        <v>629</v>
      </c>
      <c r="E1851" s="259" t="s">
        <v>1970</v>
      </c>
      <c r="F1851" t="s">
        <v>620</v>
      </c>
      <c r="G1851" s="89">
        <v>2011</v>
      </c>
      <c r="H1851" s="341" t="s">
        <v>734</v>
      </c>
      <c r="I1851" s="337" t="str">
        <f t="shared" si="83"/>
        <v>Pesado de Passageiros M3: I : Gasóleo : E5</v>
      </c>
      <c r="J1851" s="125">
        <v>24</v>
      </c>
      <c r="K1851" s="264">
        <v>2022</v>
      </c>
      <c r="L1851" s="85">
        <v>6771.12</v>
      </c>
      <c r="M1851" s="85" t="s">
        <v>630</v>
      </c>
      <c r="N1851" s="128">
        <v>32918</v>
      </c>
      <c r="O1851" s="128">
        <f t="shared" si="82"/>
        <v>790032</v>
      </c>
      <c r="Q1851" t="s">
        <v>47</v>
      </c>
      <c r="R1851" s="220" t="s">
        <v>1888</v>
      </c>
      <c r="S1851" s="220" t="s">
        <v>1861</v>
      </c>
      <c r="T1851" t="s">
        <v>2499</v>
      </c>
      <c r="U1851" t="s">
        <v>1972</v>
      </c>
      <c r="V1851" t="s">
        <v>2832</v>
      </c>
    </row>
    <row r="1852" spans="1:22" ht="15.75" thickBot="1" x14ac:dyDescent="0.3">
      <c r="A1852" t="s">
        <v>4688</v>
      </c>
      <c r="B1852" t="s">
        <v>4688</v>
      </c>
      <c r="C1852" t="s">
        <v>4688</v>
      </c>
      <c r="D1852" t="s">
        <v>629</v>
      </c>
      <c r="E1852" s="259" t="s">
        <v>1970</v>
      </c>
      <c r="F1852" t="s">
        <v>620</v>
      </c>
      <c r="G1852" s="89">
        <v>2011</v>
      </c>
      <c r="H1852" s="341" t="s">
        <v>734</v>
      </c>
      <c r="I1852" s="337" t="str">
        <f t="shared" si="83"/>
        <v>Pesado de Passageiros M3: I : Gasóleo : E5</v>
      </c>
      <c r="J1852" s="125">
        <v>24</v>
      </c>
      <c r="K1852" s="264">
        <v>2022</v>
      </c>
      <c r="L1852" s="85">
        <v>7478.4299999999994</v>
      </c>
      <c r="M1852" s="85" t="s">
        <v>630</v>
      </c>
      <c r="N1852" s="128">
        <v>33842</v>
      </c>
      <c r="O1852" s="128">
        <f t="shared" si="82"/>
        <v>812208</v>
      </c>
      <c r="Q1852" t="s">
        <v>47</v>
      </c>
      <c r="R1852" s="220" t="s">
        <v>1888</v>
      </c>
      <c r="S1852" s="220" t="s">
        <v>1861</v>
      </c>
      <c r="T1852" t="s">
        <v>2500</v>
      </c>
      <c r="U1852" t="s">
        <v>1972</v>
      </c>
      <c r="V1852" t="s">
        <v>2832</v>
      </c>
    </row>
    <row r="1853" spans="1:22" ht="15.75" thickBot="1" x14ac:dyDescent="0.3">
      <c r="A1853" t="s">
        <v>4688</v>
      </c>
      <c r="B1853" t="s">
        <v>4688</v>
      </c>
      <c r="C1853" t="s">
        <v>4688</v>
      </c>
      <c r="D1853" t="s">
        <v>629</v>
      </c>
      <c r="E1853" s="259" t="s">
        <v>1970</v>
      </c>
      <c r="F1853" t="s">
        <v>620</v>
      </c>
      <c r="G1853" s="89">
        <v>2011</v>
      </c>
      <c r="H1853" s="341" t="s">
        <v>734</v>
      </c>
      <c r="I1853" s="337" t="str">
        <f t="shared" si="83"/>
        <v>Pesado de Passageiros M3: I : Gasóleo : E5</v>
      </c>
      <c r="J1853" s="125">
        <v>24</v>
      </c>
      <c r="K1853" s="264">
        <v>2022</v>
      </c>
      <c r="L1853" s="85">
        <v>5219</v>
      </c>
      <c r="M1853" s="85" t="s">
        <v>630</v>
      </c>
      <c r="N1853" s="128">
        <v>25530</v>
      </c>
      <c r="O1853" s="128">
        <f t="shared" si="82"/>
        <v>612720</v>
      </c>
      <c r="Q1853" t="s">
        <v>47</v>
      </c>
      <c r="R1853" s="220" t="s">
        <v>1888</v>
      </c>
      <c r="S1853" s="220" t="s">
        <v>1861</v>
      </c>
      <c r="T1853" t="s">
        <v>2501</v>
      </c>
      <c r="U1853" t="s">
        <v>1972</v>
      </c>
      <c r="V1853" t="s">
        <v>2832</v>
      </c>
    </row>
    <row r="1854" spans="1:22" ht="15.75" thickBot="1" x14ac:dyDescent="0.3">
      <c r="A1854" t="s">
        <v>4688</v>
      </c>
      <c r="B1854" t="s">
        <v>4688</v>
      </c>
      <c r="C1854" t="s">
        <v>4688</v>
      </c>
      <c r="D1854" t="s">
        <v>629</v>
      </c>
      <c r="E1854" s="259" t="s">
        <v>1970</v>
      </c>
      <c r="F1854" t="s">
        <v>620</v>
      </c>
      <c r="G1854" s="89">
        <v>2013</v>
      </c>
      <c r="H1854" s="341" t="s">
        <v>734</v>
      </c>
      <c r="I1854" s="337" t="str">
        <f t="shared" si="83"/>
        <v>Pesado de Passageiros M3: I : Gasóleo : E5</v>
      </c>
      <c r="J1854" s="125">
        <v>24</v>
      </c>
      <c r="K1854" s="264">
        <v>2022</v>
      </c>
      <c r="L1854" s="85">
        <v>6250.84</v>
      </c>
      <c r="M1854" s="85" t="s">
        <v>630</v>
      </c>
      <c r="N1854" s="128">
        <v>28794</v>
      </c>
      <c r="O1854" s="128">
        <f t="shared" si="82"/>
        <v>691056</v>
      </c>
      <c r="Q1854" t="s">
        <v>47</v>
      </c>
      <c r="R1854" s="220" t="s">
        <v>1888</v>
      </c>
      <c r="S1854" s="220" t="s">
        <v>1861</v>
      </c>
      <c r="T1854" t="s">
        <v>2502</v>
      </c>
      <c r="U1854" t="s">
        <v>1972</v>
      </c>
      <c r="V1854" t="s">
        <v>2832</v>
      </c>
    </row>
    <row r="1855" spans="1:22" ht="15.75" thickBot="1" x14ac:dyDescent="0.3">
      <c r="A1855" t="s">
        <v>4688</v>
      </c>
      <c r="B1855" t="s">
        <v>4688</v>
      </c>
      <c r="C1855" t="s">
        <v>4688</v>
      </c>
      <c r="D1855" t="s">
        <v>629</v>
      </c>
      <c r="E1855" s="259" t="s">
        <v>1970</v>
      </c>
      <c r="F1855" t="s">
        <v>620</v>
      </c>
      <c r="G1855" s="89">
        <v>2013</v>
      </c>
      <c r="H1855" s="341" t="s">
        <v>734</v>
      </c>
      <c r="I1855" s="337" t="str">
        <f t="shared" si="83"/>
        <v>Pesado de Passageiros M3: I : Gasóleo : E5</v>
      </c>
      <c r="J1855" s="125">
        <v>24</v>
      </c>
      <c r="K1855" s="264">
        <v>2022</v>
      </c>
      <c r="L1855" s="85">
        <v>9458.57</v>
      </c>
      <c r="M1855" s="85" t="s">
        <v>630</v>
      </c>
      <c r="N1855" s="128">
        <v>46290</v>
      </c>
      <c r="O1855" s="128">
        <f t="shared" si="82"/>
        <v>1110960</v>
      </c>
      <c r="Q1855" t="s">
        <v>47</v>
      </c>
      <c r="R1855" s="220" t="s">
        <v>1888</v>
      </c>
      <c r="S1855" s="220" t="s">
        <v>1861</v>
      </c>
      <c r="T1855" t="s">
        <v>2503</v>
      </c>
      <c r="U1855" t="s">
        <v>1972</v>
      </c>
      <c r="V1855" t="s">
        <v>2832</v>
      </c>
    </row>
    <row r="1856" spans="1:22" ht="15.75" thickBot="1" x14ac:dyDescent="0.3">
      <c r="A1856" t="s">
        <v>4688</v>
      </c>
      <c r="B1856" t="s">
        <v>4688</v>
      </c>
      <c r="C1856" t="s">
        <v>4688</v>
      </c>
      <c r="D1856" t="s">
        <v>629</v>
      </c>
      <c r="E1856" s="259" t="s">
        <v>1970</v>
      </c>
      <c r="F1856" t="s">
        <v>620</v>
      </c>
      <c r="G1856" s="89">
        <v>2013</v>
      </c>
      <c r="H1856" s="341" t="s">
        <v>734</v>
      </c>
      <c r="I1856" s="337" t="str">
        <f t="shared" si="83"/>
        <v>Pesado de Passageiros M3: I : Gasóleo : E5</v>
      </c>
      <c r="J1856" s="125">
        <v>24</v>
      </c>
      <c r="K1856" s="264">
        <v>2022</v>
      </c>
      <c r="L1856" s="85">
        <v>3467.4</v>
      </c>
      <c r="M1856" s="85" t="s">
        <v>630</v>
      </c>
      <c r="N1856" s="128">
        <v>17557</v>
      </c>
      <c r="O1856" s="128">
        <f t="shared" si="82"/>
        <v>421368</v>
      </c>
      <c r="Q1856" t="s">
        <v>47</v>
      </c>
      <c r="R1856" s="220" t="s">
        <v>1888</v>
      </c>
      <c r="S1856" s="220" t="s">
        <v>1861</v>
      </c>
      <c r="T1856" t="s">
        <v>2504</v>
      </c>
      <c r="U1856" t="s">
        <v>1972</v>
      </c>
      <c r="V1856" t="s">
        <v>2832</v>
      </c>
    </row>
    <row r="1857" spans="1:22" ht="15.75" thickBot="1" x14ac:dyDescent="0.3">
      <c r="A1857" t="s">
        <v>4688</v>
      </c>
      <c r="B1857" t="s">
        <v>4688</v>
      </c>
      <c r="C1857" t="s">
        <v>4688</v>
      </c>
      <c r="D1857" t="s">
        <v>629</v>
      </c>
      <c r="E1857" s="259" t="s">
        <v>1970</v>
      </c>
      <c r="F1857" t="s">
        <v>620</v>
      </c>
      <c r="G1857" s="89">
        <v>2013</v>
      </c>
      <c r="H1857" s="341" t="s">
        <v>734</v>
      </c>
      <c r="I1857" s="337" t="str">
        <f t="shared" si="83"/>
        <v>Pesado de Passageiros M3: I : Gasóleo : E5</v>
      </c>
      <c r="J1857" s="125">
        <v>24</v>
      </c>
      <c r="K1857" s="264">
        <v>2022</v>
      </c>
      <c r="L1857" s="85">
        <v>12249.68</v>
      </c>
      <c r="M1857" s="85" t="s">
        <v>630</v>
      </c>
      <c r="N1857" s="128">
        <v>58993</v>
      </c>
      <c r="O1857" s="128">
        <f t="shared" si="82"/>
        <v>1415832</v>
      </c>
      <c r="Q1857" t="s">
        <v>47</v>
      </c>
      <c r="R1857" s="220" t="s">
        <v>1888</v>
      </c>
      <c r="S1857" s="220" t="s">
        <v>1861</v>
      </c>
      <c r="T1857" t="s">
        <v>2505</v>
      </c>
      <c r="U1857" t="s">
        <v>1972</v>
      </c>
      <c r="V1857" t="s">
        <v>2832</v>
      </c>
    </row>
    <row r="1858" spans="1:22" ht="15.75" thickBot="1" x14ac:dyDescent="0.3">
      <c r="A1858" t="s">
        <v>4688</v>
      </c>
      <c r="B1858" t="s">
        <v>4688</v>
      </c>
      <c r="C1858" t="s">
        <v>4688</v>
      </c>
      <c r="D1858" t="s">
        <v>629</v>
      </c>
      <c r="E1858" s="259" t="s">
        <v>1970</v>
      </c>
      <c r="F1858" t="s">
        <v>620</v>
      </c>
      <c r="G1858" s="89">
        <v>2020</v>
      </c>
      <c r="H1858" s="341" t="s">
        <v>733</v>
      </c>
      <c r="I1858" s="337" t="str">
        <f t="shared" si="83"/>
        <v>Pesado de Passageiros M3: I : Gasóleo : E6</v>
      </c>
      <c r="J1858" s="125">
        <v>26</v>
      </c>
      <c r="K1858" s="264">
        <v>2022</v>
      </c>
      <c r="L1858" s="85">
        <v>9457.3799999999992</v>
      </c>
      <c r="M1858" s="85" t="s">
        <v>630</v>
      </c>
      <c r="N1858" s="128">
        <v>48622</v>
      </c>
      <c r="O1858" s="128">
        <f t="shared" si="82"/>
        <v>1264172</v>
      </c>
      <c r="Q1858" t="s">
        <v>47</v>
      </c>
      <c r="R1858" s="220" t="s">
        <v>1888</v>
      </c>
      <c r="S1858" s="220" t="s">
        <v>1861</v>
      </c>
      <c r="T1858" t="s">
        <v>2506</v>
      </c>
      <c r="U1858" t="s">
        <v>1972</v>
      </c>
      <c r="V1858" t="s">
        <v>2832</v>
      </c>
    </row>
    <row r="1859" spans="1:22" ht="15.75" thickBot="1" x14ac:dyDescent="0.3">
      <c r="A1859" t="s">
        <v>4688</v>
      </c>
      <c r="B1859" t="s">
        <v>4688</v>
      </c>
      <c r="C1859" t="s">
        <v>4688</v>
      </c>
      <c r="D1859" t="s">
        <v>629</v>
      </c>
      <c r="E1859" s="259" t="s">
        <v>1970</v>
      </c>
      <c r="F1859" t="s">
        <v>620</v>
      </c>
      <c r="G1859" s="89">
        <v>2020</v>
      </c>
      <c r="H1859" s="341" t="s">
        <v>733</v>
      </c>
      <c r="I1859" s="337" t="str">
        <f t="shared" si="83"/>
        <v>Pesado de Passageiros M3: I : Gasóleo : E6</v>
      </c>
      <c r="J1859" s="125">
        <v>26</v>
      </c>
      <c r="K1859" s="264">
        <v>2022</v>
      </c>
      <c r="L1859" s="85">
        <v>6384.2899999999991</v>
      </c>
      <c r="M1859" s="85" t="s">
        <v>630</v>
      </c>
      <c r="N1859" s="128">
        <v>35657</v>
      </c>
      <c r="O1859" s="128">
        <f t="shared" si="82"/>
        <v>927082</v>
      </c>
      <c r="Q1859" t="s">
        <v>47</v>
      </c>
      <c r="R1859" s="220" t="s">
        <v>1888</v>
      </c>
      <c r="S1859" s="220" t="s">
        <v>1861</v>
      </c>
      <c r="T1859" t="s">
        <v>2507</v>
      </c>
      <c r="U1859" t="s">
        <v>1972</v>
      </c>
      <c r="V1859" t="s">
        <v>2832</v>
      </c>
    </row>
    <row r="1860" spans="1:22" ht="15.75" thickBot="1" x14ac:dyDescent="0.3">
      <c r="A1860" t="s">
        <v>4688</v>
      </c>
      <c r="B1860" t="s">
        <v>4688</v>
      </c>
      <c r="C1860" t="s">
        <v>4688</v>
      </c>
      <c r="D1860" t="s">
        <v>629</v>
      </c>
      <c r="E1860" s="259" t="s">
        <v>1970</v>
      </c>
      <c r="F1860" t="s">
        <v>620</v>
      </c>
      <c r="G1860" s="89">
        <v>2018</v>
      </c>
      <c r="H1860" s="341" t="s">
        <v>733</v>
      </c>
      <c r="I1860" s="337" t="str">
        <f t="shared" ref="I1860:I1923" si="84">D1860&amp;": "&amp;E1860&amp;" : "&amp;F1860&amp;" : "&amp;H1860</f>
        <v>Pesado de Passageiros M3: I : Gasóleo : E6</v>
      </c>
      <c r="J1860" s="125">
        <v>26</v>
      </c>
      <c r="K1860" s="264">
        <v>2022</v>
      </c>
      <c r="L1860" s="85">
        <v>11669.57</v>
      </c>
      <c r="M1860" s="85" t="s">
        <v>630</v>
      </c>
      <c r="N1860" s="128">
        <v>60465</v>
      </c>
      <c r="O1860" s="128">
        <f t="shared" ref="O1860:O1923" si="85">N1860*J1860</f>
        <v>1572090</v>
      </c>
      <c r="Q1860" t="s">
        <v>47</v>
      </c>
      <c r="R1860" s="220" t="s">
        <v>1888</v>
      </c>
      <c r="S1860" s="220" t="s">
        <v>1861</v>
      </c>
      <c r="T1860" t="s">
        <v>2508</v>
      </c>
      <c r="U1860" t="s">
        <v>1972</v>
      </c>
      <c r="V1860" t="s">
        <v>2832</v>
      </c>
    </row>
    <row r="1861" spans="1:22" ht="15.75" thickBot="1" x14ac:dyDescent="0.3">
      <c r="A1861" t="s">
        <v>4688</v>
      </c>
      <c r="B1861" t="s">
        <v>4688</v>
      </c>
      <c r="C1861" t="s">
        <v>4688</v>
      </c>
      <c r="D1861" t="s">
        <v>629</v>
      </c>
      <c r="E1861" s="259" t="s">
        <v>1970</v>
      </c>
      <c r="F1861" t="s">
        <v>620</v>
      </c>
      <c r="G1861" s="89">
        <v>2018</v>
      </c>
      <c r="H1861" s="341" t="s">
        <v>733</v>
      </c>
      <c r="I1861" s="337" t="str">
        <f t="shared" si="84"/>
        <v>Pesado de Passageiros M3: I : Gasóleo : E6</v>
      </c>
      <c r="J1861" s="125">
        <v>26</v>
      </c>
      <c r="K1861" s="264">
        <v>2022</v>
      </c>
      <c r="L1861" s="85">
        <v>12807.63</v>
      </c>
      <c r="M1861" s="85" t="s">
        <v>630</v>
      </c>
      <c r="N1861" s="128">
        <v>65326</v>
      </c>
      <c r="O1861" s="128">
        <f t="shared" si="85"/>
        <v>1698476</v>
      </c>
      <c r="Q1861" t="s">
        <v>47</v>
      </c>
      <c r="R1861" s="220" t="s">
        <v>1888</v>
      </c>
      <c r="S1861" s="220" t="s">
        <v>1861</v>
      </c>
      <c r="T1861" t="s">
        <v>2509</v>
      </c>
      <c r="U1861" t="s">
        <v>1972</v>
      </c>
      <c r="V1861" t="s">
        <v>2832</v>
      </c>
    </row>
    <row r="1862" spans="1:22" ht="15.75" thickBot="1" x14ac:dyDescent="0.3">
      <c r="A1862" t="s">
        <v>4688</v>
      </c>
      <c r="B1862" t="s">
        <v>4688</v>
      </c>
      <c r="C1862" t="s">
        <v>4688</v>
      </c>
      <c r="D1862" t="s">
        <v>629</v>
      </c>
      <c r="E1862" s="259" t="s">
        <v>1970</v>
      </c>
      <c r="F1862" t="s">
        <v>620</v>
      </c>
      <c r="G1862" s="89">
        <v>2018</v>
      </c>
      <c r="H1862" s="341" t="s">
        <v>733</v>
      </c>
      <c r="I1862" s="337" t="str">
        <f t="shared" si="84"/>
        <v>Pesado de Passageiros M3: I : Gasóleo : E6</v>
      </c>
      <c r="J1862" s="125">
        <v>26</v>
      </c>
      <c r="K1862" s="264">
        <v>2022</v>
      </c>
      <c r="L1862" s="85">
        <v>11861.87</v>
      </c>
      <c r="M1862" s="85" t="s">
        <v>630</v>
      </c>
      <c r="N1862" s="128">
        <v>62840</v>
      </c>
      <c r="O1862" s="128">
        <f t="shared" si="85"/>
        <v>1633840</v>
      </c>
      <c r="Q1862" t="s">
        <v>47</v>
      </c>
      <c r="R1862" s="220" t="s">
        <v>1888</v>
      </c>
      <c r="S1862" s="220" t="s">
        <v>1861</v>
      </c>
      <c r="T1862" t="s">
        <v>2510</v>
      </c>
      <c r="U1862" t="s">
        <v>1972</v>
      </c>
      <c r="V1862" t="s">
        <v>2832</v>
      </c>
    </row>
    <row r="1863" spans="1:22" ht="15.75" thickBot="1" x14ac:dyDescent="0.3">
      <c r="A1863" t="s">
        <v>4688</v>
      </c>
      <c r="B1863" t="s">
        <v>4688</v>
      </c>
      <c r="C1863" t="s">
        <v>4688</v>
      </c>
      <c r="D1863" t="s">
        <v>629</v>
      </c>
      <c r="E1863" s="259" t="s">
        <v>1970</v>
      </c>
      <c r="F1863" t="s">
        <v>620</v>
      </c>
      <c r="G1863" s="89">
        <v>2018</v>
      </c>
      <c r="H1863" s="341" t="s">
        <v>733</v>
      </c>
      <c r="I1863" s="337" t="str">
        <f t="shared" si="84"/>
        <v>Pesado de Passageiros M3: I : Gasóleo : E6</v>
      </c>
      <c r="J1863" s="125">
        <v>26</v>
      </c>
      <c r="K1863" s="264">
        <v>2022</v>
      </c>
      <c r="L1863" s="85">
        <v>11048.970000000001</v>
      </c>
      <c r="M1863" s="85" t="s">
        <v>630</v>
      </c>
      <c r="N1863" s="128">
        <v>55876</v>
      </c>
      <c r="O1863" s="128">
        <f t="shared" si="85"/>
        <v>1452776</v>
      </c>
      <c r="Q1863" t="s">
        <v>47</v>
      </c>
      <c r="R1863" s="220" t="s">
        <v>1888</v>
      </c>
      <c r="S1863" s="220" t="s">
        <v>1861</v>
      </c>
      <c r="T1863" t="s">
        <v>2511</v>
      </c>
      <c r="U1863" t="s">
        <v>1972</v>
      </c>
      <c r="V1863" t="s">
        <v>2832</v>
      </c>
    </row>
    <row r="1864" spans="1:22" ht="15.75" thickBot="1" x14ac:dyDescent="0.3">
      <c r="A1864" t="s">
        <v>4689</v>
      </c>
      <c r="B1864" t="s">
        <v>4689</v>
      </c>
      <c r="C1864" t="s">
        <v>4689</v>
      </c>
      <c r="D1864" t="s">
        <v>629</v>
      </c>
      <c r="E1864" s="259" t="s">
        <v>1970</v>
      </c>
      <c r="F1864" t="s">
        <v>620</v>
      </c>
      <c r="G1864" s="89">
        <v>2013</v>
      </c>
      <c r="H1864" s="341" t="s">
        <v>734</v>
      </c>
      <c r="I1864" s="337" t="str">
        <f t="shared" si="84"/>
        <v>Pesado de Passageiros M3: I : Gasóleo : E5</v>
      </c>
      <c r="J1864" s="125">
        <v>24</v>
      </c>
      <c r="K1864" s="264">
        <v>2022</v>
      </c>
      <c r="L1864" s="85">
        <v>5896.24</v>
      </c>
      <c r="M1864" s="85" t="s">
        <v>630</v>
      </c>
      <c r="N1864" s="128">
        <v>31336</v>
      </c>
      <c r="O1864" s="128">
        <f t="shared" si="85"/>
        <v>752064</v>
      </c>
      <c r="Q1864" t="s">
        <v>47</v>
      </c>
      <c r="R1864" s="220" t="s">
        <v>1888</v>
      </c>
      <c r="S1864" s="220" t="s">
        <v>1861</v>
      </c>
      <c r="T1864" t="s">
        <v>2512</v>
      </c>
      <c r="U1864" t="s">
        <v>1972</v>
      </c>
      <c r="V1864" t="s">
        <v>2832</v>
      </c>
    </row>
    <row r="1865" spans="1:22" ht="15.75" thickBot="1" x14ac:dyDescent="0.3">
      <c r="A1865" t="s">
        <v>4689</v>
      </c>
      <c r="B1865" t="s">
        <v>4689</v>
      </c>
      <c r="C1865" t="s">
        <v>4689</v>
      </c>
      <c r="D1865" t="s">
        <v>629</v>
      </c>
      <c r="E1865" s="259" t="s">
        <v>1970</v>
      </c>
      <c r="F1865" t="s">
        <v>620</v>
      </c>
      <c r="G1865" s="89">
        <v>2013</v>
      </c>
      <c r="H1865" s="341" t="s">
        <v>734</v>
      </c>
      <c r="I1865" s="337" t="str">
        <f t="shared" si="84"/>
        <v>Pesado de Passageiros M3: I : Gasóleo : E5</v>
      </c>
      <c r="J1865" s="125">
        <v>24</v>
      </c>
      <c r="K1865" s="264">
        <v>2022</v>
      </c>
      <c r="L1865" s="85">
        <v>6178.7900000000009</v>
      </c>
      <c r="M1865" s="85" t="s">
        <v>630</v>
      </c>
      <c r="N1865" s="128">
        <v>32477</v>
      </c>
      <c r="O1865" s="128">
        <f t="shared" si="85"/>
        <v>779448</v>
      </c>
      <c r="Q1865" t="s">
        <v>47</v>
      </c>
      <c r="R1865" s="220" t="s">
        <v>1888</v>
      </c>
      <c r="S1865" s="220" t="s">
        <v>1861</v>
      </c>
      <c r="T1865" t="s">
        <v>2513</v>
      </c>
      <c r="U1865" t="s">
        <v>1972</v>
      </c>
      <c r="V1865" t="s">
        <v>2832</v>
      </c>
    </row>
    <row r="1866" spans="1:22" ht="15.75" thickBot="1" x14ac:dyDescent="0.3">
      <c r="A1866" t="s">
        <v>4689</v>
      </c>
      <c r="B1866" t="s">
        <v>4689</v>
      </c>
      <c r="C1866" t="s">
        <v>4689</v>
      </c>
      <c r="D1866" t="s">
        <v>629</v>
      </c>
      <c r="E1866" s="259" t="s">
        <v>1970</v>
      </c>
      <c r="F1866" t="s">
        <v>620</v>
      </c>
      <c r="G1866" s="89">
        <v>2016</v>
      </c>
      <c r="H1866" s="341" t="s">
        <v>733</v>
      </c>
      <c r="I1866" s="337" t="str">
        <f t="shared" si="84"/>
        <v>Pesado de Passageiros M3: I : Gasóleo : E6</v>
      </c>
      <c r="J1866" s="125">
        <v>26</v>
      </c>
      <c r="K1866" s="264">
        <v>2022</v>
      </c>
      <c r="L1866" s="85">
        <v>5032.1000000000004</v>
      </c>
      <c r="M1866" s="85" t="s">
        <v>630</v>
      </c>
      <c r="N1866" s="128">
        <v>27963</v>
      </c>
      <c r="O1866" s="128">
        <f t="shared" si="85"/>
        <v>727038</v>
      </c>
      <c r="Q1866" t="s">
        <v>47</v>
      </c>
      <c r="R1866" s="220" t="s">
        <v>1888</v>
      </c>
      <c r="S1866" s="220" t="s">
        <v>1861</v>
      </c>
      <c r="T1866" t="s">
        <v>2514</v>
      </c>
      <c r="U1866" t="s">
        <v>1972</v>
      </c>
      <c r="V1866" t="s">
        <v>2832</v>
      </c>
    </row>
    <row r="1867" spans="1:22" ht="15.75" thickBot="1" x14ac:dyDescent="0.3">
      <c r="A1867" t="s">
        <v>4689</v>
      </c>
      <c r="B1867" t="s">
        <v>4689</v>
      </c>
      <c r="C1867" t="s">
        <v>4689</v>
      </c>
      <c r="D1867" t="s">
        <v>629</v>
      </c>
      <c r="E1867" s="259" t="s">
        <v>1970</v>
      </c>
      <c r="F1867" t="s">
        <v>620</v>
      </c>
      <c r="G1867" s="89">
        <v>2016</v>
      </c>
      <c r="H1867" s="341" t="s">
        <v>733</v>
      </c>
      <c r="I1867" s="337" t="str">
        <f t="shared" si="84"/>
        <v>Pesado de Passageiros M3: I : Gasóleo : E6</v>
      </c>
      <c r="J1867" s="125">
        <v>26</v>
      </c>
      <c r="K1867" s="264">
        <v>2022</v>
      </c>
      <c r="L1867" s="85">
        <v>7610.57</v>
      </c>
      <c r="M1867" s="85" t="s">
        <v>630</v>
      </c>
      <c r="N1867" s="128">
        <v>41209</v>
      </c>
      <c r="O1867" s="128">
        <f t="shared" si="85"/>
        <v>1071434</v>
      </c>
      <c r="Q1867" t="s">
        <v>47</v>
      </c>
      <c r="R1867" s="220" t="s">
        <v>1888</v>
      </c>
      <c r="S1867" s="220" t="s">
        <v>1861</v>
      </c>
      <c r="T1867" t="s">
        <v>2515</v>
      </c>
      <c r="U1867" t="s">
        <v>1972</v>
      </c>
      <c r="V1867" t="s">
        <v>2832</v>
      </c>
    </row>
    <row r="1868" spans="1:22" ht="15.75" thickBot="1" x14ac:dyDescent="0.3">
      <c r="A1868" t="s">
        <v>4689</v>
      </c>
      <c r="B1868" t="s">
        <v>4689</v>
      </c>
      <c r="C1868" t="s">
        <v>4689</v>
      </c>
      <c r="D1868" t="s">
        <v>629</v>
      </c>
      <c r="E1868" s="259" t="s">
        <v>1970</v>
      </c>
      <c r="F1868" t="s">
        <v>620</v>
      </c>
      <c r="G1868" s="89">
        <v>2017</v>
      </c>
      <c r="H1868" s="341" t="s">
        <v>733</v>
      </c>
      <c r="I1868" s="337" t="str">
        <f t="shared" si="84"/>
        <v>Pesado de Passageiros M3: I : Gasóleo : E6</v>
      </c>
      <c r="J1868" s="125">
        <v>16</v>
      </c>
      <c r="K1868" s="264">
        <v>2022</v>
      </c>
      <c r="L1868" s="85">
        <v>7227.8600000000006</v>
      </c>
      <c r="M1868" s="85" t="s">
        <v>630</v>
      </c>
      <c r="N1868" s="128">
        <v>41132</v>
      </c>
      <c r="O1868" s="128">
        <f t="shared" si="85"/>
        <v>658112</v>
      </c>
      <c r="Q1868" t="s">
        <v>47</v>
      </c>
      <c r="R1868" s="220" t="s">
        <v>1888</v>
      </c>
      <c r="S1868" s="220" t="s">
        <v>1861</v>
      </c>
      <c r="T1868" t="s">
        <v>2516</v>
      </c>
      <c r="U1868" t="s">
        <v>1972</v>
      </c>
      <c r="V1868" t="s">
        <v>2832</v>
      </c>
    </row>
    <row r="1869" spans="1:22" ht="15.75" thickBot="1" x14ac:dyDescent="0.3">
      <c r="A1869" t="s">
        <v>4689</v>
      </c>
      <c r="B1869" t="s">
        <v>4689</v>
      </c>
      <c r="C1869" t="s">
        <v>4689</v>
      </c>
      <c r="D1869" t="s">
        <v>629</v>
      </c>
      <c r="E1869" s="259" t="s">
        <v>1970</v>
      </c>
      <c r="F1869" t="s">
        <v>620</v>
      </c>
      <c r="G1869" s="89">
        <v>2017</v>
      </c>
      <c r="H1869" s="341" t="s">
        <v>733</v>
      </c>
      <c r="I1869" s="337" t="str">
        <f t="shared" si="84"/>
        <v>Pesado de Passageiros M3: I : Gasóleo : E6</v>
      </c>
      <c r="J1869" s="125">
        <v>16</v>
      </c>
      <c r="K1869" s="264">
        <v>2022</v>
      </c>
      <c r="L1869" s="85">
        <v>7906.01</v>
      </c>
      <c r="M1869" s="85" t="s">
        <v>630</v>
      </c>
      <c r="N1869" s="128">
        <v>44656</v>
      </c>
      <c r="O1869" s="128">
        <f t="shared" si="85"/>
        <v>714496</v>
      </c>
      <c r="Q1869" t="s">
        <v>47</v>
      </c>
      <c r="R1869" s="220" t="s">
        <v>1888</v>
      </c>
      <c r="S1869" s="220" t="s">
        <v>1861</v>
      </c>
      <c r="T1869" t="s">
        <v>2517</v>
      </c>
      <c r="U1869" t="s">
        <v>1972</v>
      </c>
      <c r="V1869" t="s">
        <v>2832</v>
      </c>
    </row>
    <row r="1870" spans="1:22" ht="15.75" thickBot="1" x14ac:dyDescent="0.3">
      <c r="A1870" t="s">
        <v>4689</v>
      </c>
      <c r="B1870" t="s">
        <v>4689</v>
      </c>
      <c r="C1870" t="s">
        <v>4689</v>
      </c>
      <c r="D1870" t="s">
        <v>629</v>
      </c>
      <c r="E1870" s="259" t="s">
        <v>1970</v>
      </c>
      <c r="F1870" t="s">
        <v>620</v>
      </c>
      <c r="G1870" s="89">
        <v>2018</v>
      </c>
      <c r="H1870" s="341" t="s">
        <v>733</v>
      </c>
      <c r="I1870" s="337" t="str">
        <f t="shared" si="84"/>
        <v>Pesado de Passageiros M3: I : Gasóleo : E6</v>
      </c>
      <c r="J1870" s="125">
        <v>16</v>
      </c>
      <c r="K1870" s="264">
        <v>2022</v>
      </c>
      <c r="L1870" s="85">
        <v>9771.9399999999987</v>
      </c>
      <c r="M1870" s="85" t="s">
        <v>630</v>
      </c>
      <c r="N1870" s="128">
        <v>54872</v>
      </c>
      <c r="O1870" s="128">
        <f t="shared" si="85"/>
        <v>877952</v>
      </c>
      <c r="Q1870" t="s">
        <v>47</v>
      </c>
      <c r="R1870" s="220" t="s">
        <v>1888</v>
      </c>
      <c r="S1870" s="220" t="s">
        <v>1861</v>
      </c>
      <c r="T1870" t="s">
        <v>2518</v>
      </c>
      <c r="U1870" t="s">
        <v>1972</v>
      </c>
      <c r="V1870" t="s">
        <v>2832</v>
      </c>
    </row>
    <row r="1871" spans="1:22" ht="15.75" thickBot="1" x14ac:dyDescent="0.3">
      <c r="A1871" t="s">
        <v>4689</v>
      </c>
      <c r="B1871" t="s">
        <v>4689</v>
      </c>
      <c r="C1871" t="s">
        <v>4689</v>
      </c>
      <c r="D1871" t="s">
        <v>629</v>
      </c>
      <c r="E1871" s="259" t="s">
        <v>1970</v>
      </c>
      <c r="F1871" t="s">
        <v>620</v>
      </c>
      <c r="G1871" s="89">
        <v>2018</v>
      </c>
      <c r="H1871" s="341" t="s">
        <v>733</v>
      </c>
      <c r="I1871" s="337" t="str">
        <f t="shared" si="84"/>
        <v>Pesado de Passageiros M3: I : Gasóleo : E6</v>
      </c>
      <c r="J1871" s="125">
        <v>16</v>
      </c>
      <c r="K1871" s="264">
        <v>2022</v>
      </c>
      <c r="L1871" s="85">
        <v>8436.7999999999993</v>
      </c>
      <c r="M1871" s="85" t="s">
        <v>630</v>
      </c>
      <c r="N1871" s="128">
        <v>47904</v>
      </c>
      <c r="O1871" s="128">
        <f t="shared" si="85"/>
        <v>766464</v>
      </c>
      <c r="Q1871" t="s">
        <v>47</v>
      </c>
      <c r="R1871" s="220" t="s">
        <v>1888</v>
      </c>
      <c r="S1871" s="220" t="s">
        <v>1861</v>
      </c>
      <c r="T1871" t="s">
        <v>2519</v>
      </c>
      <c r="U1871" t="s">
        <v>1972</v>
      </c>
      <c r="V1871" t="s">
        <v>2832</v>
      </c>
    </row>
    <row r="1872" spans="1:22" ht="15.75" thickBot="1" x14ac:dyDescent="0.3">
      <c r="A1872" t="s">
        <v>4689</v>
      </c>
      <c r="B1872" t="s">
        <v>4689</v>
      </c>
      <c r="C1872" t="s">
        <v>4689</v>
      </c>
      <c r="D1872" t="s">
        <v>629</v>
      </c>
      <c r="E1872" s="259" t="s">
        <v>1970</v>
      </c>
      <c r="F1872" t="s">
        <v>620</v>
      </c>
      <c r="G1872" s="89">
        <v>2018</v>
      </c>
      <c r="H1872" s="341" t="s">
        <v>733</v>
      </c>
      <c r="I1872" s="337" t="str">
        <f t="shared" si="84"/>
        <v>Pesado de Passageiros M3: I : Gasóleo : E6</v>
      </c>
      <c r="J1872" s="125">
        <v>16</v>
      </c>
      <c r="K1872" s="264">
        <v>2022</v>
      </c>
      <c r="L1872" s="85">
        <v>9199.9599999999991</v>
      </c>
      <c r="M1872" s="85" t="s">
        <v>630</v>
      </c>
      <c r="N1872" s="128">
        <v>51409</v>
      </c>
      <c r="O1872" s="128">
        <f t="shared" si="85"/>
        <v>822544</v>
      </c>
      <c r="Q1872" t="s">
        <v>47</v>
      </c>
      <c r="R1872" s="220" t="s">
        <v>1888</v>
      </c>
      <c r="S1872" s="220" t="s">
        <v>1861</v>
      </c>
      <c r="T1872" t="s">
        <v>2520</v>
      </c>
      <c r="U1872" t="s">
        <v>1972</v>
      </c>
      <c r="V1872" t="s">
        <v>2832</v>
      </c>
    </row>
    <row r="1873" spans="1:22" ht="15.75" thickBot="1" x14ac:dyDescent="0.3">
      <c r="A1873" t="s">
        <v>4689</v>
      </c>
      <c r="B1873" t="s">
        <v>4689</v>
      </c>
      <c r="C1873" t="s">
        <v>4689</v>
      </c>
      <c r="D1873" t="s">
        <v>629</v>
      </c>
      <c r="E1873" s="259" t="s">
        <v>1970</v>
      </c>
      <c r="F1873" t="s">
        <v>620</v>
      </c>
      <c r="G1873" s="89">
        <v>2019</v>
      </c>
      <c r="H1873" s="341" t="s">
        <v>733</v>
      </c>
      <c r="I1873" s="337" t="str">
        <f t="shared" si="84"/>
        <v>Pesado de Passageiros M3: I : Gasóleo : E6</v>
      </c>
      <c r="J1873" s="125">
        <v>35</v>
      </c>
      <c r="K1873" s="264">
        <v>2022</v>
      </c>
      <c r="L1873" s="85">
        <v>5087.62</v>
      </c>
      <c r="M1873" s="85" t="s">
        <v>630</v>
      </c>
      <c r="N1873" s="128">
        <v>13072</v>
      </c>
      <c r="O1873" s="128">
        <f t="shared" si="85"/>
        <v>457520</v>
      </c>
      <c r="Q1873" t="s">
        <v>47</v>
      </c>
      <c r="R1873" s="220" t="s">
        <v>1888</v>
      </c>
      <c r="S1873" s="220" t="s">
        <v>1861</v>
      </c>
      <c r="T1873" t="s">
        <v>2521</v>
      </c>
      <c r="U1873" t="s">
        <v>1972</v>
      </c>
      <c r="V1873" t="s">
        <v>2832</v>
      </c>
    </row>
    <row r="1874" spans="1:22" ht="15.75" thickBot="1" x14ac:dyDescent="0.3">
      <c r="A1874" t="s">
        <v>4689</v>
      </c>
      <c r="B1874" t="s">
        <v>4689</v>
      </c>
      <c r="C1874" t="s">
        <v>4689</v>
      </c>
      <c r="D1874" t="s">
        <v>629</v>
      </c>
      <c r="E1874" s="259" t="s">
        <v>1970</v>
      </c>
      <c r="F1874" t="s">
        <v>620</v>
      </c>
      <c r="G1874" s="89">
        <v>2019</v>
      </c>
      <c r="H1874" s="341" t="s">
        <v>733</v>
      </c>
      <c r="I1874" s="337" t="str">
        <f t="shared" si="84"/>
        <v>Pesado de Passageiros M3: I : Gasóleo : E6</v>
      </c>
      <c r="J1874" s="125">
        <v>35</v>
      </c>
      <c r="K1874" s="264">
        <v>2022</v>
      </c>
      <c r="L1874" s="85">
        <v>7775.51</v>
      </c>
      <c r="M1874" s="85" t="s">
        <v>630</v>
      </c>
      <c r="N1874" s="128">
        <v>22021</v>
      </c>
      <c r="O1874" s="128">
        <f t="shared" si="85"/>
        <v>770735</v>
      </c>
      <c r="Q1874" t="s">
        <v>47</v>
      </c>
      <c r="R1874" s="220" t="s">
        <v>1888</v>
      </c>
      <c r="S1874" s="220" t="s">
        <v>1861</v>
      </c>
      <c r="T1874" t="s">
        <v>2522</v>
      </c>
      <c r="U1874" t="s">
        <v>1972</v>
      </c>
      <c r="V1874" t="s">
        <v>2832</v>
      </c>
    </row>
    <row r="1875" spans="1:22" ht="15.75" thickBot="1" x14ac:dyDescent="0.3">
      <c r="A1875" t="s">
        <v>4689</v>
      </c>
      <c r="B1875" t="s">
        <v>4689</v>
      </c>
      <c r="C1875" t="s">
        <v>4689</v>
      </c>
      <c r="D1875" t="s">
        <v>629</v>
      </c>
      <c r="E1875" s="259" t="s">
        <v>1970</v>
      </c>
      <c r="F1875" t="s">
        <v>620</v>
      </c>
      <c r="G1875" s="89">
        <v>2019</v>
      </c>
      <c r="H1875" s="341" t="s">
        <v>733</v>
      </c>
      <c r="I1875" s="337" t="str">
        <f t="shared" si="84"/>
        <v>Pesado de Passageiros M3: I : Gasóleo : E6</v>
      </c>
      <c r="J1875" s="125">
        <v>35</v>
      </c>
      <c r="K1875" s="264">
        <v>2022</v>
      </c>
      <c r="L1875" s="85">
        <v>3898.6000000000004</v>
      </c>
      <c r="M1875" s="85" t="s">
        <v>630</v>
      </c>
      <c r="N1875" s="128">
        <v>10328</v>
      </c>
      <c r="O1875" s="128">
        <f t="shared" si="85"/>
        <v>361480</v>
      </c>
      <c r="Q1875" t="s">
        <v>47</v>
      </c>
      <c r="R1875" s="220" t="s">
        <v>1888</v>
      </c>
      <c r="S1875" s="220" t="s">
        <v>1861</v>
      </c>
      <c r="T1875" t="s">
        <v>2523</v>
      </c>
      <c r="U1875" t="s">
        <v>1972</v>
      </c>
      <c r="V1875" t="s">
        <v>2832</v>
      </c>
    </row>
    <row r="1876" spans="1:22" ht="15.75" thickBot="1" x14ac:dyDescent="0.3">
      <c r="A1876" t="s">
        <v>4689</v>
      </c>
      <c r="B1876" t="s">
        <v>4689</v>
      </c>
      <c r="C1876" t="s">
        <v>4689</v>
      </c>
      <c r="D1876" t="s">
        <v>629</v>
      </c>
      <c r="E1876" s="259" t="s">
        <v>1970</v>
      </c>
      <c r="F1876" t="s">
        <v>620</v>
      </c>
      <c r="G1876" s="89">
        <v>2019</v>
      </c>
      <c r="H1876" s="341" t="s">
        <v>733</v>
      </c>
      <c r="I1876" s="337" t="str">
        <f t="shared" si="84"/>
        <v>Pesado de Passageiros M3: I : Gasóleo : E6</v>
      </c>
      <c r="J1876" s="125">
        <v>26</v>
      </c>
      <c r="K1876" s="264">
        <v>2022</v>
      </c>
      <c r="L1876" s="85">
        <v>15180.149999999998</v>
      </c>
      <c r="M1876" s="85" t="s">
        <v>630</v>
      </c>
      <c r="N1876" s="128">
        <v>48191</v>
      </c>
      <c r="O1876" s="128">
        <f t="shared" si="85"/>
        <v>1252966</v>
      </c>
      <c r="Q1876" t="s">
        <v>47</v>
      </c>
      <c r="R1876" s="220" t="s">
        <v>1888</v>
      </c>
      <c r="S1876" s="220" t="s">
        <v>1861</v>
      </c>
      <c r="T1876" t="s">
        <v>2524</v>
      </c>
      <c r="U1876" t="s">
        <v>1972</v>
      </c>
      <c r="V1876" t="s">
        <v>2832</v>
      </c>
    </row>
    <row r="1877" spans="1:22" ht="15.75" thickBot="1" x14ac:dyDescent="0.3">
      <c r="A1877" t="s">
        <v>4689</v>
      </c>
      <c r="B1877" t="s">
        <v>4689</v>
      </c>
      <c r="C1877" t="s">
        <v>4689</v>
      </c>
      <c r="D1877" t="s">
        <v>629</v>
      </c>
      <c r="E1877" s="259" t="s">
        <v>1970</v>
      </c>
      <c r="F1877" t="s">
        <v>620</v>
      </c>
      <c r="G1877" s="89">
        <v>2019</v>
      </c>
      <c r="H1877" s="341" t="s">
        <v>733</v>
      </c>
      <c r="I1877" s="337" t="str">
        <f t="shared" si="84"/>
        <v>Pesado de Passageiros M3: I : Gasóleo : E6</v>
      </c>
      <c r="J1877" s="125">
        <v>26</v>
      </c>
      <c r="K1877" s="264">
        <v>2022</v>
      </c>
      <c r="L1877" s="85">
        <v>17923.629999999997</v>
      </c>
      <c r="M1877" s="85" t="s">
        <v>630</v>
      </c>
      <c r="N1877" s="128">
        <v>55435</v>
      </c>
      <c r="O1877" s="128">
        <f t="shared" si="85"/>
        <v>1441310</v>
      </c>
      <c r="Q1877" t="s">
        <v>47</v>
      </c>
      <c r="R1877" s="220" t="s">
        <v>1888</v>
      </c>
      <c r="S1877" s="220" t="s">
        <v>1861</v>
      </c>
      <c r="T1877" t="s">
        <v>2525</v>
      </c>
      <c r="U1877" t="s">
        <v>1972</v>
      </c>
      <c r="V1877" t="s">
        <v>2832</v>
      </c>
    </row>
    <row r="1878" spans="1:22" ht="15.75" thickBot="1" x14ac:dyDescent="0.3">
      <c r="A1878" t="s">
        <v>4689</v>
      </c>
      <c r="B1878" t="s">
        <v>4689</v>
      </c>
      <c r="C1878" t="s">
        <v>4689</v>
      </c>
      <c r="D1878" t="s">
        <v>629</v>
      </c>
      <c r="E1878" s="259" t="s">
        <v>1970</v>
      </c>
      <c r="F1878" t="s">
        <v>620</v>
      </c>
      <c r="G1878" s="89">
        <v>2019</v>
      </c>
      <c r="H1878" s="341" t="s">
        <v>733</v>
      </c>
      <c r="I1878" s="337" t="str">
        <f t="shared" si="84"/>
        <v>Pesado de Passageiros M3: I : Gasóleo : E6</v>
      </c>
      <c r="J1878" s="125">
        <v>26</v>
      </c>
      <c r="K1878" s="264">
        <v>2022</v>
      </c>
      <c r="L1878" s="85">
        <v>18815.52</v>
      </c>
      <c r="M1878" s="85" t="s">
        <v>630</v>
      </c>
      <c r="N1878" s="128">
        <v>59428</v>
      </c>
      <c r="O1878" s="128">
        <f t="shared" si="85"/>
        <v>1545128</v>
      </c>
      <c r="Q1878" t="s">
        <v>47</v>
      </c>
      <c r="R1878" s="220" t="s">
        <v>1888</v>
      </c>
      <c r="S1878" s="220" t="s">
        <v>1861</v>
      </c>
      <c r="T1878" t="s">
        <v>2526</v>
      </c>
      <c r="U1878" t="s">
        <v>1972</v>
      </c>
      <c r="V1878" t="s">
        <v>2832</v>
      </c>
    </row>
    <row r="1879" spans="1:22" ht="15.75" thickBot="1" x14ac:dyDescent="0.3">
      <c r="A1879" t="s">
        <v>4689</v>
      </c>
      <c r="B1879" t="s">
        <v>4689</v>
      </c>
      <c r="C1879" t="s">
        <v>4689</v>
      </c>
      <c r="D1879" t="s">
        <v>629</v>
      </c>
      <c r="E1879" s="259" t="s">
        <v>1970</v>
      </c>
      <c r="F1879" t="s">
        <v>620</v>
      </c>
      <c r="G1879" s="89">
        <v>2019</v>
      </c>
      <c r="H1879" s="341" t="s">
        <v>733</v>
      </c>
      <c r="I1879" s="337" t="str">
        <f t="shared" si="84"/>
        <v>Pesado de Passageiros M3: I : Gasóleo : E6</v>
      </c>
      <c r="J1879" s="125">
        <v>26</v>
      </c>
      <c r="K1879" s="264">
        <v>2022</v>
      </c>
      <c r="L1879" s="85">
        <v>17652.78</v>
      </c>
      <c r="M1879" s="85" t="s">
        <v>630</v>
      </c>
      <c r="N1879" s="128">
        <v>57773</v>
      </c>
      <c r="O1879" s="128">
        <f t="shared" si="85"/>
        <v>1502098</v>
      </c>
      <c r="Q1879" t="s">
        <v>47</v>
      </c>
      <c r="R1879" s="220" t="s">
        <v>1888</v>
      </c>
      <c r="S1879" s="220" t="s">
        <v>1861</v>
      </c>
      <c r="T1879" t="s">
        <v>2527</v>
      </c>
      <c r="U1879" t="s">
        <v>1972</v>
      </c>
      <c r="V1879" t="s">
        <v>2832</v>
      </c>
    </row>
    <row r="1880" spans="1:22" ht="15.75" thickBot="1" x14ac:dyDescent="0.3">
      <c r="A1880" t="s">
        <v>4689</v>
      </c>
      <c r="B1880" t="s">
        <v>4689</v>
      </c>
      <c r="C1880" t="s">
        <v>4689</v>
      </c>
      <c r="D1880" t="s">
        <v>629</v>
      </c>
      <c r="E1880" s="259" t="s">
        <v>1970</v>
      </c>
      <c r="F1880" t="s">
        <v>620</v>
      </c>
      <c r="G1880" s="89">
        <v>2019</v>
      </c>
      <c r="H1880" s="341" t="s">
        <v>733</v>
      </c>
      <c r="I1880" s="337" t="str">
        <f t="shared" si="84"/>
        <v>Pesado de Passageiros M3: I : Gasóleo : E6</v>
      </c>
      <c r="J1880" s="125">
        <v>26</v>
      </c>
      <c r="K1880" s="264">
        <v>2022</v>
      </c>
      <c r="L1880" s="85">
        <v>15612.32</v>
      </c>
      <c r="M1880" s="85" t="s">
        <v>630</v>
      </c>
      <c r="N1880" s="128">
        <v>49202</v>
      </c>
      <c r="O1880" s="128">
        <f t="shared" si="85"/>
        <v>1279252</v>
      </c>
      <c r="Q1880" t="s">
        <v>47</v>
      </c>
      <c r="R1880" s="220" t="s">
        <v>1888</v>
      </c>
      <c r="S1880" s="220" t="s">
        <v>1861</v>
      </c>
      <c r="T1880" t="s">
        <v>2528</v>
      </c>
      <c r="U1880" t="s">
        <v>1972</v>
      </c>
      <c r="V1880" t="s">
        <v>2832</v>
      </c>
    </row>
    <row r="1881" spans="1:22" ht="15.75" thickBot="1" x14ac:dyDescent="0.3">
      <c r="A1881" t="s">
        <v>4689</v>
      </c>
      <c r="B1881" t="s">
        <v>4689</v>
      </c>
      <c r="C1881" t="s">
        <v>4689</v>
      </c>
      <c r="D1881" t="s">
        <v>629</v>
      </c>
      <c r="E1881" s="259" t="s">
        <v>1970</v>
      </c>
      <c r="F1881" t="s">
        <v>620</v>
      </c>
      <c r="G1881" s="89">
        <v>2019</v>
      </c>
      <c r="H1881" s="341" t="s">
        <v>733</v>
      </c>
      <c r="I1881" s="337" t="str">
        <f t="shared" si="84"/>
        <v>Pesado de Passageiros M3: I : Gasóleo : E6</v>
      </c>
      <c r="J1881" s="125">
        <v>26</v>
      </c>
      <c r="K1881" s="264">
        <v>2022</v>
      </c>
      <c r="L1881" s="85">
        <v>17975.12</v>
      </c>
      <c r="M1881" s="85" t="s">
        <v>630</v>
      </c>
      <c r="N1881" s="128">
        <v>55416</v>
      </c>
      <c r="O1881" s="128">
        <f t="shared" si="85"/>
        <v>1440816</v>
      </c>
      <c r="Q1881" t="s">
        <v>47</v>
      </c>
      <c r="R1881" s="220" t="s">
        <v>1888</v>
      </c>
      <c r="S1881" s="220" t="s">
        <v>1861</v>
      </c>
      <c r="T1881" t="s">
        <v>2529</v>
      </c>
      <c r="U1881" t="s">
        <v>1972</v>
      </c>
      <c r="V1881" t="s">
        <v>2832</v>
      </c>
    </row>
    <row r="1882" spans="1:22" ht="15.75" thickBot="1" x14ac:dyDescent="0.3">
      <c r="A1882" t="s">
        <v>4689</v>
      </c>
      <c r="B1882" t="s">
        <v>4689</v>
      </c>
      <c r="C1882" t="s">
        <v>4689</v>
      </c>
      <c r="D1882" t="s">
        <v>629</v>
      </c>
      <c r="E1882" s="259" t="s">
        <v>1970</v>
      </c>
      <c r="F1882" t="s">
        <v>620</v>
      </c>
      <c r="G1882" s="89">
        <v>2019</v>
      </c>
      <c r="H1882" s="341" t="s">
        <v>733</v>
      </c>
      <c r="I1882" s="337" t="str">
        <f t="shared" si="84"/>
        <v>Pesado de Passageiros M3: I : Gasóleo : E6</v>
      </c>
      <c r="J1882" s="125">
        <v>26</v>
      </c>
      <c r="K1882" s="264">
        <v>2022</v>
      </c>
      <c r="L1882" s="85">
        <v>18498.93</v>
      </c>
      <c r="M1882" s="85" t="s">
        <v>630</v>
      </c>
      <c r="N1882" s="128">
        <v>58225</v>
      </c>
      <c r="O1882" s="128">
        <f t="shared" si="85"/>
        <v>1513850</v>
      </c>
      <c r="Q1882" t="s">
        <v>47</v>
      </c>
      <c r="R1882" s="220" t="s">
        <v>1888</v>
      </c>
      <c r="S1882" s="220" t="s">
        <v>1861</v>
      </c>
      <c r="T1882" t="s">
        <v>2530</v>
      </c>
      <c r="U1882" t="s">
        <v>1972</v>
      </c>
      <c r="V1882" t="s">
        <v>2832</v>
      </c>
    </row>
    <row r="1883" spans="1:22" ht="15.75" thickBot="1" x14ac:dyDescent="0.3">
      <c r="A1883" t="s">
        <v>4702</v>
      </c>
      <c r="B1883" t="s">
        <v>4702</v>
      </c>
      <c r="C1883" t="s">
        <v>4702</v>
      </c>
      <c r="D1883" t="s">
        <v>629</v>
      </c>
      <c r="E1883" s="259" t="s">
        <v>1970</v>
      </c>
      <c r="F1883" t="s">
        <v>620</v>
      </c>
      <c r="G1883" s="89">
        <v>2004</v>
      </c>
      <c r="H1883" s="341" t="s">
        <v>732</v>
      </c>
      <c r="I1883" s="337" t="str">
        <f t="shared" si="84"/>
        <v>Pesado de Passageiros M3: I : Gasóleo : E3</v>
      </c>
      <c r="J1883" s="125">
        <v>124</v>
      </c>
      <c r="K1883" s="264">
        <v>2022</v>
      </c>
      <c r="L1883" s="85">
        <v>11869.79</v>
      </c>
      <c r="M1883" s="85" t="s">
        <v>630</v>
      </c>
      <c r="N1883" s="128">
        <v>32483</v>
      </c>
      <c r="O1883" s="128">
        <f t="shared" si="85"/>
        <v>4027892</v>
      </c>
      <c r="Q1883" t="s">
        <v>47</v>
      </c>
      <c r="R1883" s="220" t="s">
        <v>1888</v>
      </c>
      <c r="S1883" s="220" t="s">
        <v>1861</v>
      </c>
      <c r="T1883" t="s">
        <v>2531</v>
      </c>
      <c r="U1883" t="s">
        <v>1972</v>
      </c>
      <c r="V1883" t="s">
        <v>2832</v>
      </c>
    </row>
    <row r="1884" spans="1:22" ht="15.75" thickBot="1" x14ac:dyDescent="0.3">
      <c r="A1884" t="s">
        <v>4702</v>
      </c>
      <c r="B1884" t="s">
        <v>4702</v>
      </c>
      <c r="C1884" t="s">
        <v>4702</v>
      </c>
      <c r="D1884" t="s">
        <v>629</v>
      </c>
      <c r="E1884" s="259" t="s">
        <v>1970</v>
      </c>
      <c r="F1884" t="s">
        <v>620</v>
      </c>
      <c r="G1884" s="89">
        <v>2004</v>
      </c>
      <c r="H1884" s="341" t="s">
        <v>732</v>
      </c>
      <c r="I1884" s="337" t="str">
        <f t="shared" si="84"/>
        <v>Pesado de Passageiros M3: I : Gasóleo : E3</v>
      </c>
      <c r="J1884" s="125">
        <v>72</v>
      </c>
      <c r="K1884" s="264">
        <v>2022</v>
      </c>
      <c r="L1884" s="85">
        <v>11131.04</v>
      </c>
      <c r="M1884" s="85" t="s">
        <v>630</v>
      </c>
      <c r="N1884" s="128">
        <v>31013</v>
      </c>
      <c r="O1884" s="128">
        <f t="shared" si="85"/>
        <v>2232936</v>
      </c>
      <c r="Q1884" t="s">
        <v>47</v>
      </c>
      <c r="R1884" s="220" t="s">
        <v>1888</v>
      </c>
      <c r="S1884" s="220" t="s">
        <v>1861</v>
      </c>
      <c r="T1884" t="s">
        <v>2532</v>
      </c>
      <c r="U1884" t="s">
        <v>1972</v>
      </c>
      <c r="V1884" t="s">
        <v>2832</v>
      </c>
    </row>
    <row r="1885" spans="1:22" ht="15.75" thickBot="1" x14ac:dyDescent="0.3">
      <c r="A1885" t="s">
        <v>4702</v>
      </c>
      <c r="B1885" t="s">
        <v>4702</v>
      </c>
      <c r="C1885" t="s">
        <v>4702</v>
      </c>
      <c r="D1885" t="s">
        <v>629</v>
      </c>
      <c r="E1885" s="259" t="s">
        <v>1970</v>
      </c>
      <c r="F1885" t="s">
        <v>620</v>
      </c>
      <c r="G1885" s="89">
        <v>2009</v>
      </c>
      <c r="H1885" s="341" t="s">
        <v>731</v>
      </c>
      <c r="I1885" s="337" t="str">
        <f t="shared" si="84"/>
        <v>Pesado de Passageiros M3: I : Gasóleo : E4</v>
      </c>
      <c r="J1885" s="125">
        <v>90</v>
      </c>
      <c r="K1885" s="264">
        <v>2022</v>
      </c>
      <c r="L1885" s="85">
        <v>2617.7600000000002</v>
      </c>
      <c r="M1885" s="85" t="s">
        <v>630</v>
      </c>
      <c r="N1885" s="128">
        <v>7630</v>
      </c>
      <c r="O1885" s="128">
        <f t="shared" si="85"/>
        <v>686700</v>
      </c>
      <c r="Q1885" t="s">
        <v>47</v>
      </c>
      <c r="R1885" s="220" t="s">
        <v>1888</v>
      </c>
      <c r="S1885" s="220" t="s">
        <v>1861</v>
      </c>
      <c r="T1885" t="s">
        <v>2533</v>
      </c>
      <c r="U1885" t="s">
        <v>1972</v>
      </c>
      <c r="V1885" t="s">
        <v>2832</v>
      </c>
    </row>
    <row r="1886" spans="1:22" ht="15.75" thickBot="1" x14ac:dyDescent="0.3">
      <c r="A1886" t="s">
        <v>4702</v>
      </c>
      <c r="B1886" t="s">
        <v>4702</v>
      </c>
      <c r="C1886" t="s">
        <v>4702</v>
      </c>
      <c r="D1886" t="s">
        <v>629</v>
      </c>
      <c r="E1886" s="259" t="s">
        <v>1970</v>
      </c>
      <c r="F1886" t="s">
        <v>620</v>
      </c>
      <c r="G1886" s="89">
        <v>2004</v>
      </c>
      <c r="H1886" s="341" t="s">
        <v>732</v>
      </c>
      <c r="I1886" s="337" t="str">
        <f t="shared" si="84"/>
        <v>Pesado de Passageiros M3: I : Gasóleo : E3</v>
      </c>
      <c r="J1886" s="125">
        <v>72</v>
      </c>
      <c r="K1886" s="264">
        <v>2022</v>
      </c>
      <c r="L1886" s="85">
        <v>7704.9800000000014</v>
      </c>
      <c r="M1886" s="85" t="s">
        <v>630</v>
      </c>
      <c r="N1886" s="128">
        <v>19648</v>
      </c>
      <c r="O1886" s="128">
        <f t="shared" si="85"/>
        <v>1414656</v>
      </c>
      <c r="Q1886" t="s">
        <v>47</v>
      </c>
      <c r="R1886" s="220" t="s">
        <v>1888</v>
      </c>
      <c r="S1886" s="220" t="s">
        <v>1861</v>
      </c>
      <c r="T1886" t="s">
        <v>2534</v>
      </c>
      <c r="U1886" t="s">
        <v>1972</v>
      </c>
      <c r="V1886" t="s">
        <v>2832</v>
      </c>
    </row>
    <row r="1887" spans="1:22" ht="15.75" thickBot="1" x14ac:dyDescent="0.3">
      <c r="A1887" t="s">
        <v>4702</v>
      </c>
      <c r="B1887" t="s">
        <v>4702</v>
      </c>
      <c r="C1887" t="s">
        <v>4702</v>
      </c>
      <c r="D1887" t="s">
        <v>629</v>
      </c>
      <c r="E1887" s="259" t="s">
        <v>1970</v>
      </c>
      <c r="F1887" t="s">
        <v>620</v>
      </c>
      <c r="G1887" s="89">
        <v>2003</v>
      </c>
      <c r="H1887" s="341" t="s">
        <v>732</v>
      </c>
      <c r="I1887" s="337" t="str">
        <f t="shared" si="84"/>
        <v>Pesado de Passageiros M3: I : Gasóleo : E3</v>
      </c>
      <c r="J1887" s="125">
        <v>81</v>
      </c>
      <c r="K1887" s="264">
        <v>2022</v>
      </c>
      <c r="L1887" s="85">
        <v>5498.6</v>
      </c>
      <c r="M1887" s="85" t="s">
        <v>630</v>
      </c>
      <c r="N1887" s="128">
        <v>12515</v>
      </c>
      <c r="O1887" s="128">
        <f t="shared" si="85"/>
        <v>1013715</v>
      </c>
      <c r="Q1887" t="s">
        <v>47</v>
      </c>
      <c r="R1887" s="220" t="s">
        <v>1888</v>
      </c>
      <c r="S1887" s="220" t="s">
        <v>1861</v>
      </c>
      <c r="T1887" t="s">
        <v>2535</v>
      </c>
      <c r="U1887" t="s">
        <v>1972</v>
      </c>
      <c r="V1887" t="s">
        <v>2832</v>
      </c>
    </row>
    <row r="1888" spans="1:22" ht="15.75" thickBot="1" x14ac:dyDescent="0.3">
      <c r="A1888" t="s">
        <v>4702</v>
      </c>
      <c r="B1888" t="s">
        <v>4702</v>
      </c>
      <c r="C1888" t="s">
        <v>4702</v>
      </c>
      <c r="D1888" t="s">
        <v>629</v>
      </c>
      <c r="E1888" s="259" t="s">
        <v>1970</v>
      </c>
      <c r="F1888" t="s">
        <v>620</v>
      </c>
      <c r="G1888" s="89">
        <v>2005</v>
      </c>
      <c r="H1888" s="341" t="s">
        <v>731</v>
      </c>
      <c r="I1888" s="337" t="str">
        <f t="shared" si="84"/>
        <v>Pesado de Passageiros M3: I : Gasóleo : E4</v>
      </c>
      <c r="J1888" s="125">
        <v>48</v>
      </c>
      <c r="K1888" s="264">
        <v>2022</v>
      </c>
      <c r="L1888" s="85">
        <v>8437.1</v>
      </c>
      <c r="M1888" s="85" t="s">
        <v>630</v>
      </c>
      <c r="N1888" s="128">
        <v>19789</v>
      </c>
      <c r="O1888" s="128">
        <f t="shared" si="85"/>
        <v>949872</v>
      </c>
      <c r="Q1888" t="s">
        <v>47</v>
      </c>
      <c r="R1888" s="220" t="s">
        <v>1888</v>
      </c>
      <c r="S1888" s="220" t="s">
        <v>1861</v>
      </c>
      <c r="T1888" t="s">
        <v>2536</v>
      </c>
      <c r="U1888" t="s">
        <v>1972</v>
      </c>
      <c r="V1888" t="s">
        <v>2832</v>
      </c>
    </row>
    <row r="1889" spans="1:22" ht="15.75" thickBot="1" x14ac:dyDescent="0.3">
      <c r="A1889" t="s">
        <v>4702</v>
      </c>
      <c r="B1889" t="s">
        <v>4702</v>
      </c>
      <c r="C1889" t="s">
        <v>4702</v>
      </c>
      <c r="D1889" t="s">
        <v>629</v>
      </c>
      <c r="E1889" s="259" t="s">
        <v>1970</v>
      </c>
      <c r="F1889" t="s">
        <v>620</v>
      </c>
      <c r="G1889" s="89">
        <v>2003</v>
      </c>
      <c r="H1889" s="341" t="s">
        <v>732</v>
      </c>
      <c r="I1889" s="337" t="str">
        <f t="shared" si="84"/>
        <v>Pesado de Passageiros M3: I : Gasóleo : E3</v>
      </c>
      <c r="J1889" s="125">
        <v>74</v>
      </c>
      <c r="K1889" s="264">
        <v>2022</v>
      </c>
      <c r="L1889" s="85">
        <v>14816.820000000002</v>
      </c>
      <c r="M1889" s="85" t="s">
        <v>630</v>
      </c>
      <c r="N1889" s="128">
        <v>44054</v>
      </c>
      <c r="O1889" s="128">
        <f t="shared" si="85"/>
        <v>3259996</v>
      </c>
      <c r="Q1889" t="s">
        <v>47</v>
      </c>
      <c r="R1889" s="220" t="s">
        <v>1888</v>
      </c>
      <c r="S1889" s="220" t="s">
        <v>1861</v>
      </c>
      <c r="T1889" t="s">
        <v>2537</v>
      </c>
      <c r="U1889" t="s">
        <v>1972</v>
      </c>
      <c r="V1889" t="s">
        <v>2832</v>
      </c>
    </row>
    <row r="1890" spans="1:22" ht="15.75" thickBot="1" x14ac:dyDescent="0.3">
      <c r="A1890" t="s">
        <v>4702</v>
      </c>
      <c r="B1890" t="s">
        <v>4702</v>
      </c>
      <c r="C1890" t="s">
        <v>4702</v>
      </c>
      <c r="D1890" t="s">
        <v>629</v>
      </c>
      <c r="E1890" s="259" t="s">
        <v>1970</v>
      </c>
      <c r="F1890" t="s">
        <v>620</v>
      </c>
      <c r="G1890" s="89">
        <v>2004</v>
      </c>
      <c r="H1890" s="341" t="s">
        <v>732</v>
      </c>
      <c r="I1890" s="337" t="str">
        <f t="shared" si="84"/>
        <v>Pesado de Passageiros M3: I : Gasóleo : E3</v>
      </c>
      <c r="J1890" s="125">
        <v>83</v>
      </c>
      <c r="K1890" s="264">
        <v>2022</v>
      </c>
      <c r="L1890" s="85">
        <v>13824.25</v>
      </c>
      <c r="M1890" s="85" t="s">
        <v>630</v>
      </c>
      <c r="N1890" s="128">
        <v>40094</v>
      </c>
      <c r="O1890" s="128">
        <f t="shared" si="85"/>
        <v>3327802</v>
      </c>
      <c r="Q1890" t="s">
        <v>47</v>
      </c>
      <c r="R1890" s="220" t="s">
        <v>1888</v>
      </c>
      <c r="S1890" s="220" t="s">
        <v>1861</v>
      </c>
      <c r="T1890" t="s">
        <v>2538</v>
      </c>
      <c r="U1890" t="s">
        <v>1972</v>
      </c>
      <c r="V1890" t="s">
        <v>2832</v>
      </c>
    </row>
    <row r="1891" spans="1:22" ht="15.75" thickBot="1" x14ac:dyDescent="0.3">
      <c r="A1891" t="s">
        <v>4702</v>
      </c>
      <c r="B1891" t="s">
        <v>4702</v>
      </c>
      <c r="C1891" t="s">
        <v>4702</v>
      </c>
      <c r="D1891" t="s">
        <v>629</v>
      </c>
      <c r="E1891" s="259" t="s">
        <v>1970</v>
      </c>
      <c r="F1891" t="s">
        <v>620</v>
      </c>
      <c r="G1891" s="89">
        <v>2018</v>
      </c>
      <c r="H1891" s="341" t="s">
        <v>733</v>
      </c>
      <c r="I1891" s="337" t="str">
        <f t="shared" si="84"/>
        <v>Pesado de Passageiros M3: I : Gasóleo : E6</v>
      </c>
      <c r="J1891" s="125">
        <v>32</v>
      </c>
      <c r="K1891" s="264">
        <v>2022</v>
      </c>
      <c r="L1891" s="85">
        <v>4742.2199999999993</v>
      </c>
      <c r="M1891" s="85" t="s">
        <v>630</v>
      </c>
      <c r="N1891" s="128">
        <v>26321</v>
      </c>
      <c r="O1891" s="128">
        <f t="shared" si="85"/>
        <v>842272</v>
      </c>
      <c r="Q1891" t="s">
        <v>47</v>
      </c>
      <c r="R1891" s="220" t="s">
        <v>1888</v>
      </c>
      <c r="S1891" s="220" t="s">
        <v>1861</v>
      </c>
      <c r="T1891" t="s">
        <v>2539</v>
      </c>
      <c r="U1891" t="s">
        <v>1972</v>
      </c>
      <c r="V1891" t="s">
        <v>2832</v>
      </c>
    </row>
    <row r="1892" spans="1:22" ht="15.75" thickBot="1" x14ac:dyDescent="0.3">
      <c r="A1892" t="s">
        <v>4702</v>
      </c>
      <c r="B1892" t="s">
        <v>4702</v>
      </c>
      <c r="C1892" t="s">
        <v>4702</v>
      </c>
      <c r="D1892" t="s">
        <v>629</v>
      </c>
      <c r="E1892" s="259" t="s">
        <v>1970</v>
      </c>
      <c r="F1892" t="s">
        <v>620</v>
      </c>
      <c r="G1892" s="89">
        <v>2020</v>
      </c>
      <c r="H1892" s="341" t="s">
        <v>733</v>
      </c>
      <c r="I1892" s="337" t="str">
        <f t="shared" si="84"/>
        <v>Pesado de Passageiros M3: I : Gasóleo : E6</v>
      </c>
      <c r="J1892" s="125">
        <v>83</v>
      </c>
      <c r="K1892" s="264">
        <v>2022</v>
      </c>
      <c r="L1892" s="85">
        <v>25929.899999999998</v>
      </c>
      <c r="M1892" s="85" t="s">
        <v>630</v>
      </c>
      <c r="N1892" s="128">
        <v>77254</v>
      </c>
      <c r="O1892" s="128">
        <f t="shared" si="85"/>
        <v>6412082</v>
      </c>
      <c r="Q1892" t="s">
        <v>47</v>
      </c>
      <c r="R1892" s="220" t="s">
        <v>1888</v>
      </c>
      <c r="S1892" s="220" t="s">
        <v>1861</v>
      </c>
      <c r="T1892" t="s">
        <v>2540</v>
      </c>
      <c r="U1892" t="s">
        <v>1972</v>
      </c>
      <c r="V1892" t="s">
        <v>2832</v>
      </c>
    </row>
    <row r="1893" spans="1:22" ht="15.75" thickBot="1" x14ac:dyDescent="0.3">
      <c r="A1893" t="s">
        <v>4702</v>
      </c>
      <c r="B1893" t="s">
        <v>4702</v>
      </c>
      <c r="C1893" t="s">
        <v>4702</v>
      </c>
      <c r="D1893" t="s">
        <v>629</v>
      </c>
      <c r="E1893" s="259" t="s">
        <v>1970</v>
      </c>
      <c r="F1893" t="s">
        <v>620</v>
      </c>
      <c r="G1893" s="89">
        <v>2020</v>
      </c>
      <c r="H1893" s="341" t="s">
        <v>733</v>
      </c>
      <c r="I1893" s="337" t="str">
        <f t="shared" si="84"/>
        <v>Pesado de Passageiros M3: I : Gasóleo : E6</v>
      </c>
      <c r="J1893" s="125">
        <v>83</v>
      </c>
      <c r="K1893" s="264">
        <v>2022</v>
      </c>
      <c r="L1893" s="85">
        <v>18747.25</v>
      </c>
      <c r="M1893" s="85" t="s">
        <v>630</v>
      </c>
      <c r="N1893" s="128">
        <v>61283</v>
      </c>
      <c r="O1893" s="128">
        <f t="shared" si="85"/>
        <v>5086489</v>
      </c>
      <c r="Q1893" t="s">
        <v>47</v>
      </c>
      <c r="R1893" s="220" t="s">
        <v>1888</v>
      </c>
      <c r="S1893" s="220" t="s">
        <v>1861</v>
      </c>
      <c r="T1893" t="s">
        <v>2541</v>
      </c>
      <c r="U1893" t="s">
        <v>1972</v>
      </c>
      <c r="V1893" t="s">
        <v>2832</v>
      </c>
    </row>
    <row r="1894" spans="1:22" ht="15.75" thickBot="1" x14ac:dyDescent="0.3">
      <c r="A1894" t="s">
        <v>4702</v>
      </c>
      <c r="B1894" t="s">
        <v>4702</v>
      </c>
      <c r="C1894" t="s">
        <v>4702</v>
      </c>
      <c r="D1894" t="s">
        <v>629</v>
      </c>
      <c r="E1894" s="259" t="s">
        <v>1970</v>
      </c>
      <c r="F1894" t="s">
        <v>620</v>
      </c>
      <c r="G1894" s="89">
        <v>2020</v>
      </c>
      <c r="H1894" s="341" t="s">
        <v>733</v>
      </c>
      <c r="I1894" s="337" t="str">
        <f t="shared" si="84"/>
        <v>Pesado de Passageiros M3: I : Gasóleo : E6</v>
      </c>
      <c r="J1894" s="125">
        <v>83</v>
      </c>
      <c r="K1894" s="264">
        <v>2022</v>
      </c>
      <c r="L1894" s="85">
        <v>17716.95</v>
      </c>
      <c r="M1894" s="85" t="s">
        <v>630</v>
      </c>
      <c r="N1894" s="128">
        <v>52847</v>
      </c>
      <c r="O1894" s="128">
        <f t="shared" si="85"/>
        <v>4386301</v>
      </c>
      <c r="Q1894" t="s">
        <v>47</v>
      </c>
      <c r="R1894" s="220" t="s">
        <v>1888</v>
      </c>
      <c r="S1894" s="220" t="s">
        <v>1861</v>
      </c>
      <c r="T1894" t="s">
        <v>2542</v>
      </c>
      <c r="U1894" t="s">
        <v>1972</v>
      </c>
      <c r="V1894" t="s">
        <v>2832</v>
      </c>
    </row>
    <row r="1895" spans="1:22" ht="15.75" thickBot="1" x14ac:dyDescent="0.3">
      <c r="A1895" t="s">
        <v>4702</v>
      </c>
      <c r="B1895" t="s">
        <v>4702</v>
      </c>
      <c r="C1895" t="s">
        <v>4702</v>
      </c>
      <c r="D1895" t="s">
        <v>629</v>
      </c>
      <c r="E1895" s="259" t="s">
        <v>1970</v>
      </c>
      <c r="F1895" t="s">
        <v>620</v>
      </c>
      <c r="G1895" s="89">
        <v>2020</v>
      </c>
      <c r="H1895" s="341" t="s">
        <v>733</v>
      </c>
      <c r="I1895" s="337" t="str">
        <f t="shared" si="84"/>
        <v>Pesado de Passageiros M3: I : Gasóleo : E6</v>
      </c>
      <c r="J1895" s="125">
        <v>83</v>
      </c>
      <c r="K1895" s="264">
        <v>2022</v>
      </c>
      <c r="L1895" s="85">
        <v>20451.400000000001</v>
      </c>
      <c r="M1895" s="85" t="s">
        <v>630</v>
      </c>
      <c r="N1895" s="128">
        <v>63012</v>
      </c>
      <c r="O1895" s="128">
        <f t="shared" si="85"/>
        <v>5229996</v>
      </c>
      <c r="Q1895" t="s">
        <v>47</v>
      </c>
      <c r="R1895" s="220" t="s">
        <v>1888</v>
      </c>
      <c r="S1895" s="220" t="s">
        <v>1861</v>
      </c>
      <c r="T1895" t="s">
        <v>2543</v>
      </c>
      <c r="U1895" t="s">
        <v>1972</v>
      </c>
      <c r="V1895" t="s">
        <v>2832</v>
      </c>
    </row>
    <row r="1896" spans="1:22" ht="15.75" thickBot="1" x14ac:dyDescent="0.3">
      <c r="A1896" t="s">
        <v>4702</v>
      </c>
      <c r="B1896" t="s">
        <v>4702</v>
      </c>
      <c r="C1896" t="s">
        <v>4702</v>
      </c>
      <c r="D1896" t="s">
        <v>629</v>
      </c>
      <c r="E1896" s="259" t="s">
        <v>1970</v>
      </c>
      <c r="F1896" t="s">
        <v>620</v>
      </c>
      <c r="G1896" s="89">
        <v>2020</v>
      </c>
      <c r="H1896" s="341" t="s">
        <v>733</v>
      </c>
      <c r="I1896" s="337" t="str">
        <f t="shared" si="84"/>
        <v>Pesado de Passageiros M3: I : Gasóleo : E6</v>
      </c>
      <c r="J1896" s="125">
        <v>83</v>
      </c>
      <c r="K1896" s="264">
        <v>2022</v>
      </c>
      <c r="L1896" s="85">
        <v>28591.160000000003</v>
      </c>
      <c r="M1896" s="85" t="s">
        <v>630</v>
      </c>
      <c r="N1896" s="128">
        <v>88996</v>
      </c>
      <c r="O1896" s="128">
        <f t="shared" si="85"/>
        <v>7386668</v>
      </c>
      <c r="Q1896" t="s">
        <v>47</v>
      </c>
      <c r="R1896" s="220" t="s">
        <v>1888</v>
      </c>
      <c r="S1896" s="220" t="s">
        <v>1861</v>
      </c>
      <c r="T1896" t="s">
        <v>2544</v>
      </c>
      <c r="U1896" t="s">
        <v>1972</v>
      </c>
      <c r="V1896" t="s">
        <v>2832</v>
      </c>
    </row>
    <row r="1897" spans="1:22" ht="15.75" thickBot="1" x14ac:dyDescent="0.3">
      <c r="A1897" t="s">
        <v>4702</v>
      </c>
      <c r="B1897" t="s">
        <v>4702</v>
      </c>
      <c r="C1897" t="s">
        <v>4702</v>
      </c>
      <c r="D1897" t="s">
        <v>629</v>
      </c>
      <c r="E1897" s="259" t="s">
        <v>1970</v>
      </c>
      <c r="F1897" t="s">
        <v>620</v>
      </c>
      <c r="G1897" s="89">
        <v>2020</v>
      </c>
      <c r="H1897" s="341" t="s">
        <v>733</v>
      </c>
      <c r="I1897" s="337" t="str">
        <f t="shared" si="84"/>
        <v>Pesado de Passageiros M3: I : Gasóleo : E6</v>
      </c>
      <c r="J1897" s="125">
        <v>83</v>
      </c>
      <c r="K1897" s="264">
        <v>2022</v>
      </c>
      <c r="L1897" s="85">
        <v>51465.569999999992</v>
      </c>
      <c r="M1897" s="85" t="s">
        <v>630</v>
      </c>
      <c r="N1897" s="128">
        <v>178893</v>
      </c>
      <c r="O1897" s="128">
        <f t="shared" si="85"/>
        <v>14848119</v>
      </c>
      <c r="Q1897" t="s">
        <v>47</v>
      </c>
      <c r="R1897" s="220" t="s">
        <v>1888</v>
      </c>
      <c r="S1897" s="220" t="s">
        <v>1861</v>
      </c>
      <c r="T1897" t="s">
        <v>2545</v>
      </c>
      <c r="U1897" t="s">
        <v>1972</v>
      </c>
      <c r="V1897" t="s">
        <v>2832</v>
      </c>
    </row>
    <row r="1898" spans="1:22" ht="15.75" thickBot="1" x14ac:dyDescent="0.3">
      <c r="A1898" t="s">
        <v>4702</v>
      </c>
      <c r="B1898" t="s">
        <v>4702</v>
      </c>
      <c r="C1898" t="s">
        <v>4702</v>
      </c>
      <c r="D1898" t="s">
        <v>629</v>
      </c>
      <c r="E1898" s="259" t="s">
        <v>1970</v>
      </c>
      <c r="F1898" t="s">
        <v>620</v>
      </c>
      <c r="G1898" s="89">
        <v>2020</v>
      </c>
      <c r="H1898" s="341" t="s">
        <v>733</v>
      </c>
      <c r="I1898" s="337" t="str">
        <f t="shared" si="84"/>
        <v>Pesado de Passageiros M3: I : Gasóleo : E6</v>
      </c>
      <c r="J1898" s="125">
        <v>83</v>
      </c>
      <c r="K1898" s="264">
        <v>2022</v>
      </c>
      <c r="L1898" s="85">
        <v>31895.500000000004</v>
      </c>
      <c r="M1898" s="85" t="s">
        <v>630</v>
      </c>
      <c r="N1898" s="128">
        <v>108824</v>
      </c>
      <c r="O1898" s="128">
        <f t="shared" si="85"/>
        <v>9032392</v>
      </c>
      <c r="Q1898" t="s">
        <v>47</v>
      </c>
      <c r="R1898" s="220" t="s">
        <v>1888</v>
      </c>
      <c r="S1898" s="220" t="s">
        <v>1861</v>
      </c>
      <c r="T1898" t="s">
        <v>2546</v>
      </c>
      <c r="U1898" t="s">
        <v>1972</v>
      </c>
      <c r="V1898" t="s">
        <v>2832</v>
      </c>
    </row>
    <row r="1899" spans="1:22" ht="15.75" thickBot="1" x14ac:dyDescent="0.3">
      <c r="A1899" t="s">
        <v>4702</v>
      </c>
      <c r="B1899" t="s">
        <v>4702</v>
      </c>
      <c r="C1899" t="s">
        <v>4702</v>
      </c>
      <c r="D1899" t="s">
        <v>629</v>
      </c>
      <c r="E1899" s="259" t="s">
        <v>1970</v>
      </c>
      <c r="F1899" t="s">
        <v>620</v>
      </c>
      <c r="G1899" s="89">
        <v>2020</v>
      </c>
      <c r="H1899" s="341" t="s">
        <v>733</v>
      </c>
      <c r="I1899" s="337" t="str">
        <f t="shared" si="84"/>
        <v>Pesado de Passageiros M3: I : Gasóleo : E6</v>
      </c>
      <c r="J1899" s="125">
        <v>83</v>
      </c>
      <c r="K1899" s="264">
        <v>2022</v>
      </c>
      <c r="L1899" s="85">
        <v>30647.18</v>
      </c>
      <c r="M1899" s="85" t="s">
        <v>630</v>
      </c>
      <c r="N1899" s="128">
        <v>104686</v>
      </c>
      <c r="O1899" s="128">
        <f t="shared" si="85"/>
        <v>8688938</v>
      </c>
      <c r="Q1899" t="s">
        <v>47</v>
      </c>
      <c r="R1899" s="220" t="s">
        <v>1888</v>
      </c>
      <c r="S1899" s="220" t="s">
        <v>1861</v>
      </c>
      <c r="T1899" t="s">
        <v>2547</v>
      </c>
      <c r="U1899" t="s">
        <v>1972</v>
      </c>
      <c r="V1899" t="s">
        <v>2832</v>
      </c>
    </row>
    <row r="1900" spans="1:22" ht="15.75" thickBot="1" x14ac:dyDescent="0.3">
      <c r="A1900" t="s">
        <v>4702</v>
      </c>
      <c r="B1900" t="s">
        <v>4702</v>
      </c>
      <c r="C1900" t="s">
        <v>4702</v>
      </c>
      <c r="D1900" t="s">
        <v>629</v>
      </c>
      <c r="E1900" s="259" t="s">
        <v>1970</v>
      </c>
      <c r="F1900" t="s">
        <v>620</v>
      </c>
      <c r="G1900" s="89">
        <v>2020</v>
      </c>
      <c r="H1900" s="341" t="s">
        <v>733</v>
      </c>
      <c r="I1900" s="337" t="str">
        <f t="shared" si="84"/>
        <v>Pesado de Passageiros M3: I : Gasóleo : E6</v>
      </c>
      <c r="J1900" s="125">
        <v>83</v>
      </c>
      <c r="K1900" s="264">
        <v>2022</v>
      </c>
      <c r="L1900" s="85">
        <v>37741.279999999999</v>
      </c>
      <c r="M1900" s="85" t="s">
        <v>630</v>
      </c>
      <c r="N1900" s="128">
        <v>122084</v>
      </c>
      <c r="O1900" s="128">
        <f t="shared" si="85"/>
        <v>10132972</v>
      </c>
      <c r="Q1900" t="s">
        <v>47</v>
      </c>
      <c r="R1900" s="220" t="s">
        <v>1888</v>
      </c>
      <c r="S1900" s="220" t="s">
        <v>1861</v>
      </c>
      <c r="T1900" t="s">
        <v>2548</v>
      </c>
      <c r="U1900" t="s">
        <v>1972</v>
      </c>
      <c r="V1900" t="s">
        <v>2832</v>
      </c>
    </row>
    <row r="1901" spans="1:22" ht="15.75" thickBot="1" x14ac:dyDescent="0.3">
      <c r="A1901" t="s">
        <v>4702</v>
      </c>
      <c r="B1901" t="s">
        <v>4702</v>
      </c>
      <c r="C1901" t="s">
        <v>4702</v>
      </c>
      <c r="D1901" t="s">
        <v>629</v>
      </c>
      <c r="E1901" s="259" t="s">
        <v>1970</v>
      </c>
      <c r="F1901" t="s">
        <v>620</v>
      </c>
      <c r="G1901" s="89">
        <v>2020</v>
      </c>
      <c r="H1901" s="341" t="s">
        <v>733</v>
      </c>
      <c r="I1901" s="337" t="str">
        <f t="shared" si="84"/>
        <v>Pesado de Passageiros M3: I : Gasóleo : E6</v>
      </c>
      <c r="J1901" s="125">
        <v>83</v>
      </c>
      <c r="K1901" s="264">
        <v>2022</v>
      </c>
      <c r="L1901" s="85">
        <v>17751.11</v>
      </c>
      <c r="M1901" s="85" t="s">
        <v>630</v>
      </c>
      <c r="N1901" s="128">
        <v>53020</v>
      </c>
      <c r="O1901" s="128">
        <f t="shared" si="85"/>
        <v>4400660</v>
      </c>
      <c r="Q1901" t="s">
        <v>47</v>
      </c>
      <c r="R1901" s="220" t="s">
        <v>1888</v>
      </c>
      <c r="S1901" s="220" t="s">
        <v>1861</v>
      </c>
      <c r="T1901" t="s">
        <v>2549</v>
      </c>
      <c r="U1901" t="s">
        <v>1972</v>
      </c>
      <c r="V1901" t="s">
        <v>2832</v>
      </c>
    </row>
    <row r="1902" spans="1:22" ht="15.75" thickBot="1" x14ac:dyDescent="0.3">
      <c r="A1902" t="s">
        <v>4702</v>
      </c>
      <c r="B1902" t="s">
        <v>4702</v>
      </c>
      <c r="C1902" t="s">
        <v>4702</v>
      </c>
      <c r="D1902" t="s">
        <v>629</v>
      </c>
      <c r="E1902" s="259" t="s">
        <v>1970</v>
      </c>
      <c r="F1902" t="s">
        <v>620</v>
      </c>
      <c r="G1902" s="89">
        <v>2021</v>
      </c>
      <c r="H1902" s="341" t="s">
        <v>733</v>
      </c>
      <c r="I1902" s="337" t="str">
        <f t="shared" si="84"/>
        <v>Pesado de Passageiros M3: I : Gasóleo : E6</v>
      </c>
      <c r="J1902" s="125">
        <v>78</v>
      </c>
      <c r="K1902" s="264">
        <v>2022</v>
      </c>
      <c r="L1902" s="85">
        <v>17518.61</v>
      </c>
      <c r="M1902" s="85" t="s">
        <v>630</v>
      </c>
      <c r="N1902" s="128">
        <v>53555</v>
      </c>
      <c r="O1902" s="128">
        <f t="shared" si="85"/>
        <v>4177290</v>
      </c>
      <c r="Q1902" t="s">
        <v>47</v>
      </c>
      <c r="R1902" s="220" t="s">
        <v>1888</v>
      </c>
      <c r="S1902" s="220" t="s">
        <v>1861</v>
      </c>
      <c r="T1902" t="s">
        <v>2550</v>
      </c>
      <c r="U1902" t="s">
        <v>1972</v>
      </c>
      <c r="V1902" t="s">
        <v>2832</v>
      </c>
    </row>
    <row r="1903" spans="1:22" ht="15.75" thickBot="1" x14ac:dyDescent="0.3">
      <c r="A1903" t="s">
        <v>4702</v>
      </c>
      <c r="B1903" t="s">
        <v>4702</v>
      </c>
      <c r="C1903" t="s">
        <v>4702</v>
      </c>
      <c r="D1903" t="s">
        <v>629</v>
      </c>
      <c r="E1903" s="259" t="s">
        <v>1970</v>
      </c>
      <c r="F1903" t="s">
        <v>620</v>
      </c>
      <c r="G1903" s="89">
        <v>2021</v>
      </c>
      <c r="H1903" s="341" t="s">
        <v>733</v>
      </c>
      <c r="I1903" s="337" t="str">
        <f t="shared" si="84"/>
        <v>Pesado de Passageiros M3: I : Gasóleo : E6</v>
      </c>
      <c r="J1903" s="125">
        <v>83</v>
      </c>
      <c r="K1903" s="264">
        <v>2022</v>
      </c>
      <c r="L1903" s="85">
        <v>24266.750000000004</v>
      </c>
      <c r="M1903" s="85" t="s">
        <v>630</v>
      </c>
      <c r="N1903" s="128">
        <v>72069</v>
      </c>
      <c r="O1903" s="128">
        <f t="shared" si="85"/>
        <v>5981727</v>
      </c>
      <c r="Q1903" t="s">
        <v>47</v>
      </c>
      <c r="R1903" s="220" t="s">
        <v>1888</v>
      </c>
      <c r="S1903" s="220" t="s">
        <v>1861</v>
      </c>
      <c r="T1903" t="s">
        <v>2551</v>
      </c>
      <c r="U1903" t="s">
        <v>1972</v>
      </c>
      <c r="V1903" t="s">
        <v>2832</v>
      </c>
    </row>
    <row r="1904" spans="1:22" ht="15.75" thickBot="1" x14ac:dyDescent="0.3">
      <c r="A1904" t="s">
        <v>4702</v>
      </c>
      <c r="B1904" t="s">
        <v>4702</v>
      </c>
      <c r="C1904" t="s">
        <v>4702</v>
      </c>
      <c r="D1904" t="s">
        <v>629</v>
      </c>
      <c r="E1904" s="259" t="s">
        <v>1970</v>
      </c>
      <c r="F1904" t="s">
        <v>620</v>
      </c>
      <c r="G1904" s="89">
        <v>2021</v>
      </c>
      <c r="H1904" s="341" t="s">
        <v>733</v>
      </c>
      <c r="I1904" s="337" t="str">
        <f t="shared" si="84"/>
        <v>Pesado de Passageiros M3: I : Gasóleo : E6</v>
      </c>
      <c r="J1904" s="125">
        <v>78</v>
      </c>
      <c r="K1904" s="264">
        <v>2022</v>
      </c>
      <c r="L1904" s="85">
        <v>18298.97</v>
      </c>
      <c r="M1904" s="85" t="s">
        <v>630</v>
      </c>
      <c r="N1904" s="128">
        <v>53865</v>
      </c>
      <c r="O1904" s="128">
        <f t="shared" si="85"/>
        <v>4201470</v>
      </c>
      <c r="Q1904" t="s">
        <v>47</v>
      </c>
      <c r="R1904" s="220" t="s">
        <v>1888</v>
      </c>
      <c r="S1904" s="220" t="s">
        <v>1861</v>
      </c>
      <c r="T1904" t="s">
        <v>2552</v>
      </c>
      <c r="U1904" t="s">
        <v>1972</v>
      </c>
      <c r="V1904" t="s">
        <v>2832</v>
      </c>
    </row>
    <row r="1905" spans="1:22" ht="15.75" thickBot="1" x14ac:dyDescent="0.3">
      <c r="A1905" t="s">
        <v>4702</v>
      </c>
      <c r="B1905" t="s">
        <v>4702</v>
      </c>
      <c r="C1905" t="s">
        <v>4702</v>
      </c>
      <c r="D1905" t="s">
        <v>629</v>
      </c>
      <c r="E1905" s="259" t="s">
        <v>1970</v>
      </c>
      <c r="F1905" t="s">
        <v>620</v>
      </c>
      <c r="G1905" s="89">
        <v>2021</v>
      </c>
      <c r="H1905" s="341" t="s">
        <v>733</v>
      </c>
      <c r="I1905" s="337" t="str">
        <f t="shared" si="84"/>
        <v>Pesado de Passageiros M3: I : Gasóleo : E6</v>
      </c>
      <c r="J1905" s="125">
        <v>78</v>
      </c>
      <c r="K1905" s="264">
        <v>2022</v>
      </c>
      <c r="L1905" s="85">
        <v>21694.38</v>
      </c>
      <c r="M1905" s="85" t="s">
        <v>630</v>
      </c>
      <c r="N1905" s="128">
        <v>63805</v>
      </c>
      <c r="O1905" s="128">
        <f t="shared" si="85"/>
        <v>4976790</v>
      </c>
      <c r="Q1905" t="s">
        <v>47</v>
      </c>
      <c r="R1905" s="220" t="s">
        <v>1888</v>
      </c>
      <c r="S1905" s="220" t="s">
        <v>1861</v>
      </c>
      <c r="T1905" t="s">
        <v>2553</v>
      </c>
      <c r="U1905" t="s">
        <v>1972</v>
      </c>
      <c r="V1905" t="s">
        <v>2832</v>
      </c>
    </row>
    <row r="1906" spans="1:22" ht="15.75" thickBot="1" x14ac:dyDescent="0.3">
      <c r="A1906" t="s">
        <v>4702</v>
      </c>
      <c r="B1906" t="s">
        <v>4702</v>
      </c>
      <c r="C1906" t="s">
        <v>4702</v>
      </c>
      <c r="D1906" t="s">
        <v>629</v>
      </c>
      <c r="E1906" s="259" t="s">
        <v>1970</v>
      </c>
      <c r="F1906" t="s">
        <v>620</v>
      </c>
      <c r="G1906" s="89">
        <v>2021</v>
      </c>
      <c r="H1906" s="341" t="s">
        <v>733</v>
      </c>
      <c r="I1906" s="337" t="str">
        <f t="shared" si="84"/>
        <v>Pesado de Passageiros M3: I : Gasóleo : E6</v>
      </c>
      <c r="J1906" s="125">
        <v>83</v>
      </c>
      <c r="K1906" s="264">
        <v>2022</v>
      </c>
      <c r="L1906" s="85">
        <v>13558.66</v>
      </c>
      <c r="M1906" s="85" t="s">
        <v>630</v>
      </c>
      <c r="N1906" s="128">
        <v>41256</v>
      </c>
      <c r="O1906" s="128">
        <f t="shared" si="85"/>
        <v>3424248</v>
      </c>
      <c r="Q1906" t="s">
        <v>47</v>
      </c>
      <c r="R1906" s="220" t="s">
        <v>1888</v>
      </c>
      <c r="S1906" s="220" t="s">
        <v>1861</v>
      </c>
      <c r="T1906" t="s">
        <v>2554</v>
      </c>
      <c r="U1906" t="s">
        <v>1972</v>
      </c>
      <c r="V1906" t="s">
        <v>2832</v>
      </c>
    </row>
    <row r="1907" spans="1:22" ht="15.75" thickBot="1" x14ac:dyDescent="0.3">
      <c r="A1907" t="s">
        <v>4702</v>
      </c>
      <c r="B1907" t="s">
        <v>4702</v>
      </c>
      <c r="C1907" t="s">
        <v>4702</v>
      </c>
      <c r="D1907" t="s">
        <v>629</v>
      </c>
      <c r="E1907" s="259" t="s">
        <v>1970</v>
      </c>
      <c r="F1907" t="s">
        <v>620</v>
      </c>
      <c r="G1907" s="89">
        <v>2021</v>
      </c>
      <c r="H1907" s="341" t="s">
        <v>733</v>
      </c>
      <c r="I1907" s="337" t="str">
        <f t="shared" si="84"/>
        <v>Pesado de Passageiros M3: I : Gasóleo : E6</v>
      </c>
      <c r="J1907" s="125">
        <v>83</v>
      </c>
      <c r="K1907" s="264">
        <v>2022</v>
      </c>
      <c r="L1907" s="85">
        <v>19501.260000000002</v>
      </c>
      <c r="M1907" s="85" t="s">
        <v>630</v>
      </c>
      <c r="N1907" s="128">
        <v>57186</v>
      </c>
      <c r="O1907" s="128">
        <f t="shared" si="85"/>
        <v>4746438</v>
      </c>
      <c r="Q1907" t="s">
        <v>47</v>
      </c>
      <c r="R1907" s="220" t="s">
        <v>1888</v>
      </c>
      <c r="S1907" s="220" t="s">
        <v>1861</v>
      </c>
      <c r="T1907" t="s">
        <v>2555</v>
      </c>
      <c r="U1907" t="s">
        <v>1972</v>
      </c>
      <c r="V1907" t="s">
        <v>2832</v>
      </c>
    </row>
    <row r="1908" spans="1:22" ht="15.75" thickBot="1" x14ac:dyDescent="0.3">
      <c r="A1908" t="s">
        <v>4702</v>
      </c>
      <c r="B1908" t="s">
        <v>4702</v>
      </c>
      <c r="C1908" t="s">
        <v>4702</v>
      </c>
      <c r="D1908" t="s">
        <v>629</v>
      </c>
      <c r="E1908" s="259" t="s">
        <v>1970</v>
      </c>
      <c r="F1908" t="s">
        <v>620</v>
      </c>
      <c r="G1908" s="89">
        <v>2021</v>
      </c>
      <c r="H1908" s="341" t="s">
        <v>733</v>
      </c>
      <c r="I1908" s="337" t="str">
        <f t="shared" si="84"/>
        <v>Pesado de Passageiros M3: I : Gasóleo : E6</v>
      </c>
      <c r="J1908" s="125">
        <v>83</v>
      </c>
      <c r="K1908" s="264">
        <v>2022</v>
      </c>
      <c r="L1908" s="85">
        <v>12992.210000000001</v>
      </c>
      <c r="M1908" s="85" t="s">
        <v>630</v>
      </c>
      <c r="N1908" s="128">
        <v>40040</v>
      </c>
      <c r="O1908" s="128">
        <f t="shared" si="85"/>
        <v>3323320</v>
      </c>
      <c r="Q1908" t="s">
        <v>47</v>
      </c>
      <c r="R1908" s="220" t="s">
        <v>1888</v>
      </c>
      <c r="S1908" s="220" t="s">
        <v>1861</v>
      </c>
      <c r="T1908" t="s">
        <v>2556</v>
      </c>
      <c r="U1908" t="s">
        <v>1972</v>
      </c>
      <c r="V1908" t="s">
        <v>2832</v>
      </c>
    </row>
    <row r="1909" spans="1:22" ht="15.75" thickBot="1" x14ac:dyDescent="0.3">
      <c r="A1909" t="s">
        <v>4702</v>
      </c>
      <c r="B1909" t="s">
        <v>4702</v>
      </c>
      <c r="C1909" t="s">
        <v>4702</v>
      </c>
      <c r="D1909" t="s">
        <v>629</v>
      </c>
      <c r="E1909" s="259" t="s">
        <v>1970</v>
      </c>
      <c r="F1909" t="s">
        <v>620</v>
      </c>
      <c r="G1909" s="89">
        <v>2021</v>
      </c>
      <c r="H1909" s="341" t="s">
        <v>733</v>
      </c>
      <c r="I1909" s="337" t="str">
        <f t="shared" si="84"/>
        <v>Pesado de Passageiros M3: I : Gasóleo : E6</v>
      </c>
      <c r="J1909" s="125">
        <v>83</v>
      </c>
      <c r="K1909" s="264">
        <v>2022</v>
      </c>
      <c r="L1909" s="85">
        <v>16530.259999999998</v>
      </c>
      <c r="M1909" s="85" t="s">
        <v>630</v>
      </c>
      <c r="N1909" s="128">
        <v>48345</v>
      </c>
      <c r="O1909" s="128">
        <f t="shared" si="85"/>
        <v>4012635</v>
      </c>
      <c r="Q1909" t="s">
        <v>47</v>
      </c>
      <c r="R1909" s="220" t="s">
        <v>1888</v>
      </c>
      <c r="S1909" s="220" t="s">
        <v>1861</v>
      </c>
      <c r="T1909" t="s">
        <v>2557</v>
      </c>
      <c r="U1909" t="s">
        <v>1972</v>
      </c>
      <c r="V1909" t="s">
        <v>2832</v>
      </c>
    </row>
    <row r="1910" spans="1:22" ht="15.75" thickBot="1" x14ac:dyDescent="0.3">
      <c r="A1910" t="s">
        <v>4702</v>
      </c>
      <c r="B1910" t="s">
        <v>4702</v>
      </c>
      <c r="C1910" t="s">
        <v>4702</v>
      </c>
      <c r="D1910" t="s">
        <v>629</v>
      </c>
      <c r="E1910" s="259" t="s">
        <v>1970</v>
      </c>
      <c r="F1910" t="s">
        <v>620</v>
      </c>
      <c r="G1910" s="89">
        <v>2021</v>
      </c>
      <c r="H1910" s="341" t="s">
        <v>733</v>
      </c>
      <c r="I1910" s="337" t="str">
        <f t="shared" si="84"/>
        <v>Pesado de Passageiros M3: I : Gasóleo : E6</v>
      </c>
      <c r="J1910" s="125">
        <v>83</v>
      </c>
      <c r="K1910" s="264">
        <v>2022</v>
      </c>
      <c r="L1910" s="85">
        <v>17991.669999999998</v>
      </c>
      <c r="M1910" s="85" t="s">
        <v>630</v>
      </c>
      <c r="N1910" s="128">
        <v>55737</v>
      </c>
      <c r="O1910" s="128">
        <f t="shared" si="85"/>
        <v>4626171</v>
      </c>
      <c r="Q1910" t="s">
        <v>47</v>
      </c>
      <c r="R1910" s="220" t="s">
        <v>1888</v>
      </c>
      <c r="S1910" s="220" t="s">
        <v>1861</v>
      </c>
      <c r="T1910" t="s">
        <v>2558</v>
      </c>
      <c r="U1910" t="s">
        <v>1972</v>
      </c>
      <c r="V1910" t="s">
        <v>2832</v>
      </c>
    </row>
    <row r="1911" spans="1:22" ht="15.75" thickBot="1" x14ac:dyDescent="0.3">
      <c r="A1911" t="s">
        <v>4702</v>
      </c>
      <c r="B1911" t="s">
        <v>4702</v>
      </c>
      <c r="C1911" t="s">
        <v>4702</v>
      </c>
      <c r="D1911" t="s">
        <v>629</v>
      </c>
      <c r="E1911" s="259" t="s">
        <v>1970</v>
      </c>
      <c r="F1911" t="s">
        <v>620</v>
      </c>
      <c r="G1911" s="89">
        <v>2021</v>
      </c>
      <c r="H1911" s="341" t="s">
        <v>733</v>
      </c>
      <c r="I1911" s="337" t="str">
        <f t="shared" si="84"/>
        <v>Pesado de Passageiros M3: I : Gasóleo : E6</v>
      </c>
      <c r="J1911" s="125">
        <v>83</v>
      </c>
      <c r="K1911" s="264">
        <v>2022</v>
      </c>
      <c r="L1911" s="85">
        <v>22757.809999999998</v>
      </c>
      <c r="M1911" s="85" t="s">
        <v>630</v>
      </c>
      <c r="N1911" s="128">
        <v>67794</v>
      </c>
      <c r="O1911" s="128">
        <f t="shared" si="85"/>
        <v>5626902</v>
      </c>
      <c r="Q1911" t="s">
        <v>47</v>
      </c>
      <c r="R1911" s="220" t="s">
        <v>1888</v>
      </c>
      <c r="S1911" s="220" t="s">
        <v>1861</v>
      </c>
      <c r="T1911" t="s">
        <v>2559</v>
      </c>
      <c r="U1911" t="s">
        <v>1972</v>
      </c>
      <c r="V1911" t="s">
        <v>2832</v>
      </c>
    </row>
    <row r="1912" spans="1:22" ht="15.75" thickBot="1" x14ac:dyDescent="0.3">
      <c r="A1912" t="s">
        <v>4702</v>
      </c>
      <c r="B1912" t="s">
        <v>4702</v>
      </c>
      <c r="C1912" t="s">
        <v>4702</v>
      </c>
      <c r="D1912" t="s">
        <v>629</v>
      </c>
      <c r="E1912" s="259" t="s">
        <v>1970</v>
      </c>
      <c r="F1912" t="s">
        <v>620</v>
      </c>
      <c r="G1912" s="89">
        <v>2021</v>
      </c>
      <c r="H1912" s="341" t="s">
        <v>733</v>
      </c>
      <c r="I1912" s="337" t="str">
        <f t="shared" si="84"/>
        <v>Pesado de Passageiros M3: I : Gasóleo : E6</v>
      </c>
      <c r="J1912" s="125">
        <v>83</v>
      </c>
      <c r="K1912" s="264">
        <v>2022</v>
      </c>
      <c r="L1912" s="85">
        <v>23573.379999999997</v>
      </c>
      <c r="M1912" s="85" t="s">
        <v>630</v>
      </c>
      <c r="N1912" s="128">
        <v>72649</v>
      </c>
      <c r="O1912" s="128">
        <f t="shared" si="85"/>
        <v>6029867</v>
      </c>
      <c r="Q1912" t="s">
        <v>47</v>
      </c>
      <c r="R1912" s="220" t="s">
        <v>1888</v>
      </c>
      <c r="S1912" s="220" t="s">
        <v>1861</v>
      </c>
      <c r="T1912" t="s">
        <v>2560</v>
      </c>
      <c r="U1912" t="s">
        <v>1972</v>
      </c>
      <c r="V1912" t="s">
        <v>2832</v>
      </c>
    </row>
    <row r="1913" spans="1:22" ht="15.75" thickBot="1" x14ac:dyDescent="0.3">
      <c r="A1913" t="s">
        <v>4702</v>
      </c>
      <c r="B1913" t="s">
        <v>4702</v>
      </c>
      <c r="C1913" t="s">
        <v>4702</v>
      </c>
      <c r="D1913" t="s">
        <v>629</v>
      </c>
      <c r="E1913" s="259" t="s">
        <v>1970</v>
      </c>
      <c r="F1913" t="s">
        <v>620</v>
      </c>
      <c r="G1913" s="89">
        <v>2021</v>
      </c>
      <c r="H1913" s="341" t="s">
        <v>733</v>
      </c>
      <c r="I1913" s="337" t="str">
        <f t="shared" si="84"/>
        <v>Pesado de Passageiros M3: I : Gasóleo : E6</v>
      </c>
      <c r="J1913" s="125">
        <v>83</v>
      </c>
      <c r="K1913" s="264">
        <v>2022</v>
      </c>
      <c r="L1913" s="85">
        <v>24207.06</v>
      </c>
      <c r="M1913" s="85" t="s">
        <v>630</v>
      </c>
      <c r="N1913" s="128">
        <v>76796</v>
      </c>
      <c r="O1913" s="128">
        <f t="shared" si="85"/>
        <v>6374068</v>
      </c>
      <c r="Q1913" t="s">
        <v>47</v>
      </c>
      <c r="R1913" s="220" t="s">
        <v>1888</v>
      </c>
      <c r="S1913" s="220" t="s">
        <v>1861</v>
      </c>
      <c r="T1913" t="s">
        <v>2561</v>
      </c>
      <c r="U1913" t="s">
        <v>1972</v>
      </c>
      <c r="V1913" t="s">
        <v>2832</v>
      </c>
    </row>
    <row r="1914" spans="1:22" ht="15.75" thickBot="1" x14ac:dyDescent="0.3">
      <c r="A1914" t="s">
        <v>4702</v>
      </c>
      <c r="B1914" t="s">
        <v>4702</v>
      </c>
      <c r="C1914" t="s">
        <v>4702</v>
      </c>
      <c r="D1914" t="s">
        <v>629</v>
      </c>
      <c r="E1914" s="259" t="s">
        <v>1970</v>
      </c>
      <c r="F1914" t="s">
        <v>620</v>
      </c>
      <c r="G1914" s="89">
        <v>2021</v>
      </c>
      <c r="H1914" s="341" t="s">
        <v>733</v>
      </c>
      <c r="I1914" s="337" t="str">
        <f t="shared" si="84"/>
        <v>Pesado de Passageiros M3: I : Gasóleo : E6</v>
      </c>
      <c r="J1914" s="125">
        <v>83</v>
      </c>
      <c r="K1914" s="264">
        <v>2022</v>
      </c>
      <c r="L1914" s="85">
        <v>21670.469999999998</v>
      </c>
      <c r="M1914" s="85" t="s">
        <v>630</v>
      </c>
      <c r="N1914" s="128">
        <v>68067</v>
      </c>
      <c r="O1914" s="128">
        <f t="shared" si="85"/>
        <v>5649561</v>
      </c>
      <c r="Q1914" t="s">
        <v>47</v>
      </c>
      <c r="R1914" s="220" t="s">
        <v>1888</v>
      </c>
      <c r="S1914" s="220" t="s">
        <v>1861</v>
      </c>
      <c r="T1914" t="s">
        <v>2562</v>
      </c>
      <c r="U1914" t="s">
        <v>1972</v>
      </c>
      <c r="V1914" t="s">
        <v>2832</v>
      </c>
    </row>
    <row r="1915" spans="1:22" ht="15.75" thickBot="1" x14ac:dyDescent="0.3">
      <c r="A1915" t="s">
        <v>4702</v>
      </c>
      <c r="B1915" t="s">
        <v>4702</v>
      </c>
      <c r="C1915" t="s">
        <v>4702</v>
      </c>
      <c r="D1915" t="s">
        <v>629</v>
      </c>
      <c r="E1915" s="259" t="s">
        <v>1970</v>
      </c>
      <c r="F1915" t="s">
        <v>620</v>
      </c>
      <c r="G1915" s="89">
        <v>2021</v>
      </c>
      <c r="H1915" s="341" t="s">
        <v>733</v>
      </c>
      <c r="I1915" s="337" t="str">
        <f t="shared" si="84"/>
        <v>Pesado de Passageiros M3: I : Gasóleo : E6</v>
      </c>
      <c r="J1915" s="125">
        <v>83</v>
      </c>
      <c r="K1915" s="264">
        <v>2022</v>
      </c>
      <c r="L1915" s="85">
        <v>24889.72</v>
      </c>
      <c r="M1915" s="85" t="s">
        <v>630</v>
      </c>
      <c r="N1915" s="128">
        <v>76906</v>
      </c>
      <c r="O1915" s="128">
        <f t="shared" si="85"/>
        <v>6383198</v>
      </c>
      <c r="Q1915" t="s">
        <v>47</v>
      </c>
      <c r="R1915" s="220" t="s">
        <v>1888</v>
      </c>
      <c r="S1915" s="220" t="s">
        <v>1861</v>
      </c>
      <c r="T1915" t="s">
        <v>2563</v>
      </c>
      <c r="U1915" t="s">
        <v>1972</v>
      </c>
      <c r="V1915" t="s">
        <v>2832</v>
      </c>
    </row>
    <row r="1916" spans="1:22" ht="15.75" thickBot="1" x14ac:dyDescent="0.3">
      <c r="A1916" t="s">
        <v>4702</v>
      </c>
      <c r="B1916" t="s">
        <v>4702</v>
      </c>
      <c r="C1916" t="s">
        <v>4702</v>
      </c>
      <c r="D1916" t="s">
        <v>629</v>
      </c>
      <c r="E1916" s="259" t="s">
        <v>1970</v>
      </c>
      <c r="F1916" t="s">
        <v>620</v>
      </c>
      <c r="G1916" s="89">
        <v>2021</v>
      </c>
      <c r="H1916" s="341" t="s">
        <v>733</v>
      </c>
      <c r="I1916" s="337" t="str">
        <f t="shared" si="84"/>
        <v>Pesado de Passageiros M3: I : Gasóleo : E6</v>
      </c>
      <c r="J1916" s="125">
        <v>83</v>
      </c>
      <c r="K1916" s="264">
        <v>2022</v>
      </c>
      <c r="L1916" s="85">
        <v>28604.85</v>
      </c>
      <c r="M1916" s="85" t="s">
        <v>630</v>
      </c>
      <c r="N1916" s="128">
        <v>92872</v>
      </c>
      <c r="O1916" s="128">
        <f t="shared" si="85"/>
        <v>7708376</v>
      </c>
      <c r="Q1916" t="s">
        <v>47</v>
      </c>
      <c r="R1916" s="220" t="s">
        <v>1888</v>
      </c>
      <c r="S1916" s="220" t="s">
        <v>1861</v>
      </c>
      <c r="T1916" t="s">
        <v>2564</v>
      </c>
      <c r="U1916" t="s">
        <v>1972</v>
      </c>
      <c r="V1916" t="s">
        <v>2832</v>
      </c>
    </row>
    <row r="1917" spans="1:22" ht="15.75" thickBot="1" x14ac:dyDescent="0.3">
      <c r="A1917" t="s">
        <v>4702</v>
      </c>
      <c r="B1917" t="s">
        <v>4702</v>
      </c>
      <c r="C1917" t="s">
        <v>4702</v>
      </c>
      <c r="D1917" t="s">
        <v>629</v>
      </c>
      <c r="E1917" s="259" t="s">
        <v>1970</v>
      </c>
      <c r="F1917" t="s">
        <v>620</v>
      </c>
      <c r="G1917" s="89">
        <v>2021</v>
      </c>
      <c r="H1917" s="341" t="s">
        <v>733</v>
      </c>
      <c r="I1917" s="337" t="str">
        <f t="shared" si="84"/>
        <v>Pesado de Passageiros M3: I : Gasóleo : E6</v>
      </c>
      <c r="J1917" s="125">
        <v>83</v>
      </c>
      <c r="K1917" s="264">
        <v>2022</v>
      </c>
      <c r="L1917" s="85">
        <v>18837.900000000001</v>
      </c>
      <c r="M1917" s="85" t="s">
        <v>630</v>
      </c>
      <c r="N1917" s="128">
        <v>56692</v>
      </c>
      <c r="O1917" s="128">
        <f t="shared" si="85"/>
        <v>4705436</v>
      </c>
      <c r="Q1917" t="s">
        <v>47</v>
      </c>
      <c r="R1917" s="220" t="s">
        <v>1888</v>
      </c>
      <c r="S1917" s="220" t="s">
        <v>1861</v>
      </c>
      <c r="T1917" t="s">
        <v>2565</v>
      </c>
      <c r="U1917" t="s">
        <v>1972</v>
      </c>
      <c r="V1917" t="s">
        <v>2832</v>
      </c>
    </row>
    <row r="1918" spans="1:22" ht="15.75" thickBot="1" x14ac:dyDescent="0.3">
      <c r="A1918" t="s">
        <v>4702</v>
      </c>
      <c r="B1918" t="s">
        <v>4702</v>
      </c>
      <c r="C1918" t="s">
        <v>4702</v>
      </c>
      <c r="D1918" t="s">
        <v>629</v>
      </c>
      <c r="E1918" s="259" t="s">
        <v>1970</v>
      </c>
      <c r="F1918" t="s">
        <v>620</v>
      </c>
      <c r="G1918" s="89">
        <v>2021</v>
      </c>
      <c r="H1918" s="341" t="s">
        <v>733</v>
      </c>
      <c r="I1918" s="337" t="str">
        <f t="shared" si="84"/>
        <v>Pesado de Passageiros M3: I : Gasóleo : E6</v>
      </c>
      <c r="J1918" s="125">
        <v>83</v>
      </c>
      <c r="K1918" s="264">
        <v>2022</v>
      </c>
      <c r="L1918" s="85">
        <v>16003.2</v>
      </c>
      <c r="M1918" s="85" t="s">
        <v>630</v>
      </c>
      <c r="N1918" s="128">
        <v>48552</v>
      </c>
      <c r="O1918" s="128">
        <f t="shared" si="85"/>
        <v>4029816</v>
      </c>
      <c r="Q1918" t="s">
        <v>47</v>
      </c>
      <c r="R1918" s="220" t="s">
        <v>1888</v>
      </c>
      <c r="S1918" s="220" t="s">
        <v>1861</v>
      </c>
      <c r="T1918" t="s">
        <v>2566</v>
      </c>
      <c r="U1918" t="s">
        <v>1972</v>
      </c>
      <c r="V1918" t="s">
        <v>2832</v>
      </c>
    </row>
    <row r="1919" spans="1:22" ht="15.75" thickBot="1" x14ac:dyDescent="0.3">
      <c r="A1919" t="s">
        <v>4702</v>
      </c>
      <c r="B1919" t="s">
        <v>4702</v>
      </c>
      <c r="C1919" t="s">
        <v>4702</v>
      </c>
      <c r="D1919" t="s">
        <v>629</v>
      </c>
      <c r="E1919" s="259" t="s">
        <v>1970</v>
      </c>
      <c r="F1919" t="s">
        <v>620</v>
      </c>
      <c r="G1919" s="89">
        <v>2021</v>
      </c>
      <c r="H1919" s="341" t="s">
        <v>733</v>
      </c>
      <c r="I1919" s="337" t="str">
        <f t="shared" si="84"/>
        <v>Pesado de Passageiros M3: I : Gasóleo : E6</v>
      </c>
      <c r="J1919" s="125">
        <v>83</v>
      </c>
      <c r="K1919" s="264">
        <v>2022</v>
      </c>
      <c r="L1919" s="85">
        <v>15137.61</v>
      </c>
      <c r="M1919" s="85" t="s">
        <v>630</v>
      </c>
      <c r="N1919" s="128">
        <v>46182</v>
      </c>
      <c r="O1919" s="128">
        <f t="shared" si="85"/>
        <v>3833106</v>
      </c>
      <c r="Q1919" t="s">
        <v>47</v>
      </c>
      <c r="R1919" s="220" t="s">
        <v>1888</v>
      </c>
      <c r="S1919" s="220" t="s">
        <v>1861</v>
      </c>
      <c r="T1919" t="s">
        <v>2567</v>
      </c>
      <c r="U1919" t="s">
        <v>1972</v>
      </c>
      <c r="V1919" t="s">
        <v>2832</v>
      </c>
    </row>
    <row r="1920" spans="1:22" ht="15.75" thickBot="1" x14ac:dyDescent="0.3">
      <c r="A1920" t="s">
        <v>4702</v>
      </c>
      <c r="B1920" t="s">
        <v>4702</v>
      </c>
      <c r="C1920" t="s">
        <v>4702</v>
      </c>
      <c r="D1920" t="s">
        <v>629</v>
      </c>
      <c r="E1920" s="259" t="s">
        <v>1970</v>
      </c>
      <c r="F1920" t="s">
        <v>620</v>
      </c>
      <c r="G1920" s="89">
        <v>2021</v>
      </c>
      <c r="H1920" s="341" t="s">
        <v>733</v>
      </c>
      <c r="I1920" s="337" t="str">
        <f t="shared" si="84"/>
        <v>Pesado de Passageiros M3: I : Gasóleo : E6</v>
      </c>
      <c r="J1920" s="125">
        <v>83</v>
      </c>
      <c r="K1920" s="264">
        <v>2022</v>
      </c>
      <c r="L1920" s="85">
        <v>12720.51</v>
      </c>
      <c r="M1920" s="85" t="s">
        <v>630</v>
      </c>
      <c r="N1920" s="128">
        <v>41747</v>
      </c>
      <c r="O1920" s="128">
        <f t="shared" si="85"/>
        <v>3465001</v>
      </c>
      <c r="Q1920" t="s">
        <v>47</v>
      </c>
      <c r="R1920" s="220" t="s">
        <v>1888</v>
      </c>
      <c r="S1920" s="220" t="s">
        <v>1861</v>
      </c>
      <c r="T1920" t="s">
        <v>2568</v>
      </c>
      <c r="U1920" t="s">
        <v>1972</v>
      </c>
      <c r="V1920" t="s">
        <v>2832</v>
      </c>
    </row>
    <row r="1921" spans="1:22" ht="15.75" thickBot="1" x14ac:dyDescent="0.3">
      <c r="A1921" t="s">
        <v>4702</v>
      </c>
      <c r="B1921" t="s">
        <v>4702</v>
      </c>
      <c r="C1921" t="s">
        <v>4702</v>
      </c>
      <c r="D1921" t="s">
        <v>629</v>
      </c>
      <c r="E1921" s="259" t="s">
        <v>1970</v>
      </c>
      <c r="F1921" t="s">
        <v>620</v>
      </c>
      <c r="G1921" s="89">
        <v>2021</v>
      </c>
      <c r="H1921" s="341" t="s">
        <v>733</v>
      </c>
      <c r="I1921" s="337" t="str">
        <f t="shared" si="84"/>
        <v>Pesado de Passageiros M3: I : Gasóleo : E6</v>
      </c>
      <c r="J1921" s="125">
        <v>83</v>
      </c>
      <c r="K1921" s="264">
        <v>2022</v>
      </c>
      <c r="L1921" s="85">
        <v>17146.91</v>
      </c>
      <c r="M1921" s="85" t="s">
        <v>630</v>
      </c>
      <c r="N1921" s="128">
        <v>50548</v>
      </c>
      <c r="O1921" s="128">
        <f t="shared" si="85"/>
        <v>4195484</v>
      </c>
      <c r="Q1921" t="s">
        <v>47</v>
      </c>
      <c r="R1921" s="220" t="s">
        <v>1888</v>
      </c>
      <c r="S1921" s="220" t="s">
        <v>1861</v>
      </c>
      <c r="T1921" t="s">
        <v>2569</v>
      </c>
      <c r="U1921" t="s">
        <v>1972</v>
      </c>
      <c r="V1921" t="s">
        <v>2832</v>
      </c>
    </row>
    <row r="1922" spans="1:22" ht="15.75" thickBot="1" x14ac:dyDescent="0.3">
      <c r="A1922" t="s">
        <v>4702</v>
      </c>
      <c r="B1922" t="s">
        <v>4702</v>
      </c>
      <c r="C1922" t="s">
        <v>4702</v>
      </c>
      <c r="D1922" t="s">
        <v>629</v>
      </c>
      <c r="E1922" s="259" t="s">
        <v>1970</v>
      </c>
      <c r="F1922" t="s">
        <v>620</v>
      </c>
      <c r="G1922" s="89">
        <v>2021</v>
      </c>
      <c r="H1922" s="341" t="s">
        <v>733</v>
      </c>
      <c r="I1922" s="337" t="str">
        <f t="shared" si="84"/>
        <v>Pesado de Passageiros M3: I : Gasóleo : E6</v>
      </c>
      <c r="J1922" s="125">
        <v>78</v>
      </c>
      <c r="K1922" s="264">
        <v>2022</v>
      </c>
      <c r="L1922" s="85">
        <v>17812.380000000005</v>
      </c>
      <c r="M1922" s="85" t="s">
        <v>630</v>
      </c>
      <c r="N1922" s="128">
        <v>54186</v>
      </c>
      <c r="O1922" s="128">
        <f t="shared" si="85"/>
        <v>4226508</v>
      </c>
      <c r="Q1922" t="s">
        <v>47</v>
      </c>
      <c r="R1922" s="220" t="s">
        <v>1888</v>
      </c>
      <c r="S1922" s="220" t="s">
        <v>1861</v>
      </c>
      <c r="T1922" t="s">
        <v>2570</v>
      </c>
      <c r="U1922" t="s">
        <v>1972</v>
      </c>
      <c r="V1922" t="s">
        <v>2832</v>
      </c>
    </row>
    <row r="1923" spans="1:22" ht="15.75" thickBot="1" x14ac:dyDescent="0.3">
      <c r="A1923" t="s">
        <v>4702</v>
      </c>
      <c r="B1923" t="s">
        <v>4702</v>
      </c>
      <c r="C1923" t="s">
        <v>4702</v>
      </c>
      <c r="D1923" t="s">
        <v>629</v>
      </c>
      <c r="E1923" s="259" t="s">
        <v>1970</v>
      </c>
      <c r="F1923" t="s">
        <v>620</v>
      </c>
      <c r="G1923" s="89">
        <v>2021</v>
      </c>
      <c r="H1923" s="341" t="s">
        <v>733</v>
      </c>
      <c r="I1923" s="337" t="str">
        <f t="shared" si="84"/>
        <v>Pesado de Passageiros M3: I : Gasóleo : E6</v>
      </c>
      <c r="J1923" s="125">
        <v>83</v>
      </c>
      <c r="K1923" s="264">
        <v>2022</v>
      </c>
      <c r="L1923" s="85">
        <v>20535.830000000002</v>
      </c>
      <c r="M1923" s="85" t="s">
        <v>630</v>
      </c>
      <c r="N1923" s="128">
        <v>65208</v>
      </c>
      <c r="O1923" s="128">
        <f t="shared" si="85"/>
        <v>5412264</v>
      </c>
      <c r="Q1923" t="s">
        <v>47</v>
      </c>
      <c r="R1923" s="220" t="s">
        <v>1888</v>
      </c>
      <c r="S1923" s="220" t="s">
        <v>1861</v>
      </c>
      <c r="T1923" t="s">
        <v>2571</v>
      </c>
      <c r="U1923" t="s">
        <v>1972</v>
      </c>
      <c r="V1923" t="s">
        <v>2832</v>
      </c>
    </row>
    <row r="1924" spans="1:22" ht="15.75" thickBot="1" x14ac:dyDescent="0.3">
      <c r="A1924" t="s">
        <v>4702</v>
      </c>
      <c r="B1924" t="s">
        <v>4702</v>
      </c>
      <c r="C1924" t="s">
        <v>4702</v>
      </c>
      <c r="D1924" t="s">
        <v>629</v>
      </c>
      <c r="E1924" s="259" t="s">
        <v>1970</v>
      </c>
      <c r="F1924" t="s">
        <v>620</v>
      </c>
      <c r="G1924" s="89">
        <v>2007</v>
      </c>
      <c r="H1924" s="341" t="s">
        <v>731</v>
      </c>
      <c r="I1924" s="337" t="str">
        <f t="shared" ref="I1924:I1987" si="86">D1924&amp;": "&amp;E1924&amp;" : "&amp;F1924&amp;" : "&amp;H1924</f>
        <v>Pesado de Passageiros M3: I : Gasóleo : E4</v>
      </c>
      <c r="J1924" s="125">
        <v>72</v>
      </c>
      <c r="K1924" s="264">
        <v>2022</v>
      </c>
      <c r="L1924" s="85">
        <v>18869.84</v>
      </c>
      <c r="M1924" s="85" t="s">
        <v>630</v>
      </c>
      <c r="N1924" s="128">
        <v>49757</v>
      </c>
      <c r="O1924" s="128">
        <f t="shared" ref="O1924:O1987" si="87">N1924*J1924</f>
        <v>3582504</v>
      </c>
      <c r="Q1924" t="s">
        <v>47</v>
      </c>
      <c r="R1924" s="220" t="s">
        <v>1888</v>
      </c>
      <c r="S1924" s="220" t="s">
        <v>1861</v>
      </c>
      <c r="T1924" t="s">
        <v>2572</v>
      </c>
      <c r="U1924" t="s">
        <v>1972</v>
      </c>
      <c r="V1924" t="s">
        <v>2832</v>
      </c>
    </row>
    <row r="1925" spans="1:22" ht="15.75" thickBot="1" x14ac:dyDescent="0.3">
      <c r="A1925" t="s">
        <v>4702</v>
      </c>
      <c r="B1925" t="s">
        <v>4702</v>
      </c>
      <c r="C1925" t="s">
        <v>4702</v>
      </c>
      <c r="D1925" t="s">
        <v>629</v>
      </c>
      <c r="E1925" s="259" t="s">
        <v>1970</v>
      </c>
      <c r="F1925" t="s">
        <v>620</v>
      </c>
      <c r="G1925" s="89">
        <v>2004</v>
      </c>
      <c r="H1925" s="341" t="s">
        <v>732</v>
      </c>
      <c r="I1925" s="337" t="str">
        <f t="shared" si="86"/>
        <v>Pesado de Passageiros M3: I : Gasóleo : E3</v>
      </c>
      <c r="J1925" s="125">
        <v>83</v>
      </c>
      <c r="K1925" s="264">
        <v>2022</v>
      </c>
      <c r="L1925" s="85">
        <v>15380.330000000002</v>
      </c>
      <c r="M1925" s="85" t="s">
        <v>630</v>
      </c>
      <c r="N1925" s="128">
        <v>41530</v>
      </c>
      <c r="O1925" s="128">
        <f t="shared" si="87"/>
        <v>3446990</v>
      </c>
      <c r="Q1925" t="s">
        <v>47</v>
      </c>
      <c r="R1925" s="220" t="s">
        <v>1888</v>
      </c>
      <c r="S1925" s="220" t="s">
        <v>1861</v>
      </c>
      <c r="T1925" t="s">
        <v>2573</v>
      </c>
      <c r="U1925" t="s">
        <v>1972</v>
      </c>
      <c r="V1925" t="s">
        <v>2832</v>
      </c>
    </row>
    <row r="1926" spans="1:22" ht="15.75" thickBot="1" x14ac:dyDescent="0.3">
      <c r="A1926" t="s">
        <v>4702</v>
      </c>
      <c r="B1926" t="s">
        <v>4702</v>
      </c>
      <c r="C1926" t="s">
        <v>4702</v>
      </c>
      <c r="D1926" t="s">
        <v>629</v>
      </c>
      <c r="E1926" s="259" t="s">
        <v>1970</v>
      </c>
      <c r="F1926" t="s">
        <v>620</v>
      </c>
      <c r="G1926" s="89">
        <v>2007</v>
      </c>
      <c r="H1926" s="341" t="s">
        <v>731</v>
      </c>
      <c r="I1926" s="337" t="str">
        <f t="shared" si="86"/>
        <v>Pesado de Passageiros M3: I : Gasóleo : E4</v>
      </c>
      <c r="J1926" s="125">
        <v>12</v>
      </c>
      <c r="K1926" s="264">
        <v>2022</v>
      </c>
      <c r="L1926" s="85">
        <v>11808.590000000002</v>
      </c>
      <c r="M1926" s="85" t="s">
        <v>630</v>
      </c>
      <c r="N1926" s="128">
        <v>30832</v>
      </c>
      <c r="O1926" s="128">
        <f t="shared" si="87"/>
        <v>369984</v>
      </c>
      <c r="Q1926" t="s">
        <v>47</v>
      </c>
      <c r="R1926" s="220" t="s">
        <v>1888</v>
      </c>
      <c r="S1926" s="220" t="s">
        <v>1861</v>
      </c>
      <c r="T1926" t="s">
        <v>2574</v>
      </c>
      <c r="U1926" t="s">
        <v>1972</v>
      </c>
      <c r="V1926" t="s">
        <v>2832</v>
      </c>
    </row>
    <row r="1927" spans="1:22" ht="15.75" thickBot="1" x14ac:dyDescent="0.3">
      <c r="A1927" t="s">
        <v>4702</v>
      </c>
      <c r="B1927" t="s">
        <v>4702</v>
      </c>
      <c r="C1927" t="s">
        <v>4702</v>
      </c>
      <c r="D1927" t="s">
        <v>629</v>
      </c>
      <c r="E1927" s="259" t="s">
        <v>1970</v>
      </c>
      <c r="F1927" t="s">
        <v>620</v>
      </c>
      <c r="G1927" s="89">
        <v>2006</v>
      </c>
      <c r="H1927" s="341" t="s">
        <v>731</v>
      </c>
      <c r="I1927" s="337" t="str">
        <f t="shared" si="86"/>
        <v>Pesado de Passageiros M3: I : Gasóleo : E4</v>
      </c>
      <c r="J1927" s="125">
        <v>55</v>
      </c>
      <c r="K1927" s="264">
        <v>2022</v>
      </c>
      <c r="L1927" s="85">
        <v>13302.869999999999</v>
      </c>
      <c r="M1927" s="85" t="s">
        <v>630</v>
      </c>
      <c r="N1927" s="128">
        <v>35397</v>
      </c>
      <c r="O1927" s="128">
        <f t="shared" si="87"/>
        <v>1946835</v>
      </c>
      <c r="Q1927" t="s">
        <v>47</v>
      </c>
      <c r="R1927" s="220" t="s">
        <v>1888</v>
      </c>
      <c r="S1927" s="220" t="s">
        <v>1861</v>
      </c>
      <c r="T1927" t="s">
        <v>2575</v>
      </c>
      <c r="U1927" t="s">
        <v>1972</v>
      </c>
      <c r="V1927" t="s">
        <v>2832</v>
      </c>
    </row>
    <row r="1928" spans="1:22" ht="15.75" thickBot="1" x14ac:dyDescent="0.3">
      <c r="A1928" t="s">
        <v>4702</v>
      </c>
      <c r="B1928" t="s">
        <v>4702</v>
      </c>
      <c r="C1928" t="s">
        <v>4702</v>
      </c>
      <c r="D1928" t="s">
        <v>629</v>
      </c>
      <c r="E1928" s="259" t="s">
        <v>1970</v>
      </c>
      <c r="F1928" t="s">
        <v>620</v>
      </c>
      <c r="G1928" s="89">
        <v>2007</v>
      </c>
      <c r="H1928" s="341" t="s">
        <v>731</v>
      </c>
      <c r="I1928" s="337" t="str">
        <f t="shared" si="86"/>
        <v>Pesado de Passageiros M3: I : Gasóleo : E4</v>
      </c>
      <c r="J1928" s="125">
        <v>75</v>
      </c>
      <c r="K1928" s="264">
        <v>2022</v>
      </c>
      <c r="L1928" s="85">
        <v>14333.96</v>
      </c>
      <c r="M1928" s="85" t="s">
        <v>630</v>
      </c>
      <c r="N1928" s="128">
        <v>41986</v>
      </c>
      <c r="O1928" s="128">
        <f t="shared" si="87"/>
        <v>3148950</v>
      </c>
      <c r="Q1928" t="s">
        <v>47</v>
      </c>
      <c r="R1928" s="220" t="s">
        <v>1888</v>
      </c>
      <c r="S1928" s="220" t="s">
        <v>1861</v>
      </c>
      <c r="T1928" t="s">
        <v>2576</v>
      </c>
      <c r="U1928" t="s">
        <v>1972</v>
      </c>
      <c r="V1928" t="s">
        <v>2832</v>
      </c>
    </row>
    <row r="1929" spans="1:22" ht="15.75" thickBot="1" x14ac:dyDescent="0.3">
      <c r="A1929" t="s">
        <v>4702</v>
      </c>
      <c r="B1929" t="s">
        <v>4702</v>
      </c>
      <c r="C1929" t="s">
        <v>4702</v>
      </c>
      <c r="D1929" t="s">
        <v>629</v>
      </c>
      <c r="E1929" s="259" t="s">
        <v>1970</v>
      </c>
      <c r="F1929" t="s">
        <v>620</v>
      </c>
      <c r="G1929" s="89">
        <v>2008</v>
      </c>
      <c r="H1929" s="341" t="s">
        <v>731</v>
      </c>
      <c r="I1929" s="337" t="str">
        <f t="shared" si="86"/>
        <v>Pesado de Passageiros M3: I : Gasóleo : E4</v>
      </c>
      <c r="J1929" s="125">
        <v>78</v>
      </c>
      <c r="K1929" s="264">
        <v>2022</v>
      </c>
      <c r="L1929" s="85">
        <v>14983.23</v>
      </c>
      <c r="M1929" s="85" t="s">
        <v>630</v>
      </c>
      <c r="N1929" s="128">
        <v>49088</v>
      </c>
      <c r="O1929" s="128">
        <f t="shared" si="87"/>
        <v>3828864</v>
      </c>
      <c r="Q1929" t="s">
        <v>47</v>
      </c>
      <c r="R1929" s="220" t="s">
        <v>1888</v>
      </c>
      <c r="S1929" s="220" t="s">
        <v>1861</v>
      </c>
      <c r="T1929" t="s">
        <v>2577</v>
      </c>
      <c r="U1929" t="s">
        <v>1972</v>
      </c>
      <c r="V1929" t="s">
        <v>2832</v>
      </c>
    </row>
    <row r="1930" spans="1:22" ht="15.75" thickBot="1" x14ac:dyDescent="0.3">
      <c r="A1930" t="s">
        <v>4702</v>
      </c>
      <c r="B1930" t="s">
        <v>4702</v>
      </c>
      <c r="C1930" t="s">
        <v>4702</v>
      </c>
      <c r="D1930" t="s">
        <v>629</v>
      </c>
      <c r="E1930" s="259" t="s">
        <v>1970</v>
      </c>
      <c r="F1930" t="s">
        <v>620</v>
      </c>
      <c r="G1930" s="89">
        <v>2010</v>
      </c>
      <c r="H1930" s="341" t="s">
        <v>734</v>
      </c>
      <c r="I1930" s="337" t="str">
        <f t="shared" si="86"/>
        <v>Pesado de Passageiros M3: I : Gasóleo : E5</v>
      </c>
      <c r="J1930" s="125">
        <v>71</v>
      </c>
      <c r="K1930" s="264">
        <v>2022</v>
      </c>
      <c r="L1930" s="85">
        <v>9141.52</v>
      </c>
      <c r="M1930" s="85" t="s">
        <v>630</v>
      </c>
      <c r="N1930" s="128">
        <v>24678</v>
      </c>
      <c r="O1930" s="128">
        <f t="shared" si="87"/>
        <v>1752138</v>
      </c>
      <c r="Q1930" t="s">
        <v>47</v>
      </c>
      <c r="R1930" s="220" t="s">
        <v>1888</v>
      </c>
      <c r="S1930" s="220" t="s">
        <v>1861</v>
      </c>
      <c r="T1930" t="s">
        <v>2578</v>
      </c>
      <c r="U1930" t="s">
        <v>1972</v>
      </c>
      <c r="V1930" t="s">
        <v>2832</v>
      </c>
    </row>
    <row r="1931" spans="1:22" ht="15.75" thickBot="1" x14ac:dyDescent="0.3">
      <c r="A1931" t="s">
        <v>4702</v>
      </c>
      <c r="B1931" t="s">
        <v>4702</v>
      </c>
      <c r="C1931" t="s">
        <v>4702</v>
      </c>
      <c r="D1931" t="s">
        <v>629</v>
      </c>
      <c r="E1931" s="259" t="s">
        <v>1970</v>
      </c>
      <c r="F1931" t="s">
        <v>620</v>
      </c>
      <c r="G1931" s="89">
        <v>2007</v>
      </c>
      <c r="H1931" s="341" t="s">
        <v>731</v>
      </c>
      <c r="I1931" s="337" t="str">
        <f t="shared" si="86"/>
        <v>Pesado de Passageiros M3: I : Gasóleo : E4</v>
      </c>
      <c r="J1931" s="125">
        <v>75</v>
      </c>
      <c r="K1931" s="264">
        <v>2022</v>
      </c>
      <c r="L1931" s="85">
        <v>14351.54</v>
      </c>
      <c r="M1931" s="85" t="s">
        <v>630</v>
      </c>
      <c r="N1931" s="128">
        <v>44000</v>
      </c>
      <c r="O1931" s="128">
        <f t="shared" si="87"/>
        <v>3300000</v>
      </c>
      <c r="Q1931" t="s">
        <v>47</v>
      </c>
      <c r="R1931" s="220" t="s">
        <v>1888</v>
      </c>
      <c r="S1931" s="220" t="s">
        <v>1861</v>
      </c>
      <c r="T1931" t="s">
        <v>2579</v>
      </c>
      <c r="U1931" t="s">
        <v>1972</v>
      </c>
      <c r="V1931" t="s">
        <v>2832</v>
      </c>
    </row>
    <row r="1932" spans="1:22" ht="15.75" thickBot="1" x14ac:dyDescent="0.3">
      <c r="A1932" t="s">
        <v>4702</v>
      </c>
      <c r="B1932" t="s">
        <v>4702</v>
      </c>
      <c r="C1932" t="s">
        <v>4702</v>
      </c>
      <c r="D1932" t="s">
        <v>629</v>
      </c>
      <c r="E1932" s="259" t="s">
        <v>1970</v>
      </c>
      <c r="F1932" t="s">
        <v>620</v>
      </c>
      <c r="G1932" s="89">
        <v>2008</v>
      </c>
      <c r="H1932" s="341" t="s">
        <v>731</v>
      </c>
      <c r="I1932" s="337" t="str">
        <f t="shared" si="86"/>
        <v>Pesado de Passageiros M3: I : Gasóleo : E4</v>
      </c>
      <c r="J1932" s="125">
        <v>79</v>
      </c>
      <c r="K1932" s="264">
        <v>2022</v>
      </c>
      <c r="L1932" s="85">
        <v>14932.650000000001</v>
      </c>
      <c r="M1932" s="85" t="s">
        <v>630</v>
      </c>
      <c r="N1932" s="128">
        <v>36641</v>
      </c>
      <c r="O1932" s="128">
        <f t="shared" si="87"/>
        <v>2894639</v>
      </c>
      <c r="Q1932" t="s">
        <v>47</v>
      </c>
      <c r="R1932" s="220" t="s">
        <v>1888</v>
      </c>
      <c r="S1932" s="220" t="s">
        <v>1861</v>
      </c>
      <c r="T1932" t="s">
        <v>2580</v>
      </c>
      <c r="U1932" t="s">
        <v>1972</v>
      </c>
      <c r="V1932" t="s">
        <v>2832</v>
      </c>
    </row>
    <row r="1933" spans="1:22" ht="15.75" thickBot="1" x14ac:dyDescent="0.3">
      <c r="A1933" t="s">
        <v>4702</v>
      </c>
      <c r="B1933" t="s">
        <v>4702</v>
      </c>
      <c r="C1933" t="s">
        <v>4702</v>
      </c>
      <c r="D1933" t="s">
        <v>629</v>
      </c>
      <c r="E1933" s="259" t="s">
        <v>1970</v>
      </c>
      <c r="F1933" t="s">
        <v>620</v>
      </c>
      <c r="G1933" s="89">
        <v>2008</v>
      </c>
      <c r="H1933" s="341" t="s">
        <v>731</v>
      </c>
      <c r="I1933" s="337" t="str">
        <f t="shared" si="86"/>
        <v>Pesado de Passageiros M3: I : Gasóleo : E4</v>
      </c>
      <c r="J1933" s="125">
        <v>79</v>
      </c>
      <c r="K1933" s="264">
        <v>2022</v>
      </c>
      <c r="L1933" s="85">
        <v>16394.14</v>
      </c>
      <c r="M1933" s="85" t="s">
        <v>630</v>
      </c>
      <c r="N1933" s="128">
        <v>38470</v>
      </c>
      <c r="O1933" s="128">
        <f t="shared" si="87"/>
        <v>3039130</v>
      </c>
      <c r="Q1933" t="s">
        <v>47</v>
      </c>
      <c r="R1933" s="220" t="s">
        <v>1888</v>
      </c>
      <c r="S1933" s="220" t="s">
        <v>1861</v>
      </c>
      <c r="T1933" t="s">
        <v>2581</v>
      </c>
      <c r="U1933" t="s">
        <v>1972</v>
      </c>
      <c r="V1933" t="s">
        <v>2832</v>
      </c>
    </row>
    <row r="1934" spans="1:22" ht="15.75" thickBot="1" x14ac:dyDescent="0.3">
      <c r="A1934" t="s">
        <v>4702</v>
      </c>
      <c r="B1934" t="s">
        <v>4702</v>
      </c>
      <c r="C1934" t="s">
        <v>4702</v>
      </c>
      <c r="D1934" t="s">
        <v>629</v>
      </c>
      <c r="E1934" s="259" t="s">
        <v>1970</v>
      </c>
      <c r="F1934" t="s">
        <v>620</v>
      </c>
      <c r="G1934" s="89">
        <v>2008</v>
      </c>
      <c r="H1934" s="341" t="s">
        <v>731</v>
      </c>
      <c r="I1934" s="337" t="str">
        <f t="shared" si="86"/>
        <v>Pesado de Passageiros M3: I : Gasóleo : E4</v>
      </c>
      <c r="J1934" s="125">
        <v>79</v>
      </c>
      <c r="K1934" s="264">
        <v>2022</v>
      </c>
      <c r="L1934" s="85">
        <v>11420.02</v>
      </c>
      <c r="M1934" s="85" t="s">
        <v>630</v>
      </c>
      <c r="N1934" s="128">
        <v>28056</v>
      </c>
      <c r="O1934" s="128">
        <f t="shared" si="87"/>
        <v>2216424</v>
      </c>
      <c r="Q1934" t="s">
        <v>47</v>
      </c>
      <c r="R1934" s="220" t="s">
        <v>1888</v>
      </c>
      <c r="S1934" s="220" t="s">
        <v>1861</v>
      </c>
      <c r="T1934" t="s">
        <v>2582</v>
      </c>
      <c r="U1934" t="s">
        <v>1972</v>
      </c>
      <c r="V1934" t="s">
        <v>2832</v>
      </c>
    </row>
    <row r="1935" spans="1:22" ht="15.75" thickBot="1" x14ac:dyDescent="0.3">
      <c r="A1935" t="s">
        <v>4702</v>
      </c>
      <c r="B1935" t="s">
        <v>4702</v>
      </c>
      <c r="C1935" t="s">
        <v>4702</v>
      </c>
      <c r="D1935" t="s">
        <v>629</v>
      </c>
      <c r="E1935" s="259" t="s">
        <v>1970</v>
      </c>
      <c r="F1935" t="s">
        <v>620</v>
      </c>
      <c r="G1935" s="89">
        <v>2008</v>
      </c>
      <c r="H1935" s="341" t="s">
        <v>731</v>
      </c>
      <c r="I1935" s="337" t="str">
        <f t="shared" si="86"/>
        <v>Pesado de Passageiros M3: I : Gasóleo : E4</v>
      </c>
      <c r="J1935" s="125">
        <v>80</v>
      </c>
      <c r="K1935" s="264">
        <v>2022</v>
      </c>
      <c r="L1935" s="85">
        <v>15754.010000000002</v>
      </c>
      <c r="M1935" s="85" t="s">
        <v>630</v>
      </c>
      <c r="N1935" s="128">
        <v>43673</v>
      </c>
      <c r="O1935" s="128">
        <f t="shared" si="87"/>
        <v>3493840</v>
      </c>
      <c r="Q1935" t="s">
        <v>47</v>
      </c>
      <c r="R1935" s="220" t="s">
        <v>1888</v>
      </c>
      <c r="S1935" s="220" t="s">
        <v>1861</v>
      </c>
      <c r="T1935" t="s">
        <v>2583</v>
      </c>
      <c r="U1935" t="s">
        <v>1972</v>
      </c>
      <c r="V1935" t="s">
        <v>2832</v>
      </c>
    </row>
    <row r="1936" spans="1:22" ht="15.75" thickBot="1" x14ac:dyDescent="0.3">
      <c r="A1936" t="s">
        <v>4702</v>
      </c>
      <c r="B1936" t="s">
        <v>4702</v>
      </c>
      <c r="C1936" t="s">
        <v>4702</v>
      </c>
      <c r="D1936" t="s">
        <v>629</v>
      </c>
      <c r="E1936" s="259" t="s">
        <v>1970</v>
      </c>
      <c r="F1936" t="s">
        <v>620</v>
      </c>
      <c r="G1936" s="89">
        <v>2010</v>
      </c>
      <c r="H1936" s="341" t="s">
        <v>734</v>
      </c>
      <c r="I1936" s="337" t="str">
        <f t="shared" si="86"/>
        <v>Pesado de Passageiros M3: I : Gasóleo : E5</v>
      </c>
      <c r="J1936" s="125">
        <v>85</v>
      </c>
      <c r="K1936" s="264">
        <v>2022</v>
      </c>
      <c r="L1936" s="85">
        <v>14122.62</v>
      </c>
      <c r="M1936" s="85" t="s">
        <v>630</v>
      </c>
      <c r="N1936" s="128">
        <v>49382</v>
      </c>
      <c r="O1936" s="128">
        <f t="shared" si="87"/>
        <v>4197470</v>
      </c>
      <c r="Q1936" t="s">
        <v>47</v>
      </c>
      <c r="R1936" s="220" t="s">
        <v>1888</v>
      </c>
      <c r="S1936" s="220" t="s">
        <v>1861</v>
      </c>
      <c r="T1936" t="s">
        <v>2584</v>
      </c>
      <c r="U1936" t="s">
        <v>1972</v>
      </c>
      <c r="V1936" t="s">
        <v>2832</v>
      </c>
    </row>
    <row r="1937" spans="1:22" ht="15.75" thickBot="1" x14ac:dyDescent="0.3">
      <c r="A1937" t="s">
        <v>4702</v>
      </c>
      <c r="B1937" t="s">
        <v>4702</v>
      </c>
      <c r="C1937" t="s">
        <v>4702</v>
      </c>
      <c r="D1937" t="s">
        <v>629</v>
      </c>
      <c r="E1937" s="259" t="s">
        <v>1970</v>
      </c>
      <c r="F1937" t="s">
        <v>620</v>
      </c>
      <c r="G1937" s="89">
        <v>2008</v>
      </c>
      <c r="H1937" s="341" t="s">
        <v>731</v>
      </c>
      <c r="I1937" s="337" t="str">
        <f t="shared" si="86"/>
        <v>Pesado de Passageiros M3: I : Gasóleo : E4</v>
      </c>
      <c r="J1937" s="125">
        <v>76</v>
      </c>
      <c r="K1937" s="264">
        <v>2022</v>
      </c>
      <c r="L1937" s="85">
        <v>17050.39</v>
      </c>
      <c r="M1937" s="85" t="s">
        <v>630</v>
      </c>
      <c r="N1937" s="128">
        <v>43752</v>
      </c>
      <c r="O1937" s="128">
        <f t="shared" si="87"/>
        <v>3325152</v>
      </c>
      <c r="Q1937" t="s">
        <v>47</v>
      </c>
      <c r="R1937" s="220" t="s">
        <v>1888</v>
      </c>
      <c r="S1937" s="220" t="s">
        <v>1861</v>
      </c>
      <c r="T1937" t="s">
        <v>2585</v>
      </c>
      <c r="U1937" t="s">
        <v>1972</v>
      </c>
      <c r="V1937" t="s">
        <v>2832</v>
      </c>
    </row>
    <row r="1938" spans="1:22" ht="15.75" thickBot="1" x14ac:dyDescent="0.3">
      <c r="A1938" t="s">
        <v>4702</v>
      </c>
      <c r="B1938" t="s">
        <v>4702</v>
      </c>
      <c r="C1938" t="s">
        <v>4702</v>
      </c>
      <c r="D1938" t="s">
        <v>629</v>
      </c>
      <c r="E1938" s="259" t="s">
        <v>1970</v>
      </c>
      <c r="F1938" t="s">
        <v>620</v>
      </c>
      <c r="G1938" s="89">
        <v>2009</v>
      </c>
      <c r="H1938" s="341" t="s">
        <v>734</v>
      </c>
      <c r="I1938" s="337" t="str">
        <f t="shared" si="86"/>
        <v>Pesado de Passageiros M3: I : Gasóleo : E5</v>
      </c>
      <c r="J1938" s="125">
        <v>84</v>
      </c>
      <c r="K1938" s="264">
        <v>2022</v>
      </c>
      <c r="L1938" s="85">
        <v>23605.13</v>
      </c>
      <c r="M1938" s="85" t="s">
        <v>630</v>
      </c>
      <c r="N1938" s="128">
        <v>64244</v>
      </c>
      <c r="O1938" s="128">
        <f t="shared" si="87"/>
        <v>5396496</v>
      </c>
      <c r="Q1938" t="s">
        <v>47</v>
      </c>
      <c r="R1938" s="220" t="s">
        <v>1888</v>
      </c>
      <c r="S1938" s="220" t="s">
        <v>1861</v>
      </c>
      <c r="T1938" t="s">
        <v>2586</v>
      </c>
      <c r="U1938" t="s">
        <v>1972</v>
      </c>
      <c r="V1938" t="s">
        <v>2832</v>
      </c>
    </row>
    <row r="1939" spans="1:22" ht="15.75" thickBot="1" x14ac:dyDescent="0.3">
      <c r="A1939" t="s">
        <v>4702</v>
      </c>
      <c r="B1939" t="s">
        <v>4702</v>
      </c>
      <c r="C1939" t="s">
        <v>4702</v>
      </c>
      <c r="D1939" t="s">
        <v>629</v>
      </c>
      <c r="E1939" s="259" t="s">
        <v>1970</v>
      </c>
      <c r="F1939" t="s">
        <v>620</v>
      </c>
      <c r="G1939" s="89">
        <v>2008</v>
      </c>
      <c r="H1939" s="341" t="s">
        <v>731</v>
      </c>
      <c r="I1939" s="337" t="str">
        <f t="shared" si="86"/>
        <v>Pesado de Passageiros M3: I : Gasóleo : E4</v>
      </c>
      <c r="J1939" s="125">
        <v>74</v>
      </c>
      <c r="K1939" s="264">
        <v>2022</v>
      </c>
      <c r="L1939" s="85">
        <v>14088.400000000001</v>
      </c>
      <c r="M1939" s="85" t="s">
        <v>630</v>
      </c>
      <c r="N1939" s="128">
        <v>43493</v>
      </c>
      <c r="O1939" s="128">
        <f t="shared" si="87"/>
        <v>3218482</v>
      </c>
      <c r="Q1939" t="s">
        <v>47</v>
      </c>
      <c r="R1939" s="220" t="s">
        <v>1888</v>
      </c>
      <c r="S1939" s="220" t="s">
        <v>1861</v>
      </c>
      <c r="T1939" t="s">
        <v>2587</v>
      </c>
      <c r="U1939" t="s">
        <v>1972</v>
      </c>
      <c r="V1939" t="s">
        <v>2832</v>
      </c>
    </row>
    <row r="1940" spans="1:22" ht="15.75" thickBot="1" x14ac:dyDescent="0.3">
      <c r="A1940" t="s">
        <v>4702</v>
      </c>
      <c r="B1940" t="s">
        <v>4702</v>
      </c>
      <c r="C1940" t="s">
        <v>4702</v>
      </c>
      <c r="D1940" t="s">
        <v>629</v>
      </c>
      <c r="E1940" s="259" t="s">
        <v>1970</v>
      </c>
      <c r="F1940" t="s">
        <v>620</v>
      </c>
      <c r="G1940" s="89">
        <v>2008</v>
      </c>
      <c r="H1940" s="341" t="s">
        <v>731</v>
      </c>
      <c r="I1940" s="337" t="str">
        <f t="shared" si="86"/>
        <v>Pesado de Passageiros M3: I : Gasóleo : E4</v>
      </c>
      <c r="J1940" s="125">
        <v>86</v>
      </c>
      <c r="K1940" s="264">
        <v>2022</v>
      </c>
      <c r="L1940" s="85">
        <v>14635.429999999998</v>
      </c>
      <c r="M1940" s="85" t="s">
        <v>630</v>
      </c>
      <c r="N1940" s="128">
        <v>45848</v>
      </c>
      <c r="O1940" s="128">
        <f t="shared" si="87"/>
        <v>3942928</v>
      </c>
      <c r="Q1940" t="s">
        <v>47</v>
      </c>
      <c r="R1940" s="220" t="s">
        <v>1888</v>
      </c>
      <c r="S1940" s="220" t="s">
        <v>1861</v>
      </c>
      <c r="T1940" t="s">
        <v>2588</v>
      </c>
      <c r="U1940" t="s">
        <v>1972</v>
      </c>
      <c r="V1940" t="s">
        <v>2832</v>
      </c>
    </row>
    <row r="1941" spans="1:22" ht="15.75" thickBot="1" x14ac:dyDescent="0.3">
      <c r="A1941" t="s">
        <v>4702</v>
      </c>
      <c r="B1941" t="s">
        <v>4702</v>
      </c>
      <c r="C1941" t="s">
        <v>4702</v>
      </c>
      <c r="D1941" t="s">
        <v>629</v>
      </c>
      <c r="E1941" s="259" t="s">
        <v>1970</v>
      </c>
      <c r="F1941" t="s">
        <v>620</v>
      </c>
      <c r="G1941" s="89">
        <v>2007</v>
      </c>
      <c r="H1941" s="341" t="s">
        <v>731</v>
      </c>
      <c r="I1941" s="337" t="str">
        <f t="shared" si="86"/>
        <v>Pesado de Passageiros M3: I : Gasóleo : E4</v>
      </c>
      <c r="J1941" s="125">
        <v>71</v>
      </c>
      <c r="K1941" s="264">
        <v>2022</v>
      </c>
      <c r="L1941" s="85">
        <v>18633.849999999999</v>
      </c>
      <c r="M1941" s="85" t="s">
        <v>630</v>
      </c>
      <c r="N1941" s="128">
        <v>48535</v>
      </c>
      <c r="O1941" s="128">
        <f t="shared" si="87"/>
        <v>3445985</v>
      </c>
      <c r="Q1941" t="s">
        <v>47</v>
      </c>
      <c r="R1941" s="220" t="s">
        <v>1888</v>
      </c>
      <c r="S1941" s="220" t="s">
        <v>1861</v>
      </c>
      <c r="T1941" t="s">
        <v>2589</v>
      </c>
      <c r="U1941" t="s">
        <v>1972</v>
      </c>
      <c r="V1941" t="s">
        <v>2832</v>
      </c>
    </row>
    <row r="1942" spans="1:22" ht="15.75" thickBot="1" x14ac:dyDescent="0.3">
      <c r="A1942" t="s">
        <v>4702</v>
      </c>
      <c r="B1942" t="s">
        <v>4702</v>
      </c>
      <c r="C1942" t="s">
        <v>4702</v>
      </c>
      <c r="D1942" t="s">
        <v>629</v>
      </c>
      <c r="E1942" s="259" t="s">
        <v>1970</v>
      </c>
      <c r="F1942" t="s">
        <v>620</v>
      </c>
      <c r="G1942" s="89">
        <v>2003</v>
      </c>
      <c r="H1942" s="341" t="s">
        <v>732</v>
      </c>
      <c r="I1942" s="337" t="str">
        <f t="shared" si="86"/>
        <v>Pesado de Passageiros M3: I : Gasóleo : E3</v>
      </c>
      <c r="J1942" s="125">
        <v>81</v>
      </c>
      <c r="K1942" s="264">
        <v>2022</v>
      </c>
      <c r="L1942" s="85">
        <v>15180.57</v>
      </c>
      <c r="M1942" s="85" t="s">
        <v>630</v>
      </c>
      <c r="N1942" s="128">
        <v>45223</v>
      </c>
      <c r="O1942" s="128">
        <f t="shared" si="87"/>
        <v>3663063</v>
      </c>
      <c r="Q1942" t="s">
        <v>47</v>
      </c>
      <c r="R1942" s="220" t="s">
        <v>1888</v>
      </c>
      <c r="S1942" s="220" t="s">
        <v>1861</v>
      </c>
      <c r="T1942" t="s">
        <v>2590</v>
      </c>
      <c r="U1942" t="s">
        <v>1972</v>
      </c>
      <c r="V1942" t="s">
        <v>2832</v>
      </c>
    </row>
    <row r="1943" spans="1:22" ht="15.75" thickBot="1" x14ac:dyDescent="0.3">
      <c r="A1943" t="s">
        <v>4702</v>
      </c>
      <c r="B1943" t="s">
        <v>4702</v>
      </c>
      <c r="C1943" t="s">
        <v>4702</v>
      </c>
      <c r="D1943" t="s">
        <v>629</v>
      </c>
      <c r="E1943" s="259" t="s">
        <v>1970</v>
      </c>
      <c r="F1943" t="s">
        <v>620</v>
      </c>
      <c r="G1943" s="89">
        <v>2004</v>
      </c>
      <c r="H1943" s="341" t="s">
        <v>732</v>
      </c>
      <c r="I1943" s="337" t="str">
        <f t="shared" si="86"/>
        <v>Pesado de Passageiros M3: I : Gasóleo : E3</v>
      </c>
      <c r="J1943" s="125">
        <v>95</v>
      </c>
      <c r="K1943" s="264">
        <v>2022</v>
      </c>
      <c r="L1943" s="85">
        <v>27130.28</v>
      </c>
      <c r="M1943" s="85" t="s">
        <v>630</v>
      </c>
      <c r="N1943" s="128">
        <v>57677</v>
      </c>
      <c r="O1943" s="128">
        <f t="shared" si="87"/>
        <v>5479315</v>
      </c>
      <c r="Q1943" t="s">
        <v>47</v>
      </c>
      <c r="R1943" s="220" t="s">
        <v>1888</v>
      </c>
      <c r="S1943" s="220" t="s">
        <v>1861</v>
      </c>
      <c r="T1943" t="s">
        <v>2591</v>
      </c>
      <c r="U1943" t="s">
        <v>1972</v>
      </c>
      <c r="V1943" t="s">
        <v>2832</v>
      </c>
    </row>
    <row r="1944" spans="1:22" ht="15.75" thickBot="1" x14ac:dyDescent="0.3">
      <c r="A1944" t="s">
        <v>4702</v>
      </c>
      <c r="B1944" t="s">
        <v>4702</v>
      </c>
      <c r="C1944" t="s">
        <v>4702</v>
      </c>
      <c r="D1944" t="s">
        <v>629</v>
      </c>
      <c r="E1944" s="259" t="s">
        <v>1970</v>
      </c>
      <c r="F1944" t="s">
        <v>620</v>
      </c>
      <c r="G1944" s="89">
        <v>2004</v>
      </c>
      <c r="H1944" s="341" t="s">
        <v>732</v>
      </c>
      <c r="I1944" s="337" t="str">
        <f t="shared" si="86"/>
        <v>Pesado de Passageiros M3: I : Gasóleo : E3</v>
      </c>
      <c r="J1944" s="125">
        <v>95</v>
      </c>
      <c r="K1944" s="264">
        <v>2022</v>
      </c>
      <c r="L1944" s="85">
        <v>16876.55</v>
      </c>
      <c r="M1944" s="85" t="s">
        <v>630</v>
      </c>
      <c r="N1944" s="128">
        <v>39254</v>
      </c>
      <c r="O1944" s="128">
        <f t="shared" si="87"/>
        <v>3729130</v>
      </c>
      <c r="Q1944" t="s">
        <v>47</v>
      </c>
      <c r="R1944" s="220" t="s">
        <v>1888</v>
      </c>
      <c r="S1944" s="220" t="s">
        <v>1861</v>
      </c>
      <c r="T1944" t="s">
        <v>2592</v>
      </c>
      <c r="U1944" t="s">
        <v>1972</v>
      </c>
      <c r="V1944" t="s">
        <v>2832</v>
      </c>
    </row>
    <row r="1945" spans="1:22" ht="15.75" thickBot="1" x14ac:dyDescent="0.3">
      <c r="A1945" t="s">
        <v>4702</v>
      </c>
      <c r="B1945" t="s">
        <v>4702</v>
      </c>
      <c r="C1945" t="s">
        <v>4702</v>
      </c>
      <c r="D1945" t="s">
        <v>629</v>
      </c>
      <c r="E1945" s="259" t="s">
        <v>1970</v>
      </c>
      <c r="F1945" t="s">
        <v>620</v>
      </c>
      <c r="G1945" s="89">
        <v>2008</v>
      </c>
      <c r="H1945" s="341" t="s">
        <v>731</v>
      </c>
      <c r="I1945" s="337" t="str">
        <f t="shared" si="86"/>
        <v>Pesado de Passageiros M3: I : Gasóleo : E4</v>
      </c>
      <c r="J1945" s="125">
        <v>59</v>
      </c>
      <c r="K1945" s="264">
        <v>2022</v>
      </c>
      <c r="L1945" s="85">
        <v>12107.449999999999</v>
      </c>
      <c r="M1945" s="85" t="s">
        <v>630</v>
      </c>
      <c r="N1945" s="128">
        <v>35299</v>
      </c>
      <c r="O1945" s="128">
        <f t="shared" si="87"/>
        <v>2082641</v>
      </c>
      <c r="Q1945" t="s">
        <v>47</v>
      </c>
      <c r="R1945" s="220" t="s">
        <v>1888</v>
      </c>
      <c r="S1945" s="220" t="s">
        <v>1861</v>
      </c>
      <c r="T1945" t="s">
        <v>2593</v>
      </c>
      <c r="U1945" t="s">
        <v>1972</v>
      </c>
      <c r="V1945" t="s">
        <v>2832</v>
      </c>
    </row>
    <row r="1946" spans="1:22" ht="15.75" thickBot="1" x14ac:dyDescent="0.3">
      <c r="A1946" t="s">
        <v>4702</v>
      </c>
      <c r="B1946" t="s">
        <v>4702</v>
      </c>
      <c r="C1946" t="s">
        <v>4702</v>
      </c>
      <c r="D1946" t="s">
        <v>629</v>
      </c>
      <c r="E1946" s="259" t="s">
        <v>1970</v>
      </c>
      <c r="F1946" t="s">
        <v>620</v>
      </c>
      <c r="G1946" s="89">
        <v>2008</v>
      </c>
      <c r="H1946" s="341" t="s">
        <v>731</v>
      </c>
      <c r="I1946" s="337" t="str">
        <f t="shared" si="86"/>
        <v>Pesado de Passageiros M3: I : Gasóleo : E4</v>
      </c>
      <c r="J1946" s="125">
        <v>59</v>
      </c>
      <c r="K1946" s="264">
        <v>2022</v>
      </c>
      <c r="L1946" s="85">
        <v>16097.31</v>
      </c>
      <c r="M1946" s="85" t="s">
        <v>630</v>
      </c>
      <c r="N1946" s="128">
        <v>49744</v>
      </c>
      <c r="O1946" s="128">
        <f t="shared" si="87"/>
        <v>2934896</v>
      </c>
      <c r="Q1946" t="s">
        <v>47</v>
      </c>
      <c r="R1946" s="220" t="s">
        <v>1888</v>
      </c>
      <c r="S1946" s="220" t="s">
        <v>1861</v>
      </c>
      <c r="T1946" t="s">
        <v>2594</v>
      </c>
      <c r="U1946" t="s">
        <v>1972</v>
      </c>
      <c r="V1946" t="s">
        <v>2832</v>
      </c>
    </row>
    <row r="1947" spans="1:22" ht="15.75" thickBot="1" x14ac:dyDescent="0.3">
      <c r="A1947" t="s">
        <v>4702</v>
      </c>
      <c r="B1947" t="s">
        <v>4702</v>
      </c>
      <c r="C1947" t="s">
        <v>4702</v>
      </c>
      <c r="D1947" t="s">
        <v>629</v>
      </c>
      <c r="E1947" s="259" t="s">
        <v>1970</v>
      </c>
      <c r="F1947" t="s">
        <v>620</v>
      </c>
      <c r="G1947" s="89">
        <v>2008</v>
      </c>
      <c r="H1947" s="341" t="s">
        <v>731</v>
      </c>
      <c r="I1947" s="337" t="str">
        <f t="shared" si="86"/>
        <v>Pesado de Passageiros M3: I : Gasóleo : E4</v>
      </c>
      <c r="J1947" s="125">
        <v>59</v>
      </c>
      <c r="K1947" s="264">
        <v>2022</v>
      </c>
      <c r="L1947" s="85">
        <v>11979.130000000001</v>
      </c>
      <c r="M1947" s="85" t="s">
        <v>630</v>
      </c>
      <c r="N1947" s="128">
        <v>34346</v>
      </c>
      <c r="O1947" s="128">
        <f t="shared" si="87"/>
        <v>2026414</v>
      </c>
      <c r="Q1947" t="s">
        <v>47</v>
      </c>
      <c r="R1947" s="220" t="s">
        <v>1888</v>
      </c>
      <c r="S1947" s="220" t="s">
        <v>1861</v>
      </c>
      <c r="T1947" t="s">
        <v>2595</v>
      </c>
      <c r="U1947" t="s">
        <v>1972</v>
      </c>
      <c r="V1947" t="s">
        <v>2832</v>
      </c>
    </row>
    <row r="1948" spans="1:22" ht="15.75" thickBot="1" x14ac:dyDescent="0.3">
      <c r="A1948" t="s">
        <v>4702</v>
      </c>
      <c r="B1948" t="s">
        <v>4702</v>
      </c>
      <c r="C1948" t="s">
        <v>4702</v>
      </c>
      <c r="D1948" t="s">
        <v>629</v>
      </c>
      <c r="E1948" s="259" t="s">
        <v>1970</v>
      </c>
      <c r="F1948" t="s">
        <v>620</v>
      </c>
      <c r="G1948" s="89">
        <v>2008</v>
      </c>
      <c r="H1948" s="341" t="s">
        <v>731</v>
      </c>
      <c r="I1948" s="337" t="str">
        <f t="shared" si="86"/>
        <v>Pesado de Passageiros M3: I : Gasóleo : E4</v>
      </c>
      <c r="J1948" s="125">
        <v>83</v>
      </c>
      <c r="K1948" s="264">
        <v>2022</v>
      </c>
      <c r="L1948" s="85">
        <v>12600.460000000003</v>
      </c>
      <c r="M1948" s="85" t="s">
        <v>630</v>
      </c>
      <c r="N1948" s="128">
        <v>35595</v>
      </c>
      <c r="O1948" s="128">
        <f t="shared" si="87"/>
        <v>2954385</v>
      </c>
      <c r="Q1948" t="s">
        <v>47</v>
      </c>
      <c r="R1948" s="220" t="s">
        <v>1888</v>
      </c>
      <c r="S1948" s="220" t="s">
        <v>1861</v>
      </c>
      <c r="T1948" t="s">
        <v>2596</v>
      </c>
      <c r="U1948" t="s">
        <v>1972</v>
      </c>
      <c r="V1948" t="s">
        <v>2832</v>
      </c>
    </row>
    <row r="1949" spans="1:22" ht="15.75" thickBot="1" x14ac:dyDescent="0.3">
      <c r="A1949" t="s">
        <v>4702</v>
      </c>
      <c r="B1949" t="s">
        <v>4702</v>
      </c>
      <c r="C1949" t="s">
        <v>4702</v>
      </c>
      <c r="D1949" t="s">
        <v>629</v>
      </c>
      <c r="E1949" s="259" t="s">
        <v>1970</v>
      </c>
      <c r="F1949" t="s">
        <v>620</v>
      </c>
      <c r="G1949" s="89">
        <v>2008</v>
      </c>
      <c r="H1949" s="341" t="s">
        <v>731</v>
      </c>
      <c r="I1949" s="337" t="str">
        <f t="shared" si="86"/>
        <v>Pesado de Passageiros M3: I : Gasóleo : E4</v>
      </c>
      <c r="J1949" s="125">
        <v>74</v>
      </c>
      <c r="K1949" s="264">
        <v>2022</v>
      </c>
      <c r="L1949" s="85">
        <v>16913.339999999997</v>
      </c>
      <c r="M1949" s="85" t="s">
        <v>630</v>
      </c>
      <c r="N1949" s="128">
        <v>47350</v>
      </c>
      <c r="O1949" s="128">
        <f t="shared" si="87"/>
        <v>3503900</v>
      </c>
      <c r="Q1949" t="s">
        <v>47</v>
      </c>
      <c r="R1949" s="220" t="s">
        <v>1888</v>
      </c>
      <c r="S1949" s="220" t="s">
        <v>1861</v>
      </c>
      <c r="T1949" t="s">
        <v>2597</v>
      </c>
      <c r="U1949" t="s">
        <v>1972</v>
      </c>
      <c r="V1949" t="s">
        <v>2832</v>
      </c>
    </row>
    <row r="1950" spans="1:22" ht="15.75" thickBot="1" x14ac:dyDescent="0.3">
      <c r="A1950" t="s">
        <v>4702</v>
      </c>
      <c r="B1950" t="s">
        <v>4702</v>
      </c>
      <c r="C1950" t="s">
        <v>4702</v>
      </c>
      <c r="D1950" t="s">
        <v>629</v>
      </c>
      <c r="E1950" s="259" t="s">
        <v>1970</v>
      </c>
      <c r="F1950" t="s">
        <v>620</v>
      </c>
      <c r="G1950" s="89">
        <v>2007</v>
      </c>
      <c r="H1950" s="341" t="s">
        <v>731</v>
      </c>
      <c r="I1950" s="337" t="str">
        <f t="shared" si="86"/>
        <v>Pesado de Passageiros M3: I : Gasóleo : E4</v>
      </c>
      <c r="J1950" s="125">
        <v>94</v>
      </c>
      <c r="K1950" s="264">
        <v>2022</v>
      </c>
      <c r="L1950" s="85">
        <v>19609.739999999998</v>
      </c>
      <c r="M1950" s="85" t="s">
        <v>630</v>
      </c>
      <c r="N1950" s="128">
        <v>51323</v>
      </c>
      <c r="O1950" s="128">
        <f t="shared" si="87"/>
        <v>4824362</v>
      </c>
      <c r="Q1950" t="s">
        <v>47</v>
      </c>
      <c r="R1950" s="220" t="s">
        <v>1888</v>
      </c>
      <c r="S1950" s="220" t="s">
        <v>1861</v>
      </c>
      <c r="T1950" t="s">
        <v>2598</v>
      </c>
      <c r="U1950" t="s">
        <v>1972</v>
      </c>
      <c r="V1950" t="s">
        <v>2832</v>
      </c>
    </row>
    <row r="1951" spans="1:22" ht="15.75" thickBot="1" x14ac:dyDescent="0.3">
      <c r="A1951" t="s">
        <v>4702</v>
      </c>
      <c r="B1951" t="s">
        <v>4702</v>
      </c>
      <c r="C1951" t="s">
        <v>4702</v>
      </c>
      <c r="D1951" t="s">
        <v>629</v>
      </c>
      <c r="E1951" s="259" t="s">
        <v>1970</v>
      </c>
      <c r="F1951" t="s">
        <v>620</v>
      </c>
      <c r="G1951" s="89">
        <v>2007</v>
      </c>
      <c r="H1951" s="341" t="s">
        <v>731</v>
      </c>
      <c r="I1951" s="337" t="str">
        <f t="shared" si="86"/>
        <v>Pesado de Passageiros M3: I : Gasóleo : E4</v>
      </c>
      <c r="J1951" s="125">
        <v>94</v>
      </c>
      <c r="K1951" s="264">
        <v>2022</v>
      </c>
      <c r="L1951" s="85">
        <v>18017.09</v>
      </c>
      <c r="M1951" s="85" t="s">
        <v>630</v>
      </c>
      <c r="N1951" s="128">
        <v>49025</v>
      </c>
      <c r="O1951" s="128">
        <f t="shared" si="87"/>
        <v>4608350</v>
      </c>
      <c r="Q1951" t="s">
        <v>47</v>
      </c>
      <c r="R1951" s="220" t="s">
        <v>1888</v>
      </c>
      <c r="S1951" s="220" t="s">
        <v>1861</v>
      </c>
      <c r="T1951" t="s">
        <v>2599</v>
      </c>
      <c r="U1951" t="s">
        <v>1972</v>
      </c>
      <c r="V1951" t="s">
        <v>2832</v>
      </c>
    </row>
    <row r="1952" spans="1:22" ht="15.75" thickBot="1" x14ac:dyDescent="0.3">
      <c r="A1952" t="s">
        <v>4702</v>
      </c>
      <c r="B1952" t="s">
        <v>4702</v>
      </c>
      <c r="C1952" t="s">
        <v>4702</v>
      </c>
      <c r="D1952" t="s">
        <v>629</v>
      </c>
      <c r="E1952" s="259" t="s">
        <v>1970</v>
      </c>
      <c r="F1952" t="s">
        <v>620</v>
      </c>
      <c r="G1952" s="89">
        <v>2007</v>
      </c>
      <c r="H1952" s="341" t="s">
        <v>731</v>
      </c>
      <c r="I1952" s="337" t="str">
        <f t="shared" si="86"/>
        <v>Pesado de Passageiros M3: I : Gasóleo : E4</v>
      </c>
      <c r="J1952" s="125">
        <v>94</v>
      </c>
      <c r="K1952" s="264">
        <v>2022</v>
      </c>
      <c r="L1952" s="85">
        <v>13632.98</v>
      </c>
      <c r="M1952" s="85" t="s">
        <v>630</v>
      </c>
      <c r="N1952" s="128">
        <v>36089</v>
      </c>
      <c r="O1952" s="128">
        <f t="shared" si="87"/>
        <v>3392366</v>
      </c>
      <c r="Q1952" t="s">
        <v>47</v>
      </c>
      <c r="R1952" s="220" t="s">
        <v>1888</v>
      </c>
      <c r="S1952" s="220" t="s">
        <v>1861</v>
      </c>
      <c r="T1952" t="s">
        <v>2600</v>
      </c>
      <c r="U1952" t="s">
        <v>1972</v>
      </c>
      <c r="V1952" t="s">
        <v>2832</v>
      </c>
    </row>
    <row r="1953" spans="1:22" ht="15.75" thickBot="1" x14ac:dyDescent="0.3">
      <c r="A1953" t="s">
        <v>4702</v>
      </c>
      <c r="B1953" t="s">
        <v>4702</v>
      </c>
      <c r="C1953" t="s">
        <v>4702</v>
      </c>
      <c r="D1953" t="s">
        <v>629</v>
      </c>
      <c r="E1953" s="259" t="s">
        <v>1970</v>
      </c>
      <c r="F1953" t="s">
        <v>620</v>
      </c>
      <c r="G1953" s="89">
        <v>2005</v>
      </c>
      <c r="H1953" s="341" t="s">
        <v>731</v>
      </c>
      <c r="I1953" s="337" t="str">
        <f t="shared" si="86"/>
        <v>Pesado de Passageiros M3: I : Gasóleo : E4</v>
      </c>
      <c r="J1953" s="125">
        <v>83</v>
      </c>
      <c r="K1953" s="264">
        <v>2022</v>
      </c>
      <c r="L1953" s="85">
        <v>11095.789999999999</v>
      </c>
      <c r="M1953" s="85" t="s">
        <v>630</v>
      </c>
      <c r="N1953" s="128">
        <v>33060</v>
      </c>
      <c r="O1953" s="128">
        <f t="shared" si="87"/>
        <v>2743980</v>
      </c>
      <c r="Q1953" t="s">
        <v>47</v>
      </c>
      <c r="R1953" s="220" t="s">
        <v>1888</v>
      </c>
      <c r="S1953" s="220" t="s">
        <v>1861</v>
      </c>
      <c r="T1953" t="s">
        <v>2601</v>
      </c>
      <c r="U1953" t="s">
        <v>1972</v>
      </c>
      <c r="V1953" t="s">
        <v>2832</v>
      </c>
    </row>
    <row r="1954" spans="1:22" ht="15.75" thickBot="1" x14ac:dyDescent="0.3">
      <c r="A1954" t="s">
        <v>4702</v>
      </c>
      <c r="B1954" t="s">
        <v>4702</v>
      </c>
      <c r="C1954" t="s">
        <v>4702</v>
      </c>
      <c r="D1954" t="s">
        <v>629</v>
      </c>
      <c r="E1954" s="259" t="s">
        <v>1970</v>
      </c>
      <c r="F1954" t="s">
        <v>620</v>
      </c>
      <c r="G1954" s="89">
        <v>2005</v>
      </c>
      <c r="H1954" s="341" t="s">
        <v>731</v>
      </c>
      <c r="I1954" s="337" t="str">
        <f t="shared" si="86"/>
        <v>Pesado de Passageiros M3: I : Gasóleo : E4</v>
      </c>
      <c r="J1954" s="125">
        <v>83</v>
      </c>
      <c r="K1954" s="264">
        <v>2022</v>
      </c>
      <c r="L1954" s="85">
        <v>21272.600000000002</v>
      </c>
      <c r="M1954" s="85" t="s">
        <v>630</v>
      </c>
      <c r="N1954" s="128">
        <v>60542</v>
      </c>
      <c r="O1954" s="128">
        <f t="shared" si="87"/>
        <v>5024986</v>
      </c>
      <c r="Q1954" t="s">
        <v>47</v>
      </c>
      <c r="R1954" s="220" t="s">
        <v>1888</v>
      </c>
      <c r="S1954" s="220" t="s">
        <v>1861</v>
      </c>
      <c r="T1954" t="s">
        <v>2602</v>
      </c>
      <c r="U1954" t="s">
        <v>1972</v>
      </c>
      <c r="V1954" t="s">
        <v>2832</v>
      </c>
    </row>
    <row r="1955" spans="1:22" ht="15.75" thickBot="1" x14ac:dyDescent="0.3">
      <c r="A1955" t="s">
        <v>4702</v>
      </c>
      <c r="B1955" t="s">
        <v>4702</v>
      </c>
      <c r="C1955" t="s">
        <v>4702</v>
      </c>
      <c r="D1955" t="s">
        <v>629</v>
      </c>
      <c r="E1955" s="259" t="s">
        <v>1970</v>
      </c>
      <c r="F1955" t="s">
        <v>620</v>
      </c>
      <c r="G1955" s="89">
        <v>2007</v>
      </c>
      <c r="H1955" s="341" t="s">
        <v>731</v>
      </c>
      <c r="I1955" s="337" t="str">
        <f t="shared" si="86"/>
        <v>Pesado de Passageiros M3: I : Gasóleo : E4</v>
      </c>
      <c r="J1955" s="125">
        <v>70</v>
      </c>
      <c r="K1955" s="264">
        <v>2022</v>
      </c>
      <c r="L1955" s="85">
        <v>22064.63</v>
      </c>
      <c r="M1955" s="85" t="s">
        <v>630</v>
      </c>
      <c r="N1955" s="128">
        <v>56946</v>
      </c>
      <c r="O1955" s="128">
        <f t="shared" si="87"/>
        <v>3986220</v>
      </c>
      <c r="Q1955" t="s">
        <v>47</v>
      </c>
      <c r="R1955" s="220" t="s">
        <v>1888</v>
      </c>
      <c r="S1955" s="220" t="s">
        <v>1861</v>
      </c>
      <c r="T1955" t="s">
        <v>2603</v>
      </c>
      <c r="U1955" t="s">
        <v>1972</v>
      </c>
      <c r="V1955" t="s">
        <v>2832</v>
      </c>
    </row>
    <row r="1956" spans="1:22" ht="15.75" thickBot="1" x14ac:dyDescent="0.3">
      <c r="A1956" t="s">
        <v>4702</v>
      </c>
      <c r="B1956" t="s">
        <v>4702</v>
      </c>
      <c r="C1956" t="s">
        <v>4702</v>
      </c>
      <c r="D1956" t="s">
        <v>629</v>
      </c>
      <c r="E1956" s="259" t="s">
        <v>1970</v>
      </c>
      <c r="F1956" t="s">
        <v>620</v>
      </c>
      <c r="G1956" s="89">
        <v>2007</v>
      </c>
      <c r="H1956" s="341" t="s">
        <v>731</v>
      </c>
      <c r="I1956" s="337" t="str">
        <f t="shared" si="86"/>
        <v>Pesado de Passageiros M3: I : Gasóleo : E4</v>
      </c>
      <c r="J1956" s="125">
        <v>80</v>
      </c>
      <c r="K1956" s="264">
        <v>2022</v>
      </c>
      <c r="L1956" s="85">
        <v>12929.960000000001</v>
      </c>
      <c r="M1956" s="85" t="s">
        <v>630</v>
      </c>
      <c r="N1956" s="128">
        <v>38283</v>
      </c>
      <c r="O1956" s="128">
        <f t="shared" si="87"/>
        <v>3062640</v>
      </c>
      <c r="Q1956" t="s">
        <v>47</v>
      </c>
      <c r="R1956" s="220" t="s">
        <v>1888</v>
      </c>
      <c r="S1956" s="220" t="s">
        <v>1861</v>
      </c>
      <c r="T1956" t="s">
        <v>2604</v>
      </c>
      <c r="U1956" t="s">
        <v>1972</v>
      </c>
      <c r="V1956" t="s">
        <v>2832</v>
      </c>
    </row>
    <row r="1957" spans="1:22" ht="15.75" thickBot="1" x14ac:dyDescent="0.3">
      <c r="A1957" t="s">
        <v>4702</v>
      </c>
      <c r="B1957" t="s">
        <v>4702</v>
      </c>
      <c r="C1957" t="s">
        <v>4702</v>
      </c>
      <c r="D1957" t="s">
        <v>629</v>
      </c>
      <c r="E1957" s="259" t="s">
        <v>1970</v>
      </c>
      <c r="F1957" t="s">
        <v>620</v>
      </c>
      <c r="G1957" s="89">
        <v>2006</v>
      </c>
      <c r="H1957" s="341" t="s">
        <v>731</v>
      </c>
      <c r="I1957" s="337" t="str">
        <f t="shared" si="86"/>
        <v>Pesado de Passageiros M3: I : Gasóleo : E4</v>
      </c>
      <c r="J1957" s="125">
        <v>70</v>
      </c>
      <c r="K1957" s="264">
        <v>2022</v>
      </c>
      <c r="L1957" s="85">
        <v>9117.0199999999986</v>
      </c>
      <c r="M1957" s="85" t="s">
        <v>630</v>
      </c>
      <c r="N1957" s="128">
        <v>25764</v>
      </c>
      <c r="O1957" s="128">
        <f t="shared" si="87"/>
        <v>1803480</v>
      </c>
      <c r="Q1957" t="s">
        <v>47</v>
      </c>
      <c r="R1957" s="220" t="s">
        <v>1888</v>
      </c>
      <c r="S1957" s="220" t="s">
        <v>1861</v>
      </c>
      <c r="T1957" t="s">
        <v>2605</v>
      </c>
      <c r="U1957" t="s">
        <v>1972</v>
      </c>
      <c r="V1957" t="s">
        <v>2832</v>
      </c>
    </row>
    <row r="1958" spans="1:22" ht="15.75" thickBot="1" x14ac:dyDescent="0.3">
      <c r="A1958" t="s">
        <v>4702</v>
      </c>
      <c r="B1958" t="s">
        <v>4702</v>
      </c>
      <c r="C1958" t="s">
        <v>4702</v>
      </c>
      <c r="D1958" t="s">
        <v>629</v>
      </c>
      <c r="E1958" s="259" t="s">
        <v>1970</v>
      </c>
      <c r="F1958" t="s">
        <v>620</v>
      </c>
      <c r="G1958" s="89">
        <v>2006</v>
      </c>
      <c r="H1958" s="341" t="s">
        <v>731</v>
      </c>
      <c r="I1958" s="337" t="str">
        <f t="shared" si="86"/>
        <v>Pesado de Passageiros M3: I : Gasóleo : E4</v>
      </c>
      <c r="J1958" s="125">
        <v>78</v>
      </c>
      <c r="K1958" s="264">
        <v>2022</v>
      </c>
      <c r="L1958" s="85">
        <v>15397.93</v>
      </c>
      <c r="M1958" s="85" t="s">
        <v>630</v>
      </c>
      <c r="N1958" s="128">
        <v>43910</v>
      </c>
      <c r="O1958" s="128">
        <f t="shared" si="87"/>
        <v>3424980</v>
      </c>
      <c r="Q1958" t="s">
        <v>47</v>
      </c>
      <c r="R1958" s="220" t="s">
        <v>1888</v>
      </c>
      <c r="S1958" s="220" t="s">
        <v>1861</v>
      </c>
      <c r="T1958" t="s">
        <v>2606</v>
      </c>
      <c r="U1958" t="s">
        <v>1972</v>
      </c>
      <c r="V1958" t="s">
        <v>2832</v>
      </c>
    </row>
    <row r="1959" spans="1:22" ht="15.75" thickBot="1" x14ac:dyDescent="0.3">
      <c r="A1959" t="s">
        <v>4702</v>
      </c>
      <c r="B1959" t="s">
        <v>4702</v>
      </c>
      <c r="C1959" t="s">
        <v>4702</v>
      </c>
      <c r="D1959" t="s">
        <v>629</v>
      </c>
      <c r="E1959" s="259" t="s">
        <v>1970</v>
      </c>
      <c r="F1959" t="s">
        <v>620</v>
      </c>
      <c r="G1959" s="89">
        <v>2010</v>
      </c>
      <c r="H1959" s="341" t="s">
        <v>734</v>
      </c>
      <c r="I1959" s="337" t="str">
        <f t="shared" si="86"/>
        <v>Pesado de Passageiros M3: I : Gasóleo : E5</v>
      </c>
      <c r="J1959" s="125">
        <v>70</v>
      </c>
      <c r="K1959" s="264">
        <v>2022</v>
      </c>
      <c r="L1959" s="85">
        <v>8629.98</v>
      </c>
      <c r="M1959" s="85" t="s">
        <v>630</v>
      </c>
      <c r="N1959" s="128">
        <v>23075</v>
      </c>
      <c r="O1959" s="128">
        <f t="shared" si="87"/>
        <v>1615250</v>
      </c>
      <c r="Q1959" t="s">
        <v>47</v>
      </c>
      <c r="R1959" s="220" t="s">
        <v>1888</v>
      </c>
      <c r="S1959" s="220" t="s">
        <v>1861</v>
      </c>
      <c r="T1959" t="s">
        <v>2607</v>
      </c>
      <c r="U1959" t="s">
        <v>1972</v>
      </c>
      <c r="V1959" t="s">
        <v>2832</v>
      </c>
    </row>
    <row r="1960" spans="1:22" ht="15.75" thickBot="1" x14ac:dyDescent="0.3">
      <c r="A1960" t="s">
        <v>4702</v>
      </c>
      <c r="B1960" t="s">
        <v>4702</v>
      </c>
      <c r="C1960" t="s">
        <v>4702</v>
      </c>
      <c r="D1960" t="s">
        <v>629</v>
      </c>
      <c r="E1960" s="259" t="s">
        <v>1970</v>
      </c>
      <c r="F1960" t="s">
        <v>620</v>
      </c>
      <c r="G1960" s="89">
        <v>2006</v>
      </c>
      <c r="H1960" s="341" t="s">
        <v>731</v>
      </c>
      <c r="I1960" s="337" t="str">
        <f t="shared" si="86"/>
        <v>Pesado de Passageiros M3: I : Gasóleo : E4</v>
      </c>
      <c r="J1960" s="125">
        <v>69</v>
      </c>
      <c r="K1960" s="264">
        <v>2022</v>
      </c>
      <c r="L1960" s="85">
        <v>13149.130000000001</v>
      </c>
      <c r="M1960" s="85" t="s">
        <v>630</v>
      </c>
      <c r="N1960" s="128">
        <v>35983</v>
      </c>
      <c r="O1960" s="128">
        <f t="shared" si="87"/>
        <v>2482827</v>
      </c>
      <c r="Q1960" t="s">
        <v>47</v>
      </c>
      <c r="R1960" s="220" t="s">
        <v>1888</v>
      </c>
      <c r="S1960" s="220" t="s">
        <v>1861</v>
      </c>
      <c r="T1960" t="s">
        <v>2608</v>
      </c>
      <c r="U1960" t="s">
        <v>1972</v>
      </c>
      <c r="V1960" t="s">
        <v>2832</v>
      </c>
    </row>
    <row r="1961" spans="1:22" ht="15.75" thickBot="1" x14ac:dyDescent="0.3">
      <c r="A1961" t="s">
        <v>4702</v>
      </c>
      <c r="B1961" t="s">
        <v>4702</v>
      </c>
      <c r="C1961" t="s">
        <v>4702</v>
      </c>
      <c r="D1961" t="s">
        <v>629</v>
      </c>
      <c r="E1961" s="259" t="s">
        <v>1970</v>
      </c>
      <c r="F1961" t="s">
        <v>620</v>
      </c>
      <c r="G1961" s="89">
        <v>2004</v>
      </c>
      <c r="H1961" s="341" t="s">
        <v>732</v>
      </c>
      <c r="I1961" s="337" t="str">
        <f t="shared" si="86"/>
        <v>Pesado de Passageiros M3: I : Gasóleo : E3</v>
      </c>
      <c r="J1961" s="125">
        <v>75</v>
      </c>
      <c r="K1961" s="264">
        <v>2022</v>
      </c>
      <c r="L1961" s="85">
        <v>13692.839999999998</v>
      </c>
      <c r="M1961" s="85" t="s">
        <v>630</v>
      </c>
      <c r="N1961" s="128">
        <v>35990</v>
      </c>
      <c r="O1961" s="128">
        <f t="shared" si="87"/>
        <v>2699250</v>
      </c>
      <c r="Q1961" t="s">
        <v>47</v>
      </c>
      <c r="R1961" s="220" t="s">
        <v>1888</v>
      </c>
      <c r="S1961" s="220" t="s">
        <v>1861</v>
      </c>
      <c r="T1961" t="s">
        <v>2609</v>
      </c>
      <c r="U1961" t="s">
        <v>1972</v>
      </c>
      <c r="V1961" t="s">
        <v>2832</v>
      </c>
    </row>
    <row r="1962" spans="1:22" ht="15.75" thickBot="1" x14ac:dyDescent="0.3">
      <c r="A1962" t="s">
        <v>4702</v>
      </c>
      <c r="B1962" t="s">
        <v>4702</v>
      </c>
      <c r="C1962" t="s">
        <v>4702</v>
      </c>
      <c r="D1962" t="s">
        <v>629</v>
      </c>
      <c r="E1962" s="259" t="s">
        <v>1970</v>
      </c>
      <c r="F1962" t="s">
        <v>620</v>
      </c>
      <c r="G1962" s="89">
        <v>2007</v>
      </c>
      <c r="H1962" s="341" t="s">
        <v>731</v>
      </c>
      <c r="I1962" s="337" t="str">
        <f t="shared" si="86"/>
        <v>Pesado de Passageiros M3: I : Gasóleo : E4</v>
      </c>
      <c r="J1962" s="125">
        <v>71</v>
      </c>
      <c r="K1962" s="264">
        <v>2022</v>
      </c>
      <c r="L1962" s="85">
        <v>11008.5</v>
      </c>
      <c r="M1962" s="85" t="s">
        <v>630</v>
      </c>
      <c r="N1962" s="128">
        <v>27717</v>
      </c>
      <c r="O1962" s="128">
        <f t="shared" si="87"/>
        <v>1967907</v>
      </c>
      <c r="Q1962" t="s">
        <v>47</v>
      </c>
      <c r="R1962" s="220" t="s">
        <v>1888</v>
      </c>
      <c r="S1962" s="220" t="s">
        <v>1861</v>
      </c>
      <c r="T1962" t="s">
        <v>2610</v>
      </c>
      <c r="U1962" t="s">
        <v>1972</v>
      </c>
      <c r="V1962" t="s">
        <v>2832</v>
      </c>
    </row>
    <row r="1963" spans="1:22" ht="15.75" thickBot="1" x14ac:dyDescent="0.3">
      <c r="A1963" t="s">
        <v>4702</v>
      </c>
      <c r="B1963" t="s">
        <v>4702</v>
      </c>
      <c r="C1963" t="s">
        <v>4702</v>
      </c>
      <c r="D1963" t="s">
        <v>629</v>
      </c>
      <c r="E1963" s="259" t="s">
        <v>1970</v>
      </c>
      <c r="F1963" t="s">
        <v>620</v>
      </c>
      <c r="G1963" s="89">
        <v>2004</v>
      </c>
      <c r="H1963" s="341" t="s">
        <v>732</v>
      </c>
      <c r="I1963" s="337" t="str">
        <f t="shared" si="86"/>
        <v>Pesado de Passageiros M3: I : Gasóleo : E3</v>
      </c>
      <c r="J1963" s="125">
        <v>72</v>
      </c>
      <c r="K1963" s="264">
        <v>2022</v>
      </c>
      <c r="L1963" s="85">
        <v>21108.069999999996</v>
      </c>
      <c r="M1963" s="85" t="s">
        <v>630</v>
      </c>
      <c r="N1963" s="128">
        <v>59954</v>
      </c>
      <c r="O1963" s="128">
        <f t="shared" si="87"/>
        <v>4316688</v>
      </c>
      <c r="Q1963" t="s">
        <v>47</v>
      </c>
      <c r="R1963" s="220" t="s">
        <v>1888</v>
      </c>
      <c r="S1963" s="220" t="s">
        <v>1861</v>
      </c>
      <c r="T1963" t="s">
        <v>2611</v>
      </c>
      <c r="U1963" t="s">
        <v>1972</v>
      </c>
      <c r="V1963" t="s">
        <v>2832</v>
      </c>
    </row>
    <row r="1964" spans="1:22" ht="15.75" thickBot="1" x14ac:dyDescent="0.3">
      <c r="A1964" t="s">
        <v>4702</v>
      </c>
      <c r="B1964" t="s">
        <v>4702</v>
      </c>
      <c r="C1964" t="s">
        <v>4702</v>
      </c>
      <c r="D1964" t="s">
        <v>629</v>
      </c>
      <c r="E1964" s="259" t="s">
        <v>1970</v>
      </c>
      <c r="F1964" t="s">
        <v>620</v>
      </c>
      <c r="G1964" s="89">
        <v>2006</v>
      </c>
      <c r="H1964" s="341" t="s">
        <v>731</v>
      </c>
      <c r="I1964" s="337" t="str">
        <f t="shared" si="86"/>
        <v>Pesado de Passageiros M3: I : Gasóleo : E4</v>
      </c>
      <c r="J1964" s="125">
        <v>91</v>
      </c>
      <c r="K1964" s="264">
        <v>2022</v>
      </c>
      <c r="L1964" s="85">
        <v>17962.560000000001</v>
      </c>
      <c r="M1964" s="85" t="s">
        <v>630</v>
      </c>
      <c r="N1964" s="128">
        <v>44008</v>
      </c>
      <c r="O1964" s="128">
        <f t="shared" si="87"/>
        <v>4004728</v>
      </c>
      <c r="Q1964" t="s">
        <v>47</v>
      </c>
      <c r="R1964" s="220" t="s">
        <v>1888</v>
      </c>
      <c r="S1964" s="220" t="s">
        <v>1861</v>
      </c>
      <c r="T1964" t="s">
        <v>2612</v>
      </c>
      <c r="U1964" t="s">
        <v>1972</v>
      </c>
      <c r="V1964" t="s">
        <v>2832</v>
      </c>
    </row>
    <row r="1965" spans="1:22" ht="15.75" thickBot="1" x14ac:dyDescent="0.3">
      <c r="A1965" t="s">
        <v>4702</v>
      </c>
      <c r="B1965" t="s">
        <v>4702</v>
      </c>
      <c r="C1965" t="s">
        <v>4702</v>
      </c>
      <c r="D1965" t="s">
        <v>629</v>
      </c>
      <c r="E1965" s="259" t="s">
        <v>1970</v>
      </c>
      <c r="F1965" t="s">
        <v>620</v>
      </c>
      <c r="G1965" s="89">
        <v>2007</v>
      </c>
      <c r="H1965" s="341" t="s">
        <v>731</v>
      </c>
      <c r="I1965" s="337" t="str">
        <f t="shared" si="86"/>
        <v>Pesado de Passageiros M3: I : Gasóleo : E4</v>
      </c>
      <c r="J1965" s="125">
        <v>80</v>
      </c>
      <c r="K1965" s="264">
        <v>2022</v>
      </c>
      <c r="L1965" s="85">
        <v>14932.039999999999</v>
      </c>
      <c r="M1965" s="85" t="s">
        <v>630</v>
      </c>
      <c r="N1965" s="128">
        <v>42331</v>
      </c>
      <c r="O1965" s="128">
        <f t="shared" si="87"/>
        <v>3386480</v>
      </c>
      <c r="Q1965" t="s">
        <v>47</v>
      </c>
      <c r="R1965" s="220" t="s">
        <v>1888</v>
      </c>
      <c r="S1965" s="220" t="s">
        <v>1861</v>
      </c>
      <c r="T1965" t="s">
        <v>2613</v>
      </c>
      <c r="U1965" t="s">
        <v>1972</v>
      </c>
      <c r="V1965" t="s">
        <v>2832</v>
      </c>
    </row>
    <row r="1966" spans="1:22" ht="15.75" thickBot="1" x14ac:dyDescent="0.3">
      <c r="A1966" t="s">
        <v>4702</v>
      </c>
      <c r="B1966" t="s">
        <v>4702</v>
      </c>
      <c r="C1966" t="s">
        <v>4702</v>
      </c>
      <c r="D1966" t="s">
        <v>629</v>
      </c>
      <c r="E1966" s="259" t="s">
        <v>1970</v>
      </c>
      <c r="F1966" t="s">
        <v>620</v>
      </c>
      <c r="G1966" s="89">
        <v>2007</v>
      </c>
      <c r="H1966" s="341" t="s">
        <v>731</v>
      </c>
      <c r="I1966" s="337" t="str">
        <f t="shared" si="86"/>
        <v>Pesado de Passageiros M3: I : Gasóleo : E4</v>
      </c>
      <c r="J1966" s="125">
        <v>71</v>
      </c>
      <c r="K1966" s="264">
        <v>2022</v>
      </c>
      <c r="L1966" s="85">
        <v>17644.920000000002</v>
      </c>
      <c r="M1966" s="85" t="s">
        <v>630</v>
      </c>
      <c r="N1966" s="128">
        <v>49910</v>
      </c>
      <c r="O1966" s="128">
        <f t="shared" si="87"/>
        <v>3543610</v>
      </c>
      <c r="Q1966" t="s">
        <v>47</v>
      </c>
      <c r="R1966" s="220" t="s">
        <v>1888</v>
      </c>
      <c r="S1966" s="220" t="s">
        <v>1861</v>
      </c>
      <c r="T1966" t="s">
        <v>2614</v>
      </c>
      <c r="U1966" t="s">
        <v>1972</v>
      </c>
      <c r="V1966" t="s">
        <v>2832</v>
      </c>
    </row>
    <row r="1967" spans="1:22" ht="15.75" thickBot="1" x14ac:dyDescent="0.3">
      <c r="A1967" t="s">
        <v>4702</v>
      </c>
      <c r="B1967" t="s">
        <v>4702</v>
      </c>
      <c r="C1967" t="s">
        <v>4702</v>
      </c>
      <c r="D1967" t="s">
        <v>629</v>
      </c>
      <c r="E1967" s="259" t="s">
        <v>1970</v>
      </c>
      <c r="F1967" t="s">
        <v>620</v>
      </c>
      <c r="G1967" s="89">
        <v>2007</v>
      </c>
      <c r="H1967" s="341" t="s">
        <v>731</v>
      </c>
      <c r="I1967" s="337" t="str">
        <f t="shared" si="86"/>
        <v>Pesado de Passageiros M3: I : Gasóleo : E4</v>
      </c>
      <c r="J1967" s="125">
        <v>71</v>
      </c>
      <c r="K1967" s="264">
        <v>2022</v>
      </c>
      <c r="L1967" s="85">
        <v>17652.34</v>
      </c>
      <c r="M1967" s="85" t="s">
        <v>630</v>
      </c>
      <c r="N1967" s="128">
        <v>44266</v>
      </c>
      <c r="O1967" s="128">
        <f t="shared" si="87"/>
        <v>3142886</v>
      </c>
      <c r="Q1967" t="s">
        <v>47</v>
      </c>
      <c r="R1967" s="220" t="s">
        <v>1888</v>
      </c>
      <c r="S1967" s="220" t="s">
        <v>1861</v>
      </c>
      <c r="T1967" t="s">
        <v>2615</v>
      </c>
      <c r="U1967" t="s">
        <v>1972</v>
      </c>
      <c r="V1967" t="s">
        <v>2832</v>
      </c>
    </row>
    <row r="1968" spans="1:22" ht="15.75" thickBot="1" x14ac:dyDescent="0.3">
      <c r="A1968" t="s">
        <v>4702</v>
      </c>
      <c r="B1968" t="s">
        <v>4702</v>
      </c>
      <c r="C1968" t="s">
        <v>4702</v>
      </c>
      <c r="D1968" t="s">
        <v>629</v>
      </c>
      <c r="E1968" s="259" t="s">
        <v>1970</v>
      </c>
      <c r="F1968" t="s">
        <v>620</v>
      </c>
      <c r="G1968" s="89">
        <v>2009</v>
      </c>
      <c r="H1968" s="341" t="s">
        <v>734</v>
      </c>
      <c r="I1968" s="337" t="str">
        <f t="shared" si="86"/>
        <v>Pesado de Passageiros M3: I : Gasóleo : E5</v>
      </c>
      <c r="J1968" s="125">
        <v>75</v>
      </c>
      <c r="K1968" s="264">
        <v>2022</v>
      </c>
      <c r="L1968" s="85">
        <v>16928.96</v>
      </c>
      <c r="M1968" s="85" t="s">
        <v>630</v>
      </c>
      <c r="N1968" s="128">
        <v>52468</v>
      </c>
      <c r="O1968" s="128">
        <f t="shared" si="87"/>
        <v>3935100</v>
      </c>
      <c r="Q1968" t="s">
        <v>47</v>
      </c>
      <c r="R1968" s="220" t="s">
        <v>1888</v>
      </c>
      <c r="S1968" s="220" t="s">
        <v>1861</v>
      </c>
      <c r="T1968" t="s">
        <v>2616</v>
      </c>
      <c r="U1968" t="s">
        <v>1972</v>
      </c>
      <c r="V1968" t="s">
        <v>2832</v>
      </c>
    </row>
    <row r="1969" spans="1:22" ht="15.75" thickBot="1" x14ac:dyDescent="0.3">
      <c r="A1969" t="s">
        <v>4702</v>
      </c>
      <c r="B1969" t="s">
        <v>4702</v>
      </c>
      <c r="C1969" t="s">
        <v>4702</v>
      </c>
      <c r="D1969" t="s">
        <v>629</v>
      </c>
      <c r="E1969" s="259" t="s">
        <v>1970</v>
      </c>
      <c r="F1969" t="s">
        <v>620</v>
      </c>
      <c r="G1969" s="89">
        <v>2008</v>
      </c>
      <c r="H1969" s="341" t="s">
        <v>731</v>
      </c>
      <c r="I1969" s="337" t="str">
        <f t="shared" si="86"/>
        <v>Pesado de Passageiros M3: I : Gasóleo : E4</v>
      </c>
      <c r="J1969" s="125">
        <v>73</v>
      </c>
      <c r="K1969" s="264">
        <v>2022</v>
      </c>
      <c r="L1969" s="85">
        <v>12854.119999999999</v>
      </c>
      <c r="M1969" s="85" t="s">
        <v>630</v>
      </c>
      <c r="N1969" s="128">
        <v>32774</v>
      </c>
      <c r="O1969" s="128">
        <f t="shared" si="87"/>
        <v>2392502</v>
      </c>
      <c r="Q1969" t="s">
        <v>47</v>
      </c>
      <c r="R1969" s="220" t="s">
        <v>1888</v>
      </c>
      <c r="S1969" s="220" t="s">
        <v>1861</v>
      </c>
      <c r="T1969" t="s">
        <v>2617</v>
      </c>
      <c r="U1969" t="s">
        <v>1972</v>
      </c>
      <c r="V1969" t="s">
        <v>2832</v>
      </c>
    </row>
    <row r="1970" spans="1:22" ht="15.75" thickBot="1" x14ac:dyDescent="0.3">
      <c r="A1970" t="s">
        <v>4702</v>
      </c>
      <c r="B1970" t="s">
        <v>4702</v>
      </c>
      <c r="C1970" t="s">
        <v>4702</v>
      </c>
      <c r="D1970" t="s">
        <v>629</v>
      </c>
      <c r="E1970" s="259" t="s">
        <v>1970</v>
      </c>
      <c r="F1970" t="s">
        <v>620</v>
      </c>
      <c r="G1970" s="89">
        <v>2007</v>
      </c>
      <c r="H1970" s="341" t="s">
        <v>731</v>
      </c>
      <c r="I1970" s="337" t="str">
        <f t="shared" si="86"/>
        <v>Pesado de Passageiros M3: I : Gasóleo : E4</v>
      </c>
      <c r="J1970" s="125">
        <v>71</v>
      </c>
      <c r="K1970" s="264">
        <v>2022</v>
      </c>
      <c r="L1970" s="85">
        <v>16801.47</v>
      </c>
      <c r="M1970" s="85" t="s">
        <v>630</v>
      </c>
      <c r="N1970" s="128">
        <v>39881</v>
      </c>
      <c r="O1970" s="128">
        <f t="shared" si="87"/>
        <v>2831551</v>
      </c>
      <c r="Q1970" t="s">
        <v>47</v>
      </c>
      <c r="R1970" s="220" t="s">
        <v>1888</v>
      </c>
      <c r="S1970" s="220" t="s">
        <v>1861</v>
      </c>
      <c r="T1970" t="s">
        <v>2618</v>
      </c>
      <c r="U1970" t="s">
        <v>1972</v>
      </c>
      <c r="V1970" t="s">
        <v>2832</v>
      </c>
    </row>
    <row r="1971" spans="1:22" ht="15.75" thickBot="1" x14ac:dyDescent="0.3">
      <c r="A1971" t="s">
        <v>4702</v>
      </c>
      <c r="B1971" t="s">
        <v>4702</v>
      </c>
      <c r="C1971" t="s">
        <v>4702</v>
      </c>
      <c r="D1971" t="s">
        <v>629</v>
      </c>
      <c r="E1971" s="259" t="s">
        <v>1970</v>
      </c>
      <c r="F1971" t="s">
        <v>620</v>
      </c>
      <c r="G1971" s="89">
        <v>2009</v>
      </c>
      <c r="H1971" s="341" t="s">
        <v>734</v>
      </c>
      <c r="I1971" s="337" t="str">
        <f t="shared" si="86"/>
        <v>Pesado de Passageiros M3: I : Gasóleo : E5</v>
      </c>
      <c r="J1971" s="125">
        <v>72</v>
      </c>
      <c r="K1971" s="264">
        <v>2022</v>
      </c>
      <c r="L1971" s="85">
        <v>25764.84</v>
      </c>
      <c r="M1971" s="85" t="s">
        <v>630</v>
      </c>
      <c r="N1971" s="128">
        <v>77195</v>
      </c>
      <c r="O1971" s="128">
        <f t="shared" si="87"/>
        <v>5558040</v>
      </c>
      <c r="Q1971" t="s">
        <v>47</v>
      </c>
      <c r="R1971" s="220" t="s">
        <v>1888</v>
      </c>
      <c r="S1971" s="220" t="s">
        <v>1861</v>
      </c>
      <c r="T1971" t="s">
        <v>2619</v>
      </c>
      <c r="U1971" t="s">
        <v>1972</v>
      </c>
      <c r="V1971" t="s">
        <v>2832</v>
      </c>
    </row>
    <row r="1972" spans="1:22" ht="15.75" thickBot="1" x14ac:dyDescent="0.3">
      <c r="A1972" t="s">
        <v>4702</v>
      </c>
      <c r="B1972" t="s">
        <v>4702</v>
      </c>
      <c r="C1972" t="s">
        <v>4702</v>
      </c>
      <c r="D1972" t="s">
        <v>629</v>
      </c>
      <c r="E1972" s="259" t="s">
        <v>1970</v>
      </c>
      <c r="F1972" t="s">
        <v>620</v>
      </c>
      <c r="G1972" s="89">
        <v>2004</v>
      </c>
      <c r="H1972" s="341" t="s">
        <v>732</v>
      </c>
      <c r="I1972" s="337" t="str">
        <f t="shared" si="86"/>
        <v>Pesado de Passageiros M3: I : Gasóleo : E3</v>
      </c>
      <c r="J1972" s="125">
        <v>50</v>
      </c>
      <c r="K1972" s="264">
        <v>2022</v>
      </c>
      <c r="L1972" s="85">
        <v>11581.750000000002</v>
      </c>
      <c r="M1972" s="85" t="s">
        <v>630</v>
      </c>
      <c r="N1972" s="128">
        <v>32796</v>
      </c>
      <c r="O1972" s="128">
        <f t="shared" si="87"/>
        <v>1639800</v>
      </c>
      <c r="Q1972" t="s">
        <v>47</v>
      </c>
      <c r="R1972" s="220" t="s">
        <v>1888</v>
      </c>
      <c r="S1972" s="220" t="s">
        <v>1861</v>
      </c>
      <c r="T1972" t="s">
        <v>2620</v>
      </c>
      <c r="U1972" t="s">
        <v>1972</v>
      </c>
      <c r="V1972" t="s">
        <v>2832</v>
      </c>
    </row>
    <row r="1973" spans="1:22" ht="15.75" thickBot="1" x14ac:dyDescent="0.3">
      <c r="A1973" t="s">
        <v>4702</v>
      </c>
      <c r="B1973" t="s">
        <v>4702</v>
      </c>
      <c r="C1973" t="s">
        <v>4702</v>
      </c>
      <c r="D1973" t="s">
        <v>629</v>
      </c>
      <c r="E1973" s="259" t="s">
        <v>1970</v>
      </c>
      <c r="F1973" t="s">
        <v>620</v>
      </c>
      <c r="G1973" s="89">
        <v>2013</v>
      </c>
      <c r="H1973" s="341" t="s">
        <v>734</v>
      </c>
      <c r="I1973" s="337" t="str">
        <f t="shared" si="86"/>
        <v>Pesado de Passageiros M3: I : Gasóleo : E5</v>
      </c>
      <c r="J1973" s="125">
        <v>17</v>
      </c>
      <c r="K1973" s="264">
        <v>2022</v>
      </c>
      <c r="L1973" s="85">
        <v>2527.0099999999998</v>
      </c>
      <c r="M1973" s="85" t="s">
        <v>630</v>
      </c>
      <c r="N1973" s="128">
        <v>17337</v>
      </c>
      <c r="O1973" s="128">
        <f t="shared" si="87"/>
        <v>294729</v>
      </c>
      <c r="Q1973" t="s">
        <v>47</v>
      </c>
      <c r="R1973" s="220" t="s">
        <v>1888</v>
      </c>
      <c r="S1973" s="220" t="s">
        <v>1861</v>
      </c>
      <c r="T1973" t="s">
        <v>2621</v>
      </c>
      <c r="U1973" t="s">
        <v>1972</v>
      </c>
      <c r="V1973" t="s">
        <v>2832</v>
      </c>
    </row>
    <row r="1974" spans="1:22" ht="15.75" thickBot="1" x14ac:dyDescent="0.3">
      <c r="A1974" t="s">
        <v>4702</v>
      </c>
      <c r="B1974" t="s">
        <v>4702</v>
      </c>
      <c r="C1974" t="s">
        <v>4702</v>
      </c>
      <c r="D1974" t="s">
        <v>629</v>
      </c>
      <c r="E1974" s="259" t="s">
        <v>1970</v>
      </c>
      <c r="F1974" t="s">
        <v>620</v>
      </c>
      <c r="G1974" s="89">
        <v>2018</v>
      </c>
      <c r="H1974" s="341" t="s">
        <v>733</v>
      </c>
      <c r="I1974" s="337" t="str">
        <f t="shared" si="86"/>
        <v>Pesado de Passageiros M3: I : Gasóleo : E6</v>
      </c>
      <c r="J1974" s="125">
        <v>32</v>
      </c>
      <c r="K1974" s="264">
        <v>2022</v>
      </c>
      <c r="L1974" s="85">
        <v>6533.0199999999995</v>
      </c>
      <c r="M1974" s="85" t="s">
        <v>630</v>
      </c>
      <c r="N1974" s="128">
        <v>34009</v>
      </c>
      <c r="O1974" s="128">
        <f t="shared" si="87"/>
        <v>1088288</v>
      </c>
      <c r="Q1974" t="s">
        <v>47</v>
      </c>
      <c r="R1974" s="220" t="s">
        <v>1888</v>
      </c>
      <c r="S1974" s="220" t="s">
        <v>1861</v>
      </c>
      <c r="T1974" t="s">
        <v>2622</v>
      </c>
      <c r="U1974" t="s">
        <v>1972</v>
      </c>
      <c r="V1974" t="s">
        <v>2832</v>
      </c>
    </row>
    <row r="1975" spans="1:22" ht="15.75" thickBot="1" x14ac:dyDescent="0.3">
      <c r="A1975" t="s">
        <v>4702</v>
      </c>
      <c r="B1975" t="s">
        <v>4702</v>
      </c>
      <c r="C1975" t="s">
        <v>4702</v>
      </c>
      <c r="D1975" t="s">
        <v>629</v>
      </c>
      <c r="E1975" s="259" t="s">
        <v>1970</v>
      </c>
      <c r="F1975" t="s">
        <v>620</v>
      </c>
      <c r="G1975" s="89">
        <v>2018</v>
      </c>
      <c r="H1975" s="341" t="s">
        <v>733</v>
      </c>
      <c r="I1975" s="337" t="str">
        <f t="shared" si="86"/>
        <v>Pesado de Passageiros M3: I : Gasóleo : E6</v>
      </c>
      <c r="J1975" s="125">
        <v>32</v>
      </c>
      <c r="K1975" s="264">
        <v>2022</v>
      </c>
      <c r="L1975" s="85">
        <v>5670.170000000001</v>
      </c>
      <c r="M1975" s="85" t="s">
        <v>630</v>
      </c>
      <c r="N1975" s="128">
        <v>32601</v>
      </c>
      <c r="O1975" s="128">
        <f t="shared" si="87"/>
        <v>1043232</v>
      </c>
      <c r="Q1975" t="s">
        <v>47</v>
      </c>
      <c r="R1975" s="220" t="s">
        <v>1888</v>
      </c>
      <c r="S1975" s="220" t="s">
        <v>1861</v>
      </c>
      <c r="T1975" t="s">
        <v>2623</v>
      </c>
      <c r="U1975" t="s">
        <v>1972</v>
      </c>
      <c r="V1975" t="s">
        <v>2832</v>
      </c>
    </row>
    <row r="1976" spans="1:22" ht="15.75" thickBot="1" x14ac:dyDescent="0.3">
      <c r="A1976" t="s">
        <v>4702</v>
      </c>
      <c r="B1976" t="s">
        <v>4702</v>
      </c>
      <c r="C1976" t="s">
        <v>4702</v>
      </c>
      <c r="D1976" t="s">
        <v>629</v>
      </c>
      <c r="E1976" s="259" t="s">
        <v>1970</v>
      </c>
      <c r="F1976" t="s">
        <v>620</v>
      </c>
      <c r="G1976" s="89">
        <v>2018</v>
      </c>
      <c r="H1976" s="341" t="s">
        <v>733</v>
      </c>
      <c r="I1976" s="337" t="str">
        <f t="shared" si="86"/>
        <v>Pesado de Passageiros M3: I : Gasóleo : E6</v>
      </c>
      <c r="J1976" s="125">
        <v>32</v>
      </c>
      <c r="K1976" s="264">
        <v>2022</v>
      </c>
      <c r="L1976" s="85">
        <v>6912.3700000000008</v>
      </c>
      <c r="M1976" s="85" t="s">
        <v>630</v>
      </c>
      <c r="N1976" s="128">
        <v>42861</v>
      </c>
      <c r="O1976" s="128">
        <f t="shared" si="87"/>
        <v>1371552</v>
      </c>
      <c r="Q1976" t="s">
        <v>47</v>
      </c>
      <c r="R1976" s="220" t="s">
        <v>1888</v>
      </c>
      <c r="S1976" s="220" t="s">
        <v>1861</v>
      </c>
      <c r="T1976" t="s">
        <v>2624</v>
      </c>
      <c r="U1976" t="s">
        <v>1972</v>
      </c>
      <c r="V1976" t="s">
        <v>2832</v>
      </c>
    </row>
    <row r="1977" spans="1:22" ht="15.75" thickBot="1" x14ac:dyDescent="0.3">
      <c r="A1977" t="s">
        <v>4702</v>
      </c>
      <c r="B1977" t="s">
        <v>4702</v>
      </c>
      <c r="C1977" t="s">
        <v>4702</v>
      </c>
      <c r="D1977" t="s">
        <v>629</v>
      </c>
      <c r="E1977" s="259" t="s">
        <v>1970</v>
      </c>
      <c r="F1977" t="s">
        <v>620</v>
      </c>
      <c r="G1977" s="89">
        <v>2018</v>
      </c>
      <c r="H1977" s="341" t="s">
        <v>733</v>
      </c>
      <c r="I1977" s="337" t="str">
        <f t="shared" si="86"/>
        <v>Pesado de Passageiros M3: I : Gasóleo : E6</v>
      </c>
      <c r="J1977" s="125">
        <v>32</v>
      </c>
      <c r="K1977" s="264">
        <v>2022</v>
      </c>
      <c r="L1977" s="85">
        <v>5240.88</v>
      </c>
      <c r="M1977" s="85" t="s">
        <v>630</v>
      </c>
      <c r="N1977" s="128">
        <v>26970</v>
      </c>
      <c r="O1977" s="128">
        <f t="shared" si="87"/>
        <v>863040</v>
      </c>
      <c r="Q1977" t="s">
        <v>47</v>
      </c>
      <c r="R1977" s="220" t="s">
        <v>1888</v>
      </c>
      <c r="S1977" s="220" t="s">
        <v>1861</v>
      </c>
      <c r="T1977" t="s">
        <v>2625</v>
      </c>
      <c r="U1977" t="s">
        <v>1972</v>
      </c>
      <c r="V1977" t="s">
        <v>2832</v>
      </c>
    </row>
    <row r="1978" spans="1:22" ht="15.75" thickBot="1" x14ac:dyDescent="0.3">
      <c r="A1978" t="s">
        <v>4702</v>
      </c>
      <c r="B1978" t="s">
        <v>4702</v>
      </c>
      <c r="C1978" t="s">
        <v>4702</v>
      </c>
      <c r="D1978" t="s">
        <v>629</v>
      </c>
      <c r="E1978" s="259" t="s">
        <v>1970</v>
      </c>
      <c r="F1978" t="s">
        <v>620</v>
      </c>
      <c r="G1978" s="89">
        <v>2018</v>
      </c>
      <c r="H1978" s="341" t="s">
        <v>733</v>
      </c>
      <c r="I1978" s="337" t="str">
        <f t="shared" si="86"/>
        <v>Pesado de Passageiros M3: I : Gasóleo : E6</v>
      </c>
      <c r="J1978" s="125">
        <v>32</v>
      </c>
      <c r="K1978" s="264">
        <v>2022</v>
      </c>
      <c r="L1978" s="85">
        <v>7362.51</v>
      </c>
      <c r="M1978" s="85" t="s">
        <v>630</v>
      </c>
      <c r="N1978" s="128">
        <v>42974</v>
      </c>
      <c r="O1978" s="128">
        <f t="shared" si="87"/>
        <v>1375168</v>
      </c>
      <c r="Q1978" t="s">
        <v>47</v>
      </c>
      <c r="R1978" s="220" t="s">
        <v>1888</v>
      </c>
      <c r="S1978" s="220" t="s">
        <v>1861</v>
      </c>
      <c r="T1978" t="s">
        <v>2626</v>
      </c>
      <c r="U1978" t="s">
        <v>1972</v>
      </c>
      <c r="V1978" t="s">
        <v>2832</v>
      </c>
    </row>
    <row r="1979" spans="1:22" ht="15.75" thickBot="1" x14ac:dyDescent="0.3">
      <c r="A1979" t="s">
        <v>4702</v>
      </c>
      <c r="B1979" t="s">
        <v>4702</v>
      </c>
      <c r="C1979" t="s">
        <v>4702</v>
      </c>
      <c r="D1979" t="s">
        <v>629</v>
      </c>
      <c r="E1979" s="259" t="s">
        <v>1970</v>
      </c>
      <c r="F1979" t="s">
        <v>620</v>
      </c>
      <c r="G1979" s="89">
        <v>2018</v>
      </c>
      <c r="H1979" s="341" t="s">
        <v>733</v>
      </c>
      <c r="I1979" s="337" t="str">
        <f t="shared" si="86"/>
        <v>Pesado de Passageiros M3: I : Gasóleo : E6</v>
      </c>
      <c r="J1979" s="125">
        <v>32</v>
      </c>
      <c r="K1979" s="264">
        <v>2022</v>
      </c>
      <c r="L1979" s="85">
        <v>11866.779999999999</v>
      </c>
      <c r="M1979" s="85" t="s">
        <v>630</v>
      </c>
      <c r="N1979" s="128">
        <v>60519</v>
      </c>
      <c r="O1979" s="128">
        <f t="shared" si="87"/>
        <v>1936608</v>
      </c>
      <c r="Q1979" t="s">
        <v>47</v>
      </c>
      <c r="R1979" s="220" t="s">
        <v>1888</v>
      </c>
      <c r="S1979" s="220" t="s">
        <v>1861</v>
      </c>
      <c r="T1979" t="s">
        <v>2627</v>
      </c>
      <c r="U1979" t="s">
        <v>1972</v>
      </c>
      <c r="V1979" t="s">
        <v>2832</v>
      </c>
    </row>
    <row r="1980" spans="1:22" ht="15.75" thickBot="1" x14ac:dyDescent="0.3">
      <c r="A1980" t="s">
        <v>4702</v>
      </c>
      <c r="B1980" t="s">
        <v>4702</v>
      </c>
      <c r="C1980" t="s">
        <v>4702</v>
      </c>
      <c r="D1980" t="s">
        <v>629</v>
      </c>
      <c r="E1980" s="259" t="s">
        <v>1970</v>
      </c>
      <c r="F1980" t="s">
        <v>620</v>
      </c>
      <c r="G1980" s="89">
        <v>2018</v>
      </c>
      <c r="H1980" s="341" t="s">
        <v>733</v>
      </c>
      <c r="I1980" s="337" t="str">
        <f t="shared" si="86"/>
        <v>Pesado de Passageiros M3: I : Gasóleo : E6</v>
      </c>
      <c r="J1980" s="125">
        <v>32</v>
      </c>
      <c r="K1980" s="264">
        <v>2022</v>
      </c>
      <c r="L1980" s="85">
        <v>10508.789999999999</v>
      </c>
      <c r="M1980" s="85" t="s">
        <v>630</v>
      </c>
      <c r="N1980" s="128">
        <v>53747</v>
      </c>
      <c r="O1980" s="128">
        <f t="shared" si="87"/>
        <v>1719904</v>
      </c>
      <c r="Q1980" t="s">
        <v>47</v>
      </c>
      <c r="R1980" s="220" t="s">
        <v>1888</v>
      </c>
      <c r="S1980" s="220" t="s">
        <v>1861</v>
      </c>
      <c r="T1980" t="s">
        <v>2628</v>
      </c>
      <c r="U1980" t="s">
        <v>1972</v>
      </c>
      <c r="V1980" t="s">
        <v>2832</v>
      </c>
    </row>
    <row r="1981" spans="1:22" ht="15.75" thickBot="1" x14ac:dyDescent="0.3">
      <c r="A1981" t="s">
        <v>4702</v>
      </c>
      <c r="B1981" t="s">
        <v>4702</v>
      </c>
      <c r="C1981" t="s">
        <v>4702</v>
      </c>
      <c r="D1981" t="s">
        <v>629</v>
      </c>
      <c r="E1981" s="259" t="s">
        <v>1970</v>
      </c>
      <c r="F1981" t="s">
        <v>620</v>
      </c>
      <c r="G1981" s="89">
        <v>2007</v>
      </c>
      <c r="H1981" s="341" t="s">
        <v>731</v>
      </c>
      <c r="I1981" s="337" t="str">
        <f t="shared" si="86"/>
        <v>Pesado de Passageiros M3: I : Gasóleo : E4</v>
      </c>
      <c r="J1981" s="125">
        <v>71</v>
      </c>
      <c r="K1981" s="264">
        <v>2022</v>
      </c>
      <c r="L1981" s="85">
        <v>21605.480000000003</v>
      </c>
      <c r="M1981" s="85" t="s">
        <v>630</v>
      </c>
      <c r="N1981" s="128">
        <v>57720</v>
      </c>
      <c r="O1981" s="128">
        <f t="shared" si="87"/>
        <v>4098120</v>
      </c>
      <c r="Q1981" t="s">
        <v>47</v>
      </c>
      <c r="R1981" s="220" t="s">
        <v>1888</v>
      </c>
      <c r="S1981" s="220" t="s">
        <v>1861</v>
      </c>
      <c r="T1981" t="s">
        <v>2629</v>
      </c>
      <c r="U1981" t="s">
        <v>1972</v>
      </c>
      <c r="V1981" t="s">
        <v>2832</v>
      </c>
    </row>
    <row r="1982" spans="1:22" ht="15.75" thickBot="1" x14ac:dyDescent="0.3">
      <c r="A1982" t="s">
        <v>4702</v>
      </c>
      <c r="B1982" t="s">
        <v>4702</v>
      </c>
      <c r="C1982" t="s">
        <v>4702</v>
      </c>
      <c r="D1982" t="s">
        <v>629</v>
      </c>
      <c r="E1982" s="259" t="s">
        <v>1970</v>
      </c>
      <c r="F1982" t="s">
        <v>620</v>
      </c>
      <c r="G1982" s="89">
        <v>2010</v>
      </c>
      <c r="H1982" s="341" t="s">
        <v>734</v>
      </c>
      <c r="I1982" s="337" t="str">
        <f t="shared" si="86"/>
        <v>Pesado de Passageiros M3: I : Gasóleo : E5</v>
      </c>
      <c r="J1982" s="125">
        <v>70</v>
      </c>
      <c r="K1982" s="264">
        <v>2022</v>
      </c>
      <c r="L1982" s="85">
        <v>11588.119999999999</v>
      </c>
      <c r="M1982" s="85" t="s">
        <v>630</v>
      </c>
      <c r="N1982" s="128">
        <v>31150</v>
      </c>
      <c r="O1982" s="128">
        <f t="shared" si="87"/>
        <v>2180500</v>
      </c>
      <c r="Q1982" t="s">
        <v>47</v>
      </c>
      <c r="R1982" s="220" t="s">
        <v>1888</v>
      </c>
      <c r="S1982" s="220" t="s">
        <v>1861</v>
      </c>
      <c r="T1982" t="s">
        <v>2630</v>
      </c>
      <c r="U1982" t="s">
        <v>1972</v>
      </c>
      <c r="V1982" t="s">
        <v>2832</v>
      </c>
    </row>
    <row r="1983" spans="1:22" ht="15.75" thickBot="1" x14ac:dyDescent="0.3">
      <c r="A1983" t="s">
        <v>4702</v>
      </c>
      <c r="B1983" t="s">
        <v>4702</v>
      </c>
      <c r="C1983" t="s">
        <v>4702</v>
      </c>
      <c r="D1983" t="s">
        <v>629</v>
      </c>
      <c r="E1983" s="259" t="s">
        <v>1970</v>
      </c>
      <c r="F1983" t="s">
        <v>620</v>
      </c>
      <c r="G1983" s="89">
        <v>2006</v>
      </c>
      <c r="H1983" s="341" t="s">
        <v>731</v>
      </c>
      <c r="I1983" s="337" t="str">
        <f t="shared" si="86"/>
        <v>Pesado de Passageiros M3: I : Gasóleo : E4</v>
      </c>
      <c r="J1983" s="125">
        <v>71</v>
      </c>
      <c r="K1983" s="264">
        <v>2022</v>
      </c>
      <c r="L1983" s="85">
        <v>18494.23</v>
      </c>
      <c r="M1983" s="85" t="s">
        <v>630</v>
      </c>
      <c r="N1983" s="128">
        <v>53166</v>
      </c>
      <c r="O1983" s="128">
        <f t="shared" si="87"/>
        <v>3774786</v>
      </c>
      <c r="Q1983" t="s">
        <v>47</v>
      </c>
      <c r="R1983" s="220" t="s">
        <v>1888</v>
      </c>
      <c r="S1983" s="220" t="s">
        <v>1861</v>
      </c>
      <c r="T1983" t="s">
        <v>2631</v>
      </c>
      <c r="U1983" t="s">
        <v>1972</v>
      </c>
      <c r="V1983" t="s">
        <v>2832</v>
      </c>
    </row>
    <row r="1984" spans="1:22" ht="15.75" thickBot="1" x14ac:dyDescent="0.3">
      <c r="A1984" t="s">
        <v>4702</v>
      </c>
      <c r="B1984" t="s">
        <v>4702</v>
      </c>
      <c r="C1984" t="s">
        <v>4702</v>
      </c>
      <c r="D1984" t="s">
        <v>629</v>
      </c>
      <c r="E1984" s="259" t="s">
        <v>1970</v>
      </c>
      <c r="F1984" t="s">
        <v>620</v>
      </c>
      <c r="G1984" s="89">
        <v>2008</v>
      </c>
      <c r="H1984" s="341" t="s">
        <v>731</v>
      </c>
      <c r="I1984" s="337" t="str">
        <f t="shared" si="86"/>
        <v>Pesado de Passageiros M3: I : Gasóleo : E4</v>
      </c>
      <c r="J1984" s="125">
        <v>77</v>
      </c>
      <c r="K1984" s="264">
        <v>2022</v>
      </c>
      <c r="L1984" s="85">
        <v>16859.87</v>
      </c>
      <c r="M1984" s="85" t="s">
        <v>630</v>
      </c>
      <c r="N1984" s="128">
        <v>61789</v>
      </c>
      <c r="O1984" s="128">
        <f t="shared" si="87"/>
        <v>4757753</v>
      </c>
      <c r="Q1984" t="s">
        <v>47</v>
      </c>
      <c r="R1984" s="220" t="s">
        <v>1888</v>
      </c>
      <c r="S1984" s="220" t="s">
        <v>1861</v>
      </c>
      <c r="T1984" t="s">
        <v>2632</v>
      </c>
      <c r="U1984" t="s">
        <v>1972</v>
      </c>
      <c r="V1984" t="s">
        <v>2832</v>
      </c>
    </row>
    <row r="1985" spans="1:22" ht="15.75" thickBot="1" x14ac:dyDescent="0.3">
      <c r="A1985" t="s">
        <v>4702</v>
      </c>
      <c r="B1985" t="s">
        <v>4702</v>
      </c>
      <c r="C1985" t="s">
        <v>4702</v>
      </c>
      <c r="D1985" t="s">
        <v>629</v>
      </c>
      <c r="E1985" s="259" t="s">
        <v>1970</v>
      </c>
      <c r="F1985" t="s">
        <v>620</v>
      </c>
      <c r="G1985" s="89">
        <v>2007</v>
      </c>
      <c r="H1985" s="341" t="s">
        <v>731</v>
      </c>
      <c r="I1985" s="337" t="str">
        <f t="shared" si="86"/>
        <v>Pesado de Passageiros M3: I : Gasóleo : E4</v>
      </c>
      <c r="J1985" s="125">
        <v>94</v>
      </c>
      <c r="K1985" s="264">
        <v>2022</v>
      </c>
      <c r="L1985" s="85">
        <v>12346.400000000001</v>
      </c>
      <c r="M1985" s="85" t="s">
        <v>630</v>
      </c>
      <c r="N1985" s="128">
        <v>35410</v>
      </c>
      <c r="O1985" s="128">
        <f t="shared" si="87"/>
        <v>3328540</v>
      </c>
      <c r="Q1985" t="s">
        <v>47</v>
      </c>
      <c r="R1985" s="220" t="s">
        <v>1888</v>
      </c>
      <c r="S1985" s="220" t="s">
        <v>1861</v>
      </c>
      <c r="T1985" t="s">
        <v>2633</v>
      </c>
      <c r="U1985" t="s">
        <v>1972</v>
      </c>
      <c r="V1985" t="s">
        <v>2832</v>
      </c>
    </row>
    <row r="1986" spans="1:22" ht="15.75" thickBot="1" x14ac:dyDescent="0.3">
      <c r="A1986" t="s">
        <v>4702</v>
      </c>
      <c r="B1986" t="s">
        <v>4702</v>
      </c>
      <c r="C1986" t="s">
        <v>4702</v>
      </c>
      <c r="D1986" t="s">
        <v>629</v>
      </c>
      <c r="E1986" s="259" t="s">
        <v>1970</v>
      </c>
      <c r="F1986" t="s">
        <v>620</v>
      </c>
      <c r="G1986" s="89">
        <v>2009</v>
      </c>
      <c r="H1986" s="341" t="s">
        <v>731</v>
      </c>
      <c r="I1986" s="337" t="str">
        <f t="shared" si="86"/>
        <v>Pesado de Passageiros M3: I : Gasóleo : E4</v>
      </c>
      <c r="J1986" s="125">
        <v>79</v>
      </c>
      <c r="K1986" s="264">
        <v>2022</v>
      </c>
      <c r="L1986" s="85">
        <v>18016.29</v>
      </c>
      <c r="M1986" s="85" t="s">
        <v>630</v>
      </c>
      <c r="N1986" s="128">
        <v>50720</v>
      </c>
      <c r="O1986" s="128">
        <f t="shared" si="87"/>
        <v>4006880</v>
      </c>
      <c r="Q1986" t="s">
        <v>47</v>
      </c>
      <c r="R1986" s="220" t="s">
        <v>1888</v>
      </c>
      <c r="S1986" s="220" t="s">
        <v>1861</v>
      </c>
      <c r="T1986" t="s">
        <v>2634</v>
      </c>
      <c r="U1986" t="s">
        <v>1972</v>
      </c>
      <c r="V1986" t="s">
        <v>2832</v>
      </c>
    </row>
    <row r="1987" spans="1:22" ht="15.75" thickBot="1" x14ac:dyDescent="0.3">
      <c r="A1987" t="s">
        <v>4702</v>
      </c>
      <c r="B1987" t="s">
        <v>4702</v>
      </c>
      <c r="C1987" t="s">
        <v>4702</v>
      </c>
      <c r="D1987" t="s">
        <v>629</v>
      </c>
      <c r="E1987" s="259" t="s">
        <v>1970</v>
      </c>
      <c r="F1987" t="s">
        <v>620</v>
      </c>
      <c r="G1987" s="89">
        <v>2010</v>
      </c>
      <c r="H1987" s="341" t="s">
        <v>734</v>
      </c>
      <c r="I1987" s="337" t="str">
        <f t="shared" si="86"/>
        <v>Pesado de Passageiros M3: I : Gasóleo : E5</v>
      </c>
      <c r="J1987" s="125">
        <v>70</v>
      </c>
      <c r="K1987" s="264">
        <v>2022</v>
      </c>
      <c r="L1987" s="85">
        <v>15682.580000000002</v>
      </c>
      <c r="M1987" s="85" t="s">
        <v>630</v>
      </c>
      <c r="N1987" s="128">
        <v>43073</v>
      </c>
      <c r="O1987" s="128">
        <f t="shared" si="87"/>
        <v>3015110</v>
      </c>
      <c r="Q1987" t="s">
        <v>47</v>
      </c>
      <c r="R1987" s="220" t="s">
        <v>1888</v>
      </c>
      <c r="S1987" s="220" t="s">
        <v>1861</v>
      </c>
      <c r="T1987" t="s">
        <v>2635</v>
      </c>
      <c r="U1987" t="s">
        <v>1972</v>
      </c>
      <c r="V1987" t="s">
        <v>2832</v>
      </c>
    </row>
    <row r="1988" spans="1:22" ht="15.75" thickBot="1" x14ac:dyDescent="0.3">
      <c r="A1988" t="s">
        <v>4702</v>
      </c>
      <c r="B1988" t="s">
        <v>4702</v>
      </c>
      <c r="C1988" t="s">
        <v>4702</v>
      </c>
      <c r="D1988" t="s">
        <v>629</v>
      </c>
      <c r="E1988" s="259" t="s">
        <v>1970</v>
      </c>
      <c r="F1988" t="s">
        <v>620</v>
      </c>
      <c r="G1988" s="89">
        <v>2012</v>
      </c>
      <c r="H1988" s="341" t="s">
        <v>734</v>
      </c>
      <c r="I1988" s="337" t="str">
        <f t="shared" ref="I1988:I2051" si="88">D1988&amp;": "&amp;E1988&amp;" : "&amp;F1988&amp;" : "&amp;H1988</f>
        <v>Pesado de Passageiros M3: I : Gasóleo : E5</v>
      </c>
      <c r="J1988" s="125">
        <v>57</v>
      </c>
      <c r="K1988" s="264">
        <v>2022</v>
      </c>
      <c r="L1988" s="85">
        <v>43103.549999999996</v>
      </c>
      <c r="M1988" s="85" t="s">
        <v>630</v>
      </c>
      <c r="N1988" s="128">
        <v>139174</v>
      </c>
      <c r="O1988" s="128">
        <f t="shared" ref="O1988:O2051" si="89">N1988*J1988</f>
        <v>7932918</v>
      </c>
      <c r="Q1988" t="s">
        <v>47</v>
      </c>
      <c r="R1988" s="220" t="s">
        <v>1888</v>
      </c>
      <c r="S1988" s="220" t="s">
        <v>1861</v>
      </c>
      <c r="T1988" t="s">
        <v>2636</v>
      </c>
      <c r="U1988" t="s">
        <v>1972</v>
      </c>
      <c r="V1988" t="s">
        <v>2832</v>
      </c>
    </row>
    <row r="1989" spans="1:22" ht="15.75" thickBot="1" x14ac:dyDescent="0.3">
      <c r="A1989" t="s">
        <v>4702</v>
      </c>
      <c r="B1989" t="s">
        <v>4702</v>
      </c>
      <c r="C1989" t="s">
        <v>4702</v>
      </c>
      <c r="D1989" t="s">
        <v>629</v>
      </c>
      <c r="E1989" s="259" t="s">
        <v>1970</v>
      </c>
      <c r="F1989" t="s">
        <v>620</v>
      </c>
      <c r="G1989" s="89">
        <v>2012</v>
      </c>
      <c r="H1989" s="341" t="s">
        <v>734</v>
      </c>
      <c r="I1989" s="337" t="str">
        <f t="shared" si="88"/>
        <v>Pesado de Passageiros M3: I : Gasóleo : E5</v>
      </c>
      <c r="J1989" s="125">
        <v>57</v>
      </c>
      <c r="K1989" s="264">
        <v>2022</v>
      </c>
      <c r="L1989" s="85">
        <v>30118.34</v>
      </c>
      <c r="M1989" s="85" t="s">
        <v>630</v>
      </c>
      <c r="N1989" s="128">
        <v>95206</v>
      </c>
      <c r="O1989" s="128">
        <f t="shared" si="89"/>
        <v>5426742</v>
      </c>
      <c r="Q1989" t="s">
        <v>47</v>
      </c>
      <c r="R1989" s="220" t="s">
        <v>1888</v>
      </c>
      <c r="S1989" s="220" t="s">
        <v>1861</v>
      </c>
      <c r="T1989" t="s">
        <v>2637</v>
      </c>
      <c r="U1989" t="s">
        <v>1972</v>
      </c>
      <c r="V1989" t="s">
        <v>2832</v>
      </c>
    </row>
    <row r="1990" spans="1:22" ht="15.75" thickBot="1" x14ac:dyDescent="0.3">
      <c r="A1990" t="s">
        <v>4702</v>
      </c>
      <c r="B1990" t="s">
        <v>4702</v>
      </c>
      <c r="C1990" t="s">
        <v>4702</v>
      </c>
      <c r="D1990" t="s">
        <v>629</v>
      </c>
      <c r="E1990" s="259" t="s">
        <v>1970</v>
      </c>
      <c r="F1990" t="s">
        <v>620</v>
      </c>
      <c r="G1990" s="89">
        <v>2006</v>
      </c>
      <c r="H1990" s="341" t="s">
        <v>731</v>
      </c>
      <c r="I1990" s="337" t="str">
        <f t="shared" si="88"/>
        <v>Pesado de Passageiros M3: I : Gasóleo : E4</v>
      </c>
      <c r="J1990" s="125">
        <v>77</v>
      </c>
      <c r="K1990" s="264">
        <v>2022</v>
      </c>
      <c r="L1990" s="85">
        <v>7825.7099999999991</v>
      </c>
      <c r="M1990" s="85" t="s">
        <v>630</v>
      </c>
      <c r="N1990" s="128">
        <v>23961</v>
      </c>
      <c r="O1990" s="128">
        <f t="shared" si="89"/>
        <v>1844997</v>
      </c>
      <c r="Q1990" t="s">
        <v>47</v>
      </c>
      <c r="R1990" s="220" t="s">
        <v>1888</v>
      </c>
      <c r="S1990" s="220" t="s">
        <v>1861</v>
      </c>
      <c r="T1990" t="s">
        <v>2638</v>
      </c>
      <c r="U1990" t="s">
        <v>1972</v>
      </c>
      <c r="V1990" t="s">
        <v>2832</v>
      </c>
    </row>
    <row r="1991" spans="1:22" ht="15.75" thickBot="1" x14ac:dyDescent="0.3">
      <c r="A1991" t="s">
        <v>4702</v>
      </c>
      <c r="B1991" t="s">
        <v>4702</v>
      </c>
      <c r="C1991" t="s">
        <v>4702</v>
      </c>
      <c r="D1991" t="s">
        <v>629</v>
      </c>
      <c r="E1991" s="259" t="s">
        <v>1970</v>
      </c>
      <c r="F1991" t="s">
        <v>620</v>
      </c>
      <c r="G1991" s="89">
        <v>2021</v>
      </c>
      <c r="H1991" s="341" t="s">
        <v>733</v>
      </c>
      <c r="I1991" s="337" t="str">
        <f t="shared" si="88"/>
        <v>Pesado de Passageiros M3: I : Gasóleo : E6</v>
      </c>
      <c r="J1991" s="125">
        <v>83</v>
      </c>
      <c r="K1991" s="264">
        <v>2022</v>
      </c>
      <c r="L1991" s="85">
        <v>22243.07</v>
      </c>
      <c r="M1991" s="85" t="s">
        <v>630</v>
      </c>
      <c r="N1991" s="128">
        <v>70364</v>
      </c>
      <c r="O1991" s="128">
        <f t="shared" si="89"/>
        <v>5840212</v>
      </c>
      <c r="Q1991" t="s">
        <v>47</v>
      </c>
      <c r="R1991" s="220" t="s">
        <v>1888</v>
      </c>
      <c r="S1991" s="220" t="s">
        <v>1861</v>
      </c>
      <c r="T1991" t="s">
        <v>2639</v>
      </c>
      <c r="U1991" t="s">
        <v>1972</v>
      </c>
      <c r="V1991" t="s">
        <v>2832</v>
      </c>
    </row>
    <row r="1992" spans="1:22" ht="15.75" thickBot="1" x14ac:dyDescent="0.3">
      <c r="A1992" t="s">
        <v>4702</v>
      </c>
      <c r="B1992" t="s">
        <v>4702</v>
      </c>
      <c r="C1992" t="s">
        <v>4702</v>
      </c>
      <c r="D1992" t="s">
        <v>629</v>
      </c>
      <c r="E1992" s="259" t="s">
        <v>1970</v>
      </c>
      <c r="F1992" t="s">
        <v>620</v>
      </c>
      <c r="G1992" s="89">
        <v>2021</v>
      </c>
      <c r="H1992" s="341" t="s">
        <v>733</v>
      </c>
      <c r="I1992" s="337" t="str">
        <f t="shared" si="88"/>
        <v>Pesado de Passageiros M3: I : Gasóleo : E6</v>
      </c>
      <c r="J1992" s="125">
        <v>83</v>
      </c>
      <c r="K1992" s="264">
        <v>2022</v>
      </c>
      <c r="L1992" s="85">
        <v>14509.910000000002</v>
      </c>
      <c r="M1992" s="85" t="s">
        <v>630</v>
      </c>
      <c r="N1992" s="128">
        <v>41333</v>
      </c>
      <c r="O1992" s="128">
        <f t="shared" si="89"/>
        <v>3430639</v>
      </c>
      <c r="Q1992" t="s">
        <v>47</v>
      </c>
      <c r="R1992" s="220" t="s">
        <v>1888</v>
      </c>
      <c r="S1992" s="220" t="s">
        <v>1861</v>
      </c>
      <c r="T1992" t="s">
        <v>2640</v>
      </c>
      <c r="U1992" t="s">
        <v>1972</v>
      </c>
      <c r="V1992" t="s">
        <v>2832</v>
      </c>
    </row>
    <row r="1993" spans="1:22" ht="15.75" thickBot="1" x14ac:dyDescent="0.3">
      <c r="A1993" t="s">
        <v>4702</v>
      </c>
      <c r="B1993" t="s">
        <v>4702</v>
      </c>
      <c r="C1993" t="s">
        <v>4702</v>
      </c>
      <c r="D1993" t="s">
        <v>629</v>
      </c>
      <c r="E1993" s="259" t="s">
        <v>1970</v>
      </c>
      <c r="F1993" t="s">
        <v>620</v>
      </c>
      <c r="G1993" s="89">
        <v>2021</v>
      </c>
      <c r="H1993" s="341" t="s">
        <v>733</v>
      </c>
      <c r="I1993" s="337" t="str">
        <f t="shared" si="88"/>
        <v>Pesado de Passageiros M3: I : Gasóleo : E6</v>
      </c>
      <c r="J1993" s="125">
        <v>78</v>
      </c>
      <c r="K1993" s="264">
        <v>2022</v>
      </c>
      <c r="L1993" s="85">
        <v>16175.850000000002</v>
      </c>
      <c r="M1993" s="85" t="s">
        <v>630</v>
      </c>
      <c r="N1993" s="128">
        <v>47660</v>
      </c>
      <c r="O1993" s="128">
        <f t="shared" si="89"/>
        <v>3717480</v>
      </c>
      <c r="Q1993" t="s">
        <v>47</v>
      </c>
      <c r="R1993" s="220" t="s">
        <v>1888</v>
      </c>
      <c r="S1993" s="220" t="s">
        <v>1861</v>
      </c>
      <c r="T1993" t="s">
        <v>2641</v>
      </c>
      <c r="U1993" t="s">
        <v>1972</v>
      </c>
      <c r="V1993" t="s">
        <v>2832</v>
      </c>
    </row>
    <row r="1994" spans="1:22" ht="15.75" thickBot="1" x14ac:dyDescent="0.3">
      <c r="A1994" t="s">
        <v>4702</v>
      </c>
      <c r="B1994" t="s">
        <v>4702</v>
      </c>
      <c r="C1994" t="s">
        <v>4702</v>
      </c>
      <c r="D1994" t="s">
        <v>629</v>
      </c>
      <c r="E1994" s="259" t="s">
        <v>1970</v>
      </c>
      <c r="F1994" t="s">
        <v>620</v>
      </c>
      <c r="G1994" s="89">
        <v>2021</v>
      </c>
      <c r="H1994" s="341" t="s">
        <v>733</v>
      </c>
      <c r="I1994" s="337" t="str">
        <f t="shared" si="88"/>
        <v>Pesado de Passageiros M3: I : Gasóleo : E6</v>
      </c>
      <c r="J1994" s="125">
        <v>78</v>
      </c>
      <c r="K1994" s="264">
        <v>2022</v>
      </c>
      <c r="L1994" s="85">
        <v>21497.850000000006</v>
      </c>
      <c r="M1994" s="85" t="s">
        <v>630</v>
      </c>
      <c r="N1994" s="128">
        <v>62119</v>
      </c>
      <c r="O1994" s="128">
        <f t="shared" si="89"/>
        <v>4845282</v>
      </c>
      <c r="Q1994" t="s">
        <v>47</v>
      </c>
      <c r="R1994" s="220" t="s">
        <v>1888</v>
      </c>
      <c r="S1994" s="220" t="s">
        <v>1861</v>
      </c>
      <c r="T1994" t="s">
        <v>2642</v>
      </c>
      <c r="U1994" t="s">
        <v>1972</v>
      </c>
      <c r="V1994" t="s">
        <v>2832</v>
      </c>
    </row>
    <row r="1995" spans="1:22" ht="15.75" thickBot="1" x14ac:dyDescent="0.3">
      <c r="A1995" t="s">
        <v>4702</v>
      </c>
      <c r="B1995" t="s">
        <v>4702</v>
      </c>
      <c r="C1995" t="s">
        <v>4702</v>
      </c>
      <c r="D1995" t="s">
        <v>629</v>
      </c>
      <c r="E1995" s="259" t="s">
        <v>1970</v>
      </c>
      <c r="F1995" t="s">
        <v>620</v>
      </c>
      <c r="G1995" s="89">
        <v>2021</v>
      </c>
      <c r="H1995" s="341" t="s">
        <v>733</v>
      </c>
      <c r="I1995" s="337" t="str">
        <f t="shared" si="88"/>
        <v>Pesado de Passageiros M3: I : Gasóleo : E6</v>
      </c>
      <c r="J1995" s="125">
        <v>83</v>
      </c>
      <c r="K1995" s="264">
        <v>2022</v>
      </c>
      <c r="L1995" s="85">
        <v>20488.48</v>
      </c>
      <c r="M1995" s="85" t="s">
        <v>630</v>
      </c>
      <c r="N1995" s="128">
        <v>63983</v>
      </c>
      <c r="O1995" s="128">
        <f t="shared" si="89"/>
        <v>5310589</v>
      </c>
      <c r="Q1995" t="s">
        <v>47</v>
      </c>
      <c r="R1995" s="220" t="s">
        <v>1888</v>
      </c>
      <c r="S1995" s="220" t="s">
        <v>1861</v>
      </c>
      <c r="T1995" t="s">
        <v>2643</v>
      </c>
      <c r="U1995" t="s">
        <v>1972</v>
      </c>
      <c r="V1995" t="s">
        <v>2832</v>
      </c>
    </row>
    <row r="1996" spans="1:22" ht="15.75" thickBot="1" x14ac:dyDescent="0.3">
      <c r="A1996" t="s">
        <v>4702</v>
      </c>
      <c r="B1996" t="s">
        <v>4702</v>
      </c>
      <c r="C1996" t="s">
        <v>4702</v>
      </c>
      <c r="D1996" t="s">
        <v>629</v>
      </c>
      <c r="E1996" s="259" t="s">
        <v>1970</v>
      </c>
      <c r="F1996" t="s">
        <v>620</v>
      </c>
      <c r="G1996" s="89">
        <v>2021</v>
      </c>
      <c r="H1996" s="341" t="s">
        <v>733</v>
      </c>
      <c r="I1996" s="337" t="str">
        <f t="shared" si="88"/>
        <v>Pesado de Passageiros M3: I : Gasóleo : E6</v>
      </c>
      <c r="J1996" s="125">
        <v>83</v>
      </c>
      <c r="K1996" s="264">
        <v>2022</v>
      </c>
      <c r="L1996" s="85">
        <v>12555.260000000002</v>
      </c>
      <c r="M1996" s="85" t="s">
        <v>630</v>
      </c>
      <c r="N1996" s="128">
        <v>37807</v>
      </c>
      <c r="O1996" s="128">
        <f t="shared" si="89"/>
        <v>3137981</v>
      </c>
      <c r="Q1996" t="s">
        <v>47</v>
      </c>
      <c r="R1996" s="220" t="s">
        <v>1888</v>
      </c>
      <c r="S1996" s="220" t="s">
        <v>1861</v>
      </c>
      <c r="T1996" t="s">
        <v>2644</v>
      </c>
      <c r="U1996" t="s">
        <v>1972</v>
      </c>
      <c r="V1996" t="s">
        <v>2832</v>
      </c>
    </row>
    <row r="1997" spans="1:22" ht="15.75" thickBot="1" x14ac:dyDescent="0.3">
      <c r="A1997" t="s">
        <v>4702</v>
      </c>
      <c r="B1997" t="s">
        <v>4702</v>
      </c>
      <c r="C1997" t="s">
        <v>4702</v>
      </c>
      <c r="D1997" t="s">
        <v>629</v>
      </c>
      <c r="E1997" s="259" t="s">
        <v>1970</v>
      </c>
      <c r="F1997" t="s">
        <v>620</v>
      </c>
      <c r="G1997" s="89">
        <v>2021</v>
      </c>
      <c r="H1997" s="341" t="s">
        <v>733</v>
      </c>
      <c r="I1997" s="337" t="str">
        <f t="shared" si="88"/>
        <v>Pesado de Passageiros M3: I : Gasóleo : E6</v>
      </c>
      <c r="J1997" s="125">
        <v>83</v>
      </c>
      <c r="K1997" s="264">
        <v>2022</v>
      </c>
      <c r="L1997" s="85">
        <v>19505.28</v>
      </c>
      <c r="M1997" s="85" t="s">
        <v>630</v>
      </c>
      <c r="N1997" s="128">
        <v>63693</v>
      </c>
      <c r="O1997" s="128">
        <f t="shared" si="89"/>
        <v>5286519</v>
      </c>
      <c r="Q1997" t="s">
        <v>47</v>
      </c>
      <c r="R1997" s="220" t="s">
        <v>1888</v>
      </c>
      <c r="S1997" s="220" t="s">
        <v>1861</v>
      </c>
      <c r="T1997" t="s">
        <v>2645</v>
      </c>
      <c r="U1997" t="s">
        <v>1972</v>
      </c>
      <c r="V1997" t="s">
        <v>2832</v>
      </c>
    </row>
    <row r="1998" spans="1:22" ht="15.75" thickBot="1" x14ac:dyDescent="0.3">
      <c r="A1998" t="s">
        <v>4691</v>
      </c>
      <c r="B1998" t="s">
        <v>4691</v>
      </c>
      <c r="C1998" t="s">
        <v>4691</v>
      </c>
      <c r="D1998" t="s">
        <v>629</v>
      </c>
      <c r="E1998" s="259" t="s">
        <v>1853</v>
      </c>
      <c r="F1998" t="s">
        <v>620</v>
      </c>
      <c r="G1998" s="89">
        <v>2005</v>
      </c>
      <c r="H1998" s="341" t="s">
        <v>731</v>
      </c>
      <c r="I1998" s="337" t="str">
        <f t="shared" si="88"/>
        <v>Pesado de Passageiros M3: III : Gasóleo : E4</v>
      </c>
      <c r="J1998" s="125">
        <v>56</v>
      </c>
      <c r="K1998" s="264">
        <v>2022</v>
      </c>
      <c r="L1998" s="85">
        <v>3545</v>
      </c>
      <c r="M1998" s="85" t="s">
        <v>630</v>
      </c>
      <c r="N1998" s="128">
        <v>9296</v>
      </c>
      <c r="O1998" s="128">
        <f t="shared" si="89"/>
        <v>520576</v>
      </c>
      <c r="Q1998" t="s">
        <v>47</v>
      </c>
      <c r="R1998" s="220" t="s">
        <v>1888</v>
      </c>
      <c r="S1998" s="220" t="s">
        <v>1861</v>
      </c>
      <c r="T1998" t="s">
        <v>2646</v>
      </c>
      <c r="U1998" t="s">
        <v>1972</v>
      </c>
      <c r="V1998" t="s">
        <v>2832</v>
      </c>
    </row>
    <row r="1999" spans="1:22" ht="15.75" thickBot="1" x14ac:dyDescent="0.3">
      <c r="A1999" t="s">
        <v>4694</v>
      </c>
      <c r="B1999" t="s">
        <v>4694</v>
      </c>
      <c r="C1999" t="s">
        <v>4694</v>
      </c>
      <c r="D1999" s="249" t="s">
        <v>1939</v>
      </c>
      <c r="E1999" s="267" t="s">
        <v>2250</v>
      </c>
      <c r="F1999" t="s">
        <v>620</v>
      </c>
      <c r="G1999" s="89">
        <v>2000</v>
      </c>
      <c r="H1999" s="341" t="s">
        <v>732</v>
      </c>
      <c r="I1999" s="337" t="str">
        <f t="shared" si="88"/>
        <v>Pesado de Mercadorias N3: Geral : Gasóleo : E3</v>
      </c>
      <c r="J1999" s="125"/>
      <c r="K1999" s="264">
        <v>2022</v>
      </c>
      <c r="L1999" s="242">
        <v>3769.4000000000005</v>
      </c>
      <c r="M1999" s="85" t="s">
        <v>630</v>
      </c>
      <c r="N1999" s="128">
        <v>16553</v>
      </c>
      <c r="O1999" s="128">
        <f t="shared" si="89"/>
        <v>0</v>
      </c>
      <c r="P1999" s="89">
        <v>91</v>
      </c>
      <c r="Q1999" t="s">
        <v>1946</v>
      </c>
      <c r="R1999" s="220" t="s">
        <v>1888</v>
      </c>
      <c r="S1999" s="220" t="s">
        <v>1861</v>
      </c>
      <c r="T1999" t="s">
        <v>1954</v>
      </c>
      <c r="U1999" t="s">
        <v>1972</v>
      </c>
      <c r="V1999" t="s">
        <v>2832</v>
      </c>
    </row>
    <row r="2000" spans="1:22" ht="15.75" thickBot="1" x14ac:dyDescent="0.3">
      <c r="A2000" t="s">
        <v>4694</v>
      </c>
      <c r="B2000" t="s">
        <v>4694</v>
      </c>
      <c r="C2000" t="s">
        <v>4694</v>
      </c>
      <c r="D2000" s="249" t="s">
        <v>1939</v>
      </c>
      <c r="E2000" s="267" t="s">
        <v>2250</v>
      </c>
      <c r="F2000" t="s">
        <v>620</v>
      </c>
      <c r="G2000" s="89">
        <v>2000</v>
      </c>
      <c r="H2000" s="341" t="s">
        <v>732</v>
      </c>
      <c r="I2000" s="337" t="str">
        <f t="shared" si="88"/>
        <v>Pesado de Mercadorias N3: Geral : Gasóleo : E3</v>
      </c>
      <c r="J2000" s="125"/>
      <c r="K2000" s="264">
        <v>2022</v>
      </c>
      <c r="L2000" s="242">
        <v>0</v>
      </c>
      <c r="M2000" s="85" t="s">
        <v>630</v>
      </c>
      <c r="N2000" s="128">
        <v>37</v>
      </c>
      <c r="O2000" s="128">
        <f t="shared" si="89"/>
        <v>0</v>
      </c>
      <c r="P2000" s="89">
        <v>93</v>
      </c>
      <c r="Q2000" t="s">
        <v>1946</v>
      </c>
      <c r="R2000" s="220" t="s">
        <v>3736</v>
      </c>
      <c r="S2000" s="220" t="s">
        <v>3126</v>
      </c>
      <c r="T2000" t="s">
        <v>1954</v>
      </c>
      <c r="U2000" t="s">
        <v>1972</v>
      </c>
      <c r="V2000" t="s">
        <v>2832</v>
      </c>
    </row>
    <row r="2001" spans="1:22" ht="15.75" thickBot="1" x14ac:dyDescent="0.3">
      <c r="A2001" t="s">
        <v>4694</v>
      </c>
      <c r="B2001" t="s">
        <v>4694</v>
      </c>
      <c r="C2001" t="s">
        <v>4694</v>
      </c>
      <c r="D2001" s="249" t="s">
        <v>1939</v>
      </c>
      <c r="E2001" s="267" t="s">
        <v>2250</v>
      </c>
      <c r="F2001" t="s">
        <v>620</v>
      </c>
      <c r="G2001" s="89">
        <v>2001</v>
      </c>
      <c r="H2001" s="341" t="s">
        <v>732</v>
      </c>
      <c r="I2001" s="337" t="str">
        <f t="shared" si="88"/>
        <v>Pesado de Mercadorias N3: Geral : Gasóleo : E3</v>
      </c>
      <c r="J2001" s="125"/>
      <c r="K2001" s="264">
        <v>2022</v>
      </c>
      <c r="L2001" s="242">
        <v>3066.2900000000004</v>
      </c>
      <c r="M2001" s="85" t="s">
        <v>630</v>
      </c>
      <c r="N2001" s="128">
        <v>7860</v>
      </c>
      <c r="O2001" s="128">
        <f t="shared" si="89"/>
        <v>0</v>
      </c>
      <c r="P2001" s="89">
        <v>97</v>
      </c>
      <c r="Q2001" t="s">
        <v>1946</v>
      </c>
      <c r="R2001" s="220" t="s">
        <v>1888</v>
      </c>
      <c r="S2001" s="220" t="s">
        <v>1861</v>
      </c>
      <c r="T2001" t="s">
        <v>1954</v>
      </c>
      <c r="U2001" t="s">
        <v>1972</v>
      </c>
      <c r="V2001" t="s">
        <v>2832</v>
      </c>
    </row>
    <row r="2002" spans="1:22" ht="15.75" thickBot="1" x14ac:dyDescent="0.3">
      <c r="A2002" t="s">
        <v>4694</v>
      </c>
      <c r="B2002" t="s">
        <v>4694</v>
      </c>
      <c r="C2002" t="s">
        <v>4694</v>
      </c>
      <c r="D2002" s="249" t="s">
        <v>1939</v>
      </c>
      <c r="E2002" s="267" t="s">
        <v>2250</v>
      </c>
      <c r="F2002" t="s">
        <v>620</v>
      </c>
      <c r="G2002" s="89">
        <v>2001</v>
      </c>
      <c r="H2002" s="341" t="s">
        <v>732</v>
      </c>
      <c r="I2002" s="337" t="str">
        <f t="shared" si="88"/>
        <v>Pesado de Mercadorias N3: Geral : Gasóleo : E3</v>
      </c>
      <c r="J2002" s="125"/>
      <c r="K2002" s="264">
        <v>2022</v>
      </c>
      <c r="L2002" s="242">
        <v>11271.87</v>
      </c>
      <c r="M2002" s="85" t="s">
        <v>630</v>
      </c>
      <c r="N2002" s="128">
        <v>27317</v>
      </c>
      <c r="O2002" s="128">
        <f t="shared" si="89"/>
        <v>0</v>
      </c>
      <c r="P2002" s="89">
        <v>98</v>
      </c>
      <c r="Q2002" t="s">
        <v>1946</v>
      </c>
      <c r="R2002" s="220" t="s">
        <v>1888</v>
      </c>
      <c r="S2002" s="220" t="s">
        <v>1861</v>
      </c>
      <c r="T2002" t="s">
        <v>1954</v>
      </c>
      <c r="U2002" t="s">
        <v>1972</v>
      </c>
      <c r="V2002" t="s">
        <v>2832</v>
      </c>
    </row>
    <row r="2003" spans="1:22" ht="15.75" thickBot="1" x14ac:dyDescent="0.3">
      <c r="A2003" t="s">
        <v>4694</v>
      </c>
      <c r="B2003" t="s">
        <v>4694</v>
      </c>
      <c r="C2003" t="s">
        <v>4694</v>
      </c>
      <c r="D2003" s="249" t="s">
        <v>1939</v>
      </c>
      <c r="E2003" s="267" t="s">
        <v>2250</v>
      </c>
      <c r="F2003" t="s">
        <v>620</v>
      </c>
      <c r="G2003" s="89">
        <v>2001</v>
      </c>
      <c r="H2003" s="341" t="s">
        <v>732</v>
      </c>
      <c r="I2003" s="337" t="str">
        <f t="shared" si="88"/>
        <v>Pesado de Mercadorias N3: Geral : Gasóleo : E3</v>
      </c>
      <c r="J2003" s="125"/>
      <c r="K2003" s="264">
        <v>2022</v>
      </c>
      <c r="L2003" s="242">
        <v>7244.7300000000014</v>
      </c>
      <c r="M2003" s="85" t="s">
        <v>630</v>
      </c>
      <c r="N2003" s="128">
        <v>17965</v>
      </c>
      <c r="O2003" s="128">
        <f t="shared" si="89"/>
        <v>0</v>
      </c>
      <c r="P2003" s="89">
        <v>100</v>
      </c>
      <c r="Q2003" t="s">
        <v>1946</v>
      </c>
      <c r="R2003" s="220" t="s">
        <v>1888</v>
      </c>
      <c r="S2003" s="220" t="s">
        <v>1861</v>
      </c>
      <c r="T2003" t="s">
        <v>1954</v>
      </c>
      <c r="U2003" t="s">
        <v>1972</v>
      </c>
      <c r="V2003" t="s">
        <v>2832</v>
      </c>
    </row>
    <row r="2004" spans="1:22" ht="15.75" thickBot="1" x14ac:dyDescent="0.3">
      <c r="A2004" t="s">
        <v>4694</v>
      </c>
      <c r="B2004" t="s">
        <v>4694</v>
      </c>
      <c r="C2004" t="s">
        <v>4694</v>
      </c>
      <c r="D2004" s="249" t="s">
        <v>1939</v>
      </c>
      <c r="E2004" s="267" t="s">
        <v>2250</v>
      </c>
      <c r="F2004" t="s">
        <v>620</v>
      </c>
      <c r="G2004" s="89">
        <v>2001</v>
      </c>
      <c r="H2004" s="341" t="s">
        <v>732</v>
      </c>
      <c r="I2004" s="337" t="str">
        <f t="shared" si="88"/>
        <v>Pesado de Mercadorias N3: Geral : Gasóleo : E3</v>
      </c>
      <c r="J2004" s="125"/>
      <c r="K2004" s="264">
        <v>2022</v>
      </c>
      <c r="L2004" s="242">
        <v>1469.96</v>
      </c>
      <c r="M2004" s="85" t="s">
        <v>630</v>
      </c>
      <c r="N2004" s="128">
        <v>2864</v>
      </c>
      <c r="O2004" s="128">
        <f t="shared" si="89"/>
        <v>0</v>
      </c>
      <c r="P2004" s="89">
        <v>102</v>
      </c>
      <c r="Q2004" t="s">
        <v>1946</v>
      </c>
      <c r="R2004" s="220" t="s">
        <v>1888</v>
      </c>
      <c r="S2004" s="220" t="s">
        <v>1861</v>
      </c>
      <c r="T2004" t="s">
        <v>1954</v>
      </c>
      <c r="U2004" t="s">
        <v>1972</v>
      </c>
      <c r="V2004" t="s">
        <v>2832</v>
      </c>
    </row>
    <row r="2005" spans="1:22" ht="15.75" thickBot="1" x14ac:dyDescent="0.3">
      <c r="A2005" t="s">
        <v>4694</v>
      </c>
      <c r="B2005" t="s">
        <v>4694</v>
      </c>
      <c r="C2005" t="s">
        <v>4694</v>
      </c>
      <c r="D2005" s="249" t="s">
        <v>1939</v>
      </c>
      <c r="E2005" s="267" t="s">
        <v>2250</v>
      </c>
      <c r="F2005" t="s">
        <v>620</v>
      </c>
      <c r="G2005" s="89">
        <v>2001</v>
      </c>
      <c r="H2005" s="341" t="s">
        <v>732</v>
      </c>
      <c r="I2005" s="337" t="str">
        <f t="shared" si="88"/>
        <v>Pesado de Mercadorias N3: Geral : Gasóleo : E3</v>
      </c>
      <c r="J2005" s="125"/>
      <c r="K2005" s="264">
        <v>2022</v>
      </c>
      <c r="L2005" s="242">
        <v>250.01</v>
      </c>
      <c r="M2005" s="85" t="s">
        <v>630</v>
      </c>
      <c r="N2005" s="128">
        <v>582</v>
      </c>
      <c r="O2005" s="128">
        <f t="shared" si="89"/>
        <v>0</v>
      </c>
      <c r="P2005" s="89">
        <v>107</v>
      </c>
      <c r="Q2005" t="s">
        <v>1946</v>
      </c>
      <c r="R2005" s="220" t="s">
        <v>1888</v>
      </c>
      <c r="S2005" s="220" t="s">
        <v>1861</v>
      </c>
      <c r="T2005" t="s">
        <v>1954</v>
      </c>
      <c r="U2005" t="s">
        <v>1972</v>
      </c>
      <c r="V2005" t="s">
        <v>2832</v>
      </c>
    </row>
    <row r="2006" spans="1:22" ht="15.75" thickBot="1" x14ac:dyDescent="0.3">
      <c r="A2006" t="s">
        <v>4694</v>
      </c>
      <c r="B2006" t="s">
        <v>4694</v>
      </c>
      <c r="C2006" t="s">
        <v>4694</v>
      </c>
      <c r="D2006" s="249" t="s">
        <v>1939</v>
      </c>
      <c r="E2006" s="267" t="s">
        <v>2250</v>
      </c>
      <c r="F2006" t="s">
        <v>620</v>
      </c>
      <c r="G2006" s="89">
        <v>2001</v>
      </c>
      <c r="H2006" s="341" t="s">
        <v>732</v>
      </c>
      <c r="I2006" s="337" t="str">
        <f t="shared" si="88"/>
        <v>Pesado de Mercadorias N3: Geral : Gasóleo : E3</v>
      </c>
      <c r="J2006" s="125"/>
      <c r="K2006" s="264">
        <v>2022</v>
      </c>
      <c r="L2006" s="242">
        <v>3140.37</v>
      </c>
      <c r="M2006" s="85" t="s">
        <v>630</v>
      </c>
      <c r="N2006" s="128">
        <v>8247</v>
      </c>
      <c r="O2006" s="128">
        <f t="shared" si="89"/>
        <v>0</v>
      </c>
      <c r="P2006" s="89">
        <v>109</v>
      </c>
      <c r="Q2006" t="s">
        <v>1946</v>
      </c>
      <c r="R2006" s="220" t="s">
        <v>1888</v>
      </c>
      <c r="S2006" s="220" t="s">
        <v>1861</v>
      </c>
      <c r="T2006" t="s">
        <v>1954</v>
      </c>
      <c r="U2006" t="s">
        <v>1972</v>
      </c>
      <c r="V2006" t="s">
        <v>2832</v>
      </c>
    </row>
    <row r="2007" spans="1:22" ht="15.75" thickBot="1" x14ac:dyDescent="0.3">
      <c r="A2007" t="s">
        <v>4694</v>
      </c>
      <c r="B2007" t="s">
        <v>4694</v>
      </c>
      <c r="C2007" t="s">
        <v>4694</v>
      </c>
      <c r="D2007" s="249" t="s">
        <v>1939</v>
      </c>
      <c r="E2007" s="267" t="s">
        <v>2250</v>
      </c>
      <c r="F2007" t="s">
        <v>620</v>
      </c>
      <c r="G2007" s="89">
        <v>2001</v>
      </c>
      <c r="H2007" s="341" t="s">
        <v>732</v>
      </c>
      <c r="I2007" s="337" t="str">
        <f t="shared" si="88"/>
        <v>Pesado de Mercadorias N3: Geral : Gasóleo : E3</v>
      </c>
      <c r="J2007" s="125"/>
      <c r="K2007" s="264">
        <v>2022</v>
      </c>
      <c r="L2007" s="242">
        <v>11480.950000000003</v>
      </c>
      <c r="M2007" s="85" t="s">
        <v>630</v>
      </c>
      <c r="N2007" s="128">
        <v>26777</v>
      </c>
      <c r="O2007" s="128">
        <f t="shared" si="89"/>
        <v>0</v>
      </c>
      <c r="P2007" s="89">
        <v>112</v>
      </c>
      <c r="Q2007" t="s">
        <v>1946</v>
      </c>
      <c r="R2007" s="220" t="s">
        <v>1888</v>
      </c>
      <c r="S2007" s="220" t="s">
        <v>1861</v>
      </c>
      <c r="T2007" t="s">
        <v>1954</v>
      </c>
      <c r="U2007" t="s">
        <v>1972</v>
      </c>
      <c r="V2007" t="s">
        <v>2832</v>
      </c>
    </row>
    <row r="2008" spans="1:22" ht="15.75" thickBot="1" x14ac:dyDescent="0.3">
      <c r="A2008" t="s">
        <v>4694</v>
      </c>
      <c r="B2008" t="s">
        <v>4694</v>
      </c>
      <c r="C2008" t="s">
        <v>4694</v>
      </c>
      <c r="D2008" s="249" t="s">
        <v>1939</v>
      </c>
      <c r="E2008" s="267" t="s">
        <v>2250</v>
      </c>
      <c r="F2008" t="s">
        <v>620</v>
      </c>
      <c r="G2008" s="89">
        <v>2001</v>
      </c>
      <c r="H2008" s="341" t="s">
        <v>732</v>
      </c>
      <c r="I2008" s="337" t="str">
        <f t="shared" si="88"/>
        <v>Pesado de Mercadorias N3: Geral : Gasóleo : E3</v>
      </c>
      <c r="J2008" s="125"/>
      <c r="K2008" s="264">
        <v>2022</v>
      </c>
      <c r="L2008" s="242">
        <v>14320.87</v>
      </c>
      <c r="M2008" s="85" t="s">
        <v>630</v>
      </c>
      <c r="N2008" s="128">
        <v>32194</v>
      </c>
      <c r="O2008" s="128">
        <f t="shared" si="89"/>
        <v>0</v>
      </c>
      <c r="P2008" s="89">
        <v>113</v>
      </c>
      <c r="Q2008" t="s">
        <v>1946</v>
      </c>
      <c r="R2008" s="220" t="s">
        <v>1888</v>
      </c>
      <c r="S2008" s="220" t="s">
        <v>1861</v>
      </c>
      <c r="T2008" t="s">
        <v>1954</v>
      </c>
      <c r="U2008" t="s">
        <v>1972</v>
      </c>
      <c r="V2008" t="s">
        <v>2832</v>
      </c>
    </row>
    <row r="2009" spans="1:22" ht="15.75" thickBot="1" x14ac:dyDescent="0.3">
      <c r="A2009" t="s">
        <v>4694</v>
      </c>
      <c r="B2009" t="s">
        <v>4694</v>
      </c>
      <c r="C2009" t="s">
        <v>4694</v>
      </c>
      <c r="D2009" s="249" t="s">
        <v>1939</v>
      </c>
      <c r="E2009" s="267" t="s">
        <v>2250</v>
      </c>
      <c r="F2009" t="s">
        <v>620</v>
      </c>
      <c r="G2009" s="89">
        <v>2001</v>
      </c>
      <c r="H2009" s="341" t="s">
        <v>732</v>
      </c>
      <c r="I2009" s="337" t="str">
        <f t="shared" si="88"/>
        <v>Pesado de Mercadorias N3: Geral : Gasóleo : E3</v>
      </c>
      <c r="J2009" s="125"/>
      <c r="K2009" s="264">
        <v>2022</v>
      </c>
      <c r="L2009" s="242">
        <v>13248.750000000015</v>
      </c>
      <c r="M2009" s="85" t="s">
        <v>630</v>
      </c>
      <c r="N2009" s="128">
        <v>27767</v>
      </c>
      <c r="O2009" s="128">
        <f t="shared" si="89"/>
        <v>0</v>
      </c>
      <c r="P2009" s="89">
        <v>115</v>
      </c>
      <c r="Q2009" t="s">
        <v>1946</v>
      </c>
      <c r="R2009" s="220" t="s">
        <v>1888</v>
      </c>
      <c r="S2009" s="220" t="s">
        <v>1861</v>
      </c>
      <c r="T2009" t="s">
        <v>1954</v>
      </c>
      <c r="U2009" t="s">
        <v>1972</v>
      </c>
      <c r="V2009" t="s">
        <v>2832</v>
      </c>
    </row>
    <row r="2010" spans="1:22" ht="15.75" thickBot="1" x14ac:dyDescent="0.3">
      <c r="A2010" t="s">
        <v>4694</v>
      </c>
      <c r="B2010" t="s">
        <v>4694</v>
      </c>
      <c r="C2010" t="s">
        <v>4694</v>
      </c>
      <c r="D2010" s="249" t="s">
        <v>1939</v>
      </c>
      <c r="E2010" s="267" t="s">
        <v>2250</v>
      </c>
      <c r="F2010" t="s">
        <v>620</v>
      </c>
      <c r="G2010" s="89">
        <v>2001</v>
      </c>
      <c r="H2010" s="341" t="s">
        <v>732</v>
      </c>
      <c r="I2010" s="337" t="str">
        <f t="shared" si="88"/>
        <v>Pesado de Mercadorias N3: Geral : Gasóleo : E3</v>
      </c>
      <c r="J2010" s="125"/>
      <c r="K2010" s="264">
        <v>2022</v>
      </c>
      <c r="L2010" s="242">
        <v>11381.880000000001</v>
      </c>
      <c r="M2010" s="85" t="s">
        <v>630</v>
      </c>
      <c r="N2010" s="128">
        <v>26674</v>
      </c>
      <c r="O2010" s="128">
        <f t="shared" si="89"/>
        <v>0</v>
      </c>
      <c r="P2010" s="89">
        <v>116</v>
      </c>
      <c r="Q2010" t="s">
        <v>1946</v>
      </c>
      <c r="R2010" s="220" t="s">
        <v>1888</v>
      </c>
      <c r="S2010" s="220" t="s">
        <v>1861</v>
      </c>
      <c r="T2010" t="s">
        <v>1954</v>
      </c>
      <c r="U2010" t="s">
        <v>1972</v>
      </c>
      <c r="V2010" t="s">
        <v>2832</v>
      </c>
    </row>
    <row r="2011" spans="1:22" ht="15.75" thickBot="1" x14ac:dyDescent="0.3">
      <c r="A2011" t="s">
        <v>4694</v>
      </c>
      <c r="B2011" t="s">
        <v>4694</v>
      </c>
      <c r="C2011" t="s">
        <v>4694</v>
      </c>
      <c r="D2011" s="249" t="s">
        <v>1939</v>
      </c>
      <c r="E2011" s="267" t="s">
        <v>2250</v>
      </c>
      <c r="F2011" t="s">
        <v>620</v>
      </c>
      <c r="G2011" s="89">
        <v>2002</v>
      </c>
      <c r="H2011" s="341" t="s">
        <v>732</v>
      </c>
      <c r="I2011" s="337" t="str">
        <f t="shared" si="88"/>
        <v>Pesado de Mercadorias N3: Geral : Gasóleo : E3</v>
      </c>
      <c r="J2011" s="125"/>
      <c r="K2011" s="264">
        <v>2022</v>
      </c>
      <c r="L2011" s="242">
        <v>9952.3900000000012</v>
      </c>
      <c r="M2011" s="85" t="s">
        <v>630</v>
      </c>
      <c r="N2011" s="128">
        <v>28302</v>
      </c>
      <c r="O2011" s="128">
        <f t="shared" si="89"/>
        <v>0</v>
      </c>
      <c r="P2011" s="89">
        <v>120</v>
      </c>
      <c r="Q2011" t="s">
        <v>1946</v>
      </c>
      <c r="R2011" s="220" t="s">
        <v>1888</v>
      </c>
      <c r="S2011" s="220" t="s">
        <v>1861</v>
      </c>
      <c r="T2011" t="s">
        <v>1954</v>
      </c>
      <c r="U2011" t="s">
        <v>1972</v>
      </c>
      <c r="V2011" t="s">
        <v>2832</v>
      </c>
    </row>
    <row r="2012" spans="1:22" ht="15.75" thickBot="1" x14ac:dyDescent="0.3">
      <c r="A2012" t="s">
        <v>4694</v>
      </c>
      <c r="B2012" t="s">
        <v>4694</v>
      </c>
      <c r="C2012" t="s">
        <v>4694</v>
      </c>
      <c r="D2012" s="249" t="s">
        <v>1939</v>
      </c>
      <c r="E2012" s="267" t="s">
        <v>2250</v>
      </c>
      <c r="F2012" t="s">
        <v>620</v>
      </c>
      <c r="G2012" s="89">
        <v>2002</v>
      </c>
      <c r="H2012" s="341" t="s">
        <v>732</v>
      </c>
      <c r="I2012" s="337" t="str">
        <f t="shared" si="88"/>
        <v>Pesado de Mercadorias N3: Geral : Gasóleo : E3</v>
      </c>
      <c r="J2012" s="125"/>
      <c r="K2012" s="264">
        <v>2022</v>
      </c>
      <c r="L2012" s="242">
        <v>1371.05</v>
      </c>
      <c r="M2012" s="85" t="s">
        <v>630</v>
      </c>
      <c r="N2012" s="128">
        <v>3294</v>
      </c>
      <c r="O2012" s="128">
        <f t="shared" si="89"/>
        <v>0</v>
      </c>
      <c r="P2012" s="89">
        <v>121</v>
      </c>
      <c r="Q2012" t="s">
        <v>1946</v>
      </c>
      <c r="R2012" s="220" t="s">
        <v>1888</v>
      </c>
      <c r="S2012" s="220" t="s">
        <v>1861</v>
      </c>
      <c r="T2012" t="s">
        <v>1954</v>
      </c>
      <c r="U2012" t="s">
        <v>1972</v>
      </c>
      <c r="V2012" t="s">
        <v>2832</v>
      </c>
    </row>
    <row r="2013" spans="1:22" ht="15.75" thickBot="1" x14ac:dyDescent="0.3">
      <c r="A2013" t="s">
        <v>4694</v>
      </c>
      <c r="B2013" t="s">
        <v>4694</v>
      </c>
      <c r="C2013" t="s">
        <v>4694</v>
      </c>
      <c r="D2013" s="249" t="s">
        <v>1939</v>
      </c>
      <c r="E2013" s="267" t="s">
        <v>2250</v>
      </c>
      <c r="F2013" t="s">
        <v>620</v>
      </c>
      <c r="G2013" s="89">
        <v>2002</v>
      </c>
      <c r="H2013" s="341" t="s">
        <v>732</v>
      </c>
      <c r="I2013" s="337" t="str">
        <f t="shared" si="88"/>
        <v>Pesado de Mercadorias N3: Geral : Gasóleo : E3</v>
      </c>
      <c r="J2013" s="125"/>
      <c r="K2013" s="264">
        <v>2022</v>
      </c>
      <c r="L2013" s="242">
        <v>1076.6500000000001</v>
      </c>
      <c r="M2013" s="85" t="s">
        <v>630</v>
      </c>
      <c r="N2013" s="128">
        <v>3361</v>
      </c>
      <c r="O2013" s="128">
        <f t="shared" si="89"/>
        <v>0</v>
      </c>
      <c r="P2013" s="89">
        <v>122</v>
      </c>
      <c r="Q2013" t="s">
        <v>1946</v>
      </c>
      <c r="R2013" s="220" t="s">
        <v>1888</v>
      </c>
      <c r="S2013" s="220" t="s">
        <v>1861</v>
      </c>
      <c r="T2013" t="s">
        <v>1954</v>
      </c>
      <c r="U2013" t="s">
        <v>1972</v>
      </c>
      <c r="V2013" t="s">
        <v>2832</v>
      </c>
    </row>
    <row r="2014" spans="1:22" ht="15.75" thickBot="1" x14ac:dyDescent="0.3">
      <c r="A2014" t="s">
        <v>4694</v>
      </c>
      <c r="B2014" t="s">
        <v>4694</v>
      </c>
      <c r="C2014" t="s">
        <v>4694</v>
      </c>
      <c r="D2014" s="249" t="s">
        <v>1939</v>
      </c>
      <c r="E2014" s="267" t="s">
        <v>2250</v>
      </c>
      <c r="F2014" t="s">
        <v>620</v>
      </c>
      <c r="G2014" s="89">
        <v>2002</v>
      </c>
      <c r="H2014" s="341" t="s">
        <v>732</v>
      </c>
      <c r="I2014" s="337" t="str">
        <f t="shared" si="88"/>
        <v>Pesado de Mercadorias N3: Geral : Gasóleo : E3</v>
      </c>
      <c r="J2014" s="125"/>
      <c r="K2014" s="264">
        <v>2022</v>
      </c>
      <c r="L2014" s="242">
        <v>4594.2099999999991</v>
      </c>
      <c r="M2014" s="85" t="s">
        <v>630</v>
      </c>
      <c r="N2014" s="128">
        <v>11855</v>
      </c>
      <c r="O2014" s="128">
        <f t="shared" si="89"/>
        <v>0</v>
      </c>
      <c r="P2014" s="89">
        <v>123</v>
      </c>
      <c r="Q2014" t="s">
        <v>1946</v>
      </c>
      <c r="R2014" s="220" t="s">
        <v>1888</v>
      </c>
      <c r="S2014" s="220" t="s">
        <v>1861</v>
      </c>
      <c r="T2014" t="s">
        <v>1954</v>
      </c>
      <c r="U2014" t="s">
        <v>1972</v>
      </c>
      <c r="V2014" t="s">
        <v>2832</v>
      </c>
    </row>
    <row r="2015" spans="1:22" ht="15.75" thickBot="1" x14ac:dyDescent="0.3">
      <c r="A2015" t="s">
        <v>4694</v>
      </c>
      <c r="B2015" t="s">
        <v>4694</v>
      </c>
      <c r="C2015" t="s">
        <v>4694</v>
      </c>
      <c r="D2015" s="249" t="s">
        <v>1939</v>
      </c>
      <c r="E2015" s="267" t="s">
        <v>2250</v>
      </c>
      <c r="F2015" t="s">
        <v>620</v>
      </c>
      <c r="G2015" s="89">
        <v>2002</v>
      </c>
      <c r="H2015" s="341" t="s">
        <v>732</v>
      </c>
      <c r="I2015" s="337" t="str">
        <f t="shared" si="88"/>
        <v>Pesado de Mercadorias N3: Geral : Gasóleo : E3</v>
      </c>
      <c r="J2015" s="125"/>
      <c r="K2015" s="264">
        <v>2022</v>
      </c>
      <c r="L2015" s="242">
        <v>5564.7699999999995</v>
      </c>
      <c r="M2015" s="85" t="s">
        <v>630</v>
      </c>
      <c r="N2015" s="128">
        <v>13285</v>
      </c>
      <c r="O2015" s="128">
        <f t="shared" si="89"/>
        <v>0</v>
      </c>
      <c r="P2015" s="89">
        <v>125</v>
      </c>
      <c r="Q2015" t="s">
        <v>1946</v>
      </c>
      <c r="R2015" s="220" t="s">
        <v>1888</v>
      </c>
      <c r="S2015" s="220" t="s">
        <v>1861</v>
      </c>
      <c r="T2015" t="s">
        <v>1954</v>
      </c>
      <c r="U2015" t="s">
        <v>1972</v>
      </c>
      <c r="V2015" t="s">
        <v>2832</v>
      </c>
    </row>
    <row r="2016" spans="1:22" ht="15.75" thickBot="1" x14ac:dyDescent="0.3">
      <c r="A2016" t="s">
        <v>4694</v>
      </c>
      <c r="B2016" t="s">
        <v>4694</v>
      </c>
      <c r="C2016" t="s">
        <v>4694</v>
      </c>
      <c r="D2016" s="249" t="s">
        <v>1939</v>
      </c>
      <c r="E2016" s="267" t="s">
        <v>2250</v>
      </c>
      <c r="F2016" t="s">
        <v>620</v>
      </c>
      <c r="G2016" s="89">
        <v>2002</v>
      </c>
      <c r="H2016" s="341" t="s">
        <v>732</v>
      </c>
      <c r="I2016" s="337" t="str">
        <f t="shared" si="88"/>
        <v>Pesado de Mercadorias N3: Geral : Gasóleo : E3</v>
      </c>
      <c r="J2016" s="125"/>
      <c r="K2016" s="264">
        <v>2022</v>
      </c>
      <c r="L2016" s="242">
        <v>8690.77</v>
      </c>
      <c r="M2016" s="85" t="s">
        <v>630</v>
      </c>
      <c r="N2016" s="128">
        <v>21311</v>
      </c>
      <c r="O2016" s="128">
        <f t="shared" si="89"/>
        <v>0</v>
      </c>
      <c r="P2016" s="89">
        <v>127</v>
      </c>
      <c r="Q2016" t="s">
        <v>1946</v>
      </c>
      <c r="R2016" s="220" t="s">
        <v>1888</v>
      </c>
      <c r="S2016" s="220" t="s">
        <v>1861</v>
      </c>
      <c r="T2016" t="s">
        <v>1954</v>
      </c>
      <c r="U2016" t="s">
        <v>1972</v>
      </c>
      <c r="V2016" t="s">
        <v>2832</v>
      </c>
    </row>
    <row r="2017" spans="1:22" ht="15.75" thickBot="1" x14ac:dyDescent="0.3">
      <c r="A2017" t="s">
        <v>4694</v>
      </c>
      <c r="B2017" t="s">
        <v>4694</v>
      </c>
      <c r="C2017" t="s">
        <v>4694</v>
      </c>
      <c r="D2017" s="249" t="s">
        <v>1939</v>
      </c>
      <c r="E2017" s="267" t="s">
        <v>2250</v>
      </c>
      <c r="F2017" t="s">
        <v>620</v>
      </c>
      <c r="G2017" s="89">
        <v>2002</v>
      </c>
      <c r="H2017" s="341" t="s">
        <v>732</v>
      </c>
      <c r="I2017" s="337" t="str">
        <f t="shared" si="88"/>
        <v>Pesado de Mercadorias N3: Geral : Gasóleo : E3</v>
      </c>
      <c r="J2017" s="125"/>
      <c r="K2017" s="264">
        <v>2022</v>
      </c>
      <c r="L2017" s="242">
        <v>8213.3200000000052</v>
      </c>
      <c r="M2017" s="85" t="s">
        <v>630</v>
      </c>
      <c r="N2017" s="128">
        <v>15845</v>
      </c>
      <c r="O2017" s="128">
        <f t="shared" si="89"/>
        <v>0</v>
      </c>
      <c r="P2017" s="89">
        <v>128</v>
      </c>
      <c r="Q2017" t="s">
        <v>1946</v>
      </c>
      <c r="R2017" s="220" t="s">
        <v>1888</v>
      </c>
      <c r="S2017" s="220" t="s">
        <v>1861</v>
      </c>
      <c r="T2017" t="s">
        <v>1954</v>
      </c>
      <c r="U2017" t="s">
        <v>1972</v>
      </c>
      <c r="V2017" t="s">
        <v>2832</v>
      </c>
    </row>
    <row r="2018" spans="1:22" ht="15.75" thickBot="1" x14ac:dyDescent="0.3">
      <c r="A2018" t="s">
        <v>4694</v>
      </c>
      <c r="B2018" t="s">
        <v>4694</v>
      </c>
      <c r="C2018" t="s">
        <v>4694</v>
      </c>
      <c r="D2018" s="249" t="s">
        <v>1939</v>
      </c>
      <c r="E2018" s="267" t="s">
        <v>2250</v>
      </c>
      <c r="F2018" t="s">
        <v>620</v>
      </c>
      <c r="G2018" s="89">
        <v>2003</v>
      </c>
      <c r="H2018" s="341" t="s">
        <v>732</v>
      </c>
      <c r="I2018" s="337" t="str">
        <f t="shared" si="88"/>
        <v>Pesado de Mercadorias N3: Geral : Gasóleo : E3</v>
      </c>
      <c r="J2018" s="125"/>
      <c r="K2018" s="264">
        <v>2022</v>
      </c>
      <c r="L2018" s="242">
        <v>14887.280000000015</v>
      </c>
      <c r="M2018" s="85" t="s">
        <v>630</v>
      </c>
      <c r="N2018" s="128">
        <v>33552</v>
      </c>
      <c r="O2018" s="128">
        <f t="shared" si="89"/>
        <v>0</v>
      </c>
      <c r="P2018" s="89">
        <v>129</v>
      </c>
      <c r="Q2018" t="s">
        <v>1946</v>
      </c>
      <c r="R2018" s="220" t="s">
        <v>1888</v>
      </c>
      <c r="S2018" s="220" t="s">
        <v>1861</v>
      </c>
      <c r="T2018" t="s">
        <v>1954</v>
      </c>
      <c r="U2018" t="s">
        <v>1972</v>
      </c>
      <c r="V2018" t="s">
        <v>2832</v>
      </c>
    </row>
    <row r="2019" spans="1:22" ht="15.75" thickBot="1" x14ac:dyDescent="0.3">
      <c r="A2019" t="s">
        <v>4694</v>
      </c>
      <c r="B2019" t="s">
        <v>4694</v>
      </c>
      <c r="C2019" t="s">
        <v>4694</v>
      </c>
      <c r="D2019" s="249" t="s">
        <v>1939</v>
      </c>
      <c r="E2019" s="267" t="s">
        <v>2250</v>
      </c>
      <c r="F2019" t="s">
        <v>620</v>
      </c>
      <c r="G2019" s="89">
        <v>2003</v>
      </c>
      <c r="H2019" s="341" t="s">
        <v>732</v>
      </c>
      <c r="I2019" s="337" t="str">
        <f t="shared" si="88"/>
        <v>Pesado de Mercadorias N3: Geral : Gasóleo : E3</v>
      </c>
      <c r="J2019" s="125"/>
      <c r="K2019" s="264">
        <v>2022</v>
      </c>
      <c r="L2019" s="242">
        <v>6760.22</v>
      </c>
      <c r="M2019" s="85" t="s">
        <v>630</v>
      </c>
      <c r="N2019" s="128">
        <v>12637</v>
      </c>
      <c r="O2019" s="128">
        <f t="shared" si="89"/>
        <v>0</v>
      </c>
      <c r="P2019" s="89">
        <v>130</v>
      </c>
      <c r="Q2019" t="s">
        <v>1946</v>
      </c>
      <c r="R2019" s="220" t="s">
        <v>1888</v>
      </c>
      <c r="S2019" s="220" t="s">
        <v>1861</v>
      </c>
      <c r="T2019" t="s">
        <v>1954</v>
      </c>
      <c r="U2019" t="s">
        <v>1972</v>
      </c>
      <c r="V2019" t="s">
        <v>2832</v>
      </c>
    </row>
    <row r="2020" spans="1:22" ht="15.75" thickBot="1" x14ac:dyDescent="0.3">
      <c r="A2020" t="s">
        <v>4694</v>
      </c>
      <c r="B2020" t="s">
        <v>4694</v>
      </c>
      <c r="C2020" t="s">
        <v>4694</v>
      </c>
      <c r="D2020" s="249" t="s">
        <v>1939</v>
      </c>
      <c r="E2020" s="267" t="s">
        <v>2250</v>
      </c>
      <c r="F2020" t="s">
        <v>620</v>
      </c>
      <c r="G2020" s="89">
        <v>2003</v>
      </c>
      <c r="H2020" s="341" t="s">
        <v>732</v>
      </c>
      <c r="I2020" s="337" t="str">
        <f t="shared" si="88"/>
        <v>Pesado de Mercadorias N3: Geral : Gasóleo : E3</v>
      </c>
      <c r="J2020" s="125"/>
      <c r="K2020" s="264">
        <v>2022</v>
      </c>
      <c r="L2020" s="242">
        <v>0</v>
      </c>
      <c r="M2020" s="85" t="s">
        <v>630</v>
      </c>
      <c r="N2020" s="128">
        <v>0</v>
      </c>
      <c r="O2020" s="128">
        <f t="shared" si="89"/>
        <v>0</v>
      </c>
      <c r="P2020" s="89">
        <v>131</v>
      </c>
      <c r="Q2020" t="s">
        <v>1946</v>
      </c>
      <c r="R2020" s="220" t="s">
        <v>1888</v>
      </c>
      <c r="S2020" s="220" t="s">
        <v>1861</v>
      </c>
      <c r="T2020" t="s">
        <v>1954</v>
      </c>
      <c r="U2020" t="s">
        <v>1972</v>
      </c>
      <c r="V2020" t="s">
        <v>2832</v>
      </c>
    </row>
    <row r="2021" spans="1:22" ht="15.75" thickBot="1" x14ac:dyDescent="0.3">
      <c r="A2021" t="s">
        <v>4694</v>
      </c>
      <c r="B2021" t="s">
        <v>4694</v>
      </c>
      <c r="C2021" t="s">
        <v>4694</v>
      </c>
      <c r="D2021" s="249" t="s">
        <v>1939</v>
      </c>
      <c r="E2021" s="267" t="s">
        <v>2250</v>
      </c>
      <c r="F2021" t="s">
        <v>620</v>
      </c>
      <c r="G2021" s="89">
        <v>2004</v>
      </c>
      <c r="H2021" s="341" t="s">
        <v>732</v>
      </c>
      <c r="I2021" s="337" t="str">
        <f t="shared" si="88"/>
        <v>Pesado de Mercadorias N3: Geral : Gasóleo : E3</v>
      </c>
      <c r="J2021" s="125"/>
      <c r="K2021" s="264">
        <v>2022</v>
      </c>
      <c r="L2021" s="242">
        <v>20124.689999999999</v>
      </c>
      <c r="M2021" s="85" t="s">
        <v>630</v>
      </c>
      <c r="N2021" s="128">
        <v>48175</v>
      </c>
      <c r="O2021" s="128">
        <f t="shared" si="89"/>
        <v>0</v>
      </c>
      <c r="P2021" s="89">
        <v>141</v>
      </c>
      <c r="Q2021" t="s">
        <v>1946</v>
      </c>
      <c r="R2021" s="220" t="s">
        <v>1888</v>
      </c>
      <c r="S2021" s="220" t="s">
        <v>1861</v>
      </c>
      <c r="T2021" t="s">
        <v>1954</v>
      </c>
      <c r="U2021" t="s">
        <v>1972</v>
      </c>
      <c r="V2021" t="s">
        <v>2832</v>
      </c>
    </row>
    <row r="2022" spans="1:22" ht="15.75" thickBot="1" x14ac:dyDescent="0.3">
      <c r="A2022" t="s">
        <v>4694</v>
      </c>
      <c r="B2022" t="s">
        <v>4694</v>
      </c>
      <c r="C2022" t="s">
        <v>4694</v>
      </c>
      <c r="D2022" s="249" t="s">
        <v>1939</v>
      </c>
      <c r="E2022" s="267" t="s">
        <v>2250</v>
      </c>
      <c r="F2022" t="s">
        <v>620</v>
      </c>
      <c r="G2022" s="89">
        <v>2005</v>
      </c>
      <c r="H2022" s="341" t="s">
        <v>731</v>
      </c>
      <c r="I2022" s="337" t="str">
        <f t="shared" si="88"/>
        <v>Pesado de Mercadorias N3: Geral : Gasóleo : E4</v>
      </c>
      <c r="J2022" s="125"/>
      <c r="K2022" s="264">
        <v>2022</v>
      </c>
      <c r="L2022" s="242">
        <v>8990.6600000000017</v>
      </c>
      <c r="M2022" s="85" t="s">
        <v>630</v>
      </c>
      <c r="N2022" s="128">
        <v>22169</v>
      </c>
      <c r="O2022" s="128">
        <f t="shared" si="89"/>
        <v>0</v>
      </c>
      <c r="P2022" s="89">
        <v>145</v>
      </c>
      <c r="Q2022" t="s">
        <v>1946</v>
      </c>
      <c r="R2022" s="220" t="s">
        <v>1888</v>
      </c>
      <c r="S2022" s="220" t="s">
        <v>1861</v>
      </c>
      <c r="T2022" t="s">
        <v>1954</v>
      </c>
      <c r="U2022" t="s">
        <v>1972</v>
      </c>
      <c r="V2022" t="s">
        <v>2832</v>
      </c>
    </row>
    <row r="2023" spans="1:22" ht="15.75" thickBot="1" x14ac:dyDescent="0.3">
      <c r="A2023" t="s">
        <v>4694</v>
      </c>
      <c r="B2023" t="s">
        <v>4694</v>
      </c>
      <c r="C2023" t="s">
        <v>4694</v>
      </c>
      <c r="D2023" s="249" t="s">
        <v>1939</v>
      </c>
      <c r="E2023" s="267" t="s">
        <v>2250</v>
      </c>
      <c r="F2023" t="s">
        <v>620</v>
      </c>
      <c r="G2023" s="89">
        <v>2005</v>
      </c>
      <c r="H2023" s="341" t="s">
        <v>731</v>
      </c>
      <c r="I2023" s="337" t="str">
        <f t="shared" si="88"/>
        <v>Pesado de Mercadorias N3: Geral : Gasóleo : E4</v>
      </c>
      <c r="J2023" s="125"/>
      <c r="K2023" s="264">
        <v>2022</v>
      </c>
      <c r="L2023" s="242">
        <v>19092.919999999998</v>
      </c>
      <c r="M2023" s="85" t="s">
        <v>630</v>
      </c>
      <c r="N2023" s="128">
        <v>45814</v>
      </c>
      <c r="O2023" s="128">
        <f t="shared" si="89"/>
        <v>0</v>
      </c>
      <c r="P2023" s="89">
        <v>146</v>
      </c>
      <c r="Q2023" t="s">
        <v>1946</v>
      </c>
      <c r="R2023" s="220" t="s">
        <v>1888</v>
      </c>
      <c r="S2023" s="220" t="s">
        <v>1861</v>
      </c>
      <c r="T2023" t="s">
        <v>1954</v>
      </c>
      <c r="U2023" t="s">
        <v>1972</v>
      </c>
      <c r="V2023" t="s">
        <v>2832</v>
      </c>
    </row>
    <row r="2024" spans="1:22" ht="15.75" thickBot="1" x14ac:dyDescent="0.3">
      <c r="A2024" t="s">
        <v>4694</v>
      </c>
      <c r="B2024" t="s">
        <v>4694</v>
      </c>
      <c r="C2024" t="s">
        <v>4694</v>
      </c>
      <c r="D2024" s="249" t="s">
        <v>1939</v>
      </c>
      <c r="E2024" s="267" t="s">
        <v>2250</v>
      </c>
      <c r="F2024" t="s">
        <v>620</v>
      </c>
      <c r="G2024" s="89">
        <v>2005</v>
      </c>
      <c r="H2024" s="341" t="s">
        <v>731</v>
      </c>
      <c r="I2024" s="337" t="str">
        <f t="shared" si="88"/>
        <v>Pesado de Mercadorias N3: Geral : Gasóleo : E4</v>
      </c>
      <c r="J2024" s="125"/>
      <c r="K2024" s="264">
        <v>2022</v>
      </c>
      <c r="L2024" s="242">
        <v>18755.570000000003</v>
      </c>
      <c r="M2024" s="85" t="s">
        <v>630</v>
      </c>
      <c r="N2024" s="128">
        <v>45425</v>
      </c>
      <c r="O2024" s="128">
        <f t="shared" si="89"/>
        <v>0</v>
      </c>
      <c r="P2024" s="89">
        <v>149</v>
      </c>
      <c r="Q2024" t="s">
        <v>1946</v>
      </c>
      <c r="R2024" s="220" t="s">
        <v>1888</v>
      </c>
      <c r="S2024" s="220" t="s">
        <v>1861</v>
      </c>
      <c r="T2024" t="s">
        <v>1954</v>
      </c>
      <c r="U2024" t="s">
        <v>1972</v>
      </c>
      <c r="V2024" t="s">
        <v>2832</v>
      </c>
    </row>
    <row r="2025" spans="1:22" ht="15.75" thickBot="1" x14ac:dyDescent="0.3">
      <c r="A2025" t="s">
        <v>4694</v>
      </c>
      <c r="B2025" t="s">
        <v>4694</v>
      </c>
      <c r="C2025" t="s">
        <v>4694</v>
      </c>
      <c r="D2025" s="249" t="s">
        <v>1939</v>
      </c>
      <c r="E2025" s="267" t="s">
        <v>2250</v>
      </c>
      <c r="F2025" t="s">
        <v>620</v>
      </c>
      <c r="G2025" s="89">
        <v>2005</v>
      </c>
      <c r="H2025" s="341" t="s">
        <v>731</v>
      </c>
      <c r="I2025" s="337" t="str">
        <f t="shared" si="88"/>
        <v>Pesado de Mercadorias N3: Geral : Gasóleo : E4</v>
      </c>
      <c r="J2025" s="125"/>
      <c r="K2025" s="264">
        <v>2022</v>
      </c>
      <c r="L2025" s="242">
        <v>8452.0600000000013</v>
      </c>
      <c r="M2025" s="85" t="s">
        <v>630</v>
      </c>
      <c r="N2025" s="128">
        <v>21554</v>
      </c>
      <c r="O2025" s="128">
        <f t="shared" si="89"/>
        <v>0</v>
      </c>
      <c r="P2025" s="89">
        <v>151</v>
      </c>
      <c r="Q2025" t="s">
        <v>1946</v>
      </c>
      <c r="R2025" s="220" t="s">
        <v>1888</v>
      </c>
      <c r="S2025" s="220" t="s">
        <v>1861</v>
      </c>
      <c r="T2025" t="s">
        <v>1954</v>
      </c>
      <c r="U2025" t="s">
        <v>1972</v>
      </c>
      <c r="V2025" t="s">
        <v>2832</v>
      </c>
    </row>
    <row r="2026" spans="1:22" ht="15.75" thickBot="1" x14ac:dyDescent="0.3">
      <c r="A2026" t="s">
        <v>4694</v>
      </c>
      <c r="B2026" t="s">
        <v>4694</v>
      </c>
      <c r="C2026" t="s">
        <v>4694</v>
      </c>
      <c r="D2026" s="249" t="s">
        <v>1939</v>
      </c>
      <c r="E2026" s="267" t="s">
        <v>2250</v>
      </c>
      <c r="F2026" t="s">
        <v>620</v>
      </c>
      <c r="G2026" s="89">
        <v>2005</v>
      </c>
      <c r="H2026" s="341" t="s">
        <v>731</v>
      </c>
      <c r="I2026" s="337" t="str">
        <f t="shared" si="88"/>
        <v>Pesado de Mercadorias N3: Geral : Gasóleo : E4</v>
      </c>
      <c r="J2026" s="125"/>
      <c r="K2026" s="264">
        <v>2022</v>
      </c>
      <c r="L2026" s="242">
        <v>653.01</v>
      </c>
      <c r="M2026" s="85" t="s">
        <v>630</v>
      </c>
      <c r="N2026" s="128">
        <v>1022</v>
      </c>
      <c r="O2026" s="128">
        <f t="shared" si="89"/>
        <v>0</v>
      </c>
      <c r="P2026" s="89">
        <v>152</v>
      </c>
      <c r="Q2026" t="s">
        <v>1946</v>
      </c>
      <c r="R2026" s="220" t="s">
        <v>1888</v>
      </c>
      <c r="S2026" s="220" t="s">
        <v>1861</v>
      </c>
      <c r="T2026" t="s">
        <v>1954</v>
      </c>
      <c r="U2026" t="s">
        <v>1972</v>
      </c>
      <c r="V2026" t="s">
        <v>2832</v>
      </c>
    </row>
    <row r="2027" spans="1:22" ht="15.75" thickBot="1" x14ac:dyDescent="0.3">
      <c r="A2027" t="s">
        <v>4694</v>
      </c>
      <c r="B2027" t="s">
        <v>4694</v>
      </c>
      <c r="C2027" t="s">
        <v>4694</v>
      </c>
      <c r="D2027" s="249" t="s">
        <v>1939</v>
      </c>
      <c r="E2027" s="267" t="s">
        <v>2250</v>
      </c>
      <c r="F2027" t="s">
        <v>620</v>
      </c>
      <c r="G2027" s="89">
        <v>2005</v>
      </c>
      <c r="H2027" s="341" t="s">
        <v>731</v>
      </c>
      <c r="I2027" s="337" t="str">
        <f t="shared" si="88"/>
        <v>Pesado de Mercadorias N3: Geral : Gasóleo : E4</v>
      </c>
      <c r="J2027" s="125"/>
      <c r="K2027" s="264">
        <v>2022</v>
      </c>
      <c r="L2027" s="242">
        <v>8175.8600000000006</v>
      </c>
      <c r="M2027" s="85" t="s">
        <v>630</v>
      </c>
      <c r="N2027" s="128">
        <v>18448</v>
      </c>
      <c r="O2027" s="128">
        <f t="shared" si="89"/>
        <v>0</v>
      </c>
      <c r="P2027" s="89">
        <v>154</v>
      </c>
      <c r="Q2027" t="s">
        <v>1946</v>
      </c>
      <c r="R2027" s="220" t="s">
        <v>1888</v>
      </c>
      <c r="S2027" s="220" t="s">
        <v>1861</v>
      </c>
      <c r="T2027" t="s">
        <v>1954</v>
      </c>
      <c r="U2027" t="s">
        <v>1972</v>
      </c>
      <c r="V2027" t="s">
        <v>2832</v>
      </c>
    </row>
    <row r="2028" spans="1:22" ht="15.75" thickBot="1" x14ac:dyDescent="0.3">
      <c r="A2028" t="s">
        <v>4694</v>
      </c>
      <c r="B2028" t="s">
        <v>4694</v>
      </c>
      <c r="C2028" t="s">
        <v>4694</v>
      </c>
      <c r="D2028" s="249" t="s">
        <v>1939</v>
      </c>
      <c r="E2028" s="267" t="s">
        <v>2250</v>
      </c>
      <c r="F2028" t="s">
        <v>620</v>
      </c>
      <c r="G2028" s="89">
        <v>2005</v>
      </c>
      <c r="H2028" s="341" t="s">
        <v>731</v>
      </c>
      <c r="I2028" s="337" t="str">
        <f t="shared" si="88"/>
        <v>Pesado de Mercadorias N3: Geral : Gasóleo : E4</v>
      </c>
      <c r="J2028" s="125"/>
      <c r="K2028" s="264">
        <v>2022</v>
      </c>
      <c r="L2028" s="242">
        <v>333</v>
      </c>
      <c r="M2028" s="85" t="s">
        <v>630</v>
      </c>
      <c r="N2028" s="128">
        <v>225</v>
      </c>
      <c r="O2028" s="128">
        <f t="shared" si="89"/>
        <v>0</v>
      </c>
      <c r="P2028" s="89">
        <v>155</v>
      </c>
      <c r="Q2028" t="s">
        <v>1946</v>
      </c>
      <c r="R2028" s="220" t="s">
        <v>1888</v>
      </c>
      <c r="S2028" s="220" t="s">
        <v>1861</v>
      </c>
      <c r="T2028" t="s">
        <v>1954</v>
      </c>
      <c r="U2028" t="s">
        <v>1972</v>
      </c>
      <c r="V2028" t="s">
        <v>2832</v>
      </c>
    </row>
    <row r="2029" spans="1:22" ht="15.75" thickBot="1" x14ac:dyDescent="0.3">
      <c r="A2029" t="s">
        <v>4694</v>
      </c>
      <c r="B2029" t="s">
        <v>4694</v>
      </c>
      <c r="C2029" t="s">
        <v>4694</v>
      </c>
      <c r="D2029" s="249" t="s">
        <v>1939</v>
      </c>
      <c r="E2029" s="267" t="s">
        <v>2250</v>
      </c>
      <c r="F2029" t="s">
        <v>620</v>
      </c>
      <c r="G2029" s="89">
        <v>2005</v>
      </c>
      <c r="H2029" s="341" t="s">
        <v>731</v>
      </c>
      <c r="I2029" s="337" t="str">
        <f t="shared" si="88"/>
        <v>Pesado de Mercadorias N3: Geral : Gasóleo : E4</v>
      </c>
      <c r="J2029" s="125"/>
      <c r="K2029" s="264">
        <v>2022</v>
      </c>
      <c r="L2029" s="242">
        <v>15178.430000000002</v>
      </c>
      <c r="M2029" s="85" t="s">
        <v>630</v>
      </c>
      <c r="N2029" s="128">
        <v>37679</v>
      </c>
      <c r="O2029" s="128">
        <f t="shared" si="89"/>
        <v>0</v>
      </c>
      <c r="P2029" s="89">
        <v>159</v>
      </c>
      <c r="Q2029" t="s">
        <v>1946</v>
      </c>
      <c r="R2029" s="220" t="s">
        <v>1888</v>
      </c>
      <c r="S2029" s="220" t="s">
        <v>1861</v>
      </c>
      <c r="T2029" t="s">
        <v>1954</v>
      </c>
      <c r="U2029" t="s">
        <v>1972</v>
      </c>
      <c r="V2029" t="s">
        <v>2832</v>
      </c>
    </row>
    <row r="2030" spans="1:22" ht="15.75" thickBot="1" x14ac:dyDescent="0.3">
      <c r="A2030" t="s">
        <v>4694</v>
      </c>
      <c r="B2030" t="s">
        <v>4694</v>
      </c>
      <c r="C2030" t="s">
        <v>4694</v>
      </c>
      <c r="D2030" s="249" t="s">
        <v>1939</v>
      </c>
      <c r="E2030" s="267" t="s">
        <v>2250</v>
      </c>
      <c r="F2030" t="s">
        <v>620</v>
      </c>
      <c r="G2030" s="89">
        <v>2005</v>
      </c>
      <c r="H2030" s="341" t="s">
        <v>731</v>
      </c>
      <c r="I2030" s="337" t="str">
        <f t="shared" si="88"/>
        <v>Pesado de Mercadorias N3: Geral : Gasóleo : E4</v>
      </c>
      <c r="J2030" s="125"/>
      <c r="K2030" s="264">
        <v>2022</v>
      </c>
      <c r="L2030" s="242">
        <v>13714.890000000005</v>
      </c>
      <c r="M2030" s="85" t="s">
        <v>630</v>
      </c>
      <c r="N2030" s="128">
        <v>33163</v>
      </c>
      <c r="O2030" s="128">
        <f t="shared" si="89"/>
        <v>0</v>
      </c>
      <c r="P2030" s="89">
        <v>160</v>
      </c>
      <c r="Q2030" t="s">
        <v>1946</v>
      </c>
      <c r="R2030" s="220" t="s">
        <v>1888</v>
      </c>
      <c r="S2030" s="220" t="s">
        <v>1861</v>
      </c>
      <c r="T2030" t="s">
        <v>1954</v>
      </c>
      <c r="U2030" t="s">
        <v>1972</v>
      </c>
      <c r="V2030" t="s">
        <v>2832</v>
      </c>
    </row>
    <row r="2031" spans="1:22" ht="15.75" thickBot="1" x14ac:dyDescent="0.3">
      <c r="A2031" t="s">
        <v>4694</v>
      </c>
      <c r="B2031" t="s">
        <v>4694</v>
      </c>
      <c r="C2031" t="s">
        <v>4694</v>
      </c>
      <c r="D2031" s="249" t="s">
        <v>1939</v>
      </c>
      <c r="E2031" s="267" t="s">
        <v>2250</v>
      </c>
      <c r="F2031" t="s">
        <v>620</v>
      </c>
      <c r="G2031" s="89">
        <v>2005</v>
      </c>
      <c r="H2031" s="341" t="s">
        <v>731</v>
      </c>
      <c r="I2031" s="337" t="str">
        <f t="shared" si="88"/>
        <v>Pesado de Mercadorias N3: Geral : Gasóleo : E4</v>
      </c>
      <c r="J2031" s="125"/>
      <c r="K2031" s="264">
        <v>2022</v>
      </c>
      <c r="L2031" s="242">
        <v>17111.559999999998</v>
      </c>
      <c r="M2031" s="85" t="s">
        <v>630</v>
      </c>
      <c r="N2031" s="128">
        <v>55905</v>
      </c>
      <c r="O2031" s="128">
        <f t="shared" si="89"/>
        <v>0</v>
      </c>
      <c r="P2031" s="89">
        <v>161</v>
      </c>
      <c r="Q2031" t="s">
        <v>1946</v>
      </c>
      <c r="R2031" s="220" t="s">
        <v>1888</v>
      </c>
      <c r="S2031" s="220" t="s">
        <v>1861</v>
      </c>
      <c r="T2031" t="s">
        <v>1954</v>
      </c>
      <c r="U2031" t="s">
        <v>1972</v>
      </c>
      <c r="V2031" t="s">
        <v>2832</v>
      </c>
    </row>
    <row r="2032" spans="1:22" ht="15.75" thickBot="1" x14ac:dyDescent="0.3">
      <c r="A2032" t="s">
        <v>4694</v>
      </c>
      <c r="B2032" t="s">
        <v>4694</v>
      </c>
      <c r="C2032" t="s">
        <v>4694</v>
      </c>
      <c r="D2032" s="249" t="s">
        <v>1939</v>
      </c>
      <c r="E2032" s="267" t="s">
        <v>2250</v>
      </c>
      <c r="F2032" t="s">
        <v>620</v>
      </c>
      <c r="G2032" s="89">
        <v>2005</v>
      </c>
      <c r="H2032" s="341" t="s">
        <v>731</v>
      </c>
      <c r="I2032" s="337" t="str">
        <f t="shared" si="88"/>
        <v>Pesado de Mercadorias N3: Geral : Gasóleo : E4</v>
      </c>
      <c r="J2032" s="125"/>
      <c r="K2032" s="264">
        <v>2022</v>
      </c>
      <c r="L2032" s="242">
        <v>12215.1</v>
      </c>
      <c r="M2032" s="85" t="s">
        <v>630</v>
      </c>
      <c r="N2032" s="128">
        <v>43865</v>
      </c>
      <c r="O2032" s="128">
        <f t="shared" si="89"/>
        <v>0</v>
      </c>
      <c r="P2032" s="89">
        <v>162</v>
      </c>
      <c r="Q2032" t="s">
        <v>1946</v>
      </c>
      <c r="R2032" s="220" t="s">
        <v>1888</v>
      </c>
      <c r="S2032" s="220" t="s">
        <v>1861</v>
      </c>
      <c r="T2032" t="s">
        <v>1954</v>
      </c>
      <c r="U2032" t="s">
        <v>1972</v>
      </c>
      <c r="V2032" t="s">
        <v>2832</v>
      </c>
    </row>
    <row r="2033" spans="1:22" ht="15.75" thickBot="1" x14ac:dyDescent="0.3">
      <c r="A2033" t="s">
        <v>4694</v>
      </c>
      <c r="B2033" t="s">
        <v>4694</v>
      </c>
      <c r="C2033" t="s">
        <v>4694</v>
      </c>
      <c r="D2033" s="249" t="s">
        <v>1939</v>
      </c>
      <c r="E2033" s="267" t="s">
        <v>2250</v>
      </c>
      <c r="F2033" t="s">
        <v>620</v>
      </c>
      <c r="G2033" s="89">
        <v>2009</v>
      </c>
      <c r="H2033" s="341" t="s">
        <v>734</v>
      </c>
      <c r="I2033" s="337" t="str">
        <f t="shared" si="88"/>
        <v>Pesado de Mercadorias N3: Geral : Gasóleo : E5</v>
      </c>
      <c r="J2033" s="125"/>
      <c r="K2033" s="264">
        <v>2022</v>
      </c>
      <c r="L2033" s="242">
        <v>21201.609999999997</v>
      </c>
      <c r="M2033" s="85" t="s">
        <v>630</v>
      </c>
      <c r="N2033" s="128">
        <v>50882</v>
      </c>
      <c r="O2033" s="128">
        <f t="shared" si="89"/>
        <v>0</v>
      </c>
      <c r="P2033" s="89">
        <v>163</v>
      </c>
      <c r="Q2033" t="s">
        <v>1946</v>
      </c>
      <c r="R2033" s="220" t="s">
        <v>1888</v>
      </c>
      <c r="S2033" s="220" t="s">
        <v>1861</v>
      </c>
      <c r="T2033" t="s">
        <v>1954</v>
      </c>
      <c r="U2033" t="s">
        <v>1972</v>
      </c>
      <c r="V2033" t="s">
        <v>2832</v>
      </c>
    </row>
    <row r="2034" spans="1:22" ht="15.75" thickBot="1" x14ac:dyDescent="0.3">
      <c r="A2034" t="s">
        <v>4694</v>
      </c>
      <c r="B2034" t="s">
        <v>4694</v>
      </c>
      <c r="C2034" t="s">
        <v>4694</v>
      </c>
      <c r="D2034" s="249" t="s">
        <v>1939</v>
      </c>
      <c r="E2034" s="267" t="s">
        <v>2250</v>
      </c>
      <c r="F2034" t="s">
        <v>620</v>
      </c>
      <c r="G2034" s="89">
        <v>2009</v>
      </c>
      <c r="H2034" s="341" t="s">
        <v>734</v>
      </c>
      <c r="I2034" s="337" t="str">
        <f t="shared" si="88"/>
        <v>Pesado de Mercadorias N3: Geral : Gasóleo : E5</v>
      </c>
      <c r="J2034" s="125"/>
      <c r="K2034" s="264">
        <v>2022</v>
      </c>
      <c r="L2034" s="242">
        <v>11980.060000000003</v>
      </c>
      <c r="M2034" s="85" t="s">
        <v>630</v>
      </c>
      <c r="N2034" s="128">
        <v>29141</v>
      </c>
      <c r="O2034" s="128">
        <f t="shared" si="89"/>
        <v>0</v>
      </c>
      <c r="P2034" s="89">
        <v>164</v>
      </c>
      <c r="Q2034" t="s">
        <v>1946</v>
      </c>
      <c r="R2034" s="220" t="s">
        <v>1888</v>
      </c>
      <c r="S2034" s="220" t="s">
        <v>1861</v>
      </c>
      <c r="T2034" t="s">
        <v>1954</v>
      </c>
      <c r="U2034" t="s">
        <v>1972</v>
      </c>
      <c r="V2034" t="s">
        <v>2832</v>
      </c>
    </row>
    <row r="2035" spans="1:22" ht="15.75" thickBot="1" x14ac:dyDescent="0.3">
      <c r="A2035" t="s">
        <v>4694</v>
      </c>
      <c r="B2035" t="s">
        <v>4694</v>
      </c>
      <c r="C2035" t="s">
        <v>4694</v>
      </c>
      <c r="D2035" s="249" t="s">
        <v>1939</v>
      </c>
      <c r="E2035" s="267" t="s">
        <v>2250</v>
      </c>
      <c r="F2035" t="s">
        <v>620</v>
      </c>
      <c r="G2035" s="89">
        <v>2009</v>
      </c>
      <c r="H2035" s="341" t="s">
        <v>734</v>
      </c>
      <c r="I2035" s="337" t="str">
        <f t="shared" si="88"/>
        <v>Pesado de Mercadorias N3: Geral : Gasóleo : E5</v>
      </c>
      <c r="J2035" s="125"/>
      <c r="K2035" s="264">
        <v>2022</v>
      </c>
      <c r="L2035" s="242">
        <v>43762.14999999998</v>
      </c>
      <c r="M2035" s="85" t="s">
        <v>630</v>
      </c>
      <c r="N2035" s="128">
        <v>124543</v>
      </c>
      <c r="O2035" s="128">
        <f t="shared" si="89"/>
        <v>0</v>
      </c>
      <c r="P2035" s="89">
        <v>165</v>
      </c>
      <c r="Q2035" t="s">
        <v>1946</v>
      </c>
      <c r="R2035" s="220" t="s">
        <v>1888</v>
      </c>
      <c r="S2035" s="220" t="s">
        <v>1861</v>
      </c>
      <c r="T2035" t="s">
        <v>1954</v>
      </c>
      <c r="U2035" t="s">
        <v>1972</v>
      </c>
      <c r="V2035" t="s">
        <v>2832</v>
      </c>
    </row>
    <row r="2036" spans="1:22" ht="15.75" thickBot="1" x14ac:dyDescent="0.3">
      <c r="A2036" t="s">
        <v>4694</v>
      </c>
      <c r="B2036" t="s">
        <v>4694</v>
      </c>
      <c r="C2036" t="s">
        <v>4694</v>
      </c>
      <c r="D2036" s="249" t="s">
        <v>1939</v>
      </c>
      <c r="E2036" s="267" t="s">
        <v>2250</v>
      </c>
      <c r="F2036" t="s">
        <v>620</v>
      </c>
      <c r="G2036" s="89">
        <v>2009</v>
      </c>
      <c r="H2036" s="341" t="s">
        <v>734</v>
      </c>
      <c r="I2036" s="337" t="str">
        <f t="shared" si="88"/>
        <v>Pesado de Mercadorias N3: Geral : Gasóleo : E5</v>
      </c>
      <c r="J2036" s="125"/>
      <c r="K2036" s="264">
        <v>2022</v>
      </c>
      <c r="L2036" s="242">
        <v>40615.439999999966</v>
      </c>
      <c r="M2036" s="85" t="s">
        <v>630</v>
      </c>
      <c r="N2036" s="128">
        <v>115966</v>
      </c>
      <c r="O2036" s="128">
        <f t="shared" si="89"/>
        <v>0</v>
      </c>
      <c r="P2036" s="89">
        <v>166</v>
      </c>
      <c r="Q2036" t="s">
        <v>1946</v>
      </c>
      <c r="R2036" s="220" t="s">
        <v>1888</v>
      </c>
      <c r="S2036" s="220" t="s">
        <v>1861</v>
      </c>
      <c r="T2036" t="s">
        <v>1954</v>
      </c>
      <c r="U2036" t="s">
        <v>1972</v>
      </c>
      <c r="V2036" t="s">
        <v>2832</v>
      </c>
    </row>
    <row r="2037" spans="1:22" ht="15.75" thickBot="1" x14ac:dyDescent="0.3">
      <c r="A2037" t="s">
        <v>4694</v>
      </c>
      <c r="B2037" t="s">
        <v>4694</v>
      </c>
      <c r="C2037" t="s">
        <v>4694</v>
      </c>
      <c r="D2037" s="249" t="s">
        <v>1939</v>
      </c>
      <c r="E2037" s="267" t="s">
        <v>2250</v>
      </c>
      <c r="F2037" t="s">
        <v>620</v>
      </c>
      <c r="G2037" s="89">
        <v>2009</v>
      </c>
      <c r="H2037" s="341" t="s">
        <v>734</v>
      </c>
      <c r="I2037" s="337" t="str">
        <f t="shared" si="88"/>
        <v>Pesado de Mercadorias N3: Geral : Gasóleo : E5</v>
      </c>
      <c r="J2037" s="125"/>
      <c r="K2037" s="264">
        <v>2022</v>
      </c>
      <c r="L2037" s="242">
        <v>31815.819999999985</v>
      </c>
      <c r="M2037" s="85" t="s">
        <v>630</v>
      </c>
      <c r="N2037" s="128">
        <v>91374</v>
      </c>
      <c r="O2037" s="128">
        <f t="shared" si="89"/>
        <v>0</v>
      </c>
      <c r="P2037" s="89">
        <v>168</v>
      </c>
      <c r="Q2037" t="s">
        <v>1946</v>
      </c>
      <c r="R2037" s="220" t="s">
        <v>1888</v>
      </c>
      <c r="S2037" s="220" t="s">
        <v>1861</v>
      </c>
      <c r="T2037" t="s">
        <v>1954</v>
      </c>
      <c r="U2037" t="s">
        <v>1972</v>
      </c>
      <c r="V2037" t="s">
        <v>2832</v>
      </c>
    </row>
    <row r="2038" spans="1:22" ht="15.75" thickBot="1" x14ac:dyDescent="0.3">
      <c r="A2038" t="s">
        <v>4694</v>
      </c>
      <c r="B2038" t="s">
        <v>4694</v>
      </c>
      <c r="C2038" t="s">
        <v>4694</v>
      </c>
      <c r="D2038" s="249" t="s">
        <v>1939</v>
      </c>
      <c r="E2038" s="267" t="s">
        <v>2250</v>
      </c>
      <c r="F2038" t="s">
        <v>620</v>
      </c>
      <c r="G2038" s="89">
        <v>2009</v>
      </c>
      <c r="H2038" s="341" t="s">
        <v>734</v>
      </c>
      <c r="I2038" s="337" t="str">
        <f t="shared" si="88"/>
        <v>Pesado de Mercadorias N3: Geral : Gasóleo : E5</v>
      </c>
      <c r="J2038" s="125"/>
      <c r="K2038" s="264">
        <v>2022</v>
      </c>
      <c r="L2038" s="242">
        <v>23150.599999999995</v>
      </c>
      <c r="M2038" s="85" t="s">
        <v>630</v>
      </c>
      <c r="N2038" s="128">
        <v>59005</v>
      </c>
      <c r="O2038" s="128">
        <f t="shared" si="89"/>
        <v>0</v>
      </c>
      <c r="P2038" s="89">
        <v>169</v>
      </c>
      <c r="Q2038" t="s">
        <v>1946</v>
      </c>
      <c r="R2038" s="220" t="s">
        <v>1888</v>
      </c>
      <c r="S2038" s="220" t="s">
        <v>1861</v>
      </c>
      <c r="T2038" t="s">
        <v>1954</v>
      </c>
      <c r="U2038" t="s">
        <v>1972</v>
      </c>
      <c r="V2038" t="s">
        <v>2832</v>
      </c>
    </row>
    <row r="2039" spans="1:22" ht="15.75" thickBot="1" x14ac:dyDescent="0.3">
      <c r="A2039" t="s">
        <v>4694</v>
      </c>
      <c r="B2039" t="s">
        <v>4694</v>
      </c>
      <c r="C2039" t="s">
        <v>4694</v>
      </c>
      <c r="D2039" s="249" t="s">
        <v>1939</v>
      </c>
      <c r="E2039" s="267" t="s">
        <v>2250</v>
      </c>
      <c r="F2039" t="s">
        <v>620</v>
      </c>
      <c r="G2039" s="89">
        <v>2009</v>
      </c>
      <c r="H2039" s="341" t="s">
        <v>734</v>
      </c>
      <c r="I2039" s="337" t="str">
        <f t="shared" si="88"/>
        <v>Pesado de Mercadorias N3: Geral : Gasóleo : E5</v>
      </c>
      <c r="J2039" s="125"/>
      <c r="K2039" s="264">
        <v>2022</v>
      </c>
      <c r="L2039" s="242">
        <v>36813.629999999983</v>
      </c>
      <c r="M2039" s="85" t="s">
        <v>630</v>
      </c>
      <c r="N2039" s="128">
        <v>106740</v>
      </c>
      <c r="O2039" s="128">
        <f t="shared" si="89"/>
        <v>0</v>
      </c>
      <c r="P2039" s="89">
        <v>170</v>
      </c>
      <c r="Q2039" t="s">
        <v>1946</v>
      </c>
      <c r="R2039" s="220" t="s">
        <v>1888</v>
      </c>
      <c r="S2039" s="220" t="s">
        <v>1861</v>
      </c>
      <c r="T2039" t="s">
        <v>1954</v>
      </c>
      <c r="U2039" t="s">
        <v>1972</v>
      </c>
      <c r="V2039" t="s">
        <v>2832</v>
      </c>
    </row>
    <row r="2040" spans="1:22" ht="15.75" thickBot="1" x14ac:dyDescent="0.3">
      <c r="A2040" t="s">
        <v>4694</v>
      </c>
      <c r="B2040" t="s">
        <v>4694</v>
      </c>
      <c r="C2040" t="s">
        <v>4694</v>
      </c>
      <c r="D2040" s="249" t="s">
        <v>1939</v>
      </c>
      <c r="E2040" s="267" t="s">
        <v>2250</v>
      </c>
      <c r="F2040" t="s">
        <v>620</v>
      </c>
      <c r="G2040" s="89">
        <v>2009</v>
      </c>
      <c r="H2040" s="341" t="s">
        <v>734</v>
      </c>
      <c r="I2040" s="337" t="str">
        <f t="shared" si="88"/>
        <v>Pesado de Mercadorias N3: Geral : Gasóleo : E5</v>
      </c>
      <c r="J2040" s="125"/>
      <c r="K2040" s="264">
        <v>2022</v>
      </c>
      <c r="L2040" s="242">
        <v>23214.32</v>
      </c>
      <c r="M2040" s="85" t="s">
        <v>630</v>
      </c>
      <c r="N2040" s="128">
        <v>57024</v>
      </c>
      <c r="O2040" s="128">
        <f t="shared" si="89"/>
        <v>0</v>
      </c>
      <c r="P2040" s="89">
        <v>171</v>
      </c>
      <c r="Q2040" t="s">
        <v>1946</v>
      </c>
      <c r="R2040" s="220" t="s">
        <v>1888</v>
      </c>
      <c r="S2040" s="220" t="s">
        <v>1861</v>
      </c>
      <c r="T2040" t="s">
        <v>1954</v>
      </c>
      <c r="U2040" t="s">
        <v>1972</v>
      </c>
      <c r="V2040" t="s">
        <v>2832</v>
      </c>
    </row>
    <row r="2041" spans="1:22" ht="15.75" thickBot="1" x14ac:dyDescent="0.3">
      <c r="A2041" t="s">
        <v>4694</v>
      </c>
      <c r="B2041" t="s">
        <v>4694</v>
      </c>
      <c r="C2041" t="s">
        <v>4694</v>
      </c>
      <c r="D2041" s="249" t="s">
        <v>1939</v>
      </c>
      <c r="E2041" s="267" t="s">
        <v>2250</v>
      </c>
      <c r="F2041" t="s">
        <v>620</v>
      </c>
      <c r="G2041" s="89">
        <v>2009</v>
      </c>
      <c r="H2041" s="341" t="s">
        <v>734</v>
      </c>
      <c r="I2041" s="337" t="str">
        <f t="shared" si="88"/>
        <v>Pesado de Mercadorias N3: Geral : Gasóleo : E5</v>
      </c>
      <c r="J2041" s="125"/>
      <c r="K2041" s="264">
        <v>2022</v>
      </c>
      <c r="L2041" s="242">
        <v>23600.199999999997</v>
      </c>
      <c r="M2041" s="85" t="s">
        <v>630</v>
      </c>
      <c r="N2041" s="128">
        <v>56803</v>
      </c>
      <c r="O2041" s="128">
        <f t="shared" si="89"/>
        <v>0</v>
      </c>
      <c r="P2041" s="89">
        <v>172</v>
      </c>
      <c r="Q2041" t="s">
        <v>1946</v>
      </c>
      <c r="R2041" s="220" t="s">
        <v>1888</v>
      </c>
      <c r="S2041" s="220" t="s">
        <v>1861</v>
      </c>
      <c r="T2041" t="s">
        <v>1954</v>
      </c>
      <c r="U2041" t="s">
        <v>1972</v>
      </c>
      <c r="V2041" t="s">
        <v>2832</v>
      </c>
    </row>
    <row r="2042" spans="1:22" ht="15.75" thickBot="1" x14ac:dyDescent="0.3">
      <c r="A2042" t="s">
        <v>4694</v>
      </c>
      <c r="B2042" t="s">
        <v>4694</v>
      </c>
      <c r="C2042" t="s">
        <v>4694</v>
      </c>
      <c r="D2042" s="249" t="s">
        <v>1939</v>
      </c>
      <c r="E2042" s="267" t="s">
        <v>2250</v>
      </c>
      <c r="F2042" t="s">
        <v>620</v>
      </c>
      <c r="G2042" s="89">
        <v>2009</v>
      </c>
      <c r="H2042" s="341" t="s">
        <v>734</v>
      </c>
      <c r="I2042" s="337" t="str">
        <f t="shared" si="88"/>
        <v>Pesado de Mercadorias N3: Geral : Gasóleo : E5</v>
      </c>
      <c r="J2042" s="125"/>
      <c r="K2042" s="264">
        <v>2022</v>
      </c>
      <c r="L2042" s="242">
        <v>16783.46</v>
      </c>
      <c r="M2042" s="85" t="s">
        <v>630</v>
      </c>
      <c r="N2042" s="128">
        <v>51508</v>
      </c>
      <c r="O2042" s="128">
        <f t="shared" si="89"/>
        <v>0</v>
      </c>
      <c r="P2042" s="89">
        <v>173</v>
      </c>
      <c r="Q2042" t="s">
        <v>1946</v>
      </c>
      <c r="R2042" s="220" t="s">
        <v>1888</v>
      </c>
      <c r="S2042" s="220" t="s">
        <v>1861</v>
      </c>
      <c r="T2042" t="s">
        <v>1954</v>
      </c>
      <c r="U2042" t="s">
        <v>1972</v>
      </c>
      <c r="V2042" t="s">
        <v>2832</v>
      </c>
    </row>
    <row r="2043" spans="1:22" ht="15.75" thickBot="1" x14ac:dyDescent="0.3">
      <c r="A2043" t="s">
        <v>4694</v>
      </c>
      <c r="B2043" t="s">
        <v>4694</v>
      </c>
      <c r="C2043" t="s">
        <v>4694</v>
      </c>
      <c r="D2043" s="249" t="s">
        <v>1939</v>
      </c>
      <c r="E2043" s="267" t="s">
        <v>2250</v>
      </c>
      <c r="F2043" t="s">
        <v>620</v>
      </c>
      <c r="G2043" s="89">
        <v>2009</v>
      </c>
      <c r="H2043" s="341" t="s">
        <v>734</v>
      </c>
      <c r="I2043" s="337" t="str">
        <f t="shared" si="88"/>
        <v>Pesado de Mercadorias N3: Geral : Gasóleo : E5</v>
      </c>
      <c r="J2043" s="125"/>
      <c r="K2043" s="264">
        <v>2022</v>
      </c>
      <c r="L2043" s="242">
        <v>27729.16</v>
      </c>
      <c r="M2043" s="85" t="s">
        <v>630</v>
      </c>
      <c r="N2043" s="128">
        <v>82821</v>
      </c>
      <c r="O2043" s="128">
        <f t="shared" si="89"/>
        <v>0</v>
      </c>
      <c r="P2043" s="89">
        <v>174</v>
      </c>
      <c r="Q2043" t="s">
        <v>1946</v>
      </c>
      <c r="R2043" s="220" t="s">
        <v>1888</v>
      </c>
      <c r="S2043" s="220" t="s">
        <v>1861</v>
      </c>
      <c r="T2043" t="s">
        <v>1954</v>
      </c>
      <c r="U2043" t="s">
        <v>1972</v>
      </c>
      <c r="V2043" t="s">
        <v>2832</v>
      </c>
    </row>
    <row r="2044" spans="1:22" ht="15.75" thickBot="1" x14ac:dyDescent="0.3">
      <c r="A2044" t="s">
        <v>4694</v>
      </c>
      <c r="B2044" t="s">
        <v>4694</v>
      </c>
      <c r="C2044" t="s">
        <v>4694</v>
      </c>
      <c r="D2044" s="249" t="s">
        <v>1939</v>
      </c>
      <c r="E2044" s="267" t="s">
        <v>2250</v>
      </c>
      <c r="F2044" t="s">
        <v>620</v>
      </c>
      <c r="G2044" s="89">
        <v>2009</v>
      </c>
      <c r="H2044" s="341" t="s">
        <v>734</v>
      </c>
      <c r="I2044" s="337" t="str">
        <f t="shared" si="88"/>
        <v>Pesado de Mercadorias N3: Geral : Gasóleo : E5</v>
      </c>
      <c r="J2044" s="125"/>
      <c r="K2044" s="264">
        <v>2022</v>
      </c>
      <c r="L2044" s="242">
        <v>8709.7000000000044</v>
      </c>
      <c r="M2044" s="85" t="s">
        <v>630</v>
      </c>
      <c r="N2044" s="128">
        <v>25653</v>
      </c>
      <c r="O2044" s="128">
        <f t="shared" si="89"/>
        <v>0</v>
      </c>
      <c r="P2044" s="89">
        <v>175</v>
      </c>
      <c r="Q2044" t="s">
        <v>1946</v>
      </c>
      <c r="R2044" s="220" t="s">
        <v>1888</v>
      </c>
      <c r="S2044" s="220" t="s">
        <v>1861</v>
      </c>
      <c r="T2044" t="s">
        <v>1954</v>
      </c>
      <c r="U2044" t="s">
        <v>1972</v>
      </c>
      <c r="V2044" t="s">
        <v>2832</v>
      </c>
    </row>
    <row r="2045" spans="1:22" ht="15.75" thickBot="1" x14ac:dyDescent="0.3">
      <c r="A2045" t="s">
        <v>4694</v>
      </c>
      <c r="B2045" t="s">
        <v>4694</v>
      </c>
      <c r="C2045" t="s">
        <v>4694</v>
      </c>
      <c r="D2045" s="249" t="s">
        <v>1939</v>
      </c>
      <c r="E2045" s="267" t="s">
        <v>2250</v>
      </c>
      <c r="F2045" t="s">
        <v>620</v>
      </c>
      <c r="G2045" s="89">
        <v>2010</v>
      </c>
      <c r="H2045" s="341" t="s">
        <v>734</v>
      </c>
      <c r="I2045" s="337" t="str">
        <f t="shared" si="88"/>
        <v>Pesado de Mercadorias N3: Geral : Gasóleo : E5</v>
      </c>
      <c r="J2045" s="125"/>
      <c r="K2045" s="264">
        <v>2022</v>
      </c>
      <c r="L2045" s="242">
        <v>40968.750000000007</v>
      </c>
      <c r="M2045" s="85" t="s">
        <v>630</v>
      </c>
      <c r="N2045" s="128">
        <v>114482</v>
      </c>
      <c r="O2045" s="128">
        <f t="shared" si="89"/>
        <v>0</v>
      </c>
      <c r="P2045" s="89">
        <v>176</v>
      </c>
      <c r="Q2045" t="s">
        <v>1946</v>
      </c>
      <c r="R2045" s="220" t="s">
        <v>1888</v>
      </c>
      <c r="S2045" s="220" t="s">
        <v>1861</v>
      </c>
      <c r="T2045" t="s">
        <v>1954</v>
      </c>
      <c r="U2045" t="s">
        <v>1972</v>
      </c>
      <c r="V2045" t="s">
        <v>2832</v>
      </c>
    </row>
    <row r="2046" spans="1:22" ht="15.75" thickBot="1" x14ac:dyDescent="0.3">
      <c r="A2046" t="s">
        <v>4694</v>
      </c>
      <c r="B2046" t="s">
        <v>4694</v>
      </c>
      <c r="C2046" t="s">
        <v>4694</v>
      </c>
      <c r="D2046" s="249" t="s">
        <v>1939</v>
      </c>
      <c r="E2046" s="267" t="s">
        <v>2250</v>
      </c>
      <c r="F2046" t="s">
        <v>620</v>
      </c>
      <c r="G2046" s="89">
        <v>2010</v>
      </c>
      <c r="H2046" s="341" t="s">
        <v>734</v>
      </c>
      <c r="I2046" s="337" t="str">
        <f t="shared" si="88"/>
        <v>Pesado de Mercadorias N3: Geral : Gasóleo : E5</v>
      </c>
      <c r="J2046" s="125"/>
      <c r="K2046" s="264">
        <v>2022</v>
      </c>
      <c r="L2046" s="242">
        <v>29852.959999999988</v>
      </c>
      <c r="M2046" s="85" t="s">
        <v>630</v>
      </c>
      <c r="N2046" s="128">
        <v>86596</v>
      </c>
      <c r="O2046" s="128">
        <f t="shared" si="89"/>
        <v>0</v>
      </c>
      <c r="P2046" s="89">
        <v>177</v>
      </c>
      <c r="Q2046" t="s">
        <v>1946</v>
      </c>
      <c r="R2046" s="220" t="s">
        <v>1888</v>
      </c>
      <c r="S2046" s="220" t="s">
        <v>1861</v>
      </c>
      <c r="T2046" t="s">
        <v>1954</v>
      </c>
      <c r="U2046" t="s">
        <v>1972</v>
      </c>
      <c r="V2046" t="s">
        <v>2832</v>
      </c>
    </row>
    <row r="2047" spans="1:22" ht="15.75" thickBot="1" x14ac:dyDescent="0.3">
      <c r="A2047" t="s">
        <v>4694</v>
      </c>
      <c r="B2047" t="s">
        <v>4694</v>
      </c>
      <c r="C2047" t="s">
        <v>4694</v>
      </c>
      <c r="D2047" s="249" t="s">
        <v>1939</v>
      </c>
      <c r="E2047" s="267" t="s">
        <v>2250</v>
      </c>
      <c r="F2047" t="s">
        <v>620</v>
      </c>
      <c r="G2047" s="89">
        <v>2010</v>
      </c>
      <c r="H2047" s="341" t="s">
        <v>734</v>
      </c>
      <c r="I2047" s="337" t="str">
        <f t="shared" si="88"/>
        <v>Pesado de Mercadorias N3: Geral : Gasóleo : E5</v>
      </c>
      <c r="J2047" s="125"/>
      <c r="K2047" s="264">
        <v>2022</v>
      </c>
      <c r="L2047" s="242">
        <v>48050.469999999994</v>
      </c>
      <c r="M2047" s="85" t="s">
        <v>630</v>
      </c>
      <c r="N2047" s="128">
        <v>149057</v>
      </c>
      <c r="O2047" s="128">
        <f t="shared" si="89"/>
        <v>0</v>
      </c>
      <c r="P2047" s="89">
        <v>178</v>
      </c>
      <c r="Q2047" t="s">
        <v>1946</v>
      </c>
      <c r="R2047" s="220" t="s">
        <v>1888</v>
      </c>
      <c r="S2047" s="220" t="s">
        <v>1861</v>
      </c>
      <c r="T2047" t="s">
        <v>1954</v>
      </c>
      <c r="U2047" t="s">
        <v>1972</v>
      </c>
      <c r="V2047" t="s">
        <v>2832</v>
      </c>
    </row>
    <row r="2048" spans="1:22" ht="15.75" thickBot="1" x14ac:dyDescent="0.3">
      <c r="A2048" t="s">
        <v>4694</v>
      </c>
      <c r="B2048" t="s">
        <v>4694</v>
      </c>
      <c r="C2048" t="s">
        <v>4694</v>
      </c>
      <c r="D2048" s="249" t="s">
        <v>1939</v>
      </c>
      <c r="E2048" s="267" t="s">
        <v>2250</v>
      </c>
      <c r="F2048" t="s">
        <v>620</v>
      </c>
      <c r="G2048" s="89">
        <v>2010</v>
      </c>
      <c r="H2048" s="341" t="s">
        <v>734</v>
      </c>
      <c r="I2048" s="337" t="str">
        <f t="shared" si="88"/>
        <v>Pesado de Mercadorias N3: Geral : Gasóleo : E5</v>
      </c>
      <c r="J2048" s="125"/>
      <c r="K2048" s="264">
        <v>2022</v>
      </c>
      <c r="L2048" s="242">
        <v>25321.969999999994</v>
      </c>
      <c r="M2048" s="85" t="s">
        <v>630</v>
      </c>
      <c r="N2048" s="128">
        <v>70401</v>
      </c>
      <c r="O2048" s="128">
        <f t="shared" si="89"/>
        <v>0</v>
      </c>
      <c r="P2048" s="89">
        <v>179</v>
      </c>
      <c r="Q2048" t="s">
        <v>1946</v>
      </c>
      <c r="R2048" s="220" t="s">
        <v>1888</v>
      </c>
      <c r="S2048" s="220" t="s">
        <v>1861</v>
      </c>
      <c r="T2048" t="s">
        <v>1954</v>
      </c>
      <c r="U2048" t="s">
        <v>1972</v>
      </c>
      <c r="V2048" t="s">
        <v>2832</v>
      </c>
    </row>
    <row r="2049" spans="1:22" ht="15.75" thickBot="1" x14ac:dyDescent="0.3">
      <c r="A2049" t="s">
        <v>4694</v>
      </c>
      <c r="B2049" t="s">
        <v>4694</v>
      </c>
      <c r="C2049" t="s">
        <v>4694</v>
      </c>
      <c r="D2049" s="249" t="s">
        <v>1939</v>
      </c>
      <c r="E2049" s="267" t="s">
        <v>2250</v>
      </c>
      <c r="F2049" t="s">
        <v>620</v>
      </c>
      <c r="G2049" s="89">
        <v>2010</v>
      </c>
      <c r="H2049" s="341" t="s">
        <v>734</v>
      </c>
      <c r="I2049" s="337" t="str">
        <f t="shared" si="88"/>
        <v>Pesado de Mercadorias N3: Geral : Gasóleo : E5</v>
      </c>
      <c r="J2049" s="125"/>
      <c r="K2049" s="264">
        <v>2022</v>
      </c>
      <c r="L2049" s="242">
        <v>39843.760000000002</v>
      </c>
      <c r="M2049" s="85" t="s">
        <v>630</v>
      </c>
      <c r="N2049" s="128">
        <v>113483</v>
      </c>
      <c r="O2049" s="128">
        <f t="shared" si="89"/>
        <v>0</v>
      </c>
      <c r="P2049" s="89">
        <v>180</v>
      </c>
      <c r="Q2049" t="s">
        <v>1946</v>
      </c>
      <c r="R2049" s="220" t="s">
        <v>1888</v>
      </c>
      <c r="S2049" s="220" t="s">
        <v>1861</v>
      </c>
      <c r="T2049" t="s">
        <v>1954</v>
      </c>
      <c r="U2049" t="s">
        <v>1972</v>
      </c>
      <c r="V2049" t="s">
        <v>2832</v>
      </c>
    </row>
    <row r="2050" spans="1:22" ht="15.75" thickBot="1" x14ac:dyDescent="0.3">
      <c r="A2050" t="s">
        <v>4694</v>
      </c>
      <c r="B2050" t="s">
        <v>4694</v>
      </c>
      <c r="C2050" t="s">
        <v>4694</v>
      </c>
      <c r="D2050" s="249" t="s">
        <v>1939</v>
      </c>
      <c r="E2050" s="267" t="s">
        <v>2250</v>
      </c>
      <c r="F2050" t="s">
        <v>620</v>
      </c>
      <c r="G2050" s="89">
        <v>2010</v>
      </c>
      <c r="H2050" s="341" t="s">
        <v>734</v>
      </c>
      <c r="I2050" s="337" t="str">
        <f t="shared" si="88"/>
        <v>Pesado de Mercadorias N3: Geral : Gasóleo : E5</v>
      </c>
      <c r="J2050" s="125"/>
      <c r="K2050" s="264">
        <v>2022</v>
      </c>
      <c r="L2050" s="242">
        <v>16196.320000000002</v>
      </c>
      <c r="M2050" s="85" t="s">
        <v>630</v>
      </c>
      <c r="N2050" s="128">
        <v>35546</v>
      </c>
      <c r="O2050" s="128">
        <f t="shared" si="89"/>
        <v>0</v>
      </c>
      <c r="P2050" s="89">
        <v>181</v>
      </c>
      <c r="Q2050" t="s">
        <v>1946</v>
      </c>
      <c r="R2050" s="220" t="s">
        <v>1888</v>
      </c>
      <c r="S2050" s="220" t="s">
        <v>1861</v>
      </c>
      <c r="T2050" t="s">
        <v>1954</v>
      </c>
      <c r="U2050" t="s">
        <v>1972</v>
      </c>
      <c r="V2050" t="s">
        <v>2832</v>
      </c>
    </row>
    <row r="2051" spans="1:22" ht="15.75" thickBot="1" x14ac:dyDescent="0.3">
      <c r="A2051" t="s">
        <v>4694</v>
      </c>
      <c r="B2051" t="s">
        <v>4694</v>
      </c>
      <c r="C2051" t="s">
        <v>4694</v>
      </c>
      <c r="D2051" s="249" t="s">
        <v>1939</v>
      </c>
      <c r="E2051" s="267" t="s">
        <v>2250</v>
      </c>
      <c r="F2051" t="s">
        <v>620</v>
      </c>
      <c r="G2051" s="89">
        <v>2010</v>
      </c>
      <c r="H2051" s="341" t="s">
        <v>734</v>
      </c>
      <c r="I2051" s="337" t="str">
        <f t="shared" si="88"/>
        <v>Pesado de Mercadorias N3: Geral : Gasóleo : E5</v>
      </c>
      <c r="J2051" s="125"/>
      <c r="K2051" s="264">
        <v>2022</v>
      </c>
      <c r="L2051" s="242">
        <v>0</v>
      </c>
      <c r="M2051" s="85" t="s">
        <v>630</v>
      </c>
      <c r="N2051" s="128">
        <v>145</v>
      </c>
      <c r="O2051" s="128">
        <f t="shared" si="89"/>
        <v>0</v>
      </c>
      <c r="P2051" s="89">
        <v>182</v>
      </c>
      <c r="Q2051" t="s">
        <v>1946</v>
      </c>
      <c r="R2051" s="220" t="s">
        <v>3736</v>
      </c>
      <c r="S2051" s="220" t="s">
        <v>3126</v>
      </c>
      <c r="T2051" t="s">
        <v>1954</v>
      </c>
      <c r="U2051" t="s">
        <v>1972</v>
      </c>
      <c r="V2051" t="s">
        <v>2832</v>
      </c>
    </row>
    <row r="2052" spans="1:22" ht="15.75" thickBot="1" x14ac:dyDescent="0.3">
      <c r="A2052" t="s">
        <v>4694</v>
      </c>
      <c r="B2052" t="s">
        <v>4694</v>
      </c>
      <c r="C2052" t="s">
        <v>4694</v>
      </c>
      <c r="D2052" s="249" t="s">
        <v>1939</v>
      </c>
      <c r="E2052" s="267" t="s">
        <v>2250</v>
      </c>
      <c r="F2052" t="s">
        <v>620</v>
      </c>
      <c r="G2052" s="89">
        <v>2010</v>
      </c>
      <c r="H2052" s="341" t="s">
        <v>734</v>
      </c>
      <c r="I2052" s="337" t="str">
        <f t="shared" ref="I2052:I2115" si="90">D2052&amp;": "&amp;E2052&amp;" : "&amp;F2052&amp;" : "&amp;H2052</f>
        <v>Pesado de Mercadorias N3: Geral : Gasóleo : E5</v>
      </c>
      <c r="J2052" s="125"/>
      <c r="K2052" s="264">
        <v>2022</v>
      </c>
      <c r="L2052" s="242">
        <v>22709.809999999998</v>
      </c>
      <c r="M2052" s="85" t="s">
        <v>630</v>
      </c>
      <c r="N2052" s="128">
        <v>68555</v>
      </c>
      <c r="O2052" s="128">
        <f t="shared" ref="O2052:O2115" si="91">N2052*J2052</f>
        <v>0</v>
      </c>
      <c r="P2052" s="89">
        <v>183</v>
      </c>
      <c r="Q2052" t="s">
        <v>1946</v>
      </c>
      <c r="R2052" s="220" t="s">
        <v>1888</v>
      </c>
      <c r="S2052" s="220" t="s">
        <v>1861</v>
      </c>
      <c r="T2052" t="s">
        <v>1954</v>
      </c>
      <c r="U2052" t="s">
        <v>1972</v>
      </c>
      <c r="V2052" t="s">
        <v>2832</v>
      </c>
    </row>
    <row r="2053" spans="1:22" ht="15.75" thickBot="1" x14ac:dyDescent="0.3">
      <c r="A2053" t="s">
        <v>4694</v>
      </c>
      <c r="B2053" t="s">
        <v>4694</v>
      </c>
      <c r="C2053" t="s">
        <v>4694</v>
      </c>
      <c r="D2053" s="249" t="s">
        <v>1939</v>
      </c>
      <c r="E2053" s="267" t="s">
        <v>2250</v>
      </c>
      <c r="F2053" t="s">
        <v>620</v>
      </c>
      <c r="G2053" s="89">
        <v>2010</v>
      </c>
      <c r="H2053" s="341" t="s">
        <v>734</v>
      </c>
      <c r="I2053" s="337" t="str">
        <f t="shared" si="90"/>
        <v>Pesado de Mercadorias N3: Geral : Gasóleo : E5</v>
      </c>
      <c r="J2053" s="125"/>
      <c r="K2053" s="264">
        <v>2022</v>
      </c>
      <c r="L2053" s="242">
        <v>12713.720000000001</v>
      </c>
      <c r="M2053" s="85" t="s">
        <v>630</v>
      </c>
      <c r="N2053" s="128">
        <v>46859</v>
      </c>
      <c r="O2053" s="128">
        <f t="shared" si="91"/>
        <v>0</v>
      </c>
      <c r="P2053" s="89">
        <v>184</v>
      </c>
      <c r="Q2053" t="s">
        <v>1946</v>
      </c>
      <c r="R2053" s="220" t="s">
        <v>1888</v>
      </c>
      <c r="S2053" s="220" t="s">
        <v>1861</v>
      </c>
      <c r="T2053" t="s">
        <v>1954</v>
      </c>
      <c r="U2053" t="s">
        <v>1972</v>
      </c>
      <c r="V2053" t="s">
        <v>2832</v>
      </c>
    </row>
    <row r="2054" spans="1:22" ht="15.75" thickBot="1" x14ac:dyDescent="0.3">
      <c r="A2054" t="s">
        <v>4694</v>
      </c>
      <c r="B2054" t="s">
        <v>4694</v>
      </c>
      <c r="C2054" t="s">
        <v>4694</v>
      </c>
      <c r="D2054" s="249" t="s">
        <v>1939</v>
      </c>
      <c r="E2054" s="267" t="s">
        <v>2250</v>
      </c>
      <c r="F2054" t="s">
        <v>620</v>
      </c>
      <c r="G2054" s="89">
        <v>2010</v>
      </c>
      <c r="H2054" s="341" t="s">
        <v>734</v>
      </c>
      <c r="I2054" s="337" t="str">
        <f t="shared" si="90"/>
        <v>Pesado de Mercadorias N3: Geral : Gasóleo : E5</v>
      </c>
      <c r="J2054" s="125"/>
      <c r="K2054" s="264">
        <v>2022</v>
      </c>
      <c r="L2054" s="242">
        <v>15589.520000000002</v>
      </c>
      <c r="M2054" s="85" t="s">
        <v>630</v>
      </c>
      <c r="N2054" s="128">
        <v>52654</v>
      </c>
      <c r="O2054" s="128">
        <f t="shared" si="91"/>
        <v>0</v>
      </c>
      <c r="P2054" s="89">
        <v>185</v>
      </c>
      <c r="Q2054" t="s">
        <v>1946</v>
      </c>
      <c r="R2054" s="220" t="s">
        <v>1888</v>
      </c>
      <c r="S2054" s="220" t="s">
        <v>1861</v>
      </c>
      <c r="T2054" t="s">
        <v>1954</v>
      </c>
      <c r="U2054" t="s">
        <v>1972</v>
      </c>
      <c r="V2054" t="s">
        <v>2832</v>
      </c>
    </row>
    <row r="2055" spans="1:22" ht="15.75" thickBot="1" x14ac:dyDescent="0.3">
      <c r="A2055" t="s">
        <v>4694</v>
      </c>
      <c r="B2055" t="s">
        <v>4694</v>
      </c>
      <c r="C2055" t="s">
        <v>4694</v>
      </c>
      <c r="D2055" s="249" t="s">
        <v>1939</v>
      </c>
      <c r="E2055" s="267" t="s">
        <v>2250</v>
      </c>
      <c r="F2055" t="s">
        <v>620</v>
      </c>
      <c r="G2055" s="89">
        <v>2004</v>
      </c>
      <c r="H2055" s="341" t="s">
        <v>732</v>
      </c>
      <c r="I2055" s="337" t="str">
        <f t="shared" si="90"/>
        <v>Pesado de Mercadorias N3: Geral : Gasóleo : E3</v>
      </c>
      <c r="J2055" s="125"/>
      <c r="K2055" s="264">
        <v>2022</v>
      </c>
      <c r="L2055" s="242">
        <v>3321.55</v>
      </c>
      <c r="M2055" s="85" t="s">
        <v>630</v>
      </c>
      <c r="N2055" s="128">
        <v>7734</v>
      </c>
      <c r="O2055" s="128">
        <f t="shared" si="91"/>
        <v>0</v>
      </c>
      <c r="P2055" s="89">
        <v>186</v>
      </c>
      <c r="Q2055" t="s">
        <v>1946</v>
      </c>
      <c r="R2055" s="220" t="s">
        <v>1888</v>
      </c>
      <c r="S2055" s="220" t="s">
        <v>1861</v>
      </c>
      <c r="T2055" t="s">
        <v>1954</v>
      </c>
      <c r="U2055" t="s">
        <v>1972</v>
      </c>
      <c r="V2055" t="s">
        <v>2832</v>
      </c>
    </row>
    <row r="2056" spans="1:22" ht="15.75" thickBot="1" x14ac:dyDescent="0.3">
      <c r="A2056" t="s">
        <v>4694</v>
      </c>
      <c r="B2056" t="s">
        <v>4694</v>
      </c>
      <c r="C2056" t="s">
        <v>4694</v>
      </c>
      <c r="D2056" s="249" t="s">
        <v>1939</v>
      </c>
      <c r="E2056" s="267" t="s">
        <v>2250</v>
      </c>
      <c r="F2056" t="s">
        <v>620</v>
      </c>
      <c r="G2056" s="89">
        <v>2004</v>
      </c>
      <c r="H2056" s="341" t="s">
        <v>732</v>
      </c>
      <c r="I2056" s="337" t="str">
        <f t="shared" si="90"/>
        <v>Pesado de Mercadorias N3: Geral : Gasóleo : E3</v>
      </c>
      <c r="J2056" s="125"/>
      <c r="K2056" s="264">
        <v>2022</v>
      </c>
      <c r="L2056" s="242">
        <v>6341.130000000001</v>
      </c>
      <c r="M2056" s="85" t="s">
        <v>630</v>
      </c>
      <c r="N2056" s="128">
        <v>14592</v>
      </c>
      <c r="O2056" s="128">
        <f t="shared" si="91"/>
        <v>0</v>
      </c>
      <c r="P2056" s="89">
        <v>187</v>
      </c>
      <c r="Q2056" t="s">
        <v>1946</v>
      </c>
      <c r="R2056" s="220" t="s">
        <v>1888</v>
      </c>
      <c r="S2056" s="220" t="s">
        <v>1861</v>
      </c>
      <c r="T2056" t="s">
        <v>1954</v>
      </c>
      <c r="U2056" t="s">
        <v>1972</v>
      </c>
      <c r="V2056" t="s">
        <v>2832</v>
      </c>
    </row>
    <row r="2057" spans="1:22" ht="15.75" thickBot="1" x14ac:dyDescent="0.3">
      <c r="A2057" t="s">
        <v>4694</v>
      </c>
      <c r="B2057" t="s">
        <v>4694</v>
      </c>
      <c r="C2057" t="s">
        <v>4694</v>
      </c>
      <c r="D2057" s="249" t="s">
        <v>1939</v>
      </c>
      <c r="E2057" s="267" t="s">
        <v>2250</v>
      </c>
      <c r="F2057" t="s">
        <v>620</v>
      </c>
      <c r="G2057" s="89">
        <v>2005</v>
      </c>
      <c r="H2057" s="341" t="s">
        <v>731</v>
      </c>
      <c r="I2057" s="337" t="str">
        <f t="shared" si="90"/>
        <v>Pesado de Mercadorias N3: Geral : Gasóleo : E4</v>
      </c>
      <c r="J2057" s="125"/>
      <c r="K2057" s="264">
        <v>2022</v>
      </c>
      <c r="L2057" s="242">
        <v>15059.570000000003</v>
      </c>
      <c r="M2057" s="85" t="s">
        <v>630</v>
      </c>
      <c r="N2057" s="128">
        <v>28095</v>
      </c>
      <c r="O2057" s="128">
        <f t="shared" si="91"/>
        <v>0</v>
      </c>
      <c r="P2057" s="89">
        <v>189</v>
      </c>
      <c r="Q2057" t="s">
        <v>1946</v>
      </c>
      <c r="R2057" s="220" t="s">
        <v>1888</v>
      </c>
      <c r="S2057" s="220" t="s">
        <v>1861</v>
      </c>
      <c r="T2057" t="s">
        <v>1954</v>
      </c>
      <c r="U2057" t="s">
        <v>1972</v>
      </c>
      <c r="V2057" t="s">
        <v>2832</v>
      </c>
    </row>
    <row r="2058" spans="1:22" ht="15.75" thickBot="1" x14ac:dyDescent="0.3">
      <c r="A2058" t="s">
        <v>4694</v>
      </c>
      <c r="B2058" t="s">
        <v>4694</v>
      </c>
      <c r="C2058" t="s">
        <v>4694</v>
      </c>
      <c r="D2058" s="249" t="s">
        <v>1939</v>
      </c>
      <c r="E2058" s="267" t="s">
        <v>2250</v>
      </c>
      <c r="F2058" t="s">
        <v>620</v>
      </c>
      <c r="G2058" s="89">
        <v>2005</v>
      </c>
      <c r="H2058" s="341" t="s">
        <v>731</v>
      </c>
      <c r="I2058" s="337" t="str">
        <f t="shared" si="90"/>
        <v>Pesado de Mercadorias N3: Geral : Gasóleo : E4</v>
      </c>
      <c r="J2058" s="125"/>
      <c r="K2058" s="264">
        <v>2022</v>
      </c>
      <c r="L2058" s="242">
        <v>386</v>
      </c>
      <c r="M2058" s="85" t="s">
        <v>630</v>
      </c>
      <c r="N2058" s="128">
        <v>49</v>
      </c>
      <c r="O2058" s="128">
        <f t="shared" si="91"/>
        <v>0</v>
      </c>
      <c r="P2058" s="89">
        <v>190</v>
      </c>
      <c r="Q2058" t="s">
        <v>1946</v>
      </c>
      <c r="R2058" s="220" t="s">
        <v>1888</v>
      </c>
      <c r="S2058" s="220" t="s">
        <v>1861</v>
      </c>
      <c r="T2058" t="s">
        <v>1954</v>
      </c>
      <c r="U2058" t="s">
        <v>1972</v>
      </c>
      <c r="V2058" t="s">
        <v>2832</v>
      </c>
    </row>
    <row r="2059" spans="1:22" ht="15.75" thickBot="1" x14ac:dyDescent="0.3">
      <c r="A2059" t="s">
        <v>4694</v>
      </c>
      <c r="B2059" t="s">
        <v>4694</v>
      </c>
      <c r="C2059" t="s">
        <v>4694</v>
      </c>
      <c r="D2059" s="249" t="s">
        <v>1939</v>
      </c>
      <c r="E2059" s="267" t="s">
        <v>2250</v>
      </c>
      <c r="F2059" t="s">
        <v>620</v>
      </c>
      <c r="G2059" s="89">
        <v>2005</v>
      </c>
      <c r="H2059" s="341" t="s">
        <v>731</v>
      </c>
      <c r="I2059" s="337" t="str">
        <f t="shared" si="90"/>
        <v>Pesado de Mercadorias N3: Geral : Gasóleo : E4</v>
      </c>
      <c r="J2059" s="125"/>
      <c r="K2059" s="264">
        <v>2022</v>
      </c>
      <c r="L2059" s="242">
        <v>18601.559999999998</v>
      </c>
      <c r="M2059" s="85" t="s">
        <v>630</v>
      </c>
      <c r="N2059" s="128">
        <v>37460</v>
      </c>
      <c r="O2059" s="128">
        <f t="shared" si="91"/>
        <v>0</v>
      </c>
      <c r="P2059" s="89">
        <v>191</v>
      </c>
      <c r="Q2059" t="s">
        <v>1946</v>
      </c>
      <c r="R2059" s="220" t="s">
        <v>1888</v>
      </c>
      <c r="S2059" s="220" t="s">
        <v>1861</v>
      </c>
      <c r="T2059" t="s">
        <v>1954</v>
      </c>
      <c r="U2059" t="s">
        <v>1972</v>
      </c>
      <c r="V2059" t="s">
        <v>2832</v>
      </c>
    </row>
    <row r="2060" spans="1:22" ht="15.75" thickBot="1" x14ac:dyDescent="0.3">
      <c r="A2060" t="s">
        <v>4694</v>
      </c>
      <c r="B2060" t="s">
        <v>4694</v>
      </c>
      <c r="C2060" t="s">
        <v>4694</v>
      </c>
      <c r="D2060" s="249" t="s">
        <v>1939</v>
      </c>
      <c r="E2060" s="267" t="s">
        <v>2250</v>
      </c>
      <c r="F2060" t="s">
        <v>620</v>
      </c>
      <c r="G2060" s="89">
        <v>2003</v>
      </c>
      <c r="H2060" s="341" t="s">
        <v>732</v>
      </c>
      <c r="I2060" s="337" t="str">
        <f t="shared" si="90"/>
        <v>Pesado de Mercadorias N3: Geral : Gasóleo : E3</v>
      </c>
      <c r="J2060" s="125"/>
      <c r="K2060" s="264">
        <v>2022</v>
      </c>
      <c r="L2060" s="242">
        <v>19466.829999999998</v>
      </c>
      <c r="M2060" s="85" t="s">
        <v>630</v>
      </c>
      <c r="N2060" s="128">
        <v>39411</v>
      </c>
      <c r="O2060" s="128">
        <f t="shared" si="91"/>
        <v>0</v>
      </c>
      <c r="P2060" s="89">
        <v>194</v>
      </c>
      <c r="Q2060" t="s">
        <v>1946</v>
      </c>
      <c r="R2060" s="220" t="s">
        <v>1888</v>
      </c>
      <c r="S2060" s="220" t="s">
        <v>1861</v>
      </c>
      <c r="T2060" t="s">
        <v>1954</v>
      </c>
      <c r="U2060" t="s">
        <v>1972</v>
      </c>
      <c r="V2060" t="s">
        <v>2832</v>
      </c>
    </row>
    <row r="2061" spans="1:22" ht="15.75" thickBot="1" x14ac:dyDescent="0.3">
      <c r="A2061" t="s">
        <v>4694</v>
      </c>
      <c r="B2061" t="s">
        <v>4694</v>
      </c>
      <c r="C2061" t="s">
        <v>4694</v>
      </c>
      <c r="D2061" s="249" t="s">
        <v>1939</v>
      </c>
      <c r="E2061" s="267" t="s">
        <v>2250</v>
      </c>
      <c r="F2061" t="s">
        <v>620</v>
      </c>
      <c r="G2061" s="89">
        <v>2004</v>
      </c>
      <c r="H2061" s="341" t="s">
        <v>732</v>
      </c>
      <c r="I2061" s="337" t="str">
        <f t="shared" si="90"/>
        <v>Pesado de Mercadorias N3: Geral : Gasóleo : E3</v>
      </c>
      <c r="J2061" s="125"/>
      <c r="K2061" s="264">
        <v>2022</v>
      </c>
      <c r="L2061" s="242">
        <v>11177.440000000002</v>
      </c>
      <c r="M2061" s="85" t="s">
        <v>630</v>
      </c>
      <c r="N2061" s="128">
        <v>23408</v>
      </c>
      <c r="O2061" s="128">
        <f t="shared" si="91"/>
        <v>0</v>
      </c>
      <c r="P2061" s="89">
        <v>195</v>
      </c>
      <c r="Q2061" t="s">
        <v>1946</v>
      </c>
      <c r="R2061" s="220" t="s">
        <v>1888</v>
      </c>
      <c r="S2061" s="220" t="s">
        <v>1861</v>
      </c>
      <c r="T2061" t="s">
        <v>1954</v>
      </c>
      <c r="U2061" t="s">
        <v>1972</v>
      </c>
      <c r="V2061" t="s">
        <v>2832</v>
      </c>
    </row>
    <row r="2062" spans="1:22" ht="15.75" thickBot="1" x14ac:dyDescent="0.3">
      <c r="A2062" t="s">
        <v>4694</v>
      </c>
      <c r="B2062" t="s">
        <v>4694</v>
      </c>
      <c r="C2062" t="s">
        <v>4694</v>
      </c>
      <c r="D2062" s="249" t="s">
        <v>1939</v>
      </c>
      <c r="E2062" s="267" t="s">
        <v>2250</v>
      </c>
      <c r="F2062" t="s">
        <v>620</v>
      </c>
      <c r="G2062" s="89">
        <v>2004</v>
      </c>
      <c r="H2062" s="341" t="s">
        <v>732</v>
      </c>
      <c r="I2062" s="337" t="str">
        <f t="shared" si="90"/>
        <v>Pesado de Mercadorias N3: Geral : Gasóleo : E3</v>
      </c>
      <c r="J2062" s="125"/>
      <c r="K2062" s="264">
        <v>2022</v>
      </c>
      <c r="L2062" s="242">
        <v>10094.070000000002</v>
      </c>
      <c r="M2062" s="85" t="s">
        <v>630</v>
      </c>
      <c r="N2062" s="128">
        <v>22457</v>
      </c>
      <c r="O2062" s="128">
        <f t="shared" si="91"/>
        <v>0</v>
      </c>
      <c r="P2062" s="89">
        <v>196</v>
      </c>
      <c r="Q2062" t="s">
        <v>1946</v>
      </c>
      <c r="R2062" s="220" t="s">
        <v>1888</v>
      </c>
      <c r="S2062" s="220" t="s">
        <v>1861</v>
      </c>
      <c r="T2062" t="s">
        <v>1954</v>
      </c>
      <c r="U2062" t="s">
        <v>1972</v>
      </c>
      <c r="V2062" t="s">
        <v>2832</v>
      </c>
    </row>
    <row r="2063" spans="1:22" ht="15.75" thickBot="1" x14ac:dyDescent="0.3">
      <c r="A2063" t="s">
        <v>4694</v>
      </c>
      <c r="B2063" t="s">
        <v>4694</v>
      </c>
      <c r="C2063" t="s">
        <v>4694</v>
      </c>
      <c r="D2063" s="249" t="s">
        <v>1939</v>
      </c>
      <c r="E2063" s="267" t="s">
        <v>2250</v>
      </c>
      <c r="F2063" t="s">
        <v>620</v>
      </c>
      <c r="G2063" s="89">
        <v>2005</v>
      </c>
      <c r="H2063" s="341" t="s">
        <v>731</v>
      </c>
      <c r="I2063" s="337" t="str">
        <f t="shared" si="90"/>
        <v>Pesado de Mercadorias N3: Geral : Gasóleo : E4</v>
      </c>
      <c r="J2063" s="125"/>
      <c r="K2063" s="264">
        <v>2022</v>
      </c>
      <c r="L2063" s="242">
        <v>35128.439999999995</v>
      </c>
      <c r="M2063" s="85" t="s">
        <v>630</v>
      </c>
      <c r="N2063" s="128">
        <v>88660</v>
      </c>
      <c r="O2063" s="128">
        <f t="shared" si="91"/>
        <v>0</v>
      </c>
      <c r="P2063" s="89">
        <v>197</v>
      </c>
      <c r="Q2063" t="s">
        <v>1946</v>
      </c>
      <c r="R2063" s="220" t="s">
        <v>1888</v>
      </c>
      <c r="S2063" s="220" t="s">
        <v>1861</v>
      </c>
      <c r="T2063" t="s">
        <v>1954</v>
      </c>
      <c r="U2063" t="s">
        <v>1972</v>
      </c>
      <c r="V2063" t="s">
        <v>2832</v>
      </c>
    </row>
    <row r="2064" spans="1:22" ht="15.75" thickBot="1" x14ac:dyDescent="0.3">
      <c r="A2064" t="s">
        <v>4694</v>
      </c>
      <c r="B2064" t="s">
        <v>4694</v>
      </c>
      <c r="C2064" t="s">
        <v>4694</v>
      </c>
      <c r="D2064" s="249" t="s">
        <v>1939</v>
      </c>
      <c r="E2064" s="267" t="s">
        <v>2250</v>
      </c>
      <c r="F2064" t="s">
        <v>620</v>
      </c>
      <c r="G2064" s="89">
        <v>2005</v>
      </c>
      <c r="H2064" s="341" t="s">
        <v>731</v>
      </c>
      <c r="I2064" s="337" t="str">
        <f t="shared" si="90"/>
        <v>Pesado de Mercadorias N3: Geral : Gasóleo : E4</v>
      </c>
      <c r="J2064" s="125"/>
      <c r="K2064" s="264">
        <v>2022</v>
      </c>
      <c r="L2064" s="242">
        <v>22250.10999999999</v>
      </c>
      <c r="M2064" s="85" t="s">
        <v>630</v>
      </c>
      <c r="N2064" s="128">
        <v>52162</v>
      </c>
      <c r="O2064" s="128">
        <f t="shared" si="91"/>
        <v>0</v>
      </c>
      <c r="P2064" s="89">
        <v>199</v>
      </c>
      <c r="Q2064" t="s">
        <v>1946</v>
      </c>
      <c r="R2064" s="220" t="s">
        <v>1888</v>
      </c>
      <c r="S2064" s="220" t="s">
        <v>1861</v>
      </c>
      <c r="T2064" t="s">
        <v>1954</v>
      </c>
      <c r="U2064" t="s">
        <v>1972</v>
      </c>
      <c r="V2064" t="s">
        <v>2832</v>
      </c>
    </row>
    <row r="2065" spans="1:22" ht="15.75" thickBot="1" x14ac:dyDescent="0.3">
      <c r="A2065" t="s">
        <v>4694</v>
      </c>
      <c r="B2065" t="s">
        <v>4694</v>
      </c>
      <c r="C2065" t="s">
        <v>4694</v>
      </c>
      <c r="D2065" s="249" t="s">
        <v>1939</v>
      </c>
      <c r="E2065" s="267" t="s">
        <v>2250</v>
      </c>
      <c r="F2065" t="s">
        <v>620</v>
      </c>
      <c r="G2065" s="89">
        <v>2005</v>
      </c>
      <c r="H2065" s="341" t="s">
        <v>731</v>
      </c>
      <c r="I2065" s="337" t="str">
        <f t="shared" si="90"/>
        <v>Pesado de Mercadorias N3: Geral : Gasóleo : E4</v>
      </c>
      <c r="J2065" s="125"/>
      <c r="K2065" s="264">
        <v>2022</v>
      </c>
      <c r="L2065" s="242">
        <v>10434.420000000002</v>
      </c>
      <c r="M2065" s="85" t="s">
        <v>630</v>
      </c>
      <c r="N2065" s="128">
        <v>24573</v>
      </c>
      <c r="O2065" s="128">
        <f t="shared" si="91"/>
        <v>0</v>
      </c>
      <c r="P2065" s="89">
        <v>200</v>
      </c>
      <c r="Q2065" t="s">
        <v>1946</v>
      </c>
      <c r="R2065" s="220" t="s">
        <v>1888</v>
      </c>
      <c r="S2065" s="220" t="s">
        <v>1861</v>
      </c>
      <c r="T2065" t="s">
        <v>1954</v>
      </c>
      <c r="U2065" t="s">
        <v>1972</v>
      </c>
      <c r="V2065" t="s">
        <v>2832</v>
      </c>
    </row>
    <row r="2066" spans="1:22" ht="15.75" thickBot="1" x14ac:dyDescent="0.3">
      <c r="A2066" t="s">
        <v>4694</v>
      </c>
      <c r="B2066" t="s">
        <v>4694</v>
      </c>
      <c r="C2066" t="s">
        <v>4694</v>
      </c>
      <c r="D2066" s="249" t="s">
        <v>1939</v>
      </c>
      <c r="E2066" s="267" t="s">
        <v>2250</v>
      </c>
      <c r="F2066" t="s">
        <v>620</v>
      </c>
      <c r="G2066" s="89">
        <v>2006</v>
      </c>
      <c r="H2066" s="341" t="s">
        <v>731</v>
      </c>
      <c r="I2066" s="337" t="str">
        <f t="shared" si="90"/>
        <v>Pesado de Mercadorias N3: Geral : Gasóleo : E4</v>
      </c>
      <c r="J2066" s="125"/>
      <c r="K2066" s="264">
        <v>2022</v>
      </c>
      <c r="L2066" s="242">
        <v>6703.7200000000021</v>
      </c>
      <c r="M2066" s="85" t="s">
        <v>630</v>
      </c>
      <c r="N2066" s="128">
        <v>14637</v>
      </c>
      <c r="O2066" s="128">
        <f t="shared" si="91"/>
        <v>0</v>
      </c>
      <c r="P2066" s="89">
        <v>201</v>
      </c>
      <c r="Q2066" t="s">
        <v>1946</v>
      </c>
      <c r="R2066" s="220" t="s">
        <v>1888</v>
      </c>
      <c r="S2066" s="220" t="s">
        <v>1861</v>
      </c>
      <c r="T2066" t="s">
        <v>1954</v>
      </c>
      <c r="U2066" t="s">
        <v>1972</v>
      </c>
      <c r="V2066" t="s">
        <v>2832</v>
      </c>
    </row>
    <row r="2067" spans="1:22" ht="15.75" thickBot="1" x14ac:dyDescent="0.3">
      <c r="A2067" t="s">
        <v>4694</v>
      </c>
      <c r="B2067" t="s">
        <v>4694</v>
      </c>
      <c r="C2067" t="s">
        <v>4694</v>
      </c>
      <c r="D2067" s="249" t="s">
        <v>1939</v>
      </c>
      <c r="E2067" s="267" t="s">
        <v>2250</v>
      </c>
      <c r="F2067" t="s">
        <v>620</v>
      </c>
      <c r="G2067" s="89">
        <v>2010</v>
      </c>
      <c r="H2067" s="341" t="s">
        <v>734</v>
      </c>
      <c r="I2067" s="337" t="str">
        <f t="shared" si="90"/>
        <v>Pesado de Mercadorias N3: Geral : Gasóleo : E5</v>
      </c>
      <c r="J2067" s="125"/>
      <c r="K2067" s="264">
        <v>2022</v>
      </c>
      <c r="L2067" s="242">
        <v>25572.42</v>
      </c>
      <c r="M2067" s="85" t="s">
        <v>630</v>
      </c>
      <c r="N2067" s="128">
        <v>75587</v>
      </c>
      <c r="O2067" s="128">
        <f t="shared" si="91"/>
        <v>0</v>
      </c>
      <c r="P2067" s="89">
        <v>202</v>
      </c>
      <c r="Q2067" t="s">
        <v>1946</v>
      </c>
      <c r="R2067" s="220" t="s">
        <v>1888</v>
      </c>
      <c r="S2067" s="220" t="s">
        <v>1861</v>
      </c>
      <c r="T2067" t="s">
        <v>1954</v>
      </c>
      <c r="U2067" t="s">
        <v>1972</v>
      </c>
      <c r="V2067" t="s">
        <v>2832</v>
      </c>
    </row>
    <row r="2068" spans="1:22" ht="15.75" thickBot="1" x14ac:dyDescent="0.3">
      <c r="A2068" t="s">
        <v>4694</v>
      </c>
      <c r="B2068" t="s">
        <v>4694</v>
      </c>
      <c r="C2068" t="s">
        <v>4694</v>
      </c>
      <c r="D2068" s="249" t="s">
        <v>1939</v>
      </c>
      <c r="E2068" s="267" t="s">
        <v>2250</v>
      </c>
      <c r="F2068" t="s">
        <v>620</v>
      </c>
      <c r="G2068" s="89">
        <v>2000</v>
      </c>
      <c r="H2068" s="341" t="s">
        <v>732</v>
      </c>
      <c r="I2068" s="337" t="str">
        <f t="shared" si="90"/>
        <v>Pesado de Mercadorias N3: Geral : Gasóleo : E3</v>
      </c>
      <c r="J2068" s="125"/>
      <c r="K2068" s="264">
        <v>2022</v>
      </c>
      <c r="L2068" s="242">
        <v>2766.1699999999996</v>
      </c>
      <c r="M2068" s="85" t="s">
        <v>630</v>
      </c>
      <c r="N2068" s="128">
        <v>4752</v>
      </c>
      <c r="O2068" s="128">
        <f t="shared" si="91"/>
        <v>0</v>
      </c>
      <c r="P2068" s="89">
        <v>211</v>
      </c>
      <c r="Q2068" t="s">
        <v>1946</v>
      </c>
      <c r="R2068" s="220" t="s">
        <v>1888</v>
      </c>
      <c r="S2068" s="220" t="s">
        <v>1861</v>
      </c>
      <c r="T2068" t="s">
        <v>1954</v>
      </c>
      <c r="U2068" t="s">
        <v>1972</v>
      </c>
      <c r="V2068" t="s">
        <v>2832</v>
      </c>
    </row>
    <row r="2069" spans="1:22" ht="15.75" thickBot="1" x14ac:dyDescent="0.3">
      <c r="A2069" t="s">
        <v>4694</v>
      </c>
      <c r="B2069" t="s">
        <v>4694</v>
      </c>
      <c r="C2069" t="s">
        <v>4694</v>
      </c>
      <c r="D2069" s="249" t="s">
        <v>1939</v>
      </c>
      <c r="E2069" s="267" t="s">
        <v>2250</v>
      </c>
      <c r="F2069" t="s">
        <v>620</v>
      </c>
      <c r="G2069" s="89">
        <v>2012</v>
      </c>
      <c r="H2069" s="341" t="s">
        <v>734</v>
      </c>
      <c r="I2069" s="337" t="str">
        <f t="shared" si="90"/>
        <v>Pesado de Mercadorias N3: Geral : Gasóleo : E5</v>
      </c>
      <c r="J2069" s="125"/>
      <c r="K2069" s="264">
        <v>2022</v>
      </c>
      <c r="L2069" s="242">
        <v>28071.889999999996</v>
      </c>
      <c r="M2069" s="85" t="s">
        <v>630</v>
      </c>
      <c r="N2069" s="128">
        <v>75846</v>
      </c>
      <c r="O2069" s="128">
        <f t="shared" si="91"/>
        <v>0</v>
      </c>
      <c r="P2069" s="89">
        <v>212</v>
      </c>
      <c r="Q2069" t="s">
        <v>1946</v>
      </c>
      <c r="R2069" s="220" t="s">
        <v>1888</v>
      </c>
      <c r="S2069" s="220" t="s">
        <v>1861</v>
      </c>
      <c r="T2069" t="s">
        <v>1954</v>
      </c>
      <c r="U2069" t="s">
        <v>1972</v>
      </c>
      <c r="V2069" t="s">
        <v>2832</v>
      </c>
    </row>
    <row r="2070" spans="1:22" ht="15.75" thickBot="1" x14ac:dyDescent="0.3">
      <c r="A2070" t="s">
        <v>4694</v>
      </c>
      <c r="B2070" t="s">
        <v>4694</v>
      </c>
      <c r="C2070" t="s">
        <v>4694</v>
      </c>
      <c r="D2070" s="249" t="s">
        <v>1939</v>
      </c>
      <c r="E2070" s="267" t="s">
        <v>2250</v>
      </c>
      <c r="F2070" t="s">
        <v>620</v>
      </c>
      <c r="G2070" s="89">
        <v>2012</v>
      </c>
      <c r="H2070" s="341" t="s">
        <v>734</v>
      </c>
      <c r="I2070" s="337" t="str">
        <f t="shared" si="90"/>
        <v>Pesado de Mercadorias N3: Geral : Gasóleo : E5</v>
      </c>
      <c r="J2070" s="125"/>
      <c r="K2070" s="264">
        <v>2022</v>
      </c>
      <c r="L2070" s="242">
        <v>23401.010000000002</v>
      </c>
      <c r="M2070" s="85" t="s">
        <v>630</v>
      </c>
      <c r="N2070" s="128">
        <v>63458</v>
      </c>
      <c r="O2070" s="128">
        <f t="shared" si="91"/>
        <v>0</v>
      </c>
      <c r="P2070" s="89">
        <v>213</v>
      </c>
      <c r="Q2070" t="s">
        <v>1946</v>
      </c>
      <c r="R2070" s="220" t="s">
        <v>1888</v>
      </c>
      <c r="S2070" s="220" t="s">
        <v>1861</v>
      </c>
      <c r="T2070" t="s">
        <v>1954</v>
      </c>
      <c r="U2070" t="s">
        <v>1972</v>
      </c>
      <c r="V2070" t="s">
        <v>2832</v>
      </c>
    </row>
    <row r="2071" spans="1:22" ht="15.75" thickBot="1" x14ac:dyDescent="0.3">
      <c r="A2071" t="s">
        <v>4694</v>
      </c>
      <c r="B2071" t="s">
        <v>4694</v>
      </c>
      <c r="C2071" t="s">
        <v>4694</v>
      </c>
      <c r="D2071" s="249" t="s">
        <v>1939</v>
      </c>
      <c r="E2071" s="267" t="s">
        <v>2250</v>
      </c>
      <c r="F2071" t="s">
        <v>620</v>
      </c>
      <c r="G2071" s="89">
        <v>2012</v>
      </c>
      <c r="H2071" s="341" t="s">
        <v>734</v>
      </c>
      <c r="I2071" s="337" t="str">
        <f t="shared" si="90"/>
        <v>Pesado de Mercadorias N3: Geral : Gasóleo : E5</v>
      </c>
      <c r="J2071" s="125"/>
      <c r="K2071" s="264">
        <v>2022</v>
      </c>
      <c r="L2071" s="242">
        <v>18874.61</v>
      </c>
      <c r="M2071" s="85" t="s">
        <v>630</v>
      </c>
      <c r="N2071" s="128">
        <v>49181</v>
      </c>
      <c r="O2071" s="128">
        <f t="shared" si="91"/>
        <v>0</v>
      </c>
      <c r="P2071" s="89">
        <v>214</v>
      </c>
      <c r="Q2071" t="s">
        <v>1946</v>
      </c>
      <c r="R2071" s="220" t="s">
        <v>1888</v>
      </c>
      <c r="S2071" s="220" t="s">
        <v>1861</v>
      </c>
      <c r="T2071" t="s">
        <v>1954</v>
      </c>
      <c r="U2071" t="s">
        <v>1972</v>
      </c>
      <c r="V2071" t="s">
        <v>2832</v>
      </c>
    </row>
    <row r="2072" spans="1:22" ht="15.75" thickBot="1" x14ac:dyDescent="0.3">
      <c r="A2072" t="s">
        <v>4694</v>
      </c>
      <c r="B2072" t="s">
        <v>4694</v>
      </c>
      <c r="C2072" t="s">
        <v>4694</v>
      </c>
      <c r="D2072" s="249" t="s">
        <v>1939</v>
      </c>
      <c r="E2072" s="267" t="s">
        <v>2250</v>
      </c>
      <c r="F2072" t="s">
        <v>620</v>
      </c>
      <c r="G2072" s="89">
        <v>2012</v>
      </c>
      <c r="H2072" s="341" t="s">
        <v>734</v>
      </c>
      <c r="I2072" s="337" t="str">
        <f t="shared" si="90"/>
        <v>Pesado de Mercadorias N3: Geral : Gasóleo : E5</v>
      </c>
      <c r="J2072" s="125"/>
      <c r="K2072" s="264">
        <v>2022</v>
      </c>
      <c r="L2072" s="242">
        <v>24507.42</v>
      </c>
      <c r="M2072" s="85" t="s">
        <v>630</v>
      </c>
      <c r="N2072" s="128">
        <v>70750</v>
      </c>
      <c r="O2072" s="128">
        <f t="shared" si="91"/>
        <v>0</v>
      </c>
      <c r="P2072" s="89">
        <v>215</v>
      </c>
      <c r="Q2072" t="s">
        <v>1946</v>
      </c>
      <c r="R2072" s="220" t="s">
        <v>1888</v>
      </c>
      <c r="S2072" s="220" t="s">
        <v>1861</v>
      </c>
      <c r="T2072" t="s">
        <v>1954</v>
      </c>
      <c r="U2072" t="s">
        <v>1972</v>
      </c>
      <c r="V2072" t="s">
        <v>2832</v>
      </c>
    </row>
    <row r="2073" spans="1:22" ht="15.75" thickBot="1" x14ac:dyDescent="0.3">
      <c r="A2073" t="s">
        <v>4694</v>
      </c>
      <c r="B2073" t="s">
        <v>4694</v>
      </c>
      <c r="C2073" t="s">
        <v>4694</v>
      </c>
      <c r="D2073" s="249" t="s">
        <v>1939</v>
      </c>
      <c r="E2073" s="267" t="s">
        <v>2250</v>
      </c>
      <c r="F2073" t="s">
        <v>620</v>
      </c>
      <c r="G2073" s="89">
        <v>2010</v>
      </c>
      <c r="H2073" s="341" t="s">
        <v>734</v>
      </c>
      <c r="I2073" s="337" t="str">
        <f t="shared" si="90"/>
        <v>Pesado de Mercadorias N3: Geral : Gasóleo : E5</v>
      </c>
      <c r="J2073" s="125"/>
      <c r="K2073" s="264">
        <v>2022</v>
      </c>
      <c r="L2073" s="242">
        <v>21307.24</v>
      </c>
      <c r="M2073" s="85" t="s">
        <v>630</v>
      </c>
      <c r="N2073" s="128">
        <v>64502</v>
      </c>
      <c r="O2073" s="128">
        <f t="shared" si="91"/>
        <v>0</v>
      </c>
      <c r="P2073" s="89">
        <v>239</v>
      </c>
      <c r="Q2073" t="s">
        <v>1946</v>
      </c>
      <c r="R2073" s="220" t="s">
        <v>1888</v>
      </c>
      <c r="S2073" s="220" t="s">
        <v>1861</v>
      </c>
      <c r="T2073" t="s">
        <v>1954</v>
      </c>
      <c r="U2073" t="s">
        <v>1972</v>
      </c>
      <c r="V2073" t="s">
        <v>2832</v>
      </c>
    </row>
    <row r="2074" spans="1:22" ht="15.75" thickBot="1" x14ac:dyDescent="0.3">
      <c r="A2074" t="s">
        <v>4694</v>
      </c>
      <c r="B2074" t="s">
        <v>4694</v>
      </c>
      <c r="C2074" t="s">
        <v>4694</v>
      </c>
      <c r="D2074" s="249" t="s">
        <v>1939</v>
      </c>
      <c r="E2074" s="267" t="s">
        <v>2250</v>
      </c>
      <c r="F2074" t="s">
        <v>620</v>
      </c>
      <c r="G2074" s="89">
        <v>2010</v>
      </c>
      <c r="H2074" s="341" t="s">
        <v>734</v>
      </c>
      <c r="I2074" s="337" t="str">
        <f t="shared" si="90"/>
        <v>Pesado de Mercadorias N3: Geral : Gasóleo : E5</v>
      </c>
      <c r="J2074" s="125"/>
      <c r="K2074" s="264">
        <v>2022</v>
      </c>
      <c r="L2074" s="242">
        <v>26939.739999999998</v>
      </c>
      <c r="M2074" s="85" t="s">
        <v>630</v>
      </c>
      <c r="N2074" s="128">
        <v>75167</v>
      </c>
      <c r="O2074" s="128">
        <f t="shared" si="91"/>
        <v>0</v>
      </c>
      <c r="P2074" s="89">
        <v>241</v>
      </c>
      <c r="Q2074" t="s">
        <v>1946</v>
      </c>
      <c r="R2074" s="220" t="s">
        <v>1888</v>
      </c>
      <c r="S2074" s="220" t="s">
        <v>1861</v>
      </c>
      <c r="T2074" t="s">
        <v>1954</v>
      </c>
      <c r="U2074" t="s">
        <v>1972</v>
      </c>
      <c r="V2074" t="s">
        <v>2832</v>
      </c>
    </row>
    <row r="2075" spans="1:22" ht="15.75" thickBot="1" x14ac:dyDescent="0.3">
      <c r="A2075" t="s">
        <v>4694</v>
      </c>
      <c r="B2075" t="s">
        <v>4694</v>
      </c>
      <c r="C2075" t="s">
        <v>4694</v>
      </c>
      <c r="D2075" s="249" t="s">
        <v>1939</v>
      </c>
      <c r="E2075" s="267" t="s">
        <v>2250</v>
      </c>
      <c r="F2075" t="s">
        <v>620</v>
      </c>
      <c r="G2075" s="89">
        <v>2009</v>
      </c>
      <c r="H2075" s="341" t="s">
        <v>734</v>
      </c>
      <c r="I2075" s="337" t="str">
        <f t="shared" si="90"/>
        <v>Pesado de Mercadorias N3: Geral : Gasóleo : E5</v>
      </c>
      <c r="J2075" s="125"/>
      <c r="K2075" s="264">
        <v>2022</v>
      </c>
      <c r="L2075" s="242">
        <v>23250.200000000008</v>
      </c>
      <c r="M2075" s="85" t="s">
        <v>630</v>
      </c>
      <c r="N2075" s="128">
        <v>73799</v>
      </c>
      <c r="O2075" s="128">
        <f t="shared" si="91"/>
        <v>0</v>
      </c>
      <c r="P2075" s="89">
        <v>244</v>
      </c>
      <c r="Q2075" t="s">
        <v>1946</v>
      </c>
      <c r="R2075" s="220" t="s">
        <v>1888</v>
      </c>
      <c r="S2075" s="220" t="s">
        <v>1861</v>
      </c>
      <c r="T2075" t="s">
        <v>1954</v>
      </c>
      <c r="U2075" t="s">
        <v>1972</v>
      </c>
      <c r="V2075" t="s">
        <v>2832</v>
      </c>
    </row>
    <row r="2076" spans="1:22" ht="15.75" thickBot="1" x14ac:dyDescent="0.3">
      <c r="A2076" t="s">
        <v>4694</v>
      </c>
      <c r="B2076" t="s">
        <v>4694</v>
      </c>
      <c r="C2076" t="s">
        <v>4694</v>
      </c>
      <c r="D2076" s="249" t="s">
        <v>1939</v>
      </c>
      <c r="E2076" s="267" t="s">
        <v>2250</v>
      </c>
      <c r="F2076" t="s">
        <v>620</v>
      </c>
      <c r="G2076" s="89">
        <v>2009</v>
      </c>
      <c r="H2076" s="341" t="s">
        <v>734</v>
      </c>
      <c r="I2076" s="337" t="str">
        <f t="shared" si="90"/>
        <v>Pesado de Mercadorias N3: Geral : Gasóleo : E5</v>
      </c>
      <c r="J2076" s="125"/>
      <c r="K2076" s="264">
        <v>2022</v>
      </c>
      <c r="L2076" s="242">
        <v>59920.849999999977</v>
      </c>
      <c r="M2076" s="85" t="s">
        <v>630</v>
      </c>
      <c r="N2076" s="128">
        <v>181171</v>
      </c>
      <c r="O2076" s="128">
        <f t="shared" si="91"/>
        <v>0</v>
      </c>
      <c r="P2076" s="89">
        <v>245</v>
      </c>
      <c r="Q2076" t="s">
        <v>1946</v>
      </c>
      <c r="R2076" s="220" t="s">
        <v>1888</v>
      </c>
      <c r="S2076" s="220" t="s">
        <v>1861</v>
      </c>
      <c r="T2076" t="s">
        <v>1954</v>
      </c>
      <c r="U2076" t="s">
        <v>1972</v>
      </c>
      <c r="V2076" t="s">
        <v>2832</v>
      </c>
    </row>
    <row r="2077" spans="1:22" ht="15.75" thickBot="1" x14ac:dyDescent="0.3">
      <c r="A2077" t="s">
        <v>4694</v>
      </c>
      <c r="B2077" t="s">
        <v>4694</v>
      </c>
      <c r="C2077" t="s">
        <v>4694</v>
      </c>
      <c r="D2077" s="249" t="s">
        <v>1939</v>
      </c>
      <c r="E2077" s="267" t="s">
        <v>2250</v>
      </c>
      <c r="F2077" t="s">
        <v>620</v>
      </c>
      <c r="G2077" s="89">
        <v>2015</v>
      </c>
      <c r="H2077" s="341" t="s">
        <v>733</v>
      </c>
      <c r="I2077" s="337" t="str">
        <f t="shared" si="90"/>
        <v>Pesado de Mercadorias N3: Geral : Gasóleo : E6</v>
      </c>
      <c r="J2077" s="125"/>
      <c r="K2077" s="264">
        <v>2022</v>
      </c>
      <c r="L2077" s="242">
        <v>46344.859999999993</v>
      </c>
      <c r="M2077" s="85" t="s">
        <v>630</v>
      </c>
      <c r="N2077" s="128">
        <v>132449</v>
      </c>
      <c r="O2077" s="128">
        <f t="shared" si="91"/>
        <v>0</v>
      </c>
      <c r="P2077" s="89">
        <v>250</v>
      </c>
      <c r="Q2077" t="s">
        <v>1946</v>
      </c>
      <c r="R2077" s="220" t="s">
        <v>1888</v>
      </c>
      <c r="S2077" s="220" t="s">
        <v>1861</v>
      </c>
      <c r="T2077" t="s">
        <v>1954</v>
      </c>
      <c r="U2077" t="s">
        <v>1972</v>
      </c>
      <c r="V2077" t="s">
        <v>2832</v>
      </c>
    </row>
    <row r="2078" spans="1:22" ht="15.75" thickBot="1" x14ac:dyDescent="0.3">
      <c r="A2078" t="s">
        <v>4694</v>
      </c>
      <c r="B2078" t="s">
        <v>4694</v>
      </c>
      <c r="C2078" t="s">
        <v>4694</v>
      </c>
      <c r="D2078" s="249" t="s">
        <v>1939</v>
      </c>
      <c r="E2078" s="267" t="s">
        <v>2250</v>
      </c>
      <c r="F2078" t="s">
        <v>620</v>
      </c>
      <c r="G2078" s="89">
        <v>2015</v>
      </c>
      <c r="H2078" s="341" t="s">
        <v>733</v>
      </c>
      <c r="I2078" s="337" t="str">
        <f t="shared" si="90"/>
        <v>Pesado de Mercadorias N3: Geral : Gasóleo : E6</v>
      </c>
      <c r="J2078" s="125"/>
      <c r="K2078" s="264">
        <v>2022</v>
      </c>
      <c r="L2078" s="242">
        <v>57507.210000000006</v>
      </c>
      <c r="M2078" s="85" t="s">
        <v>630</v>
      </c>
      <c r="N2078" s="128">
        <v>157198</v>
      </c>
      <c r="O2078" s="128">
        <f t="shared" si="91"/>
        <v>0</v>
      </c>
      <c r="P2078" s="89">
        <v>251</v>
      </c>
      <c r="Q2078" t="s">
        <v>1946</v>
      </c>
      <c r="R2078" s="220" t="s">
        <v>1888</v>
      </c>
      <c r="S2078" s="220" t="s">
        <v>1861</v>
      </c>
      <c r="T2078" t="s">
        <v>1954</v>
      </c>
      <c r="U2078" t="s">
        <v>1972</v>
      </c>
      <c r="V2078" t="s">
        <v>2832</v>
      </c>
    </row>
    <row r="2079" spans="1:22" ht="15.75" thickBot="1" x14ac:dyDescent="0.3">
      <c r="A2079" t="s">
        <v>4694</v>
      </c>
      <c r="B2079" t="s">
        <v>4694</v>
      </c>
      <c r="C2079" t="s">
        <v>4694</v>
      </c>
      <c r="D2079" s="249" t="s">
        <v>1939</v>
      </c>
      <c r="E2079" s="267" t="s">
        <v>2250</v>
      </c>
      <c r="F2079" t="s">
        <v>620</v>
      </c>
      <c r="G2079" s="89">
        <v>2015</v>
      </c>
      <c r="H2079" s="341" t="s">
        <v>733</v>
      </c>
      <c r="I2079" s="337" t="str">
        <f t="shared" si="90"/>
        <v>Pesado de Mercadorias N3: Geral : Gasóleo : E6</v>
      </c>
      <c r="J2079" s="125"/>
      <c r="K2079" s="264">
        <v>2022</v>
      </c>
      <c r="L2079" s="242">
        <v>37880.929999999986</v>
      </c>
      <c r="M2079" s="85" t="s">
        <v>630</v>
      </c>
      <c r="N2079" s="128">
        <v>106537</v>
      </c>
      <c r="O2079" s="128">
        <f t="shared" si="91"/>
        <v>0</v>
      </c>
      <c r="P2079" s="89">
        <v>252</v>
      </c>
      <c r="Q2079" t="s">
        <v>1946</v>
      </c>
      <c r="R2079" s="220" t="s">
        <v>1888</v>
      </c>
      <c r="S2079" s="220" t="s">
        <v>1861</v>
      </c>
      <c r="T2079" t="s">
        <v>1954</v>
      </c>
      <c r="U2079" t="s">
        <v>1972</v>
      </c>
      <c r="V2079" t="s">
        <v>2832</v>
      </c>
    </row>
    <row r="2080" spans="1:22" ht="15.75" thickBot="1" x14ac:dyDescent="0.3">
      <c r="A2080" t="s">
        <v>4694</v>
      </c>
      <c r="B2080" t="s">
        <v>4694</v>
      </c>
      <c r="C2080" t="s">
        <v>4694</v>
      </c>
      <c r="D2080" s="249" t="s">
        <v>1939</v>
      </c>
      <c r="E2080" s="267" t="s">
        <v>2250</v>
      </c>
      <c r="F2080" t="s">
        <v>620</v>
      </c>
      <c r="G2080" s="89">
        <v>2015</v>
      </c>
      <c r="H2080" s="341" t="s">
        <v>733</v>
      </c>
      <c r="I2080" s="337" t="str">
        <f t="shared" si="90"/>
        <v>Pesado de Mercadorias N3: Geral : Gasóleo : E6</v>
      </c>
      <c r="J2080" s="125"/>
      <c r="K2080" s="264">
        <v>2022</v>
      </c>
      <c r="L2080" s="242">
        <v>42515.839999999997</v>
      </c>
      <c r="M2080" s="85" t="s">
        <v>630</v>
      </c>
      <c r="N2080" s="128">
        <v>111470</v>
      </c>
      <c r="O2080" s="128">
        <f t="shared" si="91"/>
        <v>0</v>
      </c>
      <c r="P2080" s="89">
        <v>253</v>
      </c>
      <c r="Q2080" t="s">
        <v>1946</v>
      </c>
      <c r="R2080" s="220" t="s">
        <v>1888</v>
      </c>
      <c r="S2080" s="220" t="s">
        <v>1861</v>
      </c>
      <c r="T2080" t="s">
        <v>1954</v>
      </c>
      <c r="U2080" t="s">
        <v>1972</v>
      </c>
      <c r="V2080" t="s">
        <v>2832</v>
      </c>
    </row>
    <row r="2081" spans="1:22" ht="15.75" thickBot="1" x14ac:dyDescent="0.3">
      <c r="A2081" t="s">
        <v>4694</v>
      </c>
      <c r="B2081" t="s">
        <v>4694</v>
      </c>
      <c r="C2081" t="s">
        <v>4694</v>
      </c>
      <c r="D2081" s="249" t="s">
        <v>1939</v>
      </c>
      <c r="E2081" s="267" t="s">
        <v>2250</v>
      </c>
      <c r="F2081" t="s">
        <v>620</v>
      </c>
      <c r="G2081" s="89">
        <v>2015</v>
      </c>
      <c r="H2081" s="341" t="s">
        <v>733</v>
      </c>
      <c r="I2081" s="337" t="str">
        <f t="shared" si="90"/>
        <v>Pesado de Mercadorias N3: Geral : Gasóleo : E6</v>
      </c>
      <c r="J2081" s="125"/>
      <c r="K2081" s="264">
        <v>2022</v>
      </c>
      <c r="L2081" s="242">
        <v>43728.989999999976</v>
      </c>
      <c r="M2081" s="85" t="s">
        <v>630</v>
      </c>
      <c r="N2081" s="128">
        <v>137039</v>
      </c>
      <c r="O2081" s="128">
        <f t="shared" si="91"/>
        <v>0</v>
      </c>
      <c r="P2081" s="89">
        <v>254</v>
      </c>
      <c r="Q2081" t="s">
        <v>1946</v>
      </c>
      <c r="R2081" s="220" t="s">
        <v>1888</v>
      </c>
      <c r="S2081" s="220" t="s">
        <v>1861</v>
      </c>
      <c r="T2081" t="s">
        <v>1954</v>
      </c>
      <c r="U2081" t="s">
        <v>1972</v>
      </c>
      <c r="V2081" t="s">
        <v>2832</v>
      </c>
    </row>
    <row r="2082" spans="1:22" ht="15.75" thickBot="1" x14ac:dyDescent="0.3">
      <c r="A2082" t="s">
        <v>4694</v>
      </c>
      <c r="B2082" t="s">
        <v>4694</v>
      </c>
      <c r="C2082" t="s">
        <v>4694</v>
      </c>
      <c r="D2082" s="249" t="s">
        <v>1939</v>
      </c>
      <c r="E2082" s="267" t="s">
        <v>2250</v>
      </c>
      <c r="F2082" t="s">
        <v>620</v>
      </c>
      <c r="G2082" s="89">
        <v>2015</v>
      </c>
      <c r="H2082" s="341" t="s">
        <v>733</v>
      </c>
      <c r="I2082" s="337" t="str">
        <f t="shared" si="90"/>
        <v>Pesado de Mercadorias N3: Geral : Gasóleo : E6</v>
      </c>
      <c r="J2082" s="125"/>
      <c r="K2082" s="264">
        <v>2022</v>
      </c>
      <c r="L2082" s="242">
        <v>39094.279999999992</v>
      </c>
      <c r="M2082" s="85" t="s">
        <v>630</v>
      </c>
      <c r="N2082" s="128">
        <v>118830</v>
      </c>
      <c r="O2082" s="128">
        <f t="shared" si="91"/>
        <v>0</v>
      </c>
      <c r="P2082" s="89">
        <v>255</v>
      </c>
      <c r="Q2082" t="s">
        <v>1946</v>
      </c>
      <c r="R2082" s="220" t="s">
        <v>1888</v>
      </c>
      <c r="S2082" s="220" t="s">
        <v>1861</v>
      </c>
      <c r="T2082" t="s">
        <v>1954</v>
      </c>
      <c r="U2082" t="s">
        <v>1972</v>
      </c>
      <c r="V2082" t="s">
        <v>2832</v>
      </c>
    </row>
    <row r="2083" spans="1:22" ht="15.75" thickBot="1" x14ac:dyDescent="0.3">
      <c r="A2083" t="s">
        <v>4694</v>
      </c>
      <c r="B2083" t="s">
        <v>4694</v>
      </c>
      <c r="C2083" t="s">
        <v>4694</v>
      </c>
      <c r="D2083" s="249" t="s">
        <v>1939</v>
      </c>
      <c r="E2083" s="267" t="s">
        <v>2250</v>
      </c>
      <c r="F2083" t="s">
        <v>620</v>
      </c>
      <c r="G2083" s="89">
        <v>2015</v>
      </c>
      <c r="H2083" s="341" t="s">
        <v>733</v>
      </c>
      <c r="I2083" s="337" t="str">
        <f t="shared" si="90"/>
        <v>Pesado de Mercadorias N3: Geral : Gasóleo : E6</v>
      </c>
      <c r="J2083" s="125"/>
      <c r="K2083" s="264">
        <v>2022</v>
      </c>
      <c r="L2083" s="242">
        <v>44874.049999999996</v>
      </c>
      <c r="M2083" s="85" t="s">
        <v>630</v>
      </c>
      <c r="N2083" s="128">
        <v>122774</v>
      </c>
      <c r="O2083" s="128">
        <f t="shared" si="91"/>
        <v>0</v>
      </c>
      <c r="P2083" s="89">
        <v>256</v>
      </c>
      <c r="Q2083" t="s">
        <v>1946</v>
      </c>
      <c r="R2083" s="220" t="s">
        <v>1888</v>
      </c>
      <c r="S2083" s="220" t="s">
        <v>1861</v>
      </c>
      <c r="T2083" t="s">
        <v>1954</v>
      </c>
      <c r="U2083" t="s">
        <v>1972</v>
      </c>
      <c r="V2083" t="s">
        <v>2832</v>
      </c>
    </row>
    <row r="2084" spans="1:22" ht="15.75" thickBot="1" x14ac:dyDescent="0.3">
      <c r="A2084" t="s">
        <v>4694</v>
      </c>
      <c r="B2084" t="s">
        <v>4694</v>
      </c>
      <c r="C2084" t="s">
        <v>4694</v>
      </c>
      <c r="D2084" s="249" t="s">
        <v>1939</v>
      </c>
      <c r="E2084" s="267" t="s">
        <v>2250</v>
      </c>
      <c r="F2084" t="s">
        <v>620</v>
      </c>
      <c r="G2084" s="89">
        <v>2015</v>
      </c>
      <c r="H2084" s="341" t="s">
        <v>733</v>
      </c>
      <c r="I2084" s="337" t="str">
        <f t="shared" si="90"/>
        <v>Pesado de Mercadorias N3: Geral : Gasóleo : E6</v>
      </c>
      <c r="J2084" s="125"/>
      <c r="K2084" s="264">
        <v>2022</v>
      </c>
      <c r="L2084" s="242">
        <v>35902.129999999997</v>
      </c>
      <c r="M2084" s="85" t="s">
        <v>630</v>
      </c>
      <c r="N2084" s="128">
        <v>99142</v>
      </c>
      <c r="O2084" s="128">
        <f t="shared" si="91"/>
        <v>0</v>
      </c>
      <c r="P2084" s="89">
        <v>257</v>
      </c>
      <c r="Q2084" t="s">
        <v>1946</v>
      </c>
      <c r="R2084" s="220" t="s">
        <v>1888</v>
      </c>
      <c r="S2084" s="220" t="s">
        <v>1861</v>
      </c>
      <c r="T2084" t="s">
        <v>1954</v>
      </c>
      <c r="U2084" t="s">
        <v>1972</v>
      </c>
      <c r="V2084" t="s">
        <v>2832</v>
      </c>
    </row>
    <row r="2085" spans="1:22" ht="15.75" thickBot="1" x14ac:dyDescent="0.3">
      <c r="A2085" t="s">
        <v>4694</v>
      </c>
      <c r="B2085" t="s">
        <v>4694</v>
      </c>
      <c r="C2085" t="s">
        <v>4694</v>
      </c>
      <c r="D2085" s="249" t="s">
        <v>1939</v>
      </c>
      <c r="E2085" s="267" t="s">
        <v>2250</v>
      </c>
      <c r="F2085" t="s">
        <v>620</v>
      </c>
      <c r="G2085" s="89">
        <v>2015</v>
      </c>
      <c r="H2085" s="341" t="s">
        <v>733</v>
      </c>
      <c r="I2085" s="337" t="str">
        <f t="shared" si="90"/>
        <v>Pesado de Mercadorias N3: Geral : Gasóleo : E6</v>
      </c>
      <c r="J2085" s="125"/>
      <c r="K2085" s="264">
        <v>2022</v>
      </c>
      <c r="L2085" s="242">
        <v>48730.979999999996</v>
      </c>
      <c r="M2085" s="85" t="s">
        <v>630</v>
      </c>
      <c r="N2085" s="128">
        <v>130461</v>
      </c>
      <c r="O2085" s="128">
        <f t="shared" si="91"/>
        <v>0</v>
      </c>
      <c r="P2085" s="89">
        <v>258</v>
      </c>
      <c r="Q2085" t="s">
        <v>1946</v>
      </c>
      <c r="R2085" s="220" t="s">
        <v>1888</v>
      </c>
      <c r="S2085" s="220" t="s">
        <v>1861</v>
      </c>
      <c r="T2085" t="s">
        <v>1954</v>
      </c>
      <c r="U2085" t="s">
        <v>1972</v>
      </c>
      <c r="V2085" t="s">
        <v>2832</v>
      </c>
    </row>
    <row r="2086" spans="1:22" ht="15.75" thickBot="1" x14ac:dyDescent="0.3">
      <c r="A2086" t="s">
        <v>4694</v>
      </c>
      <c r="B2086" t="s">
        <v>4694</v>
      </c>
      <c r="C2086" t="s">
        <v>4694</v>
      </c>
      <c r="D2086" s="249" t="s">
        <v>1939</v>
      </c>
      <c r="E2086" s="267" t="s">
        <v>2250</v>
      </c>
      <c r="F2086" t="s">
        <v>620</v>
      </c>
      <c r="G2086" s="89">
        <v>2015</v>
      </c>
      <c r="H2086" s="341" t="s">
        <v>733</v>
      </c>
      <c r="I2086" s="337" t="str">
        <f t="shared" si="90"/>
        <v>Pesado de Mercadorias N3: Geral : Gasóleo : E6</v>
      </c>
      <c r="J2086" s="125"/>
      <c r="K2086" s="264">
        <v>2022</v>
      </c>
      <c r="L2086" s="242">
        <v>31848.720000000005</v>
      </c>
      <c r="M2086" s="85" t="s">
        <v>630</v>
      </c>
      <c r="N2086" s="128">
        <v>93842</v>
      </c>
      <c r="O2086" s="128">
        <f t="shared" si="91"/>
        <v>0</v>
      </c>
      <c r="P2086" s="89">
        <v>259</v>
      </c>
      <c r="Q2086" t="s">
        <v>1946</v>
      </c>
      <c r="R2086" s="220" t="s">
        <v>1888</v>
      </c>
      <c r="S2086" s="220" t="s">
        <v>1861</v>
      </c>
      <c r="T2086" t="s">
        <v>1954</v>
      </c>
      <c r="U2086" t="s">
        <v>1972</v>
      </c>
      <c r="V2086" t="s">
        <v>2832</v>
      </c>
    </row>
    <row r="2087" spans="1:22" ht="15.75" thickBot="1" x14ac:dyDescent="0.3">
      <c r="A2087" t="s">
        <v>4694</v>
      </c>
      <c r="B2087" t="s">
        <v>4694</v>
      </c>
      <c r="C2087" t="s">
        <v>4694</v>
      </c>
      <c r="D2087" s="249" t="s">
        <v>1939</v>
      </c>
      <c r="E2087" s="267" t="s">
        <v>2250</v>
      </c>
      <c r="F2087" t="s">
        <v>620</v>
      </c>
      <c r="G2087" s="89">
        <v>2015</v>
      </c>
      <c r="H2087" s="341" t="s">
        <v>733</v>
      </c>
      <c r="I2087" s="337" t="str">
        <f t="shared" si="90"/>
        <v>Pesado de Mercadorias N3: Geral : Gasóleo : E6</v>
      </c>
      <c r="J2087" s="125"/>
      <c r="K2087" s="264">
        <v>2022</v>
      </c>
      <c r="L2087" s="242">
        <v>46998.229999999996</v>
      </c>
      <c r="M2087" s="85" t="s">
        <v>630</v>
      </c>
      <c r="N2087" s="128">
        <v>127759</v>
      </c>
      <c r="O2087" s="128">
        <f t="shared" si="91"/>
        <v>0</v>
      </c>
      <c r="P2087" s="89">
        <v>260</v>
      </c>
      <c r="Q2087" t="s">
        <v>1946</v>
      </c>
      <c r="R2087" s="220" t="s">
        <v>1888</v>
      </c>
      <c r="S2087" s="220" t="s">
        <v>1861</v>
      </c>
      <c r="T2087" t="s">
        <v>1954</v>
      </c>
      <c r="U2087" t="s">
        <v>1972</v>
      </c>
      <c r="V2087" t="s">
        <v>2832</v>
      </c>
    </row>
    <row r="2088" spans="1:22" ht="15.75" thickBot="1" x14ac:dyDescent="0.3">
      <c r="A2088" t="s">
        <v>4694</v>
      </c>
      <c r="B2088" t="s">
        <v>4694</v>
      </c>
      <c r="C2088" t="s">
        <v>4694</v>
      </c>
      <c r="D2088" s="249" t="s">
        <v>1939</v>
      </c>
      <c r="E2088" s="267" t="s">
        <v>2250</v>
      </c>
      <c r="F2088" t="s">
        <v>620</v>
      </c>
      <c r="G2088" s="89">
        <v>2015</v>
      </c>
      <c r="H2088" s="341" t="s">
        <v>733</v>
      </c>
      <c r="I2088" s="337" t="str">
        <f t="shared" si="90"/>
        <v>Pesado de Mercadorias N3: Geral : Gasóleo : E6</v>
      </c>
      <c r="J2088" s="125"/>
      <c r="K2088" s="264">
        <v>2022</v>
      </c>
      <c r="L2088" s="242">
        <v>44572.30000000001</v>
      </c>
      <c r="M2088" s="85" t="s">
        <v>630</v>
      </c>
      <c r="N2088" s="128">
        <v>141977</v>
      </c>
      <c r="O2088" s="128">
        <f t="shared" si="91"/>
        <v>0</v>
      </c>
      <c r="P2088" s="89">
        <v>261</v>
      </c>
      <c r="Q2088" t="s">
        <v>1946</v>
      </c>
      <c r="R2088" s="220" t="s">
        <v>1888</v>
      </c>
      <c r="S2088" s="220" t="s">
        <v>1861</v>
      </c>
      <c r="T2088" t="s">
        <v>1954</v>
      </c>
      <c r="U2088" t="s">
        <v>1972</v>
      </c>
      <c r="V2088" t="s">
        <v>2832</v>
      </c>
    </row>
    <row r="2089" spans="1:22" ht="15.75" thickBot="1" x14ac:dyDescent="0.3">
      <c r="A2089" t="s">
        <v>4694</v>
      </c>
      <c r="B2089" t="s">
        <v>4694</v>
      </c>
      <c r="C2089" t="s">
        <v>4694</v>
      </c>
      <c r="D2089" s="249" t="s">
        <v>1939</v>
      </c>
      <c r="E2089" s="267" t="s">
        <v>2250</v>
      </c>
      <c r="F2089" t="s">
        <v>620</v>
      </c>
      <c r="G2089" s="89">
        <v>2015</v>
      </c>
      <c r="H2089" s="341" t="s">
        <v>733</v>
      </c>
      <c r="I2089" s="337" t="str">
        <f t="shared" si="90"/>
        <v>Pesado de Mercadorias N3: Geral : Gasóleo : E6</v>
      </c>
      <c r="J2089" s="125"/>
      <c r="K2089" s="264">
        <v>2022</v>
      </c>
      <c r="L2089" s="242">
        <v>30581.74</v>
      </c>
      <c r="M2089" s="85" t="s">
        <v>630</v>
      </c>
      <c r="N2089" s="128">
        <v>78061</v>
      </c>
      <c r="O2089" s="128">
        <f t="shared" si="91"/>
        <v>0</v>
      </c>
      <c r="P2089" s="89">
        <v>262</v>
      </c>
      <c r="Q2089" t="s">
        <v>1946</v>
      </c>
      <c r="R2089" s="220" t="s">
        <v>1888</v>
      </c>
      <c r="S2089" s="220" t="s">
        <v>1861</v>
      </c>
      <c r="T2089" t="s">
        <v>1954</v>
      </c>
      <c r="U2089" t="s">
        <v>1972</v>
      </c>
      <c r="V2089" t="s">
        <v>2832</v>
      </c>
    </row>
    <row r="2090" spans="1:22" ht="15.75" thickBot="1" x14ac:dyDescent="0.3">
      <c r="A2090" t="s">
        <v>4694</v>
      </c>
      <c r="B2090" t="s">
        <v>4694</v>
      </c>
      <c r="C2090" t="s">
        <v>4694</v>
      </c>
      <c r="D2090" s="249" t="s">
        <v>1939</v>
      </c>
      <c r="E2090" s="267" t="s">
        <v>2250</v>
      </c>
      <c r="F2090" t="s">
        <v>620</v>
      </c>
      <c r="G2090" s="89">
        <v>2015</v>
      </c>
      <c r="H2090" s="341" t="s">
        <v>733</v>
      </c>
      <c r="I2090" s="337" t="str">
        <f t="shared" si="90"/>
        <v>Pesado de Mercadorias N3: Geral : Gasóleo : E6</v>
      </c>
      <c r="J2090" s="125"/>
      <c r="K2090" s="264">
        <v>2022</v>
      </c>
      <c r="L2090" s="242">
        <v>12789.930000000002</v>
      </c>
      <c r="M2090" s="85" t="s">
        <v>630</v>
      </c>
      <c r="N2090" s="128">
        <v>33962</v>
      </c>
      <c r="O2090" s="128">
        <f t="shared" si="91"/>
        <v>0</v>
      </c>
      <c r="P2090" s="89">
        <v>263</v>
      </c>
      <c r="Q2090" t="s">
        <v>1946</v>
      </c>
      <c r="R2090" s="220" t="s">
        <v>1888</v>
      </c>
      <c r="S2090" s="220" t="s">
        <v>1861</v>
      </c>
      <c r="T2090" t="s">
        <v>1954</v>
      </c>
      <c r="U2090" t="s">
        <v>1972</v>
      </c>
      <c r="V2090" t="s">
        <v>2832</v>
      </c>
    </row>
    <row r="2091" spans="1:22" ht="15.75" thickBot="1" x14ac:dyDescent="0.3">
      <c r="A2091" t="s">
        <v>4694</v>
      </c>
      <c r="B2091" t="s">
        <v>4694</v>
      </c>
      <c r="C2091" t="s">
        <v>4694</v>
      </c>
      <c r="D2091" s="249" t="s">
        <v>1939</v>
      </c>
      <c r="E2091" s="267" t="s">
        <v>2250</v>
      </c>
      <c r="F2091" t="s">
        <v>620</v>
      </c>
      <c r="G2091" s="89">
        <v>2011</v>
      </c>
      <c r="H2091" s="341" t="s">
        <v>734</v>
      </c>
      <c r="I2091" s="337" t="str">
        <f t="shared" si="90"/>
        <v>Pesado de Mercadorias N3: Geral : Gasóleo : E5</v>
      </c>
      <c r="J2091" s="125"/>
      <c r="K2091" s="264">
        <v>2022</v>
      </c>
      <c r="L2091" s="242">
        <v>34710.669999999984</v>
      </c>
      <c r="M2091" s="85" t="s">
        <v>630</v>
      </c>
      <c r="N2091" s="128">
        <v>83967</v>
      </c>
      <c r="O2091" s="128">
        <f t="shared" si="91"/>
        <v>0</v>
      </c>
      <c r="P2091" s="89">
        <v>264</v>
      </c>
      <c r="Q2091" t="s">
        <v>1946</v>
      </c>
      <c r="R2091" s="220" t="s">
        <v>1888</v>
      </c>
      <c r="S2091" s="220" t="s">
        <v>1861</v>
      </c>
      <c r="T2091" t="s">
        <v>1954</v>
      </c>
      <c r="U2091" t="s">
        <v>1972</v>
      </c>
      <c r="V2091" t="s">
        <v>2832</v>
      </c>
    </row>
    <row r="2092" spans="1:22" ht="15.75" thickBot="1" x14ac:dyDescent="0.3">
      <c r="A2092" t="s">
        <v>4694</v>
      </c>
      <c r="B2092" t="s">
        <v>4694</v>
      </c>
      <c r="C2092" t="s">
        <v>4694</v>
      </c>
      <c r="D2092" s="249" t="s">
        <v>1939</v>
      </c>
      <c r="E2092" s="267" t="s">
        <v>2250</v>
      </c>
      <c r="F2092" t="s">
        <v>620</v>
      </c>
      <c r="G2092" s="89">
        <v>2011</v>
      </c>
      <c r="H2092" s="341" t="s">
        <v>734</v>
      </c>
      <c r="I2092" s="337" t="str">
        <f t="shared" si="90"/>
        <v>Pesado de Mercadorias N3: Geral : Gasóleo : E5</v>
      </c>
      <c r="J2092" s="125"/>
      <c r="K2092" s="264">
        <v>2022</v>
      </c>
      <c r="L2092" s="242">
        <v>31802.799999999992</v>
      </c>
      <c r="M2092" s="85" t="s">
        <v>630</v>
      </c>
      <c r="N2092" s="128">
        <v>87540</v>
      </c>
      <c r="O2092" s="128">
        <f t="shared" si="91"/>
        <v>0</v>
      </c>
      <c r="P2092" s="89">
        <v>265</v>
      </c>
      <c r="Q2092" t="s">
        <v>1946</v>
      </c>
      <c r="R2092" s="220" t="s">
        <v>1888</v>
      </c>
      <c r="S2092" s="220" t="s">
        <v>1861</v>
      </c>
      <c r="T2092" t="s">
        <v>1954</v>
      </c>
      <c r="U2092" t="s">
        <v>1972</v>
      </c>
      <c r="V2092" t="s">
        <v>2832</v>
      </c>
    </row>
    <row r="2093" spans="1:22" ht="15.75" thickBot="1" x14ac:dyDescent="0.3">
      <c r="A2093" t="s">
        <v>4694</v>
      </c>
      <c r="B2093" t="s">
        <v>4694</v>
      </c>
      <c r="C2093" t="s">
        <v>4694</v>
      </c>
      <c r="D2093" s="249" t="s">
        <v>1939</v>
      </c>
      <c r="E2093" s="267" t="s">
        <v>2250</v>
      </c>
      <c r="F2093" t="s">
        <v>620</v>
      </c>
      <c r="G2093" s="89">
        <v>2011</v>
      </c>
      <c r="H2093" s="341" t="s">
        <v>734</v>
      </c>
      <c r="I2093" s="337" t="str">
        <f t="shared" si="90"/>
        <v>Pesado de Mercadorias N3: Geral : Gasóleo : E5</v>
      </c>
      <c r="J2093" s="125"/>
      <c r="K2093" s="264">
        <v>2022</v>
      </c>
      <c r="L2093" s="242">
        <v>30791.91</v>
      </c>
      <c r="M2093" s="85" t="s">
        <v>630</v>
      </c>
      <c r="N2093" s="128">
        <v>77281</v>
      </c>
      <c r="O2093" s="128">
        <f t="shared" si="91"/>
        <v>0</v>
      </c>
      <c r="P2093" s="89">
        <v>266</v>
      </c>
      <c r="Q2093" t="s">
        <v>1946</v>
      </c>
      <c r="R2093" s="220" t="s">
        <v>1888</v>
      </c>
      <c r="S2093" s="220" t="s">
        <v>1861</v>
      </c>
      <c r="T2093" t="s">
        <v>1954</v>
      </c>
      <c r="U2093" t="s">
        <v>1972</v>
      </c>
      <c r="V2093" t="s">
        <v>2832</v>
      </c>
    </row>
    <row r="2094" spans="1:22" ht="15.75" thickBot="1" x14ac:dyDescent="0.3">
      <c r="A2094" t="s">
        <v>4694</v>
      </c>
      <c r="B2094" t="s">
        <v>4694</v>
      </c>
      <c r="C2094" t="s">
        <v>4694</v>
      </c>
      <c r="D2094" s="249" t="s">
        <v>1939</v>
      </c>
      <c r="E2094" s="267" t="s">
        <v>2250</v>
      </c>
      <c r="F2094" t="s">
        <v>620</v>
      </c>
      <c r="G2094" s="89">
        <v>2016</v>
      </c>
      <c r="H2094" s="341" t="s">
        <v>733</v>
      </c>
      <c r="I2094" s="337" t="str">
        <f t="shared" si="90"/>
        <v>Pesado de Mercadorias N3: Geral : Gasóleo : E6</v>
      </c>
      <c r="J2094" s="125"/>
      <c r="K2094" s="264">
        <v>2022</v>
      </c>
      <c r="L2094" s="242">
        <v>49823.939999999981</v>
      </c>
      <c r="M2094" s="85" t="s">
        <v>630</v>
      </c>
      <c r="N2094" s="128">
        <v>166998</v>
      </c>
      <c r="O2094" s="128">
        <f t="shared" si="91"/>
        <v>0</v>
      </c>
      <c r="P2094" s="89">
        <v>267</v>
      </c>
      <c r="Q2094" t="s">
        <v>1946</v>
      </c>
      <c r="R2094" s="220" t="s">
        <v>1888</v>
      </c>
      <c r="S2094" s="220" t="s">
        <v>1861</v>
      </c>
      <c r="T2094" t="s">
        <v>1954</v>
      </c>
      <c r="U2094" t="s">
        <v>1972</v>
      </c>
      <c r="V2094" t="s">
        <v>2832</v>
      </c>
    </row>
    <row r="2095" spans="1:22" ht="15.75" thickBot="1" x14ac:dyDescent="0.3">
      <c r="A2095" t="s">
        <v>4694</v>
      </c>
      <c r="B2095" t="s">
        <v>4694</v>
      </c>
      <c r="C2095" t="s">
        <v>4694</v>
      </c>
      <c r="D2095" s="249" t="s">
        <v>1939</v>
      </c>
      <c r="E2095" s="267" t="s">
        <v>2250</v>
      </c>
      <c r="F2095" t="s">
        <v>620</v>
      </c>
      <c r="G2095" s="89">
        <v>2016</v>
      </c>
      <c r="H2095" s="341" t="s">
        <v>733</v>
      </c>
      <c r="I2095" s="337" t="str">
        <f t="shared" si="90"/>
        <v>Pesado de Mercadorias N3: Geral : Gasóleo : E6</v>
      </c>
      <c r="J2095" s="125"/>
      <c r="K2095" s="264">
        <v>2022</v>
      </c>
      <c r="L2095" s="242">
        <v>66683.129999999976</v>
      </c>
      <c r="M2095" s="85" t="s">
        <v>630</v>
      </c>
      <c r="N2095" s="128">
        <v>186204</v>
      </c>
      <c r="O2095" s="128">
        <f t="shared" si="91"/>
        <v>0</v>
      </c>
      <c r="P2095" s="89">
        <v>268</v>
      </c>
      <c r="Q2095" t="s">
        <v>1946</v>
      </c>
      <c r="R2095" s="220" t="s">
        <v>1888</v>
      </c>
      <c r="S2095" s="220" t="s">
        <v>1861</v>
      </c>
      <c r="T2095" t="s">
        <v>1954</v>
      </c>
      <c r="U2095" t="s">
        <v>1972</v>
      </c>
      <c r="V2095" t="s">
        <v>2832</v>
      </c>
    </row>
    <row r="2096" spans="1:22" ht="15.75" thickBot="1" x14ac:dyDescent="0.3">
      <c r="A2096" t="s">
        <v>4694</v>
      </c>
      <c r="B2096" t="s">
        <v>4694</v>
      </c>
      <c r="C2096" t="s">
        <v>4694</v>
      </c>
      <c r="D2096" s="249" t="s">
        <v>1939</v>
      </c>
      <c r="E2096" s="267" t="s">
        <v>2250</v>
      </c>
      <c r="F2096" t="s">
        <v>620</v>
      </c>
      <c r="G2096" s="89">
        <v>2016</v>
      </c>
      <c r="H2096" s="341" t="s">
        <v>733</v>
      </c>
      <c r="I2096" s="337" t="str">
        <f t="shared" si="90"/>
        <v>Pesado de Mercadorias N3: Geral : Gasóleo : E6</v>
      </c>
      <c r="J2096" s="125"/>
      <c r="K2096" s="264">
        <v>2022</v>
      </c>
      <c r="L2096" s="242">
        <v>61341.299999999981</v>
      </c>
      <c r="M2096" s="85" t="s">
        <v>630</v>
      </c>
      <c r="N2096" s="128">
        <v>168640</v>
      </c>
      <c r="O2096" s="128">
        <f t="shared" si="91"/>
        <v>0</v>
      </c>
      <c r="P2096" s="89">
        <v>269</v>
      </c>
      <c r="Q2096" t="s">
        <v>1946</v>
      </c>
      <c r="R2096" s="220" t="s">
        <v>1888</v>
      </c>
      <c r="S2096" s="220" t="s">
        <v>1861</v>
      </c>
      <c r="T2096" t="s">
        <v>1954</v>
      </c>
      <c r="U2096" t="s">
        <v>1972</v>
      </c>
      <c r="V2096" t="s">
        <v>2832</v>
      </c>
    </row>
    <row r="2097" spans="1:22" ht="15.75" thickBot="1" x14ac:dyDescent="0.3">
      <c r="A2097" t="s">
        <v>4694</v>
      </c>
      <c r="B2097" t="s">
        <v>4694</v>
      </c>
      <c r="C2097" t="s">
        <v>4694</v>
      </c>
      <c r="D2097" s="249" t="s">
        <v>1939</v>
      </c>
      <c r="E2097" s="267" t="s">
        <v>2250</v>
      </c>
      <c r="F2097" t="s">
        <v>620</v>
      </c>
      <c r="G2097" s="89">
        <v>2016</v>
      </c>
      <c r="H2097" s="341" t="s">
        <v>733</v>
      </c>
      <c r="I2097" s="337" t="str">
        <f t="shared" si="90"/>
        <v>Pesado de Mercadorias N3: Geral : Gasóleo : E6</v>
      </c>
      <c r="J2097" s="125"/>
      <c r="K2097" s="264">
        <v>2022</v>
      </c>
      <c r="L2097" s="242">
        <v>57471.510000000031</v>
      </c>
      <c r="M2097" s="85" t="s">
        <v>630</v>
      </c>
      <c r="N2097" s="128">
        <v>165076</v>
      </c>
      <c r="O2097" s="128">
        <f t="shared" si="91"/>
        <v>0</v>
      </c>
      <c r="P2097" s="89">
        <v>270</v>
      </c>
      <c r="Q2097" t="s">
        <v>1946</v>
      </c>
      <c r="R2097" s="220" t="s">
        <v>1888</v>
      </c>
      <c r="S2097" s="220" t="s">
        <v>1861</v>
      </c>
      <c r="T2097" t="s">
        <v>1954</v>
      </c>
      <c r="U2097" t="s">
        <v>1972</v>
      </c>
      <c r="V2097" t="s">
        <v>2832</v>
      </c>
    </row>
    <row r="2098" spans="1:22" ht="15.75" thickBot="1" x14ac:dyDescent="0.3">
      <c r="A2098" t="s">
        <v>4694</v>
      </c>
      <c r="B2098" t="s">
        <v>4694</v>
      </c>
      <c r="C2098" t="s">
        <v>4694</v>
      </c>
      <c r="D2098" s="249" t="s">
        <v>1939</v>
      </c>
      <c r="E2098" s="267" t="s">
        <v>2250</v>
      </c>
      <c r="F2098" t="s">
        <v>620</v>
      </c>
      <c r="G2098" s="89">
        <v>2016</v>
      </c>
      <c r="H2098" s="341" t="s">
        <v>733</v>
      </c>
      <c r="I2098" s="337" t="str">
        <f t="shared" si="90"/>
        <v>Pesado de Mercadorias N3: Geral : Gasóleo : E6</v>
      </c>
      <c r="J2098" s="125"/>
      <c r="K2098" s="264">
        <v>2022</v>
      </c>
      <c r="L2098" s="242">
        <v>66348.639999999985</v>
      </c>
      <c r="M2098" s="85" t="s">
        <v>630</v>
      </c>
      <c r="N2098" s="128">
        <v>183672</v>
      </c>
      <c r="O2098" s="128">
        <f t="shared" si="91"/>
        <v>0</v>
      </c>
      <c r="P2098" s="89">
        <v>271</v>
      </c>
      <c r="Q2098" t="s">
        <v>1946</v>
      </c>
      <c r="R2098" s="220" t="s">
        <v>1888</v>
      </c>
      <c r="S2098" s="220" t="s">
        <v>1861</v>
      </c>
      <c r="T2098" t="s">
        <v>1954</v>
      </c>
      <c r="U2098" t="s">
        <v>1972</v>
      </c>
      <c r="V2098" t="s">
        <v>2832</v>
      </c>
    </row>
    <row r="2099" spans="1:22" ht="15.75" thickBot="1" x14ac:dyDescent="0.3">
      <c r="A2099" t="s">
        <v>4694</v>
      </c>
      <c r="B2099" t="s">
        <v>4694</v>
      </c>
      <c r="C2099" t="s">
        <v>4694</v>
      </c>
      <c r="D2099" s="249" t="s">
        <v>1939</v>
      </c>
      <c r="E2099" s="267" t="s">
        <v>2250</v>
      </c>
      <c r="F2099" t="s">
        <v>620</v>
      </c>
      <c r="G2099" s="89">
        <v>2016</v>
      </c>
      <c r="H2099" s="341" t="s">
        <v>733</v>
      </c>
      <c r="I2099" s="337" t="str">
        <f t="shared" si="90"/>
        <v>Pesado de Mercadorias N3: Geral : Gasóleo : E6</v>
      </c>
      <c r="J2099" s="125"/>
      <c r="K2099" s="264">
        <v>2022</v>
      </c>
      <c r="L2099" s="242">
        <v>50655.76999999999</v>
      </c>
      <c r="M2099" s="85" t="s">
        <v>630</v>
      </c>
      <c r="N2099" s="128">
        <v>150849</v>
      </c>
      <c r="O2099" s="128">
        <f t="shared" si="91"/>
        <v>0</v>
      </c>
      <c r="P2099" s="89">
        <v>272</v>
      </c>
      <c r="Q2099" t="s">
        <v>1946</v>
      </c>
      <c r="R2099" s="220" t="s">
        <v>1888</v>
      </c>
      <c r="S2099" s="220" t="s">
        <v>1861</v>
      </c>
      <c r="T2099" t="s">
        <v>1954</v>
      </c>
      <c r="U2099" t="s">
        <v>1972</v>
      </c>
      <c r="V2099" t="s">
        <v>2832</v>
      </c>
    </row>
    <row r="2100" spans="1:22" ht="15.75" thickBot="1" x14ac:dyDescent="0.3">
      <c r="A2100" t="s">
        <v>4694</v>
      </c>
      <c r="B2100" t="s">
        <v>4694</v>
      </c>
      <c r="C2100" t="s">
        <v>4694</v>
      </c>
      <c r="D2100" s="249" t="s">
        <v>1939</v>
      </c>
      <c r="E2100" s="267" t="s">
        <v>2250</v>
      </c>
      <c r="F2100" t="s">
        <v>620</v>
      </c>
      <c r="G2100" s="89">
        <v>2016</v>
      </c>
      <c r="H2100" s="341" t="s">
        <v>733</v>
      </c>
      <c r="I2100" s="337" t="str">
        <f t="shared" si="90"/>
        <v>Pesado de Mercadorias N3: Geral : Gasóleo : E6</v>
      </c>
      <c r="J2100" s="125"/>
      <c r="K2100" s="264">
        <v>2022</v>
      </c>
      <c r="L2100" s="242">
        <v>60530.710000000021</v>
      </c>
      <c r="M2100" s="85" t="s">
        <v>630</v>
      </c>
      <c r="N2100" s="128">
        <v>173619</v>
      </c>
      <c r="O2100" s="128">
        <f t="shared" si="91"/>
        <v>0</v>
      </c>
      <c r="P2100" s="89">
        <v>273</v>
      </c>
      <c r="Q2100" t="s">
        <v>1946</v>
      </c>
      <c r="R2100" s="220" t="s">
        <v>1888</v>
      </c>
      <c r="S2100" s="220" t="s">
        <v>1861</v>
      </c>
      <c r="T2100" t="s">
        <v>1954</v>
      </c>
      <c r="U2100" t="s">
        <v>1972</v>
      </c>
      <c r="V2100" t="s">
        <v>2832</v>
      </c>
    </row>
    <row r="2101" spans="1:22" ht="15.75" thickBot="1" x14ac:dyDescent="0.3">
      <c r="A2101" t="s">
        <v>4694</v>
      </c>
      <c r="B2101" t="s">
        <v>4694</v>
      </c>
      <c r="C2101" t="s">
        <v>4694</v>
      </c>
      <c r="D2101" s="249" t="s">
        <v>1939</v>
      </c>
      <c r="E2101" s="267" t="s">
        <v>2250</v>
      </c>
      <c r="F2101" t="s">
        <v>620</v>
      </c>
      <c r="G2101" s="89">
        <v>2016</v>
      </c>
      <c r="H2101" s="341" t="s">
        <v>733</v>
      </c>
      <c r="I2101" s="337" t="str">
        <f t="shared" si="90"/>
        <v>Pesado de Mercadorias N3: Geral : Gasóleo : E6</v>
      </c>
      <c r="J2101" s="125"/>
      <c r="K2101" s="264">
        <v>2022</v>
      </c>
      <c r="L2101" s="242">
        <v>30672.58</v>
      </c>
      <c r="M2101" s="85" t="s">
        <v>630</v>
      </c>
      <c r="N2101" s="128">
        <v>94866</v>
      </c>
      <c r="O2101" s="128">
        <f t="shared" si="91"/>
        <v>0</v>
      </c>
      <c r="P2101" s="89">
        <v>274</v>
      </c>
      <c r="Q2101" t="s">
        <v>1946</v>
      </c>
      <c r="R2101" s="220" t="s">
        <v>1888</v>
      </c>
      <c r="S2101" s="220" t="s">
        <v>1861</v>
      </c>
      <c r="T2101" t="s">
        <v>1954</v>
      </c>
      <c r="U2101" t="s">
        <v>1972</v>
      </c>
      <c r="V2101" t="s">
        <v>2832</v>
      </c>
    </row>
    <row r="2102" spans="1:22" ht="15.75" thickBot="1" x14ac:dyDescent="0.3">
      <c r="A2102" t="s">
        <v>4694</v>
      </c>
      <c r="B2102" t="s">
        <v>4694</v>
      </c>
      <c r="C2102" t="s">
        <v>4694</v>
      </c>
      <c r="D2102" s="249" t="s">
        <v>1939</v>
      </c>
      <c r="E2102" s="267" t="s">
        <v>2250</v>
      </c>
      <c r="F2102" t="s">
        <v>620</v>
      </c>
      <c r="G2102" s="89">
        <v>2016</v>
      </c>
      <c r="H2102" s="341" t="s">
        <v>733</v>
      </c>
      <c r="I2102" s="337" t="str">
        <f t="shared" si="90"/>
        <v>Pesado de Mercadorias N3: Geral : Gasóleo : E6</v>
      </c>
      <c r="J2102" s="125"/>
      <c r="K2102" s="264">
        <v>2022</v>
      </c>
      <c r="L2102" s="242">
        <v>29254.229999999996</v>
      </c>
      <c r="M2102" s="85" t="s">
        <v>630</v>
      </c>
      <c r="N2102" s="128">
        <v>88396</v>
      </c>
      <c r="O2102" s="128">
        <f t="shared" si="91"/>
        <v>0</v>
      </c>
      <c r="P2102" s="89">
        <v>275</v>
      </c>
      <c r="Q2102" t="s">
        <v>1946</v>
      </c>
      <c r="R2102" s="220" t="s">
        <v>1888</v>
      </c>
      <c r="S2102" s="220" t="s">
        <v>1861</v>
      </c>
      <c r="T2102" t="s">
        <v>1954</v>
      </c>
      <c r="U2102" t="s">
        <v>1972</v>
      </c>
      <c r="V2102" t="s">
        <v>2832</v>
      </c>
    </row>
    <row r="2103" spans="1:22" ht="15.75" thickBot="1" x14ac:dyDescent="0.3">
      <c r="A2103" t="s">
        <v>4694</v>
      </c>
      <c r="B2103" t="s">
        <v>4694</v>
      </c>
      <c r="C2103" t="s">
        <v>4694</v>
      </c>
      <c r="D2103" s="249" t="s">
        <v>1939</v>
      </c>
      <c r="E2103" s="267" t="s">
        <v>2250</v>
      </c>
      <c r="F2103" t="s">
        <v>620</v>
      </c>
      <c r="G2103" s="89">
        <v>2016</v>
      </c>
      <c r="H2103" s="341" t="s">
        <v>733</v>
      </c>
      <c r="I2103" s="337" t="str">
        <f t="shared" si="90"/>
        <v>Pesado de Mercadorias N3: Geral : Gasóleo : E6</v>
      </c>
      <c r="J2103" s="125"/>
      <c r="K2103" s="264">
        <v>2022</v>
      </c>
      <c r="L2103" s="242">
        <v>42307.729999999996</v>
      </c>
      <c r="M2103" s="85" t="s">
        <v>630</v>
      </c>
      <c r="N2103" s="128">
        <v>92120</v>
      </c>
      <c r="O2103" s="128">
        <f t="shared" si="91"/>
        <v>0</v>
      </c>
      <c r="P2103" s="89">
        <v>276</v>
      </c>
      <c r="Q2103" t="s">
        <v>1946</v>
      </c>
      <c r="R2103" s="220" t="s">
        <v>1888</v>
      </c>
      <c r="S2103" s="220" t="s">
        <v>1861</v>
      </c>
      <c r="T2103" t="s">
        <v>1954</v>
      </c>
      <c r="U2103" t="s">
        <v>1972</v>
      </c>
      <c r="V2103" t="s">
        <v>2832</v>
      </c>
    </row>
    <row r="2104" spans="1:22" ht="15.75" thickBot="1" x14ac:dyDescent="0.3">
      <c r="A2104" t="s">
        <v>4694</v>
      </c>
      <c r="B2104" t="s">
        <v>4694</v>
      </c>
      <c r="C2104" t="s">
        <v>4694</v>
      </c>
      <c r="D2104" s="249" t="s">
        <v>1939</v>
      </c>
      <c r="E2104" s="267" t="s">
        <v>2250</v>
      </c>
      <c r="F2104" t="s">
        <v>620</v>
      </c>
      <c r="G2104" s="89">
        <v>2016</v>
      </c>
      <c r="H2104" s="341" t="s">
        <v>733</v>
      </c>
      <c r="I2104" s="337" t="str">
        <f t="shared" si="90"/>
        <v>Pesado de Mercadorias N3: Geral : Gasóleo : E6</v>
      </c>
      <c r="J2104" s="125"/>
      <c r="K2104" s="264">
        <v>2022</v>
      </c>
      <c r="L2104" s="242">
        <v>14104.279999999999</v>
      </c>
      <c r="M2104" s="85" t="s">
        <v>630</v>
      </c>
      <c r="N2104" s="128">
        <v>32990</v>
      </c>
      <c r="O2104" s="128">
        <f t="shared" si="91"/>
        <v>0</v>
      </c>
      <c r="P2104" s="89">
        <v>277</v>
      </c>
      <c r="Q2104" t="s">
        <v>1946</v>
      </c>
      <c r="R2104" s="220" t="s">
        <v>1888</v>
      </c>
      <c r="S2104" s="220" t="s">
        <v>1861</v>
      </c>
      <c r="T2104" t="s">
        <v>1954</v>
      </c>
      <c r="U2104" t="s">
        <v>1972</v>
      </c>
      <c r="V2104" t="s">
        <v>2832</v>
      </c>
    </row>
    <row r="2105" spans="1:22" ht="15.75" thickBot="1" x14ac:dyDescent="0.3">
      <c r="A2105" t="s">
        <v>4694</v>
      </c>
      <c r="B2105" t="s">
        <v>4694</v>
      </c>
      <c r="C2105" t="s">
        <v>4694</v>
      </c>
      <c r="D2105" s="249" t="s">
        <v>1939</v>
      </c>
      <c r="E2105" s="267" t="s">
        <v>2250</v>
      </c>
      <c r="F2105" t="s">
        <v>620</v>
      </c>
      <c r="G2105" s="89">
        <v>2016</v>
      </c>
      <c r="H2105" s="341" t="s">
        <v>733</v>
      </c>
      <c r="I2105" s="337" t="str">
        <f t="shared" si="90"/>
        <v>Pesado de Mercadorias N3: Geral : Gasóleo : E6</v>
      </c>
      <c r="J2105" s="125"/>
      <c r="K2105" s="264">
        <v>2022</v>
      </c>
      <c r="L2105" s="242">
        <v>39325.97</v>
      </c>
      <c r="M2105" s="85" t="s">
        <v>630</v>
      </c>
      <c r="N2105" s="128">
        <v>109868</v>
      </c>
      <c r="O2105" s="128">
        <f t="shared" si="91"/>
        <v>0</v>
      </c>
      <c r="P2105" s="89">
        <v>278</v>
      </c>
      <c r="Q2105" t="s">
        <v>1946</v>
      </c>
      <c r="R2105" s="220" t="s">
        <v>1888</v>
      </c>
      <c r="S2105" s="220" t="s">
        <v>1861</v>
      </c>
      <c r="T2105" t="s">
        <v>1954</v>
      </c>
      <c r="U2105" t="s">
        <v>1972</v>
      </c>
      <c r="V2105" t="s">
        <v>2832</v>
      </c>
    </row>
    <row r="2106" spans="1:22" ht="15.75" thickBot="1" x14ac:dyDescent="0.3">
      <c r="A2106" t="s">
        <v>4694</v>
      </c>
      <c r="B2106" t="s">
        <v>4694</v>
      </c>
      <c r="C2106" t="s">
        <v>4694</v>
      </c>
      <c r="D2106" s="249" t="s">
        <v>1939</v>
      </c>
      <c r="E2106" s="267" t="s">
        <v>2250</v>
      </c>
      <c r="F2106" t="s">
        <v>620</v>
      </c>
      <c r="G2106" s="89">
        <v>2014</v>
      </c>
      <c r="H2106" s="341" t="s">
        <v>734</v>
      </c>
      <c r="I2106" s="337" t="str">
        <f t="shared" si="90"/>
        <v>Pesado de Mercadorias N3: Geral : Gasóleo : E5</v>
      </c>
      <c r="J2106" s="125"/>
      <c r="K2106" s="264">
        <v>2022</v>
      </c>
      <c r="L2106" s="242">
        <v>35023.14</v>
      </c>
      <c r="M2106" s="85" t="s">
        <v>630</v>
      </c>
      <c r="N2106" s="128">
        <v>80044</v>
      </c>
      <c r="O2106" s="128">
        <f t="shared" si="91"/>
        <v>0</v>
      </c>
      <c r="P2106" s="89">
        <v>279</v>
      </c>
      <c r="Q2106" t="s">
        <v>1946</v>
      </c>
      <c r="R2106" s="220" t="s">
        <v>1888</v>
      </c>
      <c r="S2106" s="220" t="s">
        <v>1861</v>
      </c>
      <c r="T2106" t="s">
        <v>1954</v>
      </c>
      <c r="U2106" t="s">
        <v>1972</v>
      </c>
      <c r="V2106" t="s">
        <v>2832</v>
      </c>
    </row>
    <row r="2107" spans="1:22" ht="15.75" thickBot="1" x14ac:dyDescent="0.3">
      <c r="A2107" t="s">
        <v>4694</v>
      </c>
      <c r="B2107" t="s">
        <v>4694</v>
      </c>
      <c r="C2107" t="s">
        <v>4694</v>
      </c>
      <c r="D2107" s="249" t="s">
        <v>1939</v>
      </c>
      <c r="E2107" s="267" t="s">
        <v>2250</v>
      </c>
      <c r="F2107" t="s">
        <v>620</v>
      </c>
      <c r="G2107" s="89">
        <v>2014</v>
      </c>
      <c r="H2107" s="341" t="s">
        <v>734</v>
      </c>
      <c r="I2107" s="337" t="str">
        <f t="shared" si="90"/>
        <v>Pesado de Mercadorias N3: Geral : Gasóleo : E5</v>
      </c>
      <c r="J2107" s="125"/>
      <c r="K2107" s="264">
        <v>2022</v>
      </c>
      <c r="L2107" s="242">
        <v>34185.67</v>
      </c>
      <c r="M2107" s="85" t="s">
        <v>630</v>
      </c>
      <c r="N2107" s="128">
        <v>90150</v>
      </c>
      <c r="O2107" s="128">
        <f t="shared" si="91"/>
        <v>0</v>
      </c>
      <c r="P2107" s="89">
        <v>280</v>
      </c>
      <c r="Q2107" t="s">
        <v>1946</v>
      </c>
      <c r="R2107" s="220" t="s">
        <v>1888</v>
      </c>
      <c r="S2107" s="220" t="s">
        <v>1861</v>
      </c>
      <c r="T2107" t="s">
        <v>1954</v>
      </c>
      <c r="U2107" t="s">
        <v>1972</v>
      </c>
      <c r="V2107" t="s">
        <v>2832</v>
      </c>
    </row>
    <row r="2108" spans="1:22" ht="15.75" thickBot="1" x14ac:dyDescent="0.3">
      <c r="A2108" t="s">
        <v>4694</v>
      </c>
      <c r="B2108" t="s">
        <v>4694</v>
      </c>
      <c r="C2108" t="s">
        <v>4694</v>
      </c>
      <c r="D2108" s="249" t="s">
        <v>1939</v>
      </c>
      <c r="E2108" s="267" t="s">
        <v>2250</v>
      </c>
      <c r="F2108" t="s">
        <v>620</v>
      </c>
      <c r="G2108" s="89">
        <v>2014</v>
      </c>
      <c r="H2108" s="341" t="s">
        <v>734</v>
      </c>
      <c r="I2108" s="337" t="str">
        <f t="shared" si="90"/>
        <v>Pesado de Mercadorias N3: Geral : Gasóleo : E5</v>
      </c>
      <c r="J2108" s="125"/>
      <c r="K2108" s="264">
        <v>2022</v>
      </c>
      <c r="L2108" s="242">
        <v>36907.78</v>
      </c>
      <c r="M2108" s="85" t="s">
        <v>630</v>
      </c>
      <c r="N2108" s="128">
        <v>91009</v>
      </c>
      <c r="O2108" s="128">
        <f t="shared" si="91"/>
        <v>0</v>
      </c>
      <c r="P2108" s="89">
        <v>281</v>
      </c>
      <c r="Q2108" t="s">
        <v>1946</v>
      </c>
      <c r="R2108" s="220" t="s">
        <v>1888</v>
      </c>
      <c r="S2108" s="220" t="s">
        <v>1861</v>
      </c>
      <c r="T2108" t="s">
        <v>1954</v>
      </c>
      <c r="U2108" t="s">
        <v>1972</v>
      </c>
      <c r="V2108" t="s">
        <v>2832</v>
      </c>
    </row>
    <row r="2109" spans="1:22" ht="15.75" thickBot="1" x14ac:dyDescent="0.3">
      <c r="A2109" t="s">
        <v>4694</v>
      </c>
      <c r="B2109" t="s">
        <v>4694</v>
      </c>
      <c r="C2109" t="s">
        <v>4694</v>
      </c>
      <c r="D2109" s="249" t="s">
        <v>1939</v>
      </c>
      <c r="E2109" s="267" t="s">
        <v>2250</v>
      </c>
      <c r="F2109" t="s">
        <v>620</v>
      </c>
      <c r="G2109" s="89">
        <v>2014</v>
      </c>
      <c r="H2109" s="341" t="s">
        <v>734</v>
      </c>
      <c r="I2109" s="337" t="str">
        <f t="shared" si="90"/>
        <v>Pesado de Mercadorias N3: Geral : Gasóleo : E5</v>
      </c>
      <c r="J2109" s="125"/>
      <c r="K2109" s="264">
        <v>2022</v>
      </c>
      <c r="L2109" s="242">
        <v>31649.63</v>
      </c>
      <c r="M2109" s="85" t="s">
        <v>630</v>
      </c>
      <c r="N2109" s="128">
        <v>82691</v>
      </c>
      <c r="O2109" s="128">
        <f t="shared" si="91"/>
        <v>0</v>
      </c>
      <c r="P2109" s="89">
        <v>282</v>
      </c>
      <c r="Q2109" t="s">
        <v>1946</v>
      </c>
      <c r="R2109" s="220" t="s">
        <v>1888</v>
      </c>
      <c r="S2109" s="220" t="s">
        <v>1861</v>
      </c>
      <c r="T2109" t="s">
        <v>1954</v>
      </c>
      <c r="U2109" t="s">
        <v>1972</v>
      </c>
      <c r="V2109" t="s">
        <v>2832</v>
      </c>
    </row>
    <row r="2110" spans="1:22" ht="15.75" thickBot="1" x14ac:dyDescent="0.3">
      <c r="A2110" t="s">
        <v>4694</v>
      </c>
      <c r="B2110" t="s">
        <v>4694</v>
      </c>
      <c r="C2110" t="s">
        <v>4694</v>
      </c>
      <c r="D2110" s="249" t="s">
        <v>1939</v>
      </c>
      <c r="E2110" s="267" t="s">
        <v>2250</v>
      </c>
      <c r="F2110" t="s">
        <v>620</v>
      </c>
      <c r="G2110" s="89">
        <v>2014</v>
      </c>
      <c r="H2110" s="341" t="s">
        <v>734</v>
      </c>
      <c r="I2110" s="337" t="str">
        <f t="shared" si="90"/>
        <v>Pesado de Mercadorias N3: Geral : Gasóleo : E5</v>
      </c>
      <c r="J2110" s="125"/>
      <c r="K2110" s="264">
        <v>2022</v>
      </c>
      <c r="L2110" s="242">
        <v>34487.490000000005</v>
      </c>
      <c r="M2110" s="85" t="s">
        <v>630</v>
      </c>
      <c r="N2110" s="128">
        <v>79587</v>
      </c>
      <c r="O2110" s="128">
        <f t="shared" si="91"/>
        <v>0</v>
      </c>
      <c r="P2110" s="89">
        <v>283</v>
      </c>
      <c r="Q2110" t="s">
        <v>1946</v>
      </c>
      <c r="R2110" s="220" t="s">
        <v>1888</v>
      </c>
      <c r="S2110" s="220" t="s">
        <v>1861</v>
      </c>
      <c r="T2110" t="s">
        <v>1954</v>
      </c>
      <c r="U2110" t="s">
        <v>1972</v>
      </c>
      <c r="V2110" t="s">
        <v>2832</v>
      </c>
    </row>
    <row r="2111" spans="1:22" ht="15.75" thickBot="1" x14ac:dyDescent="0.3">
      <c r="A2111" t="s">
        <v>4694</v>
      </c>
      <c r="B2111" t="s">
        <v>4694</v>
      </c>
      <c r="C2111" t="s">
        <v>4694</v>
      </c>
      <c r="D2111" s="249" t="s">
        <v>1939</v>
      </c>
      <c r="E2111" s="267" t="s">
        <v>2250</v>
      </c>
      <c r="F2111" t="s">
        <v>620</v>
      </c>
      <c r="G2111" s="89">
        <v>2014</v>
      </c>
      <c r="H2111" s="341" t="s">
        <v>734</v>
      </c>
      <c r="I2111" s="337" t="str">
        <f t="shared" si="90"/>
        <v>Pesado de Mercadorias N3: Geral : Gasóleo : E5</v>
      </c>
      <c r="J2111" s="125"/>
      <c r="K2111" s="264">
        <v>2022</v>
      </c>
      <c r="L2111" s="242">
        <v>25330.699999999997</v>
      </c>
      <c r="M2111" s="85" t="s">
        <v>630</v>
      </c>
      <c r="N2111" s="128">
        <v>71299</v>
      </c>
      <c r="O2111" s="128">
        <f t="shared" si="91"/>
        <v>0</v>
      </c>
      <c r="P2111" s="89">
        <v>284</v>
      </c>
      <c r="Q2111" t="s">
        <v>1946</v>
      </c>
      <c r="R2111" s="220" t="s">
        <v>1888</v>
      </c>
      <c r="S2111" s="220" t="s">
        <v>1861</v>
      </c>
      <c r="T2111" t="s">
        <v>1954</v>
      </c>
      <c r="U2111" t="s">
        <v>1972</v>
      </c>
      <c r="V2111" t="s">
        <v>2832</v>
      </c>
    </row>
    <row r="2112" spans="1:22" ht="15.75" thickBot="1" x14ac:dyDescent="0.3">
      <c r="A2112" t="s">
        <v>4694</v>
      </c>
      <c r="B2112" t="s">
        <v>4694</v>
      </c>
      <c r="C2112" t="s">
        <v>4694</v>
      </c>
      <c r="D2112" s="249" t="s">
        <v>1939</v>
      </c>
      <c r="E2112" s="267" t="s">
        <v>2250</v>
      </c>
      <c r="F2112" t="s">
        <v>620</v>
      </c>
      <c r="G2112" s="89">
        <v>2014</v>
      </c>
      <c r="H2112" s="341" t="s">
        <v>734</v>
      </c>
      <c r="I2112" s="337" t="str">
        <f t="shared" si="90"/>
        <v>Pesado de Mercadorias N3: Geral : Gasóleo : E5</v>
      </c>
      <c r="J2112" s="125"/>
      <c r="K2112" s="264">
        <v>2022</v>
      </c>
      <c r="L2112" s="242">
        <v>30669.07</v>
      </c>
      <c r="M2112" s="85" t="s">
        <v>630</v>
      </c>
      <c r="N2112" s="128">
        <v>80917</v>
      </c>
      <c r="O2112" s="128">
        <f t="shared" si="91"/>
        <v>0</v>
      </c>
      <c r="P2112" s="89">
        <v>285</v>
      </c>
      <c r="Q2112" t="s">
        <v>1946</v>
      </c>
      <c r="R2112" s="220" t="s">
        <v>1888</v>
      </c>
      <c r="S2112" s="220" t="s">
        <v>1861</v>
      </c>
      <c r="T2112" t="s">
        <v>1954</v>
      </c>
      <c r="U2112" t="s">
        <v>1972</v>
      </c>
      <c r="V2112" t="s">
        <v>2832</v>
      </c>
    </row>
    <row r="2113" spans="1:22" ht="15.75" thickBot="1" x14ac:dyDescent="0.3">
      <c r="A2113" t="s">
        <v>4694</v>
      </c>
      <c r="B2113" t="s">
        <v>4694</v>
      </c>
      <c r="C2113" t="s">
        <v>4694</v>
      </c>
      <c r="D2113" s="249" t="s">
        <v>1939</v>
      </c>
      <c r="E2113" s="267" t="s">
        <v>2250</v>
      </c>
      <c r="F2113" t="s">
        <v>620</v>
      </c>
      <c r="G2113" s="89">
        <v>2014</v>
      </c>
      <c r="H2113" s="341" t="s">
        <v>734</v>
      </c>
      <c r="I2113" s="337" t="str">
        <f t="shared" si="90"/>
        <v>Pesado de Mercadorias N3: Geral : Gasóleo : E5</v>
      </c>
      <c r="J2113" s="125"/>
      <c r="K2113" s="264">
        <v>2022</v>
      </c>
      <c r="L2113" s="242">
        <v>22131.829999999998</v>
      </c>
      <c r="M2113" s="85" t="s">
        <v>630</v>
      </c>
      <c r="N2113" s="128">
        <v>59627</v>
      </c>
      <c r="O2113" s="128">
        <f t="shared" si="91"/>
        <v>0</v>
      </c>
      <c r="P2113" s="89">
        <v>286</v>
      </c>
      <c r="Q2113" t="s">
        <v>1946</v>
      </c>
      <c r="R2113" s="220" t="s">
        <v>1888</v>
      </c>
      <c r="S2113" s="220" t="s">
        <v>1861</v>
      </c>
      <c r="T2113" t="s">
        <v>1954</v>
      </c>
      <c r="U2113" t="s">
        <v>1972</v>
      </c>
      <c r="V2113" t="s">
        <v>2832</v>
      </c>
    </row>
    <row r="2114" spans="1:22" ht="15.75" thickBot="1" x14ac:dyDescent="0.3">
      <c r="A2114" t="s">
        <v>4694</v>
      </c>
      <c r="B2114" t="s">
        <v>4694</v>
      </c>
      <c r="C2114" t="s">
        <v>4694</v>
      </c>
      <c r="D2114" s="249" t="s">
        <v>1939</v>
      </c>
      <c r="E2114" s="267" t="s">
        <v>2250</v>
      </c>
      <c r="F2114" t="s">
        <v>620</v>
      </c>
      <c r="G2114" s="89">
        <v>2014</v>
      </c>
      <c r="H2114" s="341" t="s">
        <v>734</v>
      </c>
      <c r="I2114" s="337" t="str">
        <f t="shared" si="90"/>
        <v>Pesado de Mercadorias N3: Geral : Gasóleo : E5</v>
      </c>
      <c r="J2114" s="125"/>
      <c r="K2114" s="264">
        <v>2022</v>
      </c>
      <c r="L2114" s="242">
        <v>36631.339999999997</v>
      </c>
      <c r="M2114" s="85" t="s">
        <v>630</v>
      </c>
      <c r="N2114" s="128">
        <v>90366</v>
      </c>
      <c r="O2114" s="128">
        <f t="shared" si="91"/>
        <v>0</v>
      </c>
      <c r="P2114" s="89">
        <v>287</v>
      </c>
      <c r="Q2114" t="s">
        <v>1946</v>
      </c>
      <c r="R2114" s="220" t="s">
        <v>1888</v>
      </c>
      <c r="S2114" s="220" t="s">
        <v>1861</v>
      </c>
      <c r="T2114" t="s">
        <v>1954</v>
      </c>
      <c r="U2114" t="s">
        <v>1972</v>
      </c>
      <c r="V2114" t="s">
        <v>2832</v>
      </c>
    </row>
    <row r="2115" spans="1:22" ht="15.75" thickBot="1" x14ac:dyDescent="0.3">
      <c r="A2115" t="s">
        <v>4694</v>
      </c>
      <c r="B2115" t="s">
        <v>4694</v>
      </c>
      <c r="C2115" t="s">
        <v>4694</v>
      </c>
      <c r="D2115" s="249" t="s">
        <v>1939</v>
      </c>
      <c r="E2115" s="267" t="s">
        <v>2250</v>
      </c>
      <c r="F2115" t="s">
        <v>620</v>
      </c>
      <c r="G2115" s="89">
        <v>2014</v>
      </c>
      <c r="H2115" s="341" t="s">
        <v>734</v>
      </c>
      <c r="I2115" s="337" t="str">
        <f t="shared" si="90"/>
        <v>Pesado de Mercadorias N3: Geral : Gasóleo : E5</v>
      </c>
      <c r="J2115" s="125"/>
      <c r="K2115" s="264">
        <v>2022</v>
      </c>
      <c r="L2115" s="242">
        <v>18483.949999999993</v>
      </c>
      <c r="M2115" s="85" t="s">
        <v>630</v>
      </c>
      <c r="N2115" s="128">
        <v>39369</v>
      </c>
      <c r="O2115" s="128">
        <f t="shared" si="91"/>
        <v>0</v>
      </c>
      <c r="P2115" s="89">
        <v>288</v>
      </c>
      <c r="Q2115" t="s">
        <v>1946</v>
      </c>
      <c r="R2115" s="220" t="s">
        <v>1888</v>
      </c>
      <c r="S2115" s="220" t="s">
        <v>1861</v>
      </c>
      <c r="T2115" t="s">
        <v>1954</v>
      </c>
      <c r="U2115" t="s">
        <v>1972</v>
      </c>
      <c r="V2115" t="s">
        <v>2832</v>
      </c>
    </row>
    <row r="2116" spans="1:22" ht="15.75" thickBot="1" x14ac:dyDescent="0.3">
      <c r="A2116" t="s">
        <v>4694</v>
      </c>
      <c r="B2116" t="s">
        <v>4694</v>
      </c>
      <c r="C2116" t="s">
        <v>4694</v>
      </c>
      <c r="D2116" s="249" t="s">
        <v>1939</v>
      </c>
      <c r="E2116" s="267" t="s">
        <v>2250</v>
      </c>
      <c r="F2116" t="s">
        <v>620</v>
      </c>
      <c r="G2116" s="89">
        <v>2018</v>
      </c>
      <c r="H2116" s="341" t="s">
        <v>733</v>
      </c>
      <c r="I2116" s="337" t="str">
        <f t="shared" ref="I2116:I2179" si="92">D2116&amp;": "&amp;E2116&amp;" : "&amp;F2116&amp;" : "&amp;H2116</f>
        <v>Pesado de Mercadorias N3: Geral : Gasóleo : E6</v>
      </c>
      <c r="J2116" s="125"/>
      <c r="K2116" s="264">
        <v>2022</v>
      </c>
      <c r="L2116" s="242">
        <v>56284.259999999987</v>
      </c>
      <c r="M2116" s="85" t="s">
        <v>630</v>
      </c>
      <c r="N2116" s="128">
        <v>155973</v>
      </c>
      <c r="O2116" s="128">
        <f t="shared" ref="O2116:O2179" si="93">N2116*J2116</f>
        <v>0</v>
      </c>
      <c r="P2116" s="89">
        <v>289</v>
      </c>
      <c r="Q2116" t="s">
        <v>1946</v>
      </c>
      <c r="R2116" s="220" t="s">
        <v>1888</v>
      </c>
      <c r="S2116" s="220" t="s">
        <v>1861</v>
      </c>
      <c r="T2116" t="s">
        <v>1954</v>
      </c>
      <c r="U2116" t="s">
        <v>1972</v>
      </c>
      <c r="V2116" t="s">
        <v>2832</v>
      </c>
    </row>
    <row r="2117" spans="1:22" ht="15.75" thickBot="1" x14ac:dyDescent="0.3">
      <c r="A2117" t="s">
        <v>4694</v>
      </c>
      <c r="B2117" t="s">
        <v>4694</v>
      </c>
      <c r="C2117" t="s">
        <v>4694</v>
      </c>
      <c r="D2117" s="249" t="s">
        <v>1939</v>
      </c>
      <c r="E2117" s="267" t="s">
        <v>2250</v>
      </c>
      <c r="F2117" t="s">
        <v>620</v>
      </c>
      <c r="G2117" s="89">
        <v>2018</v>
      </c>
      <c r="H2117" s="341" t="s">
        <v>733</v>
      </c>
      <c r="I2117" s="337" t="str">
        <f t="shared" si="92"/>
        <v>Pesado de Mercadorias N3: Geral : Gasóleo : E6</v>
      </c>
      <c r="J2117" s="125"/>
      <c r="K2117" s="264">
        <v>2022</v>
      </c>
      <c r="L2117" s="242">
        <v>48635.77</v>
      </c>
      <c r="M2117" s="85" t="s">
        <v>630</v>
      </c>
      <c r="N2117" s="128">
        <v>143779</v>
      </c>
      <c r="O2117" s="128">
        <f t="shared" si="93"/>
        <v>0</v>
      </c>
      <c r="P2117" s="89">
        <v>290</v>
      </c>
      <c r="Q2117" t="s">
        <v>1946</v>
      </c>
      <c r="R2117" s="220" t="s">
        <v>1888</v>
      </c>
      <c r="S2117" s="220" t="s">
        <v>1861</v>
      </c>
      <c r="T2117" t="s">
        <v>1954</v>
      </c>
      <c r="U2117" t="s">
        <v>1972</v>
      </c>
      <c r="V2117" t="s">
        <v>2832</v>
      </c>
    </row>
    <row r="2118" spans="1:22" ht="15.75" thickBot="1" x14ac:dyDescent="0.3">
      <c r="A2118" t="s">
        <v>4694</v>
      </c>
      <c r="B2118" t="s">
        <v>4694</v>
      </c>
      <c r="C2118" t="s">
        <v>4694</v>
      </c>
      <c r="D2118" s="249" t="s">
        <v>1939</v>
      </c>
      <c r="E2118" s="267" t="s">
        <v>2250</v>
      </c>
      <c r="F2118" t="s">
        <v>620</v>
      </c>
      <c r="G2118" s="89">
        <v>2018</v>
      </c>
      <c r="H2118" s="341" t="s">
        <v>733</v>
      </c>
      <c r="I2118" s="337" t="str">
        <f t="shared" si="92"/>
        <v>Pesado de Mercadorias N3: Geral : Gasóleo : E6</v>
      </c>
      <c r="J2118" s="125"/>
      <c r="K2118" s="264">
        <v>2022</v>
      </c>
      <c r="L2118" s="242">
        <v>46321.26</v>
      </c>
      <c r="M2118" s="85" t="s">
        <v>630</v>
      </c>
      <c r="N2118" s="128">
        <v>132380</v>
      </c>
      <c r="O2118" s="128">
        <f t="shared" si="93"/>
        <v>0</v>
      </c>
      <c r="P2118" s="89">
        <v>291</v>
      </c>
      <c r="Q2118" t="s">
        <v>1946</v>
      </c>
      <c r="R2118" s="220" t="s">
        <v>1888</v>
      </c>
      <c r="S2118" s="220" t="s">
        <v>1861</v>
      </c>
      <c r="T2118" t="s">
        <v>1954</v>
      </c>
      <c r="U2118" t="s">
        <v>1972</v>
      </c>
      <c r="V2118" t="s">
        <v>2832</v>
      </c>
    </row>
    <row r="2119" spans="1:22" ht="15.75" thickBot="1" x14ac:dyDescent="0.3">
      <c r="A2119" t="s">
        <v>4694</v>
      </c>
      <c r="B2119" t="s">
        <v>4694</v>
      </c>
      <c r="C2119" t="s">
        <v>4694</v>
      </c>
      <c r="D2119" s="249" t="s">
        <v>1939</v>
      </c>
      <c r="E2119" s="267" t="s">
        <v>2250</v>
      </c>
      <c r="F2119" t="s">
        <v>620</v>
      </c>
      <c r="G2119" s="89">
        <v>2018</v>
      </c>
      <c r="H2119" s="341" t="s">
        <v>733</v>
      </c>
      <c r="I2119" s="337" t="str">
        <f t="shared" si="92"/>
        <v>Pesado de Mercadorias N3: Geral : Gasóleo : E6</v>
      </c>
      <c r="J2119" s="125"/>
      <c r="K2119" s="264">
        <v>2022</v>
      </c>
      <c r="L2119" s="242">
        <v>47351.26999999999</v>
      </c>
      <c r="M2119" s="85" t="s">
        <v>630</v>
      </c>
      <c r="N2119" s="128">
        <v>131770</v>
      </c>
      <c r="O2119" s="128">
        <f t="shared" si="93"/>
        <v>0</v>
      </c>
      <c r="P2119" s="89">
        <v>292</v>
      </c>
      <c r="Q2119" t="s">
        <v>1946</v>
      </c>
      <c r="R2119" s="220" t="s">
        <v>1888</v>
      </c>
      <c r="S2119" s="220" t="s">
        <v>1861</v>
      </c>
      <c r="T2119" t="s">
        <v>1954</v>
      </c>
      <c r="U2119" t="s">
        <v>1972</v>
      </c>
      <c r="V2119" t="s">
        <v>2832</v>
      </c>
    </row>
    <row r="2120" spans="1:22" ht="15.75" thickBot="1" x14ac:dyDescent="0.3">
      <c r="A2120" t="s">
        <v>4694</v>
      </c>
      <c r="B2120" t="s">
        <v>4694</v>
      </c>
      <c r="C2120" t="s">
        <v>4694</v>
      </c>
      <c r="D2120" s="249" t="s">
        <v>1939</v>
      </c>
      <c r="E2120" s="267" t="s">
        <v>2250</v>
      </c>
      <c r="F2120" t="s">
        <v>620</v>
      </c>
      <c r="G2120" s="89">
        <v>2018</v>
      </c>
      <c r="H2120" s="341" t="s">
        <v>733</v>
      </c>
      <c r="I2120" s="337" t="str">
        <f t="shared" si="92"/>
        <v>Pesado de Mercadorias N3: Geral : Gasóleo : E6</v>
      </c>
      <c r="J2120" s="125"/>
      <c r="K2120" s="264">
        <v>2022</v>
      </c>
      <c r="L2120" s="242">
        <v>36715.67000000002</v>
      </c>
      <c r="M2120" s="85" t="s">
        <v>630</v>
      </c>
      <c r="N2120" s="128">
        <v>124769</v>
      </c>
      <c r="O2120" s="128">
        <f t="shared" si="93"/>
        <v>0</v>
      </c>
      <c r="P2120" s="89">
        <v>293</v>
      </c>
      <c r="Q2120" t="s">
        <v>1946</v>
      </c>
      <c r="R2120" s="220" t="s">
        <v>1888</v>
      </c>
      <c r="S2120" s="220" t="s">
        <v>1861</v>
      </c>
      <c r="T2120" t="s">
        <v>1954</v>
      </c>
      <c r="U2120" t="s">
        <v>1972</v>
      </c>
      <c r="V2120" t="s">
        <v>2832</v>
      </c>
    </row>
    <row r="2121" spans="1:22" ht="15.75" thickBot="1" x14ac:dyDescent="0.3">
      <c r="A2121" t="s">
        <v>4694</v>
      </c>
      <c r="B2121" t="s">
        <v>4694</v>
      </c>
      <c r="C2121" t="s">
        <v>4694</v>
      </c>
      <c r="D2121" s="249" t="s">
        <v>1939</v>
      </c>
      <c r="E2121" s="267" t="s">
        <v>2250</v>
      </c>
      <c r="F2121" t="s">
        <v>620</v>
      </c>
      <c r="G2121" s="89">
        <v>2018</v>
      </c>
      <c r="H2121" s="341" t="s">
        <v>733</v>
      </c>
      <c r="I2121" s="337" t="str">
        <f t="shared" si="92"/>
        <v>Pesado de Mercadorias N3: Geral : Gasóleo : E6</v>
      </c>
      <c r="J2121" s="125"/>
      <c r="K2121" s="264">
        <v>2022</v>
      </c>
      <c r="L2121" s="242">
        <v>57149.950000000004</v>
      </c>
      <c r="M2121" s="85" t="s">
        <v>630</v>
      </c>
      <c r="N2121" s="128">
        <v>162732</v>
      </c>
      <c r="O2121" s="128">
        <f t="shared" si="93"/>
        <v>0</v>
      </c>
      <c r="P2121" s="89">
        <v>294</v>
      </c>
      <c r="Q2121" t="s">
        <v>1946</v>
      </c>
      <c r="R2121" s="220" t="s">
        <v>1888</v>
      </c>
      <c r="S2121" s="220" t="s">
        <v>1861</v>
      </c>
      <c r="T2121" t="s">
        <v>1954</v>
      </c>
      <c r="U2121" t="s">
        <v>1972</v>
      </c>
      <c r="V2121" t="s">
        <v>2832</v>
      </c>
    </row>
    <row r="2122" spans="1:22" ht="15.75" thickBot="1" x14ac:dyDescent="0.3">
      <c r="A2122" t="s">
        <v>4694</v>
      </c>
      <c r="B2122" t="s">
        <v>4694</v>
      </c>
      <c r="C2122" t="s">
        <v>4694</v>
      </c>
      <c r="D2122" s="249" t="s">
        <v>1939</v>
      </c>
      <c r="E2122" s="267" t="s">
        <v>2250</v>
      </c>
      <c r="F2122" t="s">
        <v>620</v>
      </c>
      <c r="G2122" s="89">
        <v>2018</v>
      </c>
      <c r="H2122" s="341" t="s">
        <v>733</v>
      </c>
      <c r="I2122" s="337" t="str">
        <f t="shared" si="92"/>
        <v>Pesado de Mercadorias N3: Geral : Gasóleo : E6</v>
      </c>
      <c r="J2122" s="125"/>
      <c r="K2122" s="264">
        <v>2022</v>
      </c>
      <c r="L2122" s="242">
        <v>48015.729999999989</v>
      </c>
      <c r="M2122" s="85" t="s">
        <v>630</v>
      </c>
      <c r="N2122" s="128">
        <v>139034</v>
      </c>
      <c r="O2122" s="128">
        <f t="shared" si="93"/>
        <v>0</v>
      </c>
      <c r="P2122" s="89">
        <v>295</v>
      </c>
      <c r="Q2122" t="s">
        <v>1946</v>
      </c>
      <c r="R2122" s="220" t="s">
        <v>1888</v>
      </c>
      <c r="S2122" s="220" t="s">
        <v>1861</v>
      </c>
      <c r="T2122" t="s">
        <v>1954</v>
      </c>
      <c r="U2122" t="s">
        <v>1972</v>
      </c>
      <c r="V2122" t="s">
        <v>2832</v>
      </c>
    </row>
    <row r="2123" spans="1:22" ht="15.75" thickBot="1" x14ac:dyDescent="0.3">
      <c r="A2123" t="s">
        <v>4694</v>
      </c>
      <c r="B2123" t="s">
        <v>4694</v>
      </c>
      <c r="C2123" t="s">
        <v>4694</v>
      </c>
      <c r="D2123" s="249" t="s">
        <v>1939</v>
      </c>
      <c r="E2123" s="267" t="s">
        <v>2250</v>
      </c>
      <c r="F2123" t="s">
        <v>620</v>
      </c>
      <c r="G2123" s="89">
        <v>2018</v>
      </c>
      <c r="H2123" s="341" t="s">
        <v>733</v>
      </c>
      <c r="I2123" s="337" t="str">
        <f t="shared" si="92"/>
        <v>Pesado de Mercadorias N3: Geral : Gasóleo : E6</v>
      </c>
      <c r="J2123" s="125"/>
      <c r="K2123" s="264">
        <v>2022</v>
      </c>
      <c r="L2123" s="242">
        <v>48764.700000000004</v>
      </c>
      <c r="M2123" s="85" t="s">
        <v>630</v>
      </c>
      <c r="N2123" s="128">
        <v>134182</v>
      </c>
      <c r="O2123" s="128">
        <f t="shared" si="93"/>
        <v>0</v>
      </c>
      <c r="P2123" s="89">
        <v>296</v>
      </c>
      <c r="Q2123" t="s">
        <v>1946</v>
      </c>
      <c r="R2123" s="220" t="s">
        <v>1888</v>
      </c>
      <c r="S2123" s="220" t="s">
        <v>1861</v>
      </c>
      <c r="T2123" t="s">
        <v>1954</v>
      </c>
      <c r="U2123" t="s">
        <v>1972</v>
      </c>
      <c r="V2123" t="s">
        <v>2832</v>
      </c>
    </row>
    <row r="2124" spans="1:22" ht="15.75" thickBot="1" x14ac:dyDescent="0.3">
      <c r="A2124" t="s">
        <v>4694</v>
      </c>
      <c r="B2124" t="s">
        <v>4694</v>
      </c>
      <c r="C2124" t="s">
        <v>4694</v>
      </c>
      <c r="D2124" s="249" t="s">
        <v>1939</v>
      </c>
      <c r="E2124" s="267" t="s">
        <v>2250</v>
      </c>
      <c r="F2124" t="s">
        <v>620</v>
      </c>
      <c r="G2124" s="89">
        <v>2018</v>
      </c>
      <c r="H2124" s="341" t="s">
        <v>733</v>
      </c>
      <c r="I2124" s="337" t="str">
        <f t="shared" si="92"/>
        <v>Pesado de Mercadorias N3: Geral : Gasóleo : E6</v>
      </c>
      <c r="J2124" s="125"/>
      <c r="K2124" s="264">
        <v>2022</v>
      </c>
      <c r="L2124" s="242">
        <v>60045.24</v>
      </c>
      <c r="M2124" s="85" t="s">
        <v>630</v>
      </c>
      <c r="N2124" s="128">
        <v>177396</v>
      </c>
      <c r="O2124" s="128">
        <f t="shared" si="93"/>
        <v>0</v>
      </c>
      <c r="P2124" s="89">
        <v>297</v>
      </c>
      <c r="Q2124" t="s">
        <v>1946</v>
      </c>
      <c r="R2124" s="220" t="s">
        <v>1888</v>
      </c>
      <c r="S2124" s="220" t="s">
        <v>1861</v>
      </c>
      <c r="T2124" t="s">
        <v>1954</v>
      </c>
      <c r="U2124" t="s">
        <v>1972</v>
      </c>
      <c r="V2124" t="s">
        <v>2832</v>
      </c>
    </row>
    <row r="2125" spans="1:22" ht="15.75" thickBot="1" x14ac:dyDescent="0.3">
      <c r="A2125" t="s">
        <v>4694</v>
      </c>
      <c r="B2125" t="s">
        <v>4694</v>
      </c>
      <c r="C2125" t="s">
        <v>4694</v>
      </c>
      <c r="D2125" s="249" t="s">
        <v>1939</v>
      </c>
      <c r="E2125" s="267" t="s">
        <v>2250</v>
      </c>
      <c r="F2125" t="s">
        <v>620</v>
      </c>
      <c r="G2125" s="89">
        <v>2018</v>
      </c>
      <c r="H2125" s="341" t="s">
        <v>733</v>
      </c>
      <c r="I2125" s="337" t="str">
        <f t="shared" si="92"/>
        <v>Pesado de Mercadorias N3: Geral : Gasóleo : E6</v>
      </c>
      <c r="J2125" s="125"/>
      <c r="K2125" s="264">
        <v>2022</v>
      </c>
      <c r="L2125" s="242">
        <v>56604.590000000018</v>
      </c>
      <c r="M2125" s="85" t="s">
        <v>630</v>
      </c>
      <c r="N2125" s="128">
        <v>183365</v>
      </c>
      <c r="O2125" s="128">
        <f t="shared" si="93"/>
        <v>0</v>
      </c>
      <c r="P2125" s="89">
        <v>298</v>
      </c>
      <c r="Q2125" t="s">
        <v>1946</v>
      </c>
      <c r="R2125" s="220" t="s">
        <v>1888</v>
      </c>
      <c r="S2125" s="220" t="s">
        <v>1861</v>
      </c>
      <c r="T2125" t="s">
        <v>1954</v>
      </c>
      <c r="U2125" t="s">
        <v>1972</v>
      </c>
      <c r="V2125" t="s">
        <v>2832</v>
      </c>
    </row>
    <row r="2126" spans="1:22" ht="15.75" thickBot="1" x14ac:dyDescent="0.3">
      <c r="A2126" t="s">
        <v>4693</v>
      </c>
      <c r="B2126" t="s">
        <v>4693</v>
      </c>
      <c r="C2126" t="s">
        <v>4693</v>
      </c>
      <c r="D2126" t="s">
        <v>629</v>
      </c>
      <c r="E2126" s="259" t="s">
        <v>1970</v>
      </c>
      <c r="F2126" t="s">
        <v>620</v>
      </c>
      <c r="G2126" s="89">
        <v>1999</v>
      </c>
      <c r="H2126" s="341" t="s">
        <v>735</v>
      </c>
      <c r="I2126" s="337" t="str">
        <f t="shared" si="92"/>
        <v>Pesado de Passageiros M3: I : Gasóleo : E2</v>
      </c>
      <c r="J2126" s="125">
        <v>119</v>
      </c>
      <c r="K2126" s="264">
        <v>2022</v>
      </c>
      <c r="L2126" s="85">
        <v>10921.571000000004</v>
      </c>
      <c r="M2126" s="85" t="s">
        <v>630</v>
      </c>
      <c r="N2126" s="128">
        <v>22914.375</v>
      </c>
      <c r="O2126" s="128">
        <f t="shared" si="93"/>
        <v>2726810.625</v>
      </c>
      <c r="P2126" s="89">
        <v>243</v>
      </c>
      <c r="Q2126" t="s">
        <v>47</v>
      </c>
      <c r="R2126" s="220" t="s">
        <v>1888</v>
      </c>
      <c r="S2126" s="220" t="s">
        <v>1861</v>
      </c>
      <c r="U2126" t="s">
        <v>1972</v>
      </c>
      <c r="V2126" t="s">
        <v>2832</v>
      </c>
    </row>
    <row r="2127" spans="1:22" ht="15.75" thickBot="1" x14ac:dyDescent="0.3">
      <c r="A2127" t="s">
        <v>4693</v>
      </c>
      <c r="B2127" t="s">
        <v>4693</v>
      </c>
      <c r="C2127" t="s">
        <v>4693</v>
      </c>
      <c r="D2127" t="s">
        <v>629</v>
      </c>
      <c r="E2127" s="259" t="s">
        <v>1970</v>
      </c>
      <c r="F2127" t="s">
        <v>620</v>
      </c>
      <c r="G2127" s="89">
        <v>1999</v>
      </c>
      <c r="H2127" s="341" t="s">
        <v>735</v>
      </c>
      <c r="I2127" s="337" t="str">
        <f t="shared" si="92"/>
        <v>Pesado de Passageiros M3: I : Gasóleo : E2</v>
      </c>
      <c r="J2127" s="125">
        <v>119</v>
      </c>
      <c r="K2127" s="264">
        <v>2022</v>
      </c>
      <c r="L2127" s="85">
        <v>16157.239999999994</v>
      </c>
      <c r="M2127" s="85" t="s">
        <v>630</v>
      </c>
      <c r="N2127" s="128">
        <v>29831.515245729941</v>
      </c>
      <c r="O2127" s="128">
        <f t="shared" si="93"/>
        <v>3549950.3142418629</v>
      </c>
      <c r="P2127" s="89">
        <v>244</v>
      </c>
      <c r="Q2127" t="s">
        <v>47</v>
      </c>
      <c r="R2127" s="220" t="s">
        <v>1888</v>
      </c>
      <c r="S2127" s="220" t="s">
        <v>1861</v>
      </c>
      <c r="U2127" t="s">
        <v>1972</v>
      </c>
      <c r="V2127" t="s">
        <v>2832</v>
      </c>
    </row>
    <row r="2128" spans="1:22" ht="15.75" thickBot="1" x14ac:dyDescent="0.3">
      <c r="A2128" t="s">
        <v>4693</v>
      </c>
      <c r="B2128" t="s">
        <v>4693</v>
      </c>
      <c r="C2128" t="s">
        <v>4693</v>
      </c>
      <c r="D2128" t="s">
        <v>629</v>
      </c>
      <c r="E2128" s="259" t="s">
        <v>1970</v>
      </c>
      <c r="F2128" t="s">
        <v>620</v>
      </c>
      <c r="G2128" s="89">
        <v>2000</v>
      </c>
      <c r="H2128" s="341" t="s">
        <v>735</v>
      </c>
      <c r="I2128" s="337" t="str">
        <f t="shared" si="92"/>
        <v>Pesado de Passageiros M3: I : Gasóleo : E2</v>
      </c>
      <c r="J2128" s="125">
        <v>119</v>
      </c>
      <c r="K2128" s="264">
        <v>2022</v>
      </c>
      <c r="L2128" s="85">
        <v>15167.150000000003</v>
      </c>
      <c r="M2128" s="85" t="s">
        <v>630</v>
      </c>
      <c r="N2128" s="128">
        <v>26415.375</v>
      </c>
      <c r="O2128" s="128">
        <f t="shared" si="93"/>
        <v>3143429.625</v>
      </c>
      <c r="P2128" s="89">
        <v>256</v>
      </c>
      <c r="Q2128" t="s">
        <v>47</v>
      </c>
      <c r="R2128" s="220" t="s">
        <v>1888</v>
      </c>
      <c r="S2128" s="220" t="s">
        <v>1861</v>
      </c>
      <c r="U2128" t="s">
        <v>1972</v>
      </c>
      <c r="V2128" t="s">
        <v>2832</v>
      </c>
    </row>
    <row r="2129" spans="1:22" ht="15.75" thickBot="1" x14ac:dyDescent="0.3">
      <c r="A2129" t="s">
        <v>4693</v>
      </c>
      <c r="B2129" t="s">
        <v>4693</v>
      </c>
      <c r="C2129" t="s">
        <v>4693</v>
      </c>
      <c r="D2129" t="s">
        <v>629</v>
      </c>
      <c r="E2129" s="259" t="s">
        <v>1970</v>
      </c>
      <c r="F2129" t="s">
        <v>620</v>
      </c>
      <c r="G2129" s="89">
        <v>2000</v>
      </c>
      <c r="H2129" s="341" t="s">
        <v>735</v>
      </c>
      <c r="I2129" s="337" t="str">
        <f t="shared" si="92"/>
        <v>Pesado de Passageiros M3: I : Gasóleo : E2</v>
      </c>
      <c r="J2129" s="125">
        <v>119</v>
      </c>
      <c r="K2129" s="264">
        <v>2022</v>
      </c>
      <c r="L2129" s="85">
        <v>11406.189999999999</v>
      </c>
      <c r="M2129" s="85" t="s">
        <v>630</v>
      </c>
      <c r="N2129" s="128">
        <v>22139.375</v>
      </c>
      <c r="O2129" s="128">
        <f t="shared" si="93"/>
        <v>2634585.625</v>
      </c>
      <c r="P2129" s="89">
        <v>257</v>
      </c>
      <c r="Q2129" t="s">
        <v>47</v>
      </c>
      <c r="R2129" s="220" t="s">
        <v>1888</v>
      </c>
      <c r="S2129" s="220" t="s">
        <v>1861</v>
      </c>
      <c r="U2129" t="s">
        <v>1972</v>
      </c>
      <c r="V2129" t="s">
        <v>2832</v>
      </c>
    </row>
    <row r="2130" spans="1:22" ht="15.75" thickBot="1" x14ac:dyDescent="0.3">
      <c r="A2130" t="s">
        <v>4693</v>
      </c>
      <c r="B2130" t="s">
        <v>4693</v>
      </c>
      <c r="C2130" t="s">
        <v>4693</v>
      </c>
      <c r="D2130" t="s">
        <v>629</v>
      </c>
      <c r="E2130" s="259" t="s">
        <v>1970</v>
      </c>
      <c r="F2130" t="s">
        <v>620</v>
      </c>
      <c r="G2130" s="89">
        <v>2000</v>
      </c>
      <c r="H2130" s="341" t="s">
        <v>735</v>
      </c>
      <c r="I2130" s="337" t="str">
        <f t="shared" si="92"/>
        <v>Pesado de Passageiros M3: I : Gasóleo : E2</v>
      </c>
      <c r="J2130" s="125">
        <v>119</v>
      </c>
      <c r="K2130" s="264">
        <v>2022</v>
      </c>
      <c r="L2130" s="85">
        <v>14080.55</v>
      </c>
      <c r="M2130" s="85" t="s">
        <v>630</v>
      </c>
      <c r="N2130" s="128">
        <v>29209.375</v>
      </c>
      <c r="O2130" s="128">
        <f t="shared" si="93"/>
        <v>3475915.625</v>
      </c>
      <c r="P2130" s="89">
        <v>258</v>
      </c>
      <c r="Q2130" t="s">
        <v>47</v>
      </c>
      <c r="R2130" s="220" t="s">
        <v>1888</v>
      </c>
      <c r="S2130" s="220" t="s">
        <v>1861</v>
      </c>
      <c r="U2130" t="s">
        <v>1972</v>
      </c>
      <c r="V2130" t="s">
        <v>2832</v>
      </c>
    </row>
    <row r="2131" spans="1:22" ht="15.75" thickBot="1" x14ac:dyDescent="0.3">
      <c r="A2131" t="s">
        <v>4693</v>
      </c>
      <c r="B2131" t="s">
        <v>4693</v>
      </c>
      <c r="C2131" t="s">
        <v>4693</v>
      </c>
      <c r="D2131" t="s">
        <v>629</v>
      </c>
      <c r="E2131" s="259" t="s">
        <v>1970</v>
      </c>
      <c r="F2131" t="s">
        <v>620</v>
      </c>
      <c r="G2131" s="89">
        <v>2000</v>
      </c>
      <c r="H2131" s="341" t="s">
        <v>735</v>
      </c>
      <c r="I2131" s="337" t="str">
        <f t="shared" si="92"/>
        <v>Pesado de Passageiros M3: I : Gasóleo : E2</v>
      </c>
      <c r="J2131" s="125">
        <v>119</v>
      </c>
      <c r="K2131" s="264">
        <v>2022</v>
      </c>
      <c r="L2131" s="85">
        <v>11121.47</v>
      </c>
      <c r="M2131" s="85" t="s">
        <v>630</v>
      </c>
      <c r="N2131" s="128">
        <v>19896.375</v>
      </c>
      <c r="O2131" s="128">
        <f t="shared" si="93"/>
        <v>2367668.625</v>
      </c>
      <c r="P2131" s="89">
        <v>259</v>
      </c>
      <c r="Q2131" t="s">
        <v>47</v>
      </c>
      <c r="R2131" s="220" t="s">
        <v>1888</v>
      </c>
      <c r="S2131" s="220" t="s">
        <v>1861</v>
      </c>
      <c r="U2131" t="s">
        <v>1972</v>
      </c>
      <c r="V2131" t="s">
        <v>2832</v>
      </c>
    </row>
    <row r="2132" spans="1:22" ht="15.75" thickBot="1" x14ac:dyDescent="0.3">
      <c r="A2132" t="s">
        <v>4693</v>
      </c>
      <c r="B2132" t="s">
        <v>4693</v>
      </c>
      <c r="C2132" t="s">
        <v>4693</v>
      </c>
      <c r="D2132" t="s">
        <v>629</v>
      </c>
      <c r="E2132" s="259" t="s">
        <v>1970</v>
      </c>
      <c r="F2132" t="s">
        <v>620</v>
      </c>
      <c r="G2132" s="89">
        <v>2006</v>
      </c>
      <c r="H2132" s="341" t="s">
        <v>732</v>
      </c>
      <c r="I2132" s="337" t="str">
        <f t="shared" si="92"/>
        <v>Pesado de Passageiros M3: I : Gasóleo : E3</v>
      </c>
      <c r="J2132" s="125">
        <v>57</v>
      </c>
      <c r="K2132" s="264">
        <v>2022</v>
      </c>
      <c r="L2132" s="85">
        <v>24261.269999999993</v>
      </c>
      <c r="M2132" s="85" t="s">
        <v>630</v>
      </c>
      <c r="N2132" s="128">
        <v>54748.375</v>
      </c>
      <c r="O2132" s="128">
        <f t="shared" si="93"/>
        <v>3120657.375</v>
      </c>
      <c r="P2132" s="89">
        <v>625</v>
      </c>
      <c r="Q2132" t="s">
        <v>47</v>
      </c>
      <c r="R2132" s="220" t="s">
        <v>1888</v>
      </c>
      <c r="S2132" s="220" t="s">
        <v>1861</v>
      </c>
      <c r="U2132" t="s">
        <v>1972</v>
      </c>
      <c r="V2132" t="s">
        <v>2832</v>
      </c>
    </row>
    <row r="2133" spans="1:22" ht="15.75" thickBot="1" x14ac:dyDescent="0.3">
      <c r="A2133" t="s">
        <v>4693</v>
      </c>
      <c r="B2133" t="s">
        <v>4693</v>
      </c>
      <c r="C2133" t="s">
        <v>4693</v>
      </c>
      <c r="D2133" t="s">
        <v>629</v>
      </c>
      <c r="E2133" s="259" t="s">
        <v>1970</v>
      </c>
      <c r="F2133" t="s">
        <v>620</v>
      </c>
      <c r="G2133" s="89">
        <v>2006</v>
      </c>
      <c r="H2133" s="341" t="s">
        <v>732</v>
      </c>
      <c r="I2133" s="337" t="str">
        <f t="shared" si="92"/>
        <v>Pesado de Passageiros M3: I : Gasóleo : E3</v>
      </c>
      <c r="J2133" s="125">
        <v>57</v>
      </c>
      <c r="K2133" s="264">
        <v>2022</v>
      </c>
      <c r="L2133" s="85">
        <v>23162.230000000007</v>
      </c>
      <c r="M2133" s="85" t="s">
        <v>630</v>
      </c>
      <c r="N2133" s="128">
        <v>46608.136467889854</v>
      </c>
      <c r="O2133" s="128">
        <f t="shared" si="93"/>
        <v>2656663.7786697214</v>
      </c>
      <c r="P2133" s="89">
        <v>626</v>
      </c>
      <c r="Q2133" t="s">
        <v>47</v>
      </c>
      <c r="R2133" s="220" t="s">
        <v>1888</v>
      </c>
      <c r="S2133" s="220" t="s">
        <v>1861</v>
      </c>
      <c r="U2133" t="s">
        <v>1972</v>
      </c>
      <c r="V2133" t="s">
        <v>2832</v>
      </c>
    </row>
    <row r="2134" spans="1:22" ht="15.75" thickBot="1" x14ac:dyDescent="0.3">
      <c r="A2134" t="s">
        <v>4693</v>
      </c>
      <c r="B2134" t="s">
        <v>4693</v>
      </c>
      <c r="C2134" t="s">
        <v>4693</v>
      </c>
      <c r="D2134" t="s">
        <v>629</v>
      </c>
      <c r="E2134" s="259" t="s">
        <v>1970</v>
      </c>
      <c r="F2134" t="s">
        <v>620</v>
      </c>
      <c r="G2134" s="89">
        <v>2006</v>
      </c>
      <c r="H2134" s="341" t="s">
        <v>732</v>
      </c>
      <c r="I2134" s="337" t="str">
        <f t="shared" si="92"/>
        <v>Pesado de Passageiros M3: I : Gasóleo : E3</v>
      </c>
      <c r="J2134" s="125">
        <v>57</v>
      </c>
      <c r="K2134" s="264">
        <v>2022</v>
      </c>
      <c r="L2134" s="85">
        <v>22625.660000000003</v>
      </c>
      <c r="M2134" s="85" t="s">
        <v>630</v>
      </c>
      <c r="N2134" s="128">
        <v>50398.375</v>
      </c>
      <c r="O2134" s="128">
        <f t="shared" si="93"/>
        <v>2872707.375</v>
      </c>
      <c r="P2134" s="89">
        <v>628</v>
      </c>
      <c r="Q2134" t="s">
        <v>47</v>
      </c>
      <c r="R2134" s="220" t="s">
        <v>1888</v>
      </c>
      <c r="S2134" s="220" t="s">
        <v>1861</v>
      </c>
      <c r="U2134" t="s">
        <v>1972</v>
      </c>
      <c r="V2134" t="s">
        <v>2832</v>
      </c>
    </row>
    <row r="2135" spans="1:22" ht="15.75" thickBot="1" x14ac:dyDescent="0.3">
      <c r="A2135" t="s">
        <v>4693</v>
      </c>
      <c r="B2135" t="s">
        <v>4693</v>
      </c>
      <c r="C2135" t="s">
        <v>4693</v>
      </c>
      <c r="D2135" t="s">
        <v>629</v>
      </c>
      <c r="E2135" s="259" t="s">
        <v>1970</v>
      </c>
      <c r="F2135" t="s">
        <v>620</v>
      </c>
      <c r="G2135" s="89">
        <v>2006</v>
      </c>
      <c r="H2135" s="341" t="s">
        <v>732</v>
      </c>
      <c r="I2135" s="337" t="str">
        <f t="shared" si="92"/>
        <v>Pesado de Passageiros M3: I : Gasóleo : E3</v>
      </c>
      <c r="J2135" s="125">
        <v>57</v>
      </c>
      <c r="K2135" s="264">
        <v>2022</v>
      </c>
      <c r="L2135" s="85">
        <v>24438.300000000025</v>
      </c>
      <c r="M2135" s="85" t="s">
        <v>630</v>
      </c>
      <c r="N2135" s="128">
        <v>54603.375</v>
      </c>
      <c r="O2135" s="128">
        <f t="shared" si="93"/>
        <v>3112392.375</v>
      </c>
      <c r="P2135" s="89">
        <v>629</v>
      </c>
      <c r="Q2135" t="s">
        <v>47</v>
      </c>
      <c r="R2135" s="220" t="s">
        <v>1888</v>
      </c>
      <c r="S2135" s="220" t="s">
        <v>1861</v>
      </c>
      <c r="U2135" t="s">
        <v>1972</v>
      </c>
      <c r="V2135" t="s">
        <v>2832</v>
      </c>
    </row>
    <row r="2136" spans="1:22" ht="15.75" thickBot="1" x14ac:dyDescent="0.3">
      <c r="A2136" t="s">
        <v>4693</v>
      </c>
      <c r="B2136" t="s">
        <v>4693</v>
      </c>
      <c r="C2136" t="s">
        <v>4693</v>
      </c>
      <c r="D2136" t="s">
        <v>629</v>
      </c>
      <c r="E2136" s="259" t="s">
        <v>1970</v>
      </c>
      <c r="F2136" t="s">
        <v>620</v>
      </c>
      <c r="G2136" s="89">
        <v>2006</v>
      </c>
      <c r="H2136" s="341" t="s">
        <v>732</v>
      </c>
      <c r="I2136" s="337" t="str">
        <f t="shared" si="92"/>
        <v>Pesado de Passageiros M3: I : Gasóleo : E3</v>
      </c>
      <c r="J2136" s="125">
        <v>57</v>
      </c>
      <c r="K2136" s="264">
        <v>2022</v>
      </c>
      <c r="L2136" s="85">
        <v>20413.599999999995</v>
      </c>
      <c r="M2136" s="85" t="s">
        <v>630</v>
      </c>
      <c r="N2136" s="128">
        <v>52505.375</v>
      </c>
      <c r="O2136" s="128">
        <f t="shared" si="93"/>
        <v>2992806.375</v>
      </c>
      <c r="P2136" s="89">
        <v>631</v>
      </c>
      <c r="Q2136" t="s">
        <v>47</v>
      </c>
      <c r="R2136" s="220" t="s">
        <v>1888</v>
      </c>
      <c r="S2136" s="220" t="s">
        <v>1861</v>
      </c>
      <c r="U2136" t="s">
        <v>1972</v>
      </c>
      <c r="V2136" t="s">
        <v>2832</v>
      </c>
    </row>
    <row r="2137" spans="1:22" ht="15.75" thickBot="1" x14ac:dyDescent="0.3">
      <c r="A2137" t="s">
        <v>4693</v>
      </c>
      <c r="B2137" t="s">
        <v>4693</v>
      </c>
      <c r="C2137" t="s">
        <v>4693</v>
      </c>
      <c r="D2137" t="s">
        <v>629</v>
      </c>
      <c r="E2137" s="259" t="s">
        <v>1970</v>
      </c>
      <c r="F2137" t="s">
        <v>620</v>
      </c>
      <c r="G2137" s="89">
        <v>2006</v>
      </c>
      <c r="H2137" s="341" t="s">
        <v>732</v>
      </c>
      <c r="I2137" s="337" t="str">
        <f t="shared" si="92"/>
        <v>Pesado de Passageiros M3: I : Gasóleo : E3</v>
      </c>
      <c r="J2137" s="125">
        <v>57</v>
      </c>
      <c r="K2137" s="264">
        <v>2022</v>
      </c>
      <c r="L2137" s="85">
        <v>21455.800000000007</v>
      </c>
      <c r="M2137" s="85" t="s">
        <v>630</v>
      </c>
      <c r="N2137" s="128">
        <v>54505.375</v>
      </c>
      <c r="O2137" s="128">
        <f t="shared" si="93"/>
        <v>3106806.375</v>
      </c>
      <c r="P2137" s="89">
        <v>632</v>
      </c>
      <c r="Q2137" t="s">
        <v>47</v>
      </c>
      <c r="R2137" s="220" t="s">
        <v>1888</v>
      </c>
      <c r="S2137" s="220" t="s">
        <v>1861</v>
      </c>
      <c r="U2137" t="s">
        <v>1972</v>
      </c>
      <c r="V2137" t="s">
        <v>2832</v>
      </c>
    </row>
    <row r="2138" spans="1:22" ht="15.75" thickBot="1" x14ac:dyDescent="0.3">
      <c r="A2138" t="s">
        <v>4693</v>
      </c>
      <c r="B2138" t="s">
        <v>4693</v>
      </c>
      <c r="C2138" t="s">
        <v>4693</v>
      </c>
      <c r="D2138" t="s">
        <v>629</v>
      </c>
      <c r="E2138" s="259" t="s">
        <v>1970</v>
      </c>
      <c r="F2138" t="s">
        <v>620</v>
      </c>
      <c r="G2138" s="89">
        <v>2006</v>
      </c>
      <c r="H2138" s="341" t="s">
        <v>732</v>
      </c>
      <c r="I2138" s="337" t="str">
        <f t="shared" si="92"/>
        <v>Pesado de Passageiros M3: I : Gasóleo : E3</v>
      </c>
      <c r="J2138" s="125">
        <v>59</v>
      </c>
      <c r="K2138" s="264">
        <v>2022</v>
      </c>
      <c r="L2138" s="85">
        <v>24897.690000000006</v>
      </c>
      <c r="M2138" s="85" t="s">
        <v>630</v>
      </c>
      <c r="N2138" s="128">
        <v>65386.375</v>
      </c>
      <c r="O2138" s="128">
        <f t="shared" si="93"/>
        <v>3857796.125</v>
      </c>
      <c r="P2138" s="89">
        <v>633</v>
      </c>
      <c r="Q2138" t="s">
        <v>47</v>
      </c>
      <c r="R2138" s="220" t="s">
        <v>1888</v>
      </c>
      <c r="S2138" s="220" t="s">
        <v>1861</v>
      </c>
      <c r="U2138" t="s">
        <v>1972</v>
      </c>
      <c r="V2138" t="s">
        <v>2832</v>
      </c>
    </row>
    <row r="2139" spans="1:22" ht="15.75" thickBot="1" x14ac:dyDescent="0.3">
      <c r="A2139" t="s">
        <v>4693</v>
      </c>
      <c r="B2139" t="s">
        <v>4693</v>
      </c>
      <c r="C2139" t="s">
        <v>4693</v>
      </c>
      <c r="D2139" t="s">
        <v>629</v>
      </c>
      <c r="E2139" s="259" t="s">
        <v>1970</v>
      </c>
      <c r="F2139" t="s">
        <v>620</v>
      </c>
      <c r="G2139" s="89">
        <v>2006</v>
      </c>
      <c r="H2139" s="341" t="s">
        <v>732</v>
      </c>
      <c r="I2139" s="337" t="str">
        <f t="shared" si="92"/>
        <v>Pesado de Passageiros M3: I : Gasóleo : E3</v>
      </c>
      <c r="J2139" s="125">
        <v>57</v>
      </c>
      <c r="K2139" s="264">
        <v>2022</v>
      </c>
      <c r="L2139" s="85">
        <v>25631.059999999998</v>
      </c>
      <c r="M2139" s="85" t="s">
        <v>630</v>
      </c>
      <c r="N2139" s="128">
        <v>79517.375</v>
      </c>
      <c r="O2139" s="128">
        <f t="shared" si="93"/>
        <v>4532490.375</v>
      </c>
      <c r="P2139" s="89">
        <v>634</v>
      </c>
      <c r="Q2139" t="s">
        <v>47</v>
      </c>
      <c r="R2139" s="220" t="s">
        <v>1888</v>
      </c>
      <c r="S2139" s="220" t="s">
        <v>1861</v>
      </c>
      <c r="U2139" t="s">
        <v>1972</v>
      </c>
      <c r="V2139" t="s">
        <v>2832</v>
      </c>
    </row>
    <row r="2140" spans="1:22" ht="15.75" thickBot="1" x14ac:dyDescent="0.3">
      <c r="A2140" t="s">
        <v>4693</v>
      </c>
      <c r="B2140" t="s">
        <v>4693</v>
      </c>
      <c r="C2140" t="s">
        <v>4693</v>
      </c>
      <c r="D2140" t="s">
        <v>629</v>
      </c>
      <c r="E2140" s="259" t="s">
        <v>1970</v>
      </c>
      <c r="F2140" t="s">
        <v>620</v>
      </c>
      <c r="G2140" s="89">
        <v>2006</v>
      </c>
      <c r="H2140" s="341" t="s">
        <v>732</v>
      </c>
      <c r="I2140" s="337" t="str">
        <f t="shared" si="92"/>
        <v>Pesado de Passageiros M3: I : Gasóleo : E3</v>
      </c>
      <c r="J2140" s="125">
        <v>59</v>
      </c>
      <c r="K2140" s="264">
        <v>2022</v>
      </c>
      <c r="L2140" s="85">
        <v>26016.699999999997</v>
      </c>
      <c r="M2140" s="85" t="s">
        <v>630</v>
      </c>
      <c r="N2140" s="128">
        <v>72938.375</v>
      </c>
      <c r="O2140" s="128">
        <f t="shared" si="93"/>
        <v>4303364.125</v>
      </c>
      <c r="P2140" s="89">
        <v>635</v>
      </c>
      <c r="Q2140" t="s">
        <v>47</v>
      </c>
      <c r="R2140" s="220" t="s">
        <v>1888</v>
      </c>
      <c r="S2140" s="220" t="s">
        <v>1861</v>
      </c>
      <c r="U2140" t="s">
        <v>1972</v>
      </c>
      <c r="V2140" t="s">
        <v>2832</v>
      </c>
    </row>
    <row r="2141" spans="1:22" ht="15.75" thickBot="1" x14ac:dyDescent="0.3">
      <c r="A2141" t="s">
        <v>4693</v>
      </c>
      <c r="B2141" t="s">
        <v>4693</v>
      </c>
      <c r="C2141" t="s">
        <v>4693</v>
      </c>
      <c r="D2141" t="s">
        <v>629</v>
      </c>
      <c r="E2141" s="259" t="s">
        <v>1970</v>
      </c>
      <c r="F2141" t="s">
        <v>620</v>
      </c>
      <c r="G2141" s="89">
        <v>2006</v>
      </c>
      <c r="H2141" s="341" t="s">
        <v>732</v>
      </c>
      <c r="I2141" s="337" t="str">
        <f t="shared" si="92"/>
        <v>Pesado de Passageiros M3: I : Gasóleo : E3</v>
      </c>
      <c r="J2141" s="125">
        <v>59</v>
      </c>
      <c r="K2141" s="264">
        <v>2022</v>
      </c>
      <c r="L2141" s="85">
        <v>23124.689999999995</v>
      </c>
      <c r="M2141" s="85" t="s">
        <v>630</v>
      </c>
      <c r="N2141" s="128">
        <v>63275.60166666648</v>
      </c>
      <c r="O2141" s="128">
        <f t="shared" si="93"/>
        <v>3733260.4983333223</v>
      </c>
      <c r="P2141" s="89">
        <v>636</v>
      </c>
      <c r="Q2141" t="s">
        <v>47</v>
      </c>
      <c r="R2141" s="220" t="s">
        <v>1888</v>
      </c>
      <c r="S2141" s="220" t="s">
        <v>1861</v>
      </c>
      <c r="U2141" t="s">
        <v>1972</v>
      </c>
      <c r="V2141" t="s">
        <v>2832</v>
      </c>
    </row>
    <row r="2142" spans="1:22" ht="15.75" thickBot="1" x14ac:dyDescent="0.3">
      <c r="A2142" t="s">
        <v>4693</v>
      </c>
      <c r="B2142" t="s">
        <v>4693</v>
      </c>
      <c r="C2142" t="s">
        <v>4693</v>
      </c>
      <c r="D2142" t="s">
        <v>629</v>
      </c>
      <c r="E2142" s="259" t="s">
        <v>1970</v>
      </c>
      <c r="F2142" t="s">
        <v>620</v>
      </c>
      <c r="G2142" s="89">
        <v>2006</v>
      </c>
      <c r="H2142" s="341" t="s">
        <v>732</v>
      </c>
      <c r="I2142" s="337" t="str">
        <f t="shared" si="92"/>
        <v>Pesado de Passageiros M3: I : Gasóleo : E3</v>
      </c>
      <c r="J2142" s="125">
        <v>59</v>
      </c>
      <c r="K2142" s="264">
        <v>2022</v>
      </c>
      <c r="L2142" s="85">
        <v>24315.570000000007</v>
      </c>
      <c r="M2142" s="85" t="s">
        <v>630</v>
      </c>
      <c r="N2142" s="128">
        <v>61603.375</v>
      </c>
      <c r="O2142" s="128">
        <f t="shared" si="93"/>
        <v>3634599.125</v>
      </c>
      <c r="P2142" s="89">
        <v>637</v>
      </c>
      <c r="Q2142" t="s">
        <v>47</v>
      </c>
      <c r="R2142" s="220" t="s">
        <v>1888</v>
      </c>
      <c r="S2142" s="220" t="s">
        <v>1861</v>
      </c>
      <c r="U2142" t="s">
        <v>1972</v>
      </c>
      <c r="V2142" t="s">
        <v>2832</v>
      </c>
    </row>
    <row r="2143" spans="1:22" ht="15.75" thickBot="1" x14ac:dyDescent="0.3">
      <c r="A2143" t="s">
        <v>4693</v>
      </c>
      <c r="B2143" t="s">
        <v>4693</v>
      </c>
      <c r="C2143" t="s">
        <v>4693</v>
      </c>
      <c r="D2143" t="s">
        <v>629</v>
      </c>
      <c r="E2143" s="259" t="s">
        <v>1970</v>
      </c>
      <c r="F2143" t="s">
        <v>620</v>
      </c>
      <c r="G2143" s="89">
        <v>2006</v>
      </c>
      <c r="H2143" s="341" t="s">
        <v>732</v>
      </c>
      <c r="I2143" s="337" t="str">
        <f t="shared" si="92"/>
        <v>Pesado de Passageiros M3: I : Gasóleo : E3</v>
      </c>
      <c r="J2143" s="125">
        <v>59</v>
      </c>
      <c r="K2143" s="264">
        <v>2022</v>
      </c>
      <c r="L2143" s="85">
        <v>23455.89</v>
      </c>
      <c r="M2143" s="85" t="s">
        <v>630</v>
      </c>
      <c r="N2143" s="128">
        <v>55510.375</v>
      </c>
      <c r="O2143" s="128">
        <f t="shared" si="93"/>
        <v>3275112.125</v>
      </c>
      <c r="P2143" s="89">
        <v>638</v>
      </c>
      <c r="Q2143" t="s">
        <v>47</v>
      </c>
      <c r="R2143" s="220" t="s">
        <v>1888</v>
      </c>
      <c r="S2143" s="220" t="s">
        <v>1861</v>
      </c>
      <c r="U2143" t="s">
        <v>1972</v>
      </c>
      <c r="V2143" t="s">
        <v>2832</v>
      </c>
    </row>
    <row r="2144" spans="1:22" ht="15.75" thickBot="1" x14ac:dyDescent="0.3">
      <c r="A2144" t="s">
        <v>4693</v>
      </c>
      <c r="B2144" t="s">
        <v>4693</v>
      </c>
      <c r="C2144" t="s">
        <v>4693</v>
      </c>
      <c r="D2144" t="s">
        <v>629</v>
      </c>
      <c r="E2144" s="259" t="s">
        <v>1970</v>
      </c>
      <c r="F2144" t="s">
        <v>620</v>
      </c>
      <c r="G2144" s="89">
        <v>2006</v>
      </c>
      <c r="H2144" s="341" t="s">
        <v>732</v>
      </c>
      <c r="I2144" s="337" t="str">
        <f t="shared" si="92"/>
        <v>Pesado de Passageiros M3: I : Gasóleo : E3</v>
      </c>
      <c r="J2144" s="125">
        <v>59</v>
      </c>
      <c r="K2144" s="264">
        <v>2022</v>
      </c>
      <c r="L2144" s="85">
        <v>22217.090000000015</v>
      </c>
      <c r="M2144" s="85" t="s">
        <v>630</v>
      </c>
      <c r="N2144" s="128">
        <v>63295.375</v>
      </c>
      <c r="O2144" s="128">
        <f t="shared" si="93"/>
        <v>3734427.125</v>
      </c>
      <c r="P2144" s="89">
        <v>640</v>
      </c>
      <c r="Q2144" t="s">
        <v>47</v>
      </c>
      <c r="R2144" s="220" t="s">
        <v>1888</v>
      </c>
      <c r="S2144" s="220" t="s">
        <v>1861</v>
      </c>
      <c r="U2144" t="s">
        <v>1972</v>
      </c>
      <c r="V2144" t="s">
        <v>2832</v>
      </c>
    </row>
    <row r="2145" spans="1:22" ht="15.75" thickBot="1" x14ac:dyDescent="0.3">
      <c r="A2145" t="s">
        <v>4693</v>
      </c>
      <c r="B2145" t="s">
        <v>4693</v>
      </c>
      <c r="C2145" t="s">
        <v>4693</v>
      </c>
      <c r="D2145" t="s">
        <v>629</v>
      </c>
      <c r="E2145" s="259" t="s">
        <v>1970</v>
      </c>
      <c r="F2145" t="s">
        <v>620</v>
      </c>
      <c r="G2145" s="89">
        <v>2006</v>
      </c>
      <c r="H2145" s="341" t="s">
        <v>732</v>
      </c>
      <c r="I2145" s="337" t="str">
        <f t="shared" si="92"/>
        <v>Pesado de Passageiros M3: I : Gasóleo : E3</v>
      </c>
      <c r="J2145" s="125">
        <v>59</v>
      </c>
      <c r="K2145" s="264">
        <v>2022</v>
      </c>
      <c r="L2145" s="85">
        <v>19365.579999999976</v>
      </c>
      <c r="M2145" s="85" t="s">
        <v>630</v>
      </c>
      <c r="N2145" s="128">
        <v>53320.375</v>
      </c>
      <c r="O2145" s="128">
        <f t="shared" si="93"/>
        <v>3145902.125</v>
      </c>
      <c r="P2145" s="89">
        <v>641</v>
      </c>
      <c r="Q2145" t="s">
        <v>47</v>
      </c>
      <c r="R2145" s="220" t="s">
        <v>1888</v>
      </c>
      <c r="S2145" s="220" t="s">
        <v>1861</v>
      </c>
      <c r="U2145" t="s">
        <v>1972</v>
      </c>
      <c r="V2145" t="s">
        <v>2832</v>
      </c>
    </row>
    <row r="2146" spans="1:22" ht="15.75" thickBot="1" x14ac:dyDescent="0.3">
      <c r="A2146" t="s">
        <v>4693</v>
      </c>
      <c r="B2146" t="s">
        <v>4693</v>
      </c>
      <c r="C2146" t="s">
        <v>4693</v>
      </c>
      <c r="D2146" t="s">
        <v>629</v>
      </c>
      <c r="E2146" s="259" t="s">
        <v>1970</v>
      </c>
      <c r="F2146" t="s">
        <v>620</v>
      </c>
      <c r="G2146" s="89">
        <v>2006</v>
      </c>
      <c r="H2146" s="341" t="s">
        <v>732</v>
      </c>
      <c r="I2146" s="337" t="str">
        <f t="shared" si="92"/>
        <v>Pesado de Passageiros M3: I : Gasóleo : E3</v>
      </c>
      <c r="J2146" s="125">
        <v>59</v>
      </c>
      <c r="K2146" s="264">
        <v>2022</v>
      </c>
      <c r="L2146" s="85">
        <v>20000.069999999978</v>
      </c>
      <c r="M2146" s="85" t="s">
        <v>630</v>
      </c>
      <c r="N2146" s="128">
        <v>60025.375</v>
      </c>
      <c r="O2146" s="128">
        <f t="shared" si="93"/>
        <v>3541497.125</v>
      </c>
      <c r="P2146" s="89">
        <v>642</v>
      </c>
      <c r="Q2146" t="s">
        <v>47</v>
      </c>
      <c r="R2146" s="220" t="s">
        <v>1888</v>
      </c>
      <c r="S2146" s="220" t="s">
        <v>1861</v>
      </c>
      <c r="U2146" t="s">
        <v>1972</v>
      </c>
      <c r="V2146" t="s">
        <v>2832</v>
      </c>
    </row>
    <row r="2147" spans="1:22" ht="15.75" thickBot="1" x14ac:dyDescent="0.3">
      <c r="A2147" t="s">
        <v>4693</v>
      </c>
      <c r="B2147" t="s">
        <v>4693</v>
      </c>
      <c r="C2147" t="s">
        <v>4693</v>
      </c>
      <c r="D2147" t="s">
        <v>629</v>
      </c>
      <c r="E2147" s="259" t="s">
        <v>1970</v>
      </c>
      <c r="F2147" t="s">
        <v>620</v>
      </c>
      <c r="G2147" s="89">
        <v>2006</v>
      </c>
      <c r="H2147" s="341" t="s">
        <v>732</v>
      </c>
      <c r="I2147" s="337" t="str">
        <f t="shared" si="92"/>
        <v>Pesado de Passageiros M3: I : Gasóleo : E3</v>
      </c>
      <c r="J2147" s="125">
        <v>59</v>
      </c>
      <c r="K2147" s="264">
        <v>2022</v>
      </c>
      <c r="L2147" s="85">
        <v>23635.449999999993</v>
      </c>
      <c r="M2147" s="85" t="s">
        <v>630</v>
      </c>
      <c r="N2147" s="128">
        <v>51572.375</v>
      </c>
      <c r="O2147" s="128">
        <f t="shared" si="93"/>
        <v>3042770.125</v>
      </c>
      <c r="P2147" s="89">
        <v>643</v>
      </c>
      <c r="Q2147" t="s">
        <v>47</v>
      </c>
      <c r="R2147" s="220" t="s">
        <v>1888</v>
      </c>
      <c r="S2147" s="220" t="s">
        <v>1861</v>
      </c>
      <c r="U2147" t="s">
        <v>1972</v>
      </c>
      <c r="V2147" t="s">
        <v>2832</v>
      </c>
    </row>
    <row r="2148" spans="1:22" ht="15.75" thickBot="1" x14ac:dyDescent="0.3">
      <c r="A2148" t="s">
        <v>4693</v>
      </c>
      <c r="B2148" t="s">
        <v>4693</v>
      </c>
      <c r="C2148" t="s">
        <v>4693</v>
      </c>
      <c r="D2148" t="s">
        <v>629</v>
      </c>
      <c r="E2148" s="259" t="s">
        <v>1970</v>
      </c>
      <c r="F2148" t="s">
        <v>620</v>
      </c>
      <c r="G2148" s="89">
        <v>2007</v>
      </c>
      <c r="H2148" s="341" t="s">
        <v>732</v>
      </c>
      <c r="I2148" s="337" t="str">
        <f t="shared" si="92"/>
        <v>Pesado de Passageiros M3: I : Gasóleo : E3</v>
      </c>
      <c r="J2148" s="125">
        <v>59</v>
      </c>
      <c r="K2148" s="264">
        <v>2022</v>
      </c>
      <c r="L2148" s="85">
        <v>21010.06</v>
      </c>
      <c r="M2148" s="85" t="s">
        <v>630</v>
      </c>
      <c r="N2148" s="128">
        <v>53273.375</v>
      </c>
      <c r="O2148" s="128">
        <f t="shared" si="93"/>
        <v>3143129.125</v>
      </c>
      <c r="P2148" s="89">
        <v>644</v>
      </c>
      <c r="Q2148" t="s">
        <v>47</v>
      </c>
      <c r="R2148" s="220" t="s">
        <v>1888</v>
      </c>
      <c r="S2148" s="220" t="s">
        <v>1861</v>
      </c>
      <c r="U2148" t="s">
        <v>1972</v>
      </c>
      <c r="V2148" t="s">
        <v>2832</v>
      </c>
    </row>
    <row r="2149" spans="1:22" ht="15.75" thickBot="1" x14ac:dyDescent="0.3">
      <c r="A2149" t="s">
        <v>4693</v>
      </c>
      <c r="B2149" t="s">
        <v>4693</v>
      </c>
      <c r="C2149" t="s">
        <v>4693</v>
      </c>
      <c r="D2149" t="s">
        <v>629</v>
      </c>
      <c r="E2149" s="259" t="s">
        <v>1970</v>
      </c>
      <c r="F2149" t="s">
        <v>620</v>
      </c>
      <c r="G2149" s="89">
        <v>2007</v>
      </c>
      <c r="H2149" s="341" t="s">
        <v>732</v>
      </c>
      <c r="I2149" s="337" t="str">
        <f t="shared" si="92"/>
        <v>Pesado de Passageiros M3: I : Gasóleo : E3</v>
      </c>
      <c r="J2149" s="125">
        <v>59</v>
      </c>
      <c r="K2149" s="264">
        <v>2022</v>
      </c>
      <c r="L2149" s="85">
        <v>21346.899999999991</v>
      </c>
      <c r="M2149" s="85" t="s">
        <v>630</v>
      </c>
      <c r="N2149" s="128">
        <v>59530.375</v>
      </c>
      <c r="O2149" s="128">
        <f t="shared" si="93"/>
        <v>3512292.125</v>
      </c>
      <c r="P2149" s="89">
        <v>646</v>
      </c>
      <c r="Q2149" t="s">
        <v>47</v>
      </c>
      <c r="R2149" s="220" t="s">
        <v>1888</v>
      </c>
      <c r="S2149" s="220" t="s">
        <v>1861</v>
      </c>
      <c r="U2149" t="s">
        <v>1972</v>
      </c>
      <c r="V2149" t="s">
        <v>2832</v>
      </c>
    </row>
    <row r="2150" spans="1:22" ht="15.75" thickBot="1" x14ac:dyDescent="0.3">
      <c r="A2150" t="s">
        <v>4693</v>
      </c>
      <c r="B2150" t="s">
        <v>4693</v>
      </c>
      <c r="C2150" t="s">
        <v>4693</v>
      </c>
      <c r="D2150" t="s">
        <v>629</v>
      </c>
      <c r="E2150" s="259" t="s">
        <v>1970</v>
      </c>
      <c r="F2150" t="s">
        <v>620</v>
      </c>
      <c r="G2150" s="89">
        <v>2007</v>
      </c>
      <c r="H2150" s="341" t="s">
        <v>732</v>
      </c>
      <c r="I2150" s="337" t="str">
        <f t="shared" si="92"/>
        <v>Pesado de Passageiros M3: I : Gasóleo : E3</v>
      </c>
      <c r="J2150" s="125">
        <v>59</v>
      </c>
      <c r="K2150" s="264">
        <v>2022</v>
      </c>
      <c r="L2150" s="85">
        <v>27702.409999999974</v>
      </c>
      <c r="M2150" s="85" t="s">
        <v>630</v>
      </c>
      <c r="N2150" s="128">
        <v>73962.375</v>
      </c>
      <c r="O2150" s="128">
        <f t="shared" si="93"/>
        <v>4363780.125</v>
      </c>
      <c r="P2150" s="89">
        <v>647</v>
      </c>
      <c r="Q2150" t="s">
        <v>47</v>
      </c>
      <c r="R2150" s="220" t="s">
        <v>1888</v>
      </c>
      <c r="S2150" s="220" t="s">
        <v>1861</v>
      </c>
      <c r="U2150" t="s">
        <v>1972</v>
      </c>
      <c r="V2150" t="s">
        <v>2832</v>
      </c>
    </row>
    <row r="2151" spans="1:22" ht="15.75" thickBot="1" x14ac:dyDescent="0.3">
      <c r="A2151" t="s">
        <v>4693</v>
      </c>
      <c r="B2151" t="s">
        <v>4693</v>
      </c>
      <c r="C2151" t="s">
        <v>4693</v>
      </c>
      <c r="D2151" t="s">
        <v>629</v>
      </c>
      <c r="E2151" s="259" t="s">
        <v>1970</v>
      </c>
      <c r="F2151" t="s">
        <v>620</v>
      </c>
      <c r="G2151" s="89">
        <v>2007</v>
      </c>
      <c r="H2151" s="341" t="s">
        <v>731</v>
      </c>
      <c r="I2151" s="337" t="str">
        <f t="shared" si="92"/>
        <v>Pesado de Passageiros M3: I : Gasóleo : E4</v>
      </c>
      <c r="J2151" s="125">
        <v>59</v>
      </c>
      <c r="K2151" s="264">
        <v>2022</v>
      </c>
      <c r="L2151" s="85">
        <v>25357.210000000017</v>
      </c>
      <c r="M2151" s="85" t="s">
        <v>630</v>
      </c>
      <c r="N2151" s="128">
        <v>70190.375</v>
      </c>
      <c r="O2151" s="128">
        <f t="shared" si="93"/>
        <v>4141232.125</v>
      </c>
      <c r="P2151" s="89">
        <v>648</v>
      </c>
      <c r="Q2151" t="s">
        <v>47</v>
      </c>
      <c r="R2151" s="220" t="s">
        <v>1888</v>
      </c>
      <c r="S2151" s="220" t="s">
        <v>1861</v>
      </c>
      <c r="U2151" t="s">
        <v>1972</v>
      </c>
      <c r="V2151" t="s">
        <v>2832</v>
      </c>
    </row>
    <row r="2152" spans="1:22" ht="15.75" thickBot="1" x14ac:dyDescent="0.3">
      <c r="A2152" t="s">
        <v>4693</v>
      </c>
      <c r="B2152" t="s">
        <v>4693</v>
      </c>
      <c r="C2152" t="s">
        <v>4693</v>
      </c>
      <c r="D2152" t="s">
        <v>629</v>
      </c>
      <c r="E2152" s="259" t="s">
        <v>1970</v>
      </c>
      <c r="F2152" t="s">
        <v>620</v>
      </c>
      <c r="G2152" s="89">
        <v>2007</v>
      </c>
      <c r="H2152" s="341" t="s">
        <v>731</v>
      </c>
      <c r="I2152" s="337" t="str">
        <f t="shared" si="92"/>
        <v>Pesado de Passageiros M3: I : Gasóleo : E4</v>
      </c>
      <c r="J2152" s="125">
        <v>54</v>
      </c>
      <c r="K2152" s="264">
        <v>2022</v>
      </c>
      <c r="L2152" s="85">
        <v>13134.260000000006</v>
      </c>
      <c r="M2152" s="85" t="s">
        <v>630</v>
      </c>
      <c r="N2152" s="128">
        <v>30760.310742971895</v>
      </c>
      <c r="O2152" s="128">
        <f t="shared" si="93"/>
        <v>1661056.7801204822</v>
      </c>
      <c r="P2152" s="89">
        <v>671</v>
      </c>
      <c r="Q2152" t="s">
        <v>47</v>
      </c>
      <c r="R2152" s="220" t="s">
        <v>1888</v>
      </c>
      <c r="S2152" s="220" t="s">
        <v>1861</v>
      </c>
      <c r="U2152" t="s">
        <v>1972</v>
      </c>
      <c r="V2152" t="s">
        <v>2832</v>
      </c>
    </row>
    <row r="2153" spans="1:22" ht="15.75" thickBot="1" x14ac:dyDescent="0.3">
      <c r="A2153" t="s">
        <v>4693</v>
      </c>
      <c r="B2153" t="s">
        <v>4693</v>
      </c>
      <c r="C2153" t="s">
        <v>4693</v>
      </c>
      <c r="D2153" t="s">
        <v>629</v>
      </c>
      <c r="E2153" s="259" t="s">
        <v>1970</v>
      </c>
      <c r="F2153" t="s">
        <v>620</v>
      </c>
      <c r="G2153" s="89">
        <v>2007</v>
      </c>
      <c r="H2153" s="341" t="s">
        <v>731</v>
      </c>
      <c r="I2153" s="337" t="str">
        <f t="shared" si="92"/>
        <v>Pesado de Passageiros M3: I : Gasóleo : E4</v>
      </c>
      <c r="J2153" s="125">
        <v>54</v>
      </c>
      <c r="K2153" s="264">
        <v>2022</v>
      </c>
      <c r="L2153" s="85">
        <v>24096.130000000016</v>
      </c>
      <c r="M2153" s="85" t="s">
        <v>630</v>
      </c>
      <c r="N2153" s="128">
        <v>60805.492647059029</v>
      </c>
      <c r="O2153" s="128">
        <f t="shared" si="93"/>
        <v>3283496.6029411876</v>
      </c>
      <c r="P2153" s="89">
        <v>672</v>
      </c>
      <c r="Q2153" t="s">
        <v>47</v>
      </c>
      <c r="R2153" s="220" t="s">
        <v>1888</v>
      </c>
      <c r="S2153" s="220" t="s">
        <v>1861</v>
      </c>
      <c r="U2153" t="s">
        <v>1972</v>
      </c>
      <c r="V2153" t="s">
        <v>2832</v>
      </c>
    </row>
    <row r="2154" spans="1:22" ht="15.75" thickBot="1" x14ac:dyDescent="0.3">
      <c r="A2154" t="s">
        <v>4693</v>
      </c>
      <c r="B2154" t="s">
        <v>4693</v>
      </c>
      <c r="C2154" t="s">
        <v>4693</v>
      </c>
      <c r="D2154" t="s">
        <v>629</v>
      </c>
      <c r="E2154" s="259" t="s">
        <v>1970</v>
      </c>
      <c r="F2154" t="s">
        <v>620</v>
      </c>
      <c r="G2154" s="89">
        <v>2007</v>
      </c>
      <c r="H2154" s="341" t="s">
        <v>731</v>
      </c>
      <c r="I2154" s="337" t="str">
        <f t="shared" si="92"/>
        <v>Pesado de Passageiros M3: I : Gasóleo : E4</v>
      </c>
      <c r="J2154" s="125">
        <v>54</v>
      </c>
      <c r="K2154" s="264">
        <v>2022</v>
      </c>
      <c r="L2154" s="85">
        <v>28764.589999999982</v>
      </c>
      <c r="M2154" s="85" t="s">
        <v>630</v>
      </c>
      <c r="N2154" s="128">
        <v>68029.508333333331</v>
      </c>
      <c r="O2154" s="128">
        <f t="shared" si="93"/>
        <v>3673593.4499999997</v>
      </c>
      <c r="P2154" s="89">
        <v>673</v>
      </c>
      <c r="Q2154" t="s">
        <v>47</v>
      </c>
      <c r="R2154" s="220" t="s">
        <v>1888</v>
      </c>
      <c r="S2154" s="220" t="s">
        <v>1861</v>
      </c>
      <c r="U2154" t="s">
        <v>1972</v>
      </c>
      <c r="V2154" t="s">
        <v>2832</v>
      </c>
    </row>
    <row r="2155" spans="1:22" ht="15.75" thickBot="1" x14ac:dyDescent="0.3">
      <c r="A2155" t="s">
        <v>4693</v>
      </c>
      <c r="B2155" t="s">
        <v>4693</v>
      </c>
      <c r="C2155" t="s">
        <v>4693</v>
      </c>
      <c r="D2155" t="s">
        <v>629</v>
      </c>
      <c r="E2155" s="259" t="s">
        <v>1970</v>
      </c>
      <c r="F2155" t="s">
        <v>620</v>
      </c>
      <c r="G2155" s="89">
        <v>2007</v>
      </c>
      <c r="H2155" s="341" t="s">
        <v>731</v>
      </c>
      <c r="I2155" s="337" t="str">
        <f t="shared" si="92"/>
        <v>Pesado de Passageiros M3: I : Gasóleo : E4</v>
      </c>
      <c r="J2155" s="125">
        <v>54</v>
      </c>
      <c r="K2155" s="264">
        <v>2022</v>
      </c>
      <c r="L2155" s="85">
        <v>3795.52</v>
      </c>
      <c r="M2155" s="85" t="s">
        <v>630</v>
      </c>
      <c r="N2155" s="128">
        <v>20828.375</v>
      </c>
      <c r="O2155" s="128">
        <f t="shared" si="93"/>
        <v>1124732.25</v>
      </c>
      <c r="P2155" s="89">
        <v>301</v>
      </c>
      <c r="Q2155" t="s">
        <v>47</v>
      </c>
      <c r="R2155" s="220" t="s">
        <v>1888</v>
      </c>
      <c r="S2155" s="220" t="s">
        <v>1861</v>
      </c>
      <c r="U2155" t="s">
        <v>1972</v>
      </c>
      <c r="V2155" t="s">
        <v>2832</v>
      </c>
    </row>
    <row r="2156" spans="1:22" ht="15.75" thickBot="1" x14ac:dyDescent="0.3">
      <c r="A2156" t="s">
        <v>4693</v>
      </c>
      <c r="B2156" t="s">
        <v>4693</v>
      </c>
      <c r="C2156" t="s">
        <v>4693</v>
      </c>
      <c r="D2156" t="s">
        <v>629</v>
      </c>
      <c r="E2156" s="259" t="s">
        <v>1970</v>
      </c>
      <c r="F2156" t="s">
        <v>620</v>
      </c>
      <c r="G2156" s="89">
        <v>2008</v>
      </c>
      <c r="H2156" s="341" t="s">
        <v>731</v>
      </c>
      <c r="I2156" s="337" t="str">
        <f t="shared" si="92"/>
        <v>Pesado de Passageiros M3: I : Gasóleo : E4</v>
      </c>
      <c r="J2156" s="125">
        <v>54</v>
      </c>
      <c r="K2156" s="264">
        <v>2022</v>
      </c>
      <c r="L2156" s="85">
        <v>3324.45</v>
      </c>
      <c r="M2156" s="85" t="s">
        <v>630</v>
      </c>
      <c r="N2156" s="128">
        <v>16678.375</v>
      </c>
      <c r="O2156" s="128">
        <f t="shared" si="93"/>
        <v>900632.25</v>
      </c>
      <c r="P2156" s="89">
        <v>302</v>
      </c>
      <c r="Q2156" t="s">
        <v>47</v>
      </c>
      <c r="R2156" s="220" t="s">
        <v>1888</v>
      </c>
      <c r="S2156" s="220" t="s">
        <v>1861</v>
      </c>
      <c r="U2156" t="s">
        <v>1972</v>
      </c>
      <c r="V2156" t="s">
        <v>2832</v>
      </c>
    </row>
    <row r="2157" spans="1:22" ht="15.75" thickBot="1" x14ac:dyDescent="0.3">
      <c r="A2157" t="s">
        <v>4693</v>
      </c>
      <c r="B2157" t="s">
        <v>4693</v>
      </c>
      <c r="C2157" t="s">
        <v>4693</v>
      </c>
      <c r="D2157" t="s">
        <v>629</v>
      </c>
      <c r="E2157" s="259" t="s">
        <v>1970</v>
      </c>
      <c r="F2157" t="s">
        <v>620</v>
      </c>
      <c r="G2157" s="89">
        <v>2009</v>
      </c>
      <c r="H2157" s="341" t="s">
        <v>731</v>
      </c>
      <c r="I2157" s="337" t="str">
        <f t="shared" si="92"/>
        <v>Pesado de Passageiros M3: I : Gasóleo : E4</v>
      </c>
      <c r="J2157" s="125">
        <v>22</v>
      </c>
      <c r="K2157" s="264">
        <v>2022</v>
      </c>
      <c r="L2157" s="85">
        <v>8979.7899999999954</v>
      </c>
      <c r="M2157" s="85" t="s">
        <v>630</v>
      </c>
      <c r="N2157" s="128">
        <v>41681.375</v>
      </c>
      <c r="O2157" s="128">
        <f t="shared" si="93"/>
        <v>916990.25</v>
      </c>
      <c r="P2157" s="89">
        <v>304</v>
      </c>
      <c r="Q2157" t="s">
        <v>47</v>
      </c>
      <c r="R2157" s="220" t="s">
        <v>1888</v>
      </c>
      <c r="S2157" s="220" t="s">
        <v>1861</v>
      </c>
      <c r="U2157" t="s">
        <v>1972</v>
      </c>
      <c r="V2157" t="s">
        <v>2832</v>
      </c>
    </row>
    <row r="2158" spans="1:22" ht="15.75" thickBot="1" x14ac:dyDescent="0.3">
      <c r="A2158" t="s">
        <v>4693</v>
      </c>
      <c r="B2158" t="s">
        <v>4693</v>
      </c>
      <c r="C2158" t="s">
        <v>4693</v>
      </c>
      <c r="D2158" t="s">
        <v>629</v>
      </c>
      <c r="E2158" s="259" t="s">
        <v>1970</v>
      </c>
      <c r="F2158" t="s">
        <v>620</v>
      </c>
      <c r="G2158" s="89">
        <v>2009</v>
      </c>
      <c r="H2158" s="341" t="s">
        <v>731</v>
      </c>
      <c r="I2158" s="337" t="str">
        <f t="shared" si="92"/>
        <v>Pesado de Passageiros M3: I : Gasóleo : E4</v>
      </c>
      <c r="J2158" s="125">
        <v>22</v>
      </c>
      <c r="K2158" s="264">
        <v>2022</v>
      </c>
      <c r="L2158" s="85">
        <v>10410.950000000006</v>
      </c>
      <c r="M2158" s="85" t="s">
        <v>630</v>
      </c>
      <c r="N2158" s="128">
        <v>55239.375</v>
      </c>
      <c r="O2158" s="128">
        <f t="shared" si="93"/>
        <v>1215266.25</v>
      </c>
      <c r="P2158" s="89">
        <v>305</v>
      </c>
      <c r="Q2158" t="s">
        <v>47</v>
      </c>
      <c r="R2158" s="220" t="s">
        <v>1888</v>
      </c>
      <c r="S2158" s="220" t="s">
        <v>1861</v>
      </c>
      <c r="U2158" t="s">
        <v>1972</v>
      </c>
      <c r="V2158" t="s">
        <v>2832</v>
      </c>
    </row>
    <row r="2159" spans="1:22" ht="15.75" thickBot="1" x14ac:dyDescent="0.3">
      <c r="A2159" t="s">
        <v>4693</v>
      </c>
      <c r="B2159" t="s">
        <v>4693</v>
      </c>
      <c r="C2159" t="s">
        <v>4693</v>
      </c>
      <c r="D2159" t="s">
        <v>629</v>
      </c>
      <c r="E2159" s="259" t="s">
        <v>1970</v>
      </c>
      <c r="F2159" t="s">
        <v>620</v>
      </c>
      <c r="G2159" s="89">
        <v>2003</v>
      </c>
      <c r="H2159" s="341" t="s">
        <v>732</v>
      </c>
      <c r="I2159" s="337" t="str">
        <f t="shared" si="92"/>
        <v>Pesado de Passageiros M3: I : Gasóleo : E3</v>
      </c>
      <c r="J2159" s="125">
        <v>34</v>
      </c>
      <c r="K2159" s="264">
        <v>2022</v>
      </c>
      <c r="L2159" s="85">
        <v>6417.760000000002</v>
      </c>
      <c r="M2159" s="85" t="s">
        <v>630</v>
      </c>
      <c r="N2159" s="128">
        <v>32288.375</v>
      </c>
      <c r="O2159" s="128">
        <f t="shared" si="93"/>
        <v>1097804.75</v>
      </c>
      <c r="P2159" s="89">
        <v>288</v>
      </c>
      <c r="Q2159" t="s">
        <v>47</v>
      </c>
      <c r="R2159" s="220" t="s">
        <v>1888</v>
      </c>
      <c r="S2159" s="220" t="s">
        <v>1861</v>
      </c>
      <c r="U2159" t="s">
        <v>1972</v>
      </c>
      <c r="V2159" t="s">
        <v>2832</v>
      </c>
    </row>
    <row r="2160" spans="1:22" ht="15.75" thickBot="1" x14ac:dyDescent="0.3">
      <c r="A2160" t="s">
        <v>4693</v>
      </c>
      <c r="B2160" t="s">
        <v>4693</v>
      </c>
      <c r="C2160" t="s">
        <v>4693</v>
      </c>
      <c r="D2160" t="s">
        <v>629</v>
      </c>
      <c r="E2160" s="259" t="s">
        <v>1970</v>
      </c>
      <c r="F2160" t="s">
        <v>620</v>
      </c>
      <c r="G2160" s="89">
        <v>2022</v>
      </c>
      <c r="H2160" s="341" t="s">
        <v>733</v>
      </c>
      <c r="I2160" s="337" t="str">
        <f t="shared" si="92"/>
        <v>Pesado de Passageiros M3: I : Gasóleo : E6</v>
      </c>
      <c r="J2160" s="125">
        <v>25</v>
      </c>
      <c r="K2160" s="264">
        <v>2022</v>
      </c>
      <c r="L2160" s="85">
        <v>309.14</v>
      </c>
      <c r="M2160" s="85" t="s">
        <v>630</v>
      </c>
      <c r="N2160" s="128">
        <v>5313.375</v>
      </c>
      <c r="O2160" s="128">
        <f t="shared" si="93"/>
        <v>132834.375</v>
      </c>
      <c r="P2160" s="89">
        <v>1700</v>
      </c>
      <c r="Q2160" t="s">
        <v>47</v>
      </c>
      <c r="R2160" s="220" t="s">
        <v>1888</v>
      </c>
      <c r="S2160" s="220" t="s">
        <v>1861</v>
      </c>
      <c r="U2160" t="s">
        <v>1972</v>
      </c>
      <c r="V2160" t="s">
        <v>2832</v>
      </c>
    </row>
    <row r="2161" spans="1:22" ht="15.75" thickBot="1" x14ac:dyDescent="0.3">
      <c r="A2161" t="s">
        <v>4693</v>
      </c>
      <c r="B2161" t="s">
        <v>4693</v>
      </c>
      <c r="C2161" t="s">
        <v>4693</v>
      </c>
      <c r="D2161" t="s">
        <v>629</v>
      </c>
      <c r="E2161" s="259" t="s">
        <v>1970</v>
      </c>
      <c r="F2161" t="s">
        <v>620</v>
      </c>
      <c r="G2161" s="89">
        <v>2022</v>
      </c>
      <c r="H2161" s="341" t="s">
        <v>733</v>
      </c>
      <c r="I2161" s="337" t="str">
        <f t="shared" si="92"/>
        <v>Pesado de Passageiros M3: I : Gasóleo : E6</v>
      </c>
      <c r="J2161" s="125">
        <v>25</v>
      </c>
      <c r="K2161" s="264">
        <v>2022</v>
      </c>
      <c r="L2161" s="85">
        <v>2085.66</v>
      </c>
      <c r="M2161" s="85" t="s">
        <v>630</v>
      </c>
      <c r="N2161" s="128">
        <v>14234.375</v>
      </c>
      <c r="O2161" s="128">
        <f t="shared" si="93"/>
        <v>355859.375</v>
      </c>
      <c r="P2161" s="89">
        <v>1701</v>
      </c>
      <c r="Q2161" t="s">
        <v>47</v>
      </c>
      <c r="R2161" s="220" t="s">
        <v>1888</v>
      </c>
      <c r="S2161" s="220" t="s">
        <v>1861</v>
      </c>
      <c r="U2161" t="s">
        <v>1972</v>
      </c>
      <c r="V2161" t="s">
        <v>2832</v>
      </c>
    </row>
    <row r="2162" spans="1:22" ht="15.75" thickBot="1" x14ac:dyDescent="0.3">
      <c r="A2162" t="s">
        <v>4693</v>
      </c>
      <c r="B2162" t="s">
        <v>4693</v>
      </c>
      <c r="C2162" t="s">
        <v>4693</v>
      </c>
      <c r="D2162" t="s">
        <v>629</v>
      </c>
      <c r="E2162" s="259" t="s">
        <v>1970</v>
      </c>
      <c r="F2162" t="s">
        <v>620</v>
      </c>
      <c r="G2162" s="89">
        <v>2022</v>
      </c>
      <c r="H2162" s="341" t="s">
        <v>733</v>
      </c>
      <c r="I2162" s="337" t="str">
        <f t="shared" si="92"/>
        <v>Pesado de Passageiros M3: I : Gasóleo : E6</v>
      </c>
      <c r="J2162" s="125">
        <v>25</v>
      </c>
      <c r="K2162" s="264">
        <v>2022</v>
      </c>
      <c r="L2162" s="85">
        <v>3990.1999999999975</v>
      </c>
      <c r="M2162" s="85" t="s">
        <v>630</v>
      </c>
      <c r="N2162" s="128">
        <v>26786.375</v>
      </c>
      <c r="O2162" s="128">
        <f t="shared" si="93"/>
        <v>669659.375</v>
      </c>
      <c r="P2162" s="89">
        <v>1702</v>
      </c>
      <c r="Q2162" t="s">
        <v>47</v>
      </c>
      <c r="R2162" s="220" t="s">
        <v>1888</v>
      </c>
      <c r="S2162" s="220" t="s">
        <v>1861</v>
      </c>
      <c r="U2162" t="s">
        <v>1972</v>
      </c>
      <c r="V2162" t="s">
        <v>2832</v>
      </c>
    </row>
    <row r="2163" spans="1:22" ht="15.75" thickBot="1" x14ac:dyDescent="0.3">
      <c r="A2163" t="s">
        <v>4693</v>
      </c>
      <c r="B2163" t="s">
        <v>4693</v>
      </c>
      <c r="C2163" t="s">
        <v>4693</v>
      </c>
      <c r="D2163" t="s">
        <v>629</v>
      </c>
      <c r="E2163" s="259" t="s">
        <v>1970</v>
      </c>
      <c r="F2163" t="s">
        <v>620</v>
      </c>
      <c r="G2163" s="89">
        <v>2022</v>
      </c>
      <c r="H2163" s="341" t="s">
        <v>733</v>
      </c>
      <c r="I2163" s="337" t="str">
        <f t="shared" si="92"/>
        <v>Pesado de Passageiros M3: I : Gasóleo : E6</v>
      </c>
      <c r="J2163" s="125">
        <v>25</v>
      </c>
      <c r="K2163" s="264">
        <v>2022</v>
      </c>
      <c r="L2163" s="85">
        <v>1167.9100000000001</v>
      </c>
      <c r="M2163" s="85" t="s">
        <v>630</v>
      </c>
      <c r="N2163" s="128">
        <v>10414.375</v>
      </c>
      <c r="O2163" s="128">
        <f t="shared" si="93"/>
        <v>260359.375</v>
      </c>
      <c r="P2163" s="89">
        <v>1703</v>
      </c>
      <c r="Q2163" t="s">
        <v>47</v>
      </c>
      <c r="R2163" s="220" t="s">
        <v>1888</v>
      </c>
      <c r="S2163" s="220" t="s">
        <v>1861</v>
      </c>
      <c r="U2163" t="s">
        <v>1972</v>
      </c>
      <c r="V2163" t="s">
        <v>2832</v>
      </c>
    </row>
    <row r="2164" spans="1:22" ht="15.75" thickBot="1" x14ac:dyDescent="0.3">
      <c r="A2164" t="s">
        <v>4693</v>
      </c>
      <c r="B2164" t="s">
        <v>4693</v>
      </c>
      <c r="C2164" t="s">
        <v>4693</v>
      </c>
      <c r="D2164" t="s">
        <v>629</v>
      </c>
      <c r="E2164" s="259" t="s">
        <v>1970</v>
      </c>
      <c r="F2164" t="s">
        <v>620</v>
      </c>
      <c r="G2164" s="89">
        <v>2022</v>
      </c>
      <c r="H2164" s="341" t="s">
        <v>733</v>
      </c>
      <c r="I2164" s="337" t="str">
        <f t="shared" si="92"/>
        <v>Pesado de Passageiros M3: I : Gasóleo : E6</v>
      </c>
      <c r="J2164" s="125">
        <v>25</v>
      </c>
      <c r="K2164" s="264">
        <v>2022</v>
      </c>
      <c r="L2164" s="85">
        <v>2107.0899999999997</v>
      </c>
      <c r="M2164" s="85" t="s">
        <v>630</v>
      </c>
      <c r="N2164" s="128">
        <v>14519.375</v>
      </c>
      <c r="O2164" s="128">
        <f t="shared" si="93"/>
        <v>362984.375</v>
      </c>
      <c r="P2164" s="89">
        <v>1704</v>
      </c>
      <c r="Q2164" t="s">
        <v>47</v>
      </c>
      <c r="R2164" s="220" t="s">
        <v>1888</v>
      </c>
      <c r="S2164" s="220" t="s">
        <v>1861</v>
      </c>
      <c r="U2164" t="s">
        <v>1972</v>
      </c>
      <c r="V2164" t="s">
        <v>2832</v>
      </c>
    </row>
    <row r="2165" spans="1:22" ht="15.75" thickBot="1" x14ac:dyDescent="0.3">
      <c r="A2165" t="s">
        <v>4693</v>
      </c>
      <c r="B2165" t="s">
        <v>4693</v>
      </c>
      <c r="C2165" t="s">
        <v>4693</v>
      </c>
      <c r="D2165" t="s">
        <v>629</v>
      </c>
      <c r="E2165" s="259" t="s">
        <v>1970</v>
      </c>
      <c r="F2165" t="s">
        <v>620</v>
      </c>
      <c r="G2165" s="89">
        <v>2022</v>
      </c>
      <c r="H2165" s="341" t="s">
        <v>733</v>
      </c>
      <c r="I2165" s="337" t="str">
        <f t="shared" si="92"/>
        <v>Pesado de Passageiros M3: I : Gasóleo : E6</v>
      </c>
      <c r="J2165" s="125">
        <v>25</v>
      </c>
      <c r="K2165" s="264">
        <v>2022</v>
      </c>
      <c r="L2165" s="85">
        <v>3923.1200000000003</v>
      </c>
      <c r="M2165" s="85" t="s">
        <v>630</v>
      </c>
      <c r="N2165" s="128">
        <v>24362.375</v>
      </c>
      <c r="O2165" s="128">
        <f t="shared" si="93"/>
        <v>609059.375</v>
      </c>
      <c r="P2165" s="89">
        <v>1705</v>
      </c>
      <c r="Q2165" t="s">
        <v>47</v>
      </c>
      <c r="R2165" s="220" t="s">
        <v>1888</v>
      </c>
      <c r="S2165" s="220" t="s">
        <v>1861</v>
      </c>
      <c r="U2165" t="s">
        <v>1972</v>
      </c>
      <c r="V2165" t="s">
        <v>2832</v>
      </c>
    </row>
    <row r="2166" spans="1:22" ht="15.75" thickBot="1" x14ac:dyDescent="0.3">
      <c r="A2166" t="s">
        <v>4693</v>
      </c>
      <c r="B2166" t="s">
        <v>4693</v>
      </c>
      <c r="C2166" t="s">
        <v>4693</v>
      </c>
      <c r="D2166" t="s">
        <v>629</v>
      </c>
      <c r="E2166" s="259" t="s">
        <v>1970</v>
      </c>
      <c r="F2166" t="s">
        <v>620</v>
      </c>
      <c r="G2166" s="89">
        <v>2022</v>
      </c>
      <c r="H2166" s="341" t="s">
        <v>733</v>
      </c>
      <c r="I2166" s="337" t="str">
        <f t="shared" si="92"/>
        <v>Pesado de Passageiros M3: I : Gasóleo : E6</v>
      </c>
      <c r="J2166" s="125">
        <v>25</v>
      </c>
      <c r="K2166" s="264">
        <v>2022</v>
      </c>
      <c r="L2166" s="85">
        <v>3428.83</v>
      </c>
      <c r="M2166" s="85" t="s">
        <v>630</v>
      </c>
      <c r="N2166" s="128">
        <v>19773.375</v>
      </c>
      <c r="O2166" s="128">
        <f t="shared" si="93"/>
        <v>494334.375</v>
      </c>
      <c r="P2166" s="89">
        <v>1706</v>
      </c>
      <c r="Q2166" t="s">
        <v>47</v>
      </c>
      <c r="R2166" s="220" t="s">
        <v>1888</v>
      </c>
      <c r="S2166" s="220" t="s">
        <v>1861</v>
      </c>
      <c r="U2166" t="s">
        <v>1972</v>
      </c>
      <c r="V2166" t="s">
        <v>2832</v>
      </c>
    </row>
    <row r="2167" spans="1:22" ht="15.75" thickBot="1" x14ac:dyDescent="0.3">
      <c r="A2167" t="s">
        <v>4693</v>
      </c>
      <c r="B2167" t="s">
        <v>4693</v>
      </c>
      <c r="C2167" t="s">
        <v>4693</v>
      </c>
      <c r="D2167" t="s">
        <v>629</v>
      </c>
      <c r="E2167" s="259" t="s">
        <v>1970</v>
      </c>
      <c r="F2167" t="s">
        <v>620</v>
      </c>
      <c r="G2167" s="89">
        <v>2022</v>
      </c>
      <c r="H2167" s="341" t="s">
        <v>733</v>
      </c>
      <c r="I2167" s="337" t="str">
        <f t="shared" si="92"/>
        <v>Pesado de Passageiros M3: I : Gasóleo : E6</v>
      </c>
      <c r="J2167" s="125">
        <v>25</v>
      </c>
      <c r="K2167" s="264">
        <v>2022</v>
      </c>
      <c r="L2167" s="85">
        <v>3884.9799999999977</v>
      </c>
      <c r="M2167" s="85" t="s">
        <v>630</v>
      </c>
      <c r="N2167" s="128">
        <v>23003.375</v>
      </c>
      <c r="O2167" s="128">
        <f t="shared" si="93"/>
        <v>575084.375</v>
      </c>
      <c r="P2167" s="89">
        <v>1707</v>
      </c>
      <c r="Q2167" t="s">
        <v>47</v>
      </c>
      <c r="R2167" s="220" t="s">
        <v>1888</v>
      </c>
      <c r="S2167" s="220" t="s">
        <v>1861</v>
      </c>
      <c r="U2167" t="s">
        <v>1972</v>
      </c>
      <c r="V2167" t="s">
        <v>2832</v>
      </c>
    </row>
    <row r="2168" spans="1:22" ht="15.75" thickBot="1" x14ac:dyDescent="0.3">
      <c r="A2168" t="s">
        <v>4693</v>
      </c>
      <c r="B2168" t="s">
        <v>4693</v>
      </c>
      <c r="C2168" t="s">
        <v>4693</v>
      </c>
      <c r="D2168" t="s">
        <v>629</v>
      </c>
      <c r="E2168" s="259" t="s">
        <v>1970</v>
      </c>
      <c r="F2168" t="s">
        <v>620</v>
      </c>
      <c r="G2168" s="89">
        <v>2022</v>
      </c>
      <c r="H2168" s="341" t="s">
        <v>733</v>
      </c>
      <c r="I2168" s="337" t="str">
        <f t="shared" si="92"/>
        <v>Pesado de Passageiros M3: I : Gasóleo : E6</v>
      </c>
      <c r="J2168" s="125">
        <v>25</v>
      </c>
      <c r="K2168" s="264">
        <v>2022</v>
      </c>
      <c r="L2168" s="85">
        <v>1987.5100000000007</v>
      </c>
      <c r="M2168" s="85" t="s">
        <v>630</v>
      </c>
      <c r="N2168" s="128">
        <v>12865.375</v>
      </c>
      <c r="O2168" s="128">
        <f t="shared" si="93"/>
        <v>321634.375</v>
      </c>
      <c r="P2168" s="89">
        <v>1708</v>
      </c>
      <c r="Q2168" t="s">
        <v>47</v>
      </c>
      <c r="R2168" s="220" t="s">
        <v>1888</v>
      </c>
      <c r="S2168" s="220" t="s">
        <v>1861</v>
      </c>
      <c r="U2168" t="s">
        <v>1972</v>
      </c>
      <c r="V2168" t="s">
        <v>2832</v>
      </c>
    </row>
    <row r="2169" spans="1:22" ht="15.75" thickBot="1" x14ac:dyDescent="0.3">
      <c r="A2169" t="s">
        <v>4693</v>
      </c>
      <c r="B2169" t="s">
        <v>4693</v>
      </c>
      <c r="C2169" t="s">
        <v>4693</v>
      </c>
      <c r="D2169" t="s">
        <v>629</v>
      </c>
      <c r="E2169" s="259" t="s">
        <v>1970</v>
      </c>
      <c r="F2169" t="s">
        <v>620</v>
      </c>
      <c r="G2169" s="89">
        <v>2022</v>
      </c>
      <c r="H2169" s="341" t="s">
        <v>733</v>
      </c>
      <c r="I2169" s="337" t="str">
        <f t="shared" si="92"/>
        <v>Pesado de Passageiros M3: I : Gasóleo : E6</v>
      </c>
      <c r="J2169" s="125">
        <v>25</v>
      </c>
      <c r="K2169" s="264">
        <v>2022</v>
      </c>
      <c r="L2169" s="85">
        <v>4217.54</v>
      </c>
      <c r="M2169" s="85" t="s">
        <v>630</v>
      </c>
      <c r="N2169" s="128">
        <v>24326.375</v>
      </c>
      <c r="O2169" s="128">
        <f t="shared" si="93"/>
        <v>608159.375</v>
      </c>
      <c r="P2169" s="89">
        <v>1709</v>
      </c>
      <c r="Q2169" t="s">
        <v>47</v>
      </c>
      <c r="R2169" s="220" t="s">
        <v>1888</v>
      </c>
      <c r="S2169" s="220" t="s">
        <v>1861</v>
      </c>
      <c r="U2169" t="s">
        <v>1972</v>
      </c>
      <c r="V2169" t="s">
        <v>2832</v>
      </c>
    </row>
    <row r="2170" spans="1:22" ht="15.75" thickBot="1" x14ac:dyDescent="0.3">
      <c r="A2170" t="s">
        <v>4693</v>
      </c>
      <c r="B2170" t="s">
        <v>4693</v>
      </c>
      <c r="C2170" t="s">
        <v>4693</v>
      </c>
      <c r="D2170" t="s">
        <v>629</v>
      </c>
      <c r="E2170" s="259" t="s">
        <v>1970</v>
      </c>
      <c r="F2170" t="s">
        <v>620</v>
      </c>
      <c r="G2170" s="89">
        <v>2022</v>
      </c>
      <c r="H2170" s="341" t="s">
        <v>733</v>
      </c>
      <c r="I2170" s="337" t="str">
        <f t="shared" si="92"/>
        <v>Pesado de Passageiros M3: I : Gasóleo : E6</v>
      </c>
      <c r="J2170" s="125">
        <v>25</v>
      </c>
      <c r="K2170" s="264">
        <v>2022</v>
      </c>
      <c r="L2170" s="85">
        <v>4086.9099999999994</v>
      </c>
      <c r="M2170" s="85" t="s">
        <v>630</v>
      </c>
      <c r="N2170" s="128">
        <v>25121.375</v>
      </c>
      <c r="O2170" s="128">
        <f t="shared" si="93"/>
        <v>628034.375</v>
      </c>
      <c r="P2170" s="89">
        <v>1710</v>
      </c>
      <c r="Q2170" t="s">
        <v>47</v>
      </c>
      <c r="R2170" s="220" t="s">
        <v>1888</v>
      </c>
      <c r="S2170" s="220" t="s">
        <v>1861</v>
      </c>
      <c r="U2170" t="s">
        <v>1972</v>
      </c>
      <c r="V2170" t="s">
        <v>2832</v>
      </c>
    </row>
    <row r="2171" spans="1:22" ht="15.75" thickBot="1" x14ac:dyDescent="0.3">
      <c r="A2171" t="s">
        <v>4693</v>
      </c>
      <c r="B2171" t="s">
        <v>4693</v>
      </c>
      <c r="C2171" t="s">
        <v>4693</v>
      </c>
      <c r="D2171" t="s">
        <v>629</v>
      </c>
      <c r="E2171" s="259" t="s">
        <v>1970</v>
      </c>
      <c r="F2171" t="s">
        <v>620</v>
      </c>
      <c r="G2171" s="89">
        <v>2022</v>
      </c>
      <c r="H2171" s="341" t="s">
        <v>733</v>
      </c>
      <c r="I2171" s="337" t="str">
        <f t="shared" si="92"/>
        <v>Pesado de Passageiros M3: I : Gasóleo : E6</v>
      </c>
      <c r="J2171" s="125">
        <v>25</v>
      </c>
      <c r="K2171" s="264">
        <v>2022</v>
      </c>
      <c r="L2171" s="85">
        <v>3823.8900000000003</v>
      </c>
      <c r="M2171" s="85" t="s">
        <v>630</v>
      </c>
      <c r="N2171" s="128">
        <v>23565.375</v>
      </c>
      <c r="O2171" s="128">
        <f t="shared" si="93"/>
        <v>589134.375</v>
      </c>
      <c r="P2171" s="89">
        <v>1711</v>
      </c>
      <c r="Q2171" t="s">
        <v>47</v>
      </c>
      <c r="R2171" s="220" t="s">
        <v>1888</v>
      </c>
      <c r="S2171" s="220" t="s">
        <v>1861</v>
      </c>
      <c r="U2171" t="s">
        <v>1972</v>
      </c>
      <c r="V2171" t="s">
        <v>2832</v>
      </c>
    </row>
    <row r="2172" spans="1:22" ht="15.75" thickBot="1" x14ac:dyDescent="0.3">
      <c r="A2172" t="s">
        <v>4693</v>
      </c>
      <c r="B2172" t="s">
        <v>4693</v>
      </c>
      <c r="C2172" t="s">
        <v>4693</v>
      </c>
      <c r="D2172" t="s">
        <v>629</v>
      </c>
      <c r="E2172" s="259" t="s">
        <v>1970</v>
      </c>
      <c r="F2172" t="s">
        <v>620</v>
      </c>
      <c r="G2172" s="89">
        <v>2022</v>
      </c>
      <c r="H2172" s="341" t="s">
        <v>733</v>
      </c>
      <c r="I2172" s="337" t="str">
        <f t="shared" si="92"/>
        <v>Pesado de Passageiros M3: I : Gasóleo : E6</v>
      </c>
      <c r="J2172" s="125">
        <v>25</v>
      </c>
      <c r="K2172" s="264">
        <v>2022</v>
      </c>
      <c r="L2172" s="85">
        <v>3707.6000000000026</v>
      </c>
      <c r="M2172" s="85" t="s">
        <v>630</v>
      </c>
      <c r="N2172" s="128">
        <v>22053.375</v>
      </c>
      <c r="O2172" s="128">
        <f t="shared" si="93"/>
        <v>551334.375</v>
      </c>
      <c r="P2172" s="89">
        <v>1712</v>
      </c>
      <c r="Q2172" t="s">
        <v>47</v>
      </c>
      <c r="R2172" s="220" t="s">
        <v>1888</v>
      </c>
      <c r="S2172" s="220" t="s">
        <v>1861</v>
      </c>
      <c r="U2172" t="s">
        <v>1972</v>
      </c>
      <c r="V2172" t="s">
        <v>2832</v>
      </c>
    </row>
    <row r="2173" spans="1:22" ht="15.75" thickBot="1" x14ac:dyDescent="0.3">
      <c r="A2173" t="s">
        <v>4693</v>
      </c>
      <c r="B2173" t="s">
        <v>4693</v>
      </c>
      <c r="C2173" t="s">
        <v>4693</v>
      </c>
      <c r="D2173" t="s">
        <v>629</v>
      </c>
      <c r="E2173" s="259" t="s">
        <v>1970</v>
      </c>
      <c r="F2173" t="s">
        <v>620</v>
      </c>
      <c r="G2173" s="89">
        <v>2022</v>
      </c>
      <c r="H2173" s="341" t="s">
        <v>733</v>
      </c>
      <c r="I2173" s="337" t="str">
        <f t="shared" si="92"/>
        <v>Pesado de Passageiros M3: I : Gasóleo : E6</v>
      </c>
      <c r="J2173" s="125">
        <v>25</v>
      </c>
      <c r="K2173" s="264">
        <v>2022</v>
      </c>
      <c r="L2173" s="85">
        <v>2272.1400000000003</v>
      </c>
      <c r="M2173" s="85" t="s">
        <v>630</v>
      </c>
      <c r="N2173" s="128">
        <v>15619.375</v>
      </c>
      <c r="O2173" s="128">
        <f t="shared" si="93"/>
        <v>390484.375</v>
      </c>
      <c r="P2173" s="89">
        <v>1713</v>
      </c>
      <c r="Q2173" t="s">
        <v>47</v>
      </c>
      <c r="R2173" s="220" t="s">
        <v>1888</v>
      </c>
      <c r="S2173" s="220" t="s">
        <v>1861</v>
      </c>
      <c r="U2173" t="s">
        <v>1972</v>
      </c>
      <c r="V2173" t="s">
        <v>2832</v>
      </c>
    </row>
    <row r="2174" spans="1:22" ht="15.75" thickBot="1" x14ac:dyDescent="0.3">
      <c r="A2174" t="s">
        <v>4693</v>
      </c>
      <c r="B2174" t="s">
        <v>4693</v>
      </c>
      <c r="C2174" t="s">
        <v>4693</v>
      </c>
      <c r="D2174" t="s">
        <v>629</v>
      </c>
      <c r="E2174" s="259" t="s">
        <v>1970</v>
      </c>
      <c r="F2174" t="s">
        <v>620</v>
      </c>
      <c r="G2174" s="89">
        <v>2022</v>
      </c>
      <c r="H2174" s="341" t="s">
        <v>733</v>
      </c>
      <c r="I2174" s="337" t="str">
        <f t="shared" si="92"/>
        <v>Pesado de Passageiros M3: I : Gasóleo : E6</v>
      </c>
      <c r="J2174" s="125">
        <v>25</v>
      </c>
      <c r="K2174" s="264">
        <v>2022</v>
      </c>
      <c r="L2174" s="85">
        <v>2303.1899999999996</v>
      </c>
      <c r="M2174" s="85" t="s">
        <v>630</v>
      </c>
      <c r="N2174" s="128">
        <v>16036.375</v>
      </c>
      <c r="O2174" s="128">
        <f t="shared" si="93"/>
        <v>400909.375</v>
      </c>
      <c r="P2174" s="89">
        <v>1719</v>
      </c>
      <c r="Q2174" t="s">
        <v>47</v>
      </c>
      <c r="R2174" s="220" t="s">
        <v>1888</v>
      </c>
      <c r="S2174" s="220" t="s">
        <v>1861</v>
      </c>
      <c r="U2174" t="s">
        <v>1972</v>
      </c>
      <c r="V2174" t="s">
        <v>2832</v>
      </c>
    </row>
    <row r="2175" spans="1:22" ht="15.75" thickBot="1" x14ac:dyDescent="0.3">
      <c r="A2175" t="s">
        <v>4693</v>
      </c>
      <c r="B2175" t="s">
        <v>4693</v>
      </c>
      <c r="C2175" t="s">
        <v>4693</v>
      </c>
      <c r="D2175" t="s">
        <v>629</v>
      </c>
      <c r="E2175" s="259" t="s">
        <v>1970</v>
      </c>
      <c r="F2175" t="s">
        <v>620</v>
      </c>
      <c r="G2175" s="89">
        <v>2022</v>
      </c>
      <c r="H2175" s="341" t="s">
        <v>733</v>
      </c>
      <c r="I2175" s="337" t="str">
        <f t="shared" si="92"/>
        <v>Pesado de Passageiros M3: I : Gasóleo : E6</v>
      </c>
      <c r="J2175" s="125">
        <v>34</v>
      </c>
      <c r="K2175" s="264">
        <v>2022</v>
      </c>
      <c r="L2175" s="85">
        <v>193.29</v>
      </c>
      <c r="M2175" s="85" t="s">
        <v>630</v>
      </c>
      <c r="N2175" s="128">
        <v>4851.375</v>
      </c>
      <c r="O2175" s="128">
        <f t="shared" si="93"/>
        <v>164946.75</v>
      </c>
      <c r="P2175" s="89">
        <v>1732</v>
      </c>
      <c r="Q2175" t="s">
        <v>47</v>
      </c>
      <c r="R2175" s="220" t="s">
        <v>1888</v>
      </c>
      <c r="S2175" s="220" t="s">
        <v>1861</v>
      </c>
      <c r="U2175" t="s">
        <v>1972</v>
      </c>
      <c r="V2175" t="s">
        <v>2832</v>
      </c>
    </row>
    <row r="2176" spans="1:22" ht="15.75" thickBot="1" x14ac:dyDescent="0.3">
      <c r="A2176" t="s">
        <v>4693</v>
      </c>
      <c r="B2176" t="s">
        <v>4693</v>
      </c>
      <c r="C2176" t="s">
        <v>4693</v>
      </c>
      <c r="D2176" t="s">
        <v>629</v>
      </c>
      <c r="E2176" s="259" t="s">
        <v>1970</v>
      </c>
      <c r="F2176" t="s">
        <v>620</v>
      </c>
      <c r="G2176" s="89">
        <v>2022</v>
      </c>
      <c r="H2176" s="341" t="s">
        <v>733</v>
      </c>
      <c r="I2176" s="337" t="str">
        <f t="shared" si="92"/>
        <v>Pesado de Passageiros M3: I : Gasóleo : E6</v>
      </c>
      <c r="J2176" s="125">
        <v>34</v>
      </c>
      <c r="K2176" s="264">
        <v>2022</v>
      </c>
      <c r="L2176" s="85">
        <v>162.21</v>
      </c>
      <c r="M2176" s="85" t="s">
        <v>630</v>
      </c>
      <c r="N2176" s="128">
        <v>4731.375</v>
      </c>
      <c r="O2176" s="128">
        <f t="shared" si="93"/>
        <v>160866.75</v>
      </c>
      <c r="P2176" s="89">
        <v>1734</v>
      </c>
      <c r="Q2176" t="s">
        <v>47</v>
      </c>
      <c r="R2176" s="220" t="s">
        <v>1888</v>
      </c>
      <c r="S2176" s="220" t="s">
        <v>1861</v>
      </c>
      <c r="U2176" t="s">
        <v>1972</v>
      </c>
      <c r="V2176" t="s">
        <v>2832</v>
      </c>
    </row>
    <row r="2177" spans="1:22" ht="15.75" thickBot="1" x14ac:dyDescent="0.3">
      <c r="A2177" t="s">
        <v>4693</v>
      </c>
      <c r="B2177" t="s">
        <v>4693</v>
      </c>
      <c r="C2177" t="s">
        <v>4693</v>
      </c>
      <c r="D2177" t="s">
        <v>629</v>
      </c>
      <c r="E2177" s="259" t="s">
        <v>1970</v>
      </c>
      <c r="F2177" t="s">
        <v>620</v>
      </c>
      <c r="G2177" s="89">
        <v>2008</v>
      </c>
      <c r="H2177" s="341" t="s">
        <v>731</v>
      </c>
      <c r="I2177" s="337" t="str">
        <f t="shared" si="92"/>
        <v>Pesado de Passageiros M3: I : Gasóleo : E4</v>
      </c>
      <c r="J2177" s="125">
        <v>60</v>
      </c>
      <c r="K2177" s="264">
        <v>2022</v>
      </c>
      <c r="L2177" s="85">
        <v>28976.030000000013</v>
      </c>
      <c r="M2177" s="85" t="s">
        <v>630</v>
      </c>
      <c r="N2177" s="128">
        <v>71717.375</v>
      </c>
      <c r="O2177" s="128">
        <f t="shared" si="93"/>
        <v>4303042.5</v>
      </c>
      <c r="P2177" s="89">
        <v>804</v>
      </c>
      <c r="Q2177" t="s">
        <v>47</v>
      </c>
      <c r="R2177" s="220" t="s">
        <v>1888</v>
      </c>
      <c r="S2177" s="220" t="s">
        <v>1861</v>
      </c>
      <c r="U2177" t="s">
        <v>1972</v>
      </c>
      <c r="V2177" t="s">
        <v>2832</v>
      </c>
    </row>
    <row r="2178" spans="1:22" ht="15.75" thickBot="1" x14ac:dyDescent="0.3">
      <c r="A2178" t="s">
        <v>4693</v>
      </c>
      <c r="B2178" t="s">
        <v>4693</v>
      </c>
      <c r="C2178" t="s">
        <v>4693</v>
      </c>
      <c r="D2178" t="s">
        <v>629</v>
      </c>
      <c r="E2178" s="259" t="s">
        <v>1970</v>
      </c>
      <c r="F2178" t="s">
        <v>620</v>
      </c>
      <c r="G2178" s="89">
        <v>2008</v>
      </c>
      <c r="H2178" s="341" t="s">
        <v>731</v>
      </c>
      <c r="I2178" s="337" t="str">
        <f t="shared" si="92"/>
        <v>Pesado de Passageiros M3: I : Gasóleo : E4</v>
      </c>
      <c r="J2178" s="125">
        <v>60</v>
      </c>
      <c r="K2178" s="264">
        <v>2022</v>
      </c>
      <c r="L2178" s="85">
        <v>32839.159999999982</v>
      </c>
      <c r="M2178" s="85" t="s">
        <v>630</v>
      </c>
      <c r="N2178" s="128">
        <v>77134.375</v>
      </c>
      <c r="O2178" s="128">
        <f t="shared" si="93"/>
        <v>4628062.5</v>
      </c>
      <c r="P2178" s="89">
        <v>807</v>
      </c>
      <c r="Q2178" t="s">
        <v>47</v>
      </c>
      <c r="R2178" s="220" t="s">
        <v>1888</v>
      </c>
      <c r="S2178" s="220" t="s">
        <v>1861</v>
      </c>
      <c r="U2178" t="s">
        <v>1972</v>
      </c>
      <c r="V2178" t="s">
        <v>2832</v>
      </c>
    </row>
    <row r="2179" spans="1:22" ht="15.75" thickBot="1" x14ac:dyDescent="0.3">
      <c r="A2179" t="s">
        <v>4693</v>
      </c>
      <c r="B2179" t="s">
        <v>4693</v>
      </c>
      <c r="C2179" t="s">
        <v>4693</v>
      </c>
      <c r="D2179" t="s">
        <v>629</v>
      </c>
      <c r="E2179" s="259" t="s">
        <v>1970</v>
      </c>
      <c r="F2179" t="s">
        <v>620</v>
      </c>
      <c r="G2179" s="89">
        <v>2008</v>
      </c>
      <c r="H2179" s="341" t="s">
        <v>731</v>
      </c>
      <c r="I2179" s="337" t="str">
        <f t="shared" si="92"/>
        <v>Pesado de Passageiros M3: I : Gasóleo : E4</v>
      </c>
      <c r="J2179" s="125">
        <v>60</v>
      </c>
      <c r="K2179" s="264">
        <v>2022</v>
      </c>
      <c r="L2179" s="85">
        <v>19990.679999999997</v>
      </c>
      <c r="M2179" s="85" t="s">
        <v>630</v>
      </c>
      <c r="N2179" s="128">
        <v>41931.375</v>
      </c>
      <c r="O2179" s="128">
        <f t="shared" si="93"/>
        <v>2515882.5</v>
      </c>
      <c r="P2179" s="89">
        <v>808</v>
      </c>
      <c r="Q2179" t="s">
        <v>47</v>
      </c>
      <c r="R2179" s="220" t="s">
        <v>1888</v>
      </c>
      <c r="S2179" s="220" t="s">
        <v>1861</v>
      </c>
      <c r="U2179" t="s">
        <v>1972</v>
      </c>
      <c r="V2179" t="s">
        <v>2832</v>
      </c>
    </row>
    <row r="2180" spans="1:22" ht="15.75" thickBot="1" x14ac:dyDescent="0.3">
      <c r="A2180" t="s">
        <v>4693</v>
      </c>
      <c r="B2180" t="s">
        <v>4693</v>
      </c>
      <c r="C2180" t="s">
        <v>4693</v>
      </c>
      <c r="D2180" t="s">
        <v>629</v>
      </c>
      <c r="E2180" s="259" t="s">
        <v>1970</v>
      </c>
      <c r="F2180" t="s">
        <v>620</v>
      </c>
      <c r="G2180" s="89">
        <v>2011</v>
      </c>
      <c r="H2180" s="341" t="s">
        <v>734</v>
      </c>
      <c r="I2180" s="337" t="str">
        <f t="shared" ref="I2180:I2243" si="94">D2180&amp;": "&amp;E2180&amp;" : "&amp;F2180&amp;" : "&amp;H2180</f>
        <v>Pesado de Passageiros M3: I : Gasóleo : E5</v>
      </c>
      <c r="J2180" s="125">
        <v>88</v>
      </c>
      <c r="K2180" s="264">
        <v>2022</v>
      </c>
      <c r="L2180" s="85">
        <v>37520.139999999992</v>
      </c>
      <c r="M2180" s="85" t="s">
        <v>630</v>
      </c>
      <c r="N2180" s="128">
        <v>88884.375</v>
      </c>
      <c r="O2180" s="128">
        <f t="shared" ref="O2180:O2243" si="95">N2180*J2180</f>
        <v>7821825</v>
      </c>
      <c r="P2180" s="89">
        <v>697</v>
      </c>
      <c r="Q2180" t="s">
        <v>47</v>
      </c>
      <c r="R2180" s="220" t="s">
        <v>1888</v>
      </c>
      <c r="S2180" s="220" t="s">
        <v>1861</v>
      </c>
      <c r="U2180" t="s">
        <v>1972</v>
      </c>
      <c r="V2180" t="s">
        <v>2832</v>
      </c>
    </row>
    <row r="2181" spans="1:22" ht="15.75" thickBot="1" x14ac:dyDescent="0.3">
      <c r="A2181" t="s">
        <v>4693</v>
      </c>
      <c r="B2181" t="s">
        <v>4693</v>
      </c>
      <c r="C2181" t="s">
        <v>4693</v>
      </c>
      <c r="D2181" t="s">
        <v>629</v>
      </c>
      <c r="E2181" s="259" t="s">
        <v>1970</v>
      </c>
      <c r="F2181" t="s">
        <v>620</v>
      </c>
      <c r="G2181" s="89">
        <v>2011</v>
      </c>
      <c r="H2181" s="341" t="s">
        <v>734</v>
      </c>
      <c r="I2181" s="337" t="str">
        <f t="shared" si="94"/>
        <v>Pesado de Passageiros M3: I : Gasóleo : E5</v>
      </c>
      <c r="J2181" s="125">
        <v>88</v>
      </c>
      <c r="K2181" s="264">
        <v>2022</v>
      </c>
      <c r="L2181" s="85">
        <v>12401.369999999995</v>
      </c>
      <c r="M2181" s="85" t="s">
        <v>630</v>
      </c>
      <c r="N2181" s="128">
        <v>30860.375</v>
      </c>
      <c r="O2181" s="128">
        <f t="shared" si="95"/>
        <v>2715713</v>
      </c>
      <c r="P2181" s="89">
        <v>698</v>
      </c>
      <c r="Q2181" t="s">
        <v>47</v>
      </c>
      <c r="R2181" s="220" t="s">
        <v>1888</v>
      </c>
      <c r="S2181" s="220" t="s">
        <v>1861</v>
      </c>
      <c r="U2181" t="s">
        <v>1972</v>
      </c>
      <c r="V2181" t="s">
        <v>2832</v>
      </c>
    </row>
    <row r="2182" spans="1:22" ht="15.75" thickBot="1" x14ac:dyDescent="0.3">
      <c r="A2182" t="s">
        <v>4693</v>
      </c>
      <c r="B2182" t="s">
        <v>4693</v>
      </c>
      <c r="C2182" t="s">
        <v>4693</v>
      </c>
      <c r="D2182" t="s">
        <v>629</v>
      </c>
      <c r="E2182" s="259" t="s">
        <v>1970</v>
      </c>
      <c r="F2182" t="s">
        <v>620</v>
      </c>
      <c r="G2182" s="89">
        <v>2011</v>
      </c>
      <c r="H2182" s="341" t="s">
        <v>734</v>
      </c>
      <c r="I2182" s="337" t="str">
        <f t="shared" si="94"/>
        <v>Pesado de Passageiros M3: I : Gasóleo : E5</v>
      </c>
      <c r="J2182" s="125">
        <v>88</v>
      </c>
      <c r="K2182" s="264">
        <v>2022</v>
      </c>
      <c r="L2182" s="85">
        <v>17307.090000000007</v>
      </c>
      <c r="M2182" s="85" t="s">
        <v>630</v>
      </c>
      <c r="N2182" s="128">
        <v>40365.375</v>
      </c>
      <c r="O2182" s="128">
        <f t="shared" si="95"/>
        <v>3552153</v>
      </c>
      <c r="P2182" s="89">
        <v>699</v>
      </c>
      <c r="Q2182" t="s">
        <v>47</v>
      </c>
      <c r="R2182" s="220" t="s">
        <v>1888</v>
      </c>
      <c r="S2182" s="220" t="s">
        <v>1861</v>
      </c>
      <c r="U2182" t="s">
        <v>1972</v>
      </c>
      <c r="V2182" t="s">
        <v>2832</v>
      </c>
    </row>
    <row r="2183" spans="1:22" ht="15.75" thickBot="1" x14ac:dyDescent="0.3">
      <c r="A2183" t="s">
        <v>4693</v>
      </c>
      <c r="B2183" t="s">
        <v>4693</v>
      </c>
      <c r="C2183" t="s">
        <v>4693</v>
      </c>
      <c r="D2183" t="s">
        <v>629</v>
      </c>
      <c r="E2183" s="259" t="s">
        <v>1970</v>
      </c>
      <c r="F2183" t="s">
        <v>620</v>
      </c>
      <c r="G2183" s="89">
        <v>2011</v>
      </c>
      <c r="H2183" s="341" t="s">
        <v>734</v>
      </c>
      <c r="I2183" s="337" t="str">
        <f t="shared" si="94"/>
        <v>Pesado de Passageiros M3: I : Gasóleo : E5</v>
      </c>
      <c r="J2183" s="125">
        <v>88</v>
      </c>
      <c r="K2183" s="264">
        <v>2022</v>
      </c>
      <c r="L2183" s="85">
        <v>32906.560000000019</v>
      </c>
      <c r="M2183" s="85" t="s">
        <v>630</v>
      </c>
      <c r="N2183" s="128">
        <v>71081.375</v>
      </c>
      <c r="O2183" s="128">
        <f t="shared" si="95"/>
        <v>6255161</v>
      </c>
      <c r="P2183" s="89">
        <v>700</v>
      </c>
      <c r="Q2183" t="s">
        <v>47</v>
      </c>
      <c r="R2183" s="220" t="s">
        <v>1888</v>
      </c>
      <c r="S2183" s="220" t="s">
        <v>1861</v>
      </c>
      <c r="U2183" t="s">
        <v>1972</v>
      </c>
      <c r="V2183" t="s">
        <v>2832</v>
      </c>
    </row>
    <row r="2184" spans="1:22" ht="15.75" thickBot="1" x14ac:dyDescent="0.3">
      <c r="A2184" t="s">
        <v>4693</v>
      </c>
      <c r="B2184" t="s">
        <v>4693</v>
      </c>
      <c r="C2184" t="s">
        <v>4693</v>
      </c>
      <c r="D2184" t="s">
        <v>629</v>
      </c>
      <c r="E2184" s="259" t="s">
        <v>1970</v>
      </c>
      <c r="F2184" t="s">
        <v>620</v>
      </c>
      <c r="G2184" s="89">
        <v>2011</v>
      </c>
      <c r="H2184" s="341" t="s">
        <v>734</v>
      </c>
      <c r="I2184" s="337" t="str">
        <f t="shared" si="94"/>
        <v>Pesado de Passageiros M3: I : Gasóleo : E5</v>
      </c>
      <c r="J2184" s="125">
        <v>88</v>
      </c>
      <c r="K2184" s="264">
        <v>2022</v>
      </c>
      <c r="L2184" s="85">
        <v>1172.0700000000002</v>
      </c>
      <c r="M2184" s="85" t="s">
        <v>630</v>
      </c>
      <c r="N2184" s="128">
        <v>6394.375</v>
      </c>
      <c r="O2184" s="128">
        <f t="shared" si="95"/>
        <v>562705</v>
      </c>
      <c r="P2184" s="89">
        <v>701</v>
      </c>
      <c r="Q2184" t="s">
        <v>47</v>
      </c>
      <c r="R2184" s="220" t="s">
        <v>1888</v>
      </c>
      <c r="S2184" s="220" t="s">
        <v>1861</v>
      </c>
      <c r="U2184" t="s">
        <v>1972</v>
      </c>
      <c r="V2184" t="s">
        <v>2832</v>
      </c>
    </row>
    <row r="2185" spans="1:22" ht="15.75" thickBot="1" x14ac:dyDescent="0.3">
      <c r="A2185" t="s">
        <v>4693</v>
      </c>
      <c r="B2185" t="s">
        <v>4693</v>
      </c>
      <c r="C2185" t="s">
        <v>4693</v>
      </c>
      <c r="D2185" t="s">
        <v>629</v>
      </c>
      <c r="E2185" s="259" t="s">
        <v>1970</v>
      </c>
      <c r="F2185" t="s">
        <v>620</v>
      </c>
      <c r="G2185" s="89">
        <v>2011</v>
      </c>
      <c r="H2185" s="341" t="s">
        <v>734</v>
      </c>
      <c r="I2185" s="337" t="str">
        <f t="shared" si="94"/>
        <v>Pesado de Passageiros M3: I : Gasóleo : E5</v>
      </c>
      <c r="J2185" s="125">
        <v>88</v>
      </c>
      <c r="K2185" s="264">
        <v>2022</v>
      </c>
      <c r="L2185" s="85">
        <v>28773.240000000009</v>
      </c>
      <c r="M2185" s="85" t="s">
        <v>630</v>
      </c>
      <c r="N2185" s="128">
        <v>62808.375</v>
      </c>
      <c r="O2185" s="128">
        <f t="shared" si="95"/>
        <v>5527137</v>
      </c>
      <c r="P2185" s="89">
        <v>702</v>
      </c>
      <c r="Q2185" t="s">
        <v>47</v>
      </c>
      <c r="R2185" s="220" t="s">
        <v>1888</v>
      </c>
      <c r="S2185" s="220" t="s">
        <v>1861</v>
      </c>
      <c r="U2185" t="s">
        <v>1972</v>
      </c>
      <c r="V2185" t="s">
        <v>2832</v>
      </c>
    </row>
    <row r="2186" spans="1:22" ht="15.75" thickBot="1" x14ac:dyDescent="0.3">
      <c r="A2186" t="s">
        <v>4693</v>
      </c>
      <c r="B2186" t="s">
        <v>4693</v>
      </c>
      <c r="C2186" t="s">
        <v>4693</v>
      </c>
      <c r="D2186" t="s">
        <v>629</v>
      </c>
      <c r="E2186" s="259" t="s">
        <v>1970</v>
      </c>
      <c r="F2186" t="s">
        <v>620</v>
      </c>
      <c r="G2186" s="89">
        <v>2011</v>
      </c>
      <c r="H2186" s="341" t="s">
        <v>734</v>
      </c>
      <c r="I2186" s="337" t="str">
        <f t="shared" si="94"/>
        <v>Pesado de Passageiros M3: I : Gasóleo : E5</v>
      </c>
      <c r="J2186" s="125">
        <v>88</v>
      </c>
      <c r="K2186" s="264">
        <v>2022</v>
      </c>
      <c r="L2186" s="85">
        <v>36378.339999999989</v>
      </c>
      <c r="M2186" s="85" t="s">
        <v>630</v>
      </c>
      <c r="N2186" s="128">
        <v>78746.375</v>
      </c>
      <c r="O2186" s="128">
        <f t="shared" si="95"/>
        <v>6929681</v>
      </c>
      <c r="P2186" s="89">
        <v>703</v>
      </c>
      <c r="Q2186" t="s">
        <v>47</v>
      </c>
      <c r="R2186" s="220" t="s">
        <v>1888</v>
      </c>
      <c r="S2186" s="220" t="s">
        <v>1861</v>
      </c>
      <c r="U2186" t="s">
        <v>1972</v>
      </c>
      <c r="V2186" t="s">
        <v>2832</v>
      </c>
    </row>
    <row r="2187" spans="1:22" ht="15.75" thickBot="1" x14ac:dyDescent="0.3">
      <c r="A2187" t="s">
        <v>4693</v>
      </c>
      <c r="B2187" t="s">
        <v>4693</v>
      </c>
      <c r="C2187" t="s">
        <v>4693</v>
      </c>
      <c r="D2187" t="s">
        <v>629</v>
      </c>
      <c r="E2187" s="259" t="s">
        <v>1970</v>
      </c>
      <c r="F2187" t="s">
        <v>620</v>
      </c>
      <c r="G2187" s="89">
        <v>2011</v>
      </c>
      <c r="H2187" s="341" t="s">
        <v>734</v>
      </c>
      <c r="I2187" s="337" t="str">
        <f t="shared" si="94"/>
        <v>Pesado de Passageiros M3: I : Gasóleo : E5</v>
      </c>
      <c r="J2187" s="125">
        <v>88</v>
      </c>
      <c r="K2187" s="264">
        <v>2022</v>
      </c>
      <c r="L2187" s="85">
        <v>33544.17</v>
      </c>
      <c r="M2187" s="85" t="s">
        <v>630</v>
      </c>
      <c r="N2187" s="128">
        <v>72696.375</v>
      </c>
      <c r="O2187" s="128">
        <f t="shared" si="95"/>
        <v>6397281</v>
      </c>
      <c r="P2187" s="89">
        <v>704</v>
      </c>
      <c r="Q2187" t="s">
        <v>47</v>
      </c>
      <c r="R2187" s="220" t="s">
        <v>1888</v>
      </c>
      <c r="S2187" s="220" t="s">
        <v>1861</v>
      </c>
      <c r="U2187" t="s">
        <v>1972</v>
      </c>
      <c r="V2187" t="s">
        <v>2832</v>
      </c>
    </row>
    <row r="2188" spans="1:22" ht="15.75" thickBot="1" x14ac:dyDescent="0.3">
      <c r="A2188" t="s">
        <v>4693</v>
      </c>
      <c r="B2188" t="s">
        <v>4693</v>
      </c>
      <c r="C2188" t="s">
        <v>4693</v>
      </c>
      <c r="D2188" t="s">
        <v>629</v>
      </c>
      <c r="E2188" s="259" t="s">
        <v>1970</v>
      </c>
      <c r="F2188" t="s">
        <v>620</v>
      </c>
      <c r="G2188" s="89">
        <v>2011</v>
      </c>
      <c r="H2188" s="341" t="s">
        <v>734</v>
      </c>
      <c r="I2188" s="337" t="str">
        <f t="shared" si="94"/>
        <v>Pesado de Passageiros M3: I : Gasóleo : E5</v>
      </c>
      <c r="J2188" s="125">
        <v>88</v>
      </c>
      <c r="K2188" s="264">
        <v>2022</v>
      </c>
      <c r="L2188" s="85">
        <v>32995.920000000013</v>
      </c>
      <c r="M2188" s="85" t="s">
        <v>630</v>
      </c>
      <c r="N2188" s="128">
        <v>71334.375</v>
      </c>
      <c r="O2188" s="128">
        <f t="shared" si="95"/>
        <v>6277425</v>
      </c>
      <c r="P2188" s="89">
        <v>705</v>
      </c>
      <c r="Q2188" t="s">
        <v>47</v>
      </c>
      <c r="R2188" s="220" t="s">
        <v>1888</v>
      </c>
      <c r="S2188" s="220" t="s">
        <v>1861</v>
      </c>
      <c r="U2188" t="s">
        <v>1972</v>
      </c>
      <c r="V2188" t="s">
        <v>2832</v>
      </c>
    </row>
    <row r="2189" spans="1:22" ht="15.75" thickBot="1" x14ac:dyDescent="0.3">
      <c r="A2189" t="s">
        <v>4693</v>
      </c>
      <c r="B2189" t="s">
        <v>4693</v>
      </c>
      <c r="C2189" t="s">
        <v>4693</v>
      </c>
      <c r="D2189" t="s">
        <v>629</v>
      </c>
      <c r="E2189" s="259" t="s">
        <v>1970</v>
      </c>
      <c r="F2189" t="s">
        <v>620</v>
      </c>
      <c r="G2189" s="89">
        <v>2011</v>
      </c>
      <c r="H2189" s="341" t="s">
        <v>734</v>
      </c>
      <c r="I2189" s="337" t="str">
        <f t="shared" si="94"/>
        <v>Pesado de Passageiros M3: I : Gasóleo : E5</v>
      </c>
      <c r="J2189" s="125">
        <v>88</v>
      </c>
      <c r="K2189" s="264">
        <v>2022</v>
      </c>
      <c r="L2189" s="85">
        <v>24473.880000000012</v>
      </c>
      <c r="M2189" s="85" t="s">
        <v>630</v>
      </c>
      <c r="N2189" s="128">
        <v>52599.375</v>
      </c>
      <c r="O2189" s="128">
        <f t="shared" si="95"/>
        <v>4628745</v>
      </c>
      <c r="P2189" s="89">
        <v>706</v>
      </c>
      <c r="Q2189" t="s">
        <v>47</v>
      </c>
      <c r="R2189" s="220" t="s">
        <v>1888</v>
      </c>
      <c r="S2189" s="220" t="s">
        <v>1861</v>
      </c>
      <c r="U2189" t="s">
        <v>1972</v>
      </c>
      <c r="V2189" t="s">
        <v>2832</v>
      </c>
    </row>
    <row r="2190" spans="1:22" ht="15.75" thickBot="1" x14ac:dyDescent="0.3">
      <c r="A2190" t="s">
        <v>4693</v>
      </c>
      <c r="B2190" t="s">
        <v>4693</v>
      </c>
      <c r="C2190" t="s">
        <v>4693</v>
      </c>
      <c r="D2190" t="s">
        <v>629</v>
      </c>
      <c r="E2190" s="259" t="s">
        <v>1970</v>
      </c>
      <c r="F2190" t="s">
        <v>620</v>
      </c>
      <c r="G2190" s="89">
        <v>2011</v>
      </c>
      <c r="H2190" s="341" t="s">
        <v>734</v>
      </c>
      <c r="I2190" s="337" t="str">
        <f t="shared" si="94"/>
        <v>Pesado de Passageiros M3: I : Gasóleo : E5</v>
      </c>
      <c r="J2190" s="125">
        <v>88</v>
      </c>
      <c r="K2190" s="264">
        <v>2022</v>
      </c>
      <c r="L2190" s="85">
        <v>37741.099999999991</v>
      </c>
      <c r="M2190" s="85" t="s">
        <v>630</v>
      </c>
      <c r="N2190" s="128">
        <v>81059.375</v>
      </c>
      <c r="O2190" s="128">
        <f t="shared" si="95"/>
        <v>7133225</v>
      </c>
      <c r="P2190" s="89">
        <v>707</v>
      </c>
      <c r="Q2190" t="s">
        <v>47</v>
      </c>
      <c r="R2190" s="220" t="s">
        <v>1888</v>
      </c>
      <c r="S2190" s="220" t="s">
        <v>1861</v>
      </c>
      <c r="U2190" t="s">
        <v>1972</v>
      </c>
      <c r="V2190" t="s">
        <v>2832</v>
      </c>
    </row>
    <row r="2191" spans="1:22" ht="15.75" thickBot="1" x14ac:dyDescent="0.3">
      <c r="A2191" t="s">
        <v>4693</v>
      </c>
      <c r="B2191" t="s">
        <v>4693</v>
      </c>
      <c r="C2191" t="s">
        <v>4693</v>
      </c>
      <c r="D2191" t="s">
        <v>629</v>
      </c>
      <c r="E2191" s="259" t="s">
        <v>1970</v>
      </c>
      <c r="F2191" t="s">
        <v>620</v>
      </c>
      <c r="G2191" s="89">
        <v>2011</v>
      </c>
      <c r="H2191" s="341" t="s">
        <v>734</v>
      </c>
      <c r="I2191" s="337" t="str">
        <f t="shared" si="94"/>
        <v>Pesado de Passageiros M3: I : Gasóleo : E5</v>
      </c>
      <c r="J2191" s="125">
        <v>88</v>
      </c>
      <c r="K2191" s="264">
        <v>2022</v>
      </c>
      <c r="L2191" s="85">
        <v>15521.169999999991</v>
      </c>
      <c r="M2191" s="85" t="s">
        <v>630</v>
      </c>
      <c r="N2191" s="128">
        <v>33225.375</v>
      </c>
      <c r="O2191" s="128">
        <f t="shared" si="95"/>
        <v>2923833</v>
      </c>
      <c r="P2191" s="89">
        <v>708</v>
      </c>
      <c r="Q2191" t="s">
        <v>47</v>
      </c>
      <c r="R2191" s="220" t="s">
        <v>1888</v>
      </c>
      <c r="S2191" s="220" t="s">
        <v>1861</v>
      </c>
      <c r="U2191" t="s">
        <v>1972</v>
      </c>
      <c r="V2191" t="s">
        <v>2832</v>
      </c>
    </row>
    <row r="2192" spans="1:22" ht="15.75" thickBot="1" x14ac:dyDescent="0.3">
      <c r="A2192" t="s">
        <v>4693</v>
      </c>
      <c r="B2192" t="s">
        <v>4693</v>
      </c>
      <c r="C2192" t="s">
        <v>4693</v>
      </c>
      <c r="D2192" t="s">
        <v>629</v>
      </c>
      <c r="E2192" s="259" t="s">
        <v>1970</v>
      </c>
      <c r="F2192" t="s">
        <v>620</v>
      </c>
      <c r="G2192" s="89">
        <v>2011</v>
      </c>
      <c r="H2192" s="341" t="s">
        <v>734</v>
      </c>
      <c r="I2192" s="337" t="str">
        <f t="shared" si="94"/>
        <v>Pesado de Passageiros M3: I : Gasóleo : E5</v>
      </c>
      <c r="J2192" s="125">
        <v>88</v>
      </c>
      <c r="K2192" s="264">
        <v>2022</v>
      </c>
      <c r="L2192" s="85">
        <v>19218.78</v>
      </c>
      <c r="M2192" s="85" t="s">
        <v>630</v>
      </c>
      <c r="N2192" s="128">
        <v>40463.375</v>
      </c>
      <c r="O2192" s="128">
        <f t="shared" si="95"/>
        <v>3560777</v>
      </c>
      <c r="P2192" s="89">
        <v>709</v>
      </c>
      <c r="Q2192" t="s">
        <v>47</v>
      </c>
      <c r="R2192" s="220" t="s">
        <v>1888</v>
      </c>
      <c r="S2192" s="220" t="s">
        <v>1861</v>
      </c>
      <c r="U2192" t="s">
        <v>1972</v>
      </c>
      <c r="V2192" t="s">
        <v>2832</v>
      </c>
    </row>
    <row r="2193" spans="1:22" ht="15.75" thickBot="1" x14ac:dyDescent="0.3">
      <c r="A2193" t="s">
        <v>4693</v>
      </c>
      <c r="B2193" t="s">
        <v>4693</v>
      </c>
      <c r="C2193" t="s">
        <v>4693</v>
      </c>
      <c r="D2193" t="s">
        <v>629</v>
      </c>
      <c r="E2193" s="259" t="s">
        <v>1970</v>
      </c>
      <c r="F2193" t="s">
        <v>620</v>
      </c>
      <c r="G2193" s="89">
        <v>2011</v>
      </c>
      <c r="H2193" s="341" t="s">
        <v>734</v>
      </c>
      <c r="I2193" s="337" t="str">
        <f t="shared" si="94"/>
        <v>Pesado de Passageiros M3: I : Gasóleo : E5</v>
      </c>
      <c r="J2193" s="125">
        <v>88</v>
      </c>
      <c r="K2193" s="264">
        <v>2022</v>
      </c>
      <c r="L2193" s="85">
        <v>19818.03999999999</v>
      </c>
      <c r="M2193" s="85" t="s">
        <v>630</v>
      </c>
      <c r="N2193" s="128">
        <v>39842.375</v>
      </c>
      <c r="O2193" s="128">
        <f t="shared" si="95"/>
        <v>3506129</v>
      </c>
      <c r="P2193" s="89">
        <v>710</v>
      </c>
      <c r="Q2193" t="s">
        <v>47</v>
      </c>
      <c r="R2193" s="220" t="s">
        <v>1888</v>
      </c>
      <c r="S2193" s="220" t="s">
        <v>1861</v>
      </c>
      <c r="U2193" t="s">
        <v>1972</v>
      </c>
      <c r="V2193" t="s">
        <v>2832</v>
      </c>
    </row>
    <row r="2194" spans="1:22" ht="15.75" thickBot="1" x14ac:dyDescent="0.3">
      <c r="A2194" t="s">
        <v>4693</v>
      </c>
      <c r="B2194" t="s">
        <v>4693</v>
      </c>
      <c r="C2194" t="s">
        <v>4693</v>
      </c>
      <c r="D2194" t="s">
        <v>629</v>
      </c>
      <c r="E2194" s="259" t="s">
        <v>1970</v>
      </c>
      <c r="F2194" t="s">
        <v>620</v>
      </c>
      <c r="G2194" s="89">
        <v>2011</v>
      </c>
      <c r="H2194" s="341" t="s">
        <v>734</v>
      </c>
      <c r="I2194" s="337" t="str">
        <f t="shared" si="94"/>
        <v>Pesado de Passageiros M3: I : Gasóleo : E5</v>
      </c>
      <c r="J2194" s="125">
        <v>88</v>
      </c>
      <c r="K2194" s="264">
        <v>2022</v>
      </c>
      <c r="L2194" s="85">
        <v>33360.92000000002</v>
      </c>
      <c r="M2194" s="85" t="s">
        <v>630</v>
      </c>
      <c r="N2194" s="128">
        <v>73370.375</v>
      </c>
      <c r="O2194" s="128">
        <f t="shared" si="95"/>
        <v>6456593</v>
      </c>
      <c r="P2194" s="89">
        <v>711</v>
      </c>
      <c r="Q2194" t="s">
        <v>47</v>
      </c>
      <c r="R2194" s="220" t="s">
        <v>1888</v>
      </c>
      <c r="S2194" s="220" t="s">
        <v>1861</v>
      </c>
      <c r="U2194" t="s">
        <v>1972</v>
      </c>
      <c r="V2194" t="s">
        <v>2832</v>
      </c>
    </row>
    <row r="2195" spans="1:22" ht="15.75" thickBot="1" x14ac:dyDescent="0.3">
      <c r="A2195" t="s">
        <v>4693</v>
      </c>
      <c r="B2195" t="s">
        <v>4693</v>
      </c>
      <c r="C2195" t="s">
        <v>4693</v>
      </c>
      <c r="D2195" t="s">
        <v>629</v>
      </c>
      <c r="E2195" s="259" t="s">
        <v>1970</v>
      </c>
      <c r="F2195" t="s">
        <v>620</v>
      </c>
      <c r="G2195" s="89">
        <v>2011</v>
      </c>
      <c r="H2195" s="341" t="s">
        <v>734</v>
      </c>
      <c r="I2195" s="337" t="str">
        <f t="shared" si="94"/>
        <v>Pesado de Passageiros M3: I : Gasóleo : E5</v>
      </c>
      <c r="J2195" s="125">
        <v>88</v>
      </c>
      <c r="K2195" s="264">
        <v>2022</v>
      </c>
      <c r="L2195" s="85">
        <v>35118.650000000016</v>
      </c>
      <c r="M2195" s="85" t="s">
        <v>630</v>
      </c>
      <c r="N2195" s="128">
        <v>77694.375</v>
      </c>
      <c r="O2195" s="128">
        <f t="shared" si="95"/>
        <v>6837105</v>
      </c>
      <c r="P2195" s="89">
        <v>712</v>
      </c>
      <c r="Q2195" t="s">
        <v>47</v>
      </c>
      <c r="R2195" s="220" t="s">
        <v>1888</v>
      </c>
      <c r="S2195" s="220" t="s">
        <v>1861</v>
      </c>
      <c r="U2195" t="s">
        <v>1972</v>
      </c>
      <c r="V2195" t="s">
        <v>2832</v>
      </c>
    </row>
    <row r="2196" spans="1:22" ht="15.75" thickBot="1" x14ac:dyDescent="0.3">
      <c r="A2196" t="s">
        <v>4693</v>
      </c>
      <c r="B2196" t="s">
        <v>4693</v>
      </c>
      <c r="C2196" t="s">
        <v>4693</v>
      </c>
      <c r="D2196" t="s">
        <v>629</v>
      </c>
      <c r="E2196" s="259" t="s">
        <v>1970</v>
      </c>
      <c r="F2196" t="s">
        <v>620</v>
      </c>
      <c r="G2196" s="89">
        <v>2011</v>
      </c>
      <c r="H2196" s="341" t="s">
        <v>734</v>
      </c>
      <c r="I2196" s="337" t="str">
        <f t="shared" si="94"/>
        <v>Pesado de Passageiros M3: I : Gasóleo : E5</v>
      </c>
      <c r="J2196" s="125">
        <v>88</v>
      </c>
      <c r="K2196" s="264">
        <v>2022</v>
      </c>
      <c r="L2196" s="85">
        <v>35789.909999999996</v>
      </c>
      <c r="M2196" s="85" t="s">
        <v>630</v>
      </c>
      <c r="N2196" s="128">
        <v>75225.375</v>
      </c>
      <c r="O2196" s="128">
        <f t="shared" si="95"/>
        <v>6619833</v>
      </c>
      <c r="P2196" s="89">
        <v>713</v>
      </c>
      <c r="Q2196" t="s">
        <v>47</v>
      </c>
      <c r="R2196" s="220" t="s">
        <v>1888</v>
      </c>
      <c r="S2196" s="220" t="s">
        <v>1861</v>
      </c>
      <c r="U2196" t="s">
        <v>1972</v>
      </c>
      <c r="V2196" t="s">
        <v>2832</v>
      </c>
    </row>
    <row r="2197" spans="1:22" ht="15.75" thickBot="1" x14ac:dyDescent="0.3">
      <c r="A2197" t="s">
        <v>4693</v>
      </c>
      <c r="B2197" t="s">
        <v>4693</v>
      </c>
      <c r="C2197" t="s">
        <v>4693</v>
      </c>
      <c r="D2197" t="s">
        <v>629</v>
      </c>
      <c r="E2197" s="259" t="s">
        <v>1970</v>
      </c>
      <c r="F2197" t="s">
        <v>620</v>
      </c>
      <c r="G2197" s="89">
        <v>2011</v>
      </c>
      <c r="H2197" s="341" t="s">
        <v>734</v>
      </c>
      <c r="I2197" s="337" t="str">
        <f t="shared" si="94"/>
        <v>Pesado de Passageiros M3: I : Gasóleo : E5</v>
      </c>
      <c r="J2197" s="125">
        <v>88</v>
      </c>
      <c r="K2197" s="264">
        <v>2022</v>
      </c>
      <c r="L2197" s="85">
        <v>33263.899999999965</v>
      </c>
      <c r="M2197" s="85" t="s">
        <v>630</v>
      </c>
      <c r="N2197" s="128">
        <v>72865.375</v>
      </c>
      <c r="O2197" s="128">
        <f t="shared" si="95"/>
        <v>6412153</v>
      </c>
      <c r="P2197" s="89">
        <v>714</v>
      </c>
      <c r="Q2197" t="s">
        <v>47</v>
      </c>
      <c r="R2197" s="220" t="s">
        <v>1888</v>
      </c>
      <c r="S2197" s="220" t="s">
        <v>1861</v>
      </c>
      <c r="U2197" t="s">
        <v>1972</v>
      </c>
      <c r="V2197" t="s">
        <v>2832</v>
      </c>
    </row>
    <row r="2198" spans="1:22" ht="15.75" thickBot="1" x14ac:dyDescent="0.3">
      <c r="A2198" t="s">
        <v>4693</v>
      </c>
      <c r="B2198" t="s">
        <v>4693</v>
      </c>
      <c r="C2198" t="s">
        <v>4693</v>
      </c>
      <c r="D2198" t="s">
        <v>629</v>
      </c>
      <c r="E2198" s="259" t="s">
        <v>1970</v>
      </c>
      <c r="F2198" t="s">
        <v>620</v>
      </c>
      <c r="G2198" s="89">
        <v>2012</v>
      </c>
      <c r="H2198" s="341" t="s">
        <v>734</v>
      </c>
      <c r="I2198" s="337" t="str">
        <f t="shared" si="94"/>
        <v>Pesado de Passageiros M3: I : Gasóleo : E5</v>
      </c>
      <c r="J2198" s="125">
        <v>88</v>
      </c>
      <c r="K2198" s="264">
        <v>2022</v>
      </c>
      <c r="L2198" s="85">
        <v>34200.420000000013</v>
      </c>
      <c r="M2198" s="85" t="s">
        <v>630</v>
      </c>
      <c r="N2198" s="128">
        <v>72282.375</v>
      </c>
      <c r="O2198" s="128">
        <f t="shared" si="95"/>
        <v>6360849</v>
      </c>
      <c r="P2198" s="89">
        <v>715</v>
      </c>
      <c r="Q2198" t="s">
        <v>47</v>
      </c>
      <c r="R2198" s="220" t="s">
        <v>1888</v>
      </c>
      <c r="S2198" s="220" t="s">
        <v>1861</v>
      </c>
      <c r="U2198" t="s">
        <v>1972</v>
      </c>
      <c r="V2198" t="s">
        <v>2832</v>
      </c>
    </row>
    <row r="2199" spans="1:22" ht="15.75" thickBot="1" x14ac:dyDescent="0.3">
      <c r="A2199" t="s">
        <v>4693</v>
      </c>
      <c r="B2199" t="s">
        <v>4693</v>
      </c>
      <c r="C2199" t="s">
        <v>4693</v>
      </c>
      <c r="D2199" t="s">
        <v>629</v>
      </c>
      <c r="E2199" s="259" t="s">
        <v>1970</v>
      </c>
      <c r="F2199" t="s">
        <v>620</v>
      </c>
      <c r="G2199" s="89">
        <v>2012</v>
      </c>
      <c r="H2199" s="341" t="s">
        <v>734</v>
      </c>
      <c r="I2199" s="337" t="str">
        <f t="shared" si="94"/>
        <v>Pesado de Passageiros M3: I : Gasóleo : E5</v>
      </c>
      <c r="J2199" s="125">
        <v>88</v>
      </c>
      <c r="K2199" s="264">
        <v>2022</v>
      </c>
      <c r="L2199" s="85">
        <v>36568.529999999977</v>
      </c>
      <c r="M2199" s="85" t="s">
        <v>630</v>
      </c>
      <c r="N2199" s="128">
        <v>78817.375</v>
      </c>
      <c r="O2199" s="128">
        <f t="shared" si="95"/>
        <v>6935929</v>
      </c>
      <c r="P2199" s="89">
        <v>716</v>
      </c>
      <c r="Q2199" t="s">
        <v>47</v>
      </c>
      <c r="R2199" s="220" t="s">
        <v>1888</v>
      </c>
      <c r="S2199" s="220" t="s">
        <v>1861</v>
      </c>
      <c r="U2199" t="s">
        <v>1972</v>
      </c>
      <c r="V2199" t="s">
        <v>2832</v>
      </c>
    </row>
    <row r="2200" spans="1:22" ht="15.75" thickBot="1" x14ac:dyDescent="0.3">
      <c r="A2200" t="s">
        <v>4693</v>
      </c>
      <c r="B2200" t="s">
        <v>4693</v>
      </c>
      <c r="C2200" t="s">
        <v>4693</v>
      </c>
      <c r="D2200" t="s">
        <v>629</v>
      </c>
      <c r="E2200" s="259" t="s">
        <v>1970</v>
      </c>
      <c r="F2200" t="s">
        <v>620</v>
      </c>
      <c r="G2200" s="89">
        <v>2012</v>
      </c>
      <c r="H2200" s="341" t="s">
        <v>734</v>
      </c>
      <c r="I2200" s="337" t="str">
        <f t="shared" si="94"/>
        <v>Pesado de Passageiros M3: I : Gasóleo : E5</v>
      </c>
      <c r="J2200" s="125">
        <v>88</v>
      </c>
      <c r="K2200" s="264">
        <v>2022</v>
      </c>
      <c r="L2200" s="85">
        <v>31627.890000000014</v>
      </c>
      <c r="M2200" s="85" t="s">
        <v>630</v>
      </c>
      <c r="N2200" s="128">
        <v>67988.375</v>
      </c>
      <c r="O2200" s="128">
        <f t="shared" si="95"/>
        <v>5982977</v>
      </c>
      <c r="P2200" s="89">
        <v>717</v>
      </c>
      <c r="Q2200" t="s">
        <v>47</v>
      </c>
      <c r="R2200" s="220" t="s">
        <v>1888</v>
      </c>
      <c r="S2200" s="220" t="s">
        <v>1861</v>
      </c>
      <c r="U2200" t="s">
        <v>1972</v>
      </c>
      <c r="V2200" t="s">
        <v>2832</v>
      </c>
    </row>
    <row r="2201" spans="1:22" ht="15.75" thickBot="1" x14ac:dyDescent="0.3">
      <c r="A2201" t="s">
        <v>4693</v>
      </c>
      <c r="B2201" t="s">
        <v>4693</v>
      </c>
      <c r="C2201" t="s">
        <v>4693</v>
      </c>
      <c r="D2201" t="s">
        <v>629</v>
      </c>
      <c r="E2201" s="259" t="s">
        <v>1970</v>
      </c>
      <c r="F2201" t="s">
        <v>620</v>
      </c>
      <c r="G2201" s="89">
        <v>2012</v>
      </c>
      <c r="H2201" s="341" t="s">
        <v>734</v>
      </c>
      <c r="I2201" s="337" t="str">
        <f t="shared" si="94"/>
        <v>Pesado de Passageiros M3: I : Gasóleo : E5</v>
      </c>
      <c r="J2201" s="125">
        <v>88</v>
      </c>
      <c r="K2201" s="264">
        <v>2022</v>
      </c>
      <c r="L2201" s="85">
        <v>34053.150000000009</v>
      </c>
      <c r="M2201" s="85" t="s">
        <v>630</v>
      </c>
      <c r="N2201" s="128">
        <v>70462.375</v>
      </c>
      <c r="O2201" s="128">
        <f t="shared" si="95"/>
        <v>6200689</v>
      </c>
      <c r="P2201" s="89">
        <v>718</v>
      </c>
      <c r="Q2201" t="s">
        <v>47</v>
      </c>
      <c r="R2201" s="220" t="s">
        <v>1888</v>
      </c>
      <c r="S2201" s="220" t="s">
        <v>1861</v>
      </c>
      <c r="U2201" t="s">
        <v>1972</v>
      </c>
      <c r="V2201" t="s">
        <v>2832</v>
      </c>
    </row>
    <row r="2202" spans="1:22" ht="15.75" thickBot="1" x14ac:dyDescent="0.3">
      <c r="A2202" t="s">
        <v>4693</v>
      </c>
      <c r="B2202" t="s">
        <v>4693</v>
      </c>
      <c r="C2202" t="s">
        <v>4693</v>
      </c>
      <c r="D2202" t="s">
        <v>629</v>
      </c>
      <c r="E2202" s="259" t="s">
        <v>1970</v>
      </c>
      <c r="F2202" t="s">
        <v>620</v>
      </c>
      <c r="G2202" s="89">
        <v>2012</v>
      </c>
      <c r="H2202" s="341" t="s">
        <v>734</v>
      </c>
      <c r="I2202" s="337" t="str">
        <f t="shared" si="94"/>
        <v>Pesado de Passageiros M3: I : Gasóleo : E5</v>
      </c>
      <c r="J2202" s="125">
        <v>88</v>
      </c>
      <c r="K2202" s="264">
        <v>2022</v>
      </c>
      <c r="L2202" s="85">
        <v>35044.899999999994</v>
      </c>
      <c r="M2202" s="85" t="s">
        <v>630</v>
      </c>
      <c r="N2202" s="128">
        <v>72166.375</v>
      </c>
      <c r="O2202" s="128">
        <f t="shared" si="95"/>
        <v>6350641</v>
      </c>
      <c r="P2202" s="89">
        <v>719</v>
      </c>
      <c r="Q2202" t="s">
        <v>47</v>
      </c>
      <c r="R2202" s="220" t="s">
        <v>1888</v>
      </c>
      <c r="S2202" s="220" t="s">
        <v>1861</v>
      </c>
      <c r="U2202" t="s">
        <v>1972</v>
      </c>
      <c r="V2202" t="s">
        <v>2832</v>
      </c>
    </row>
    <row r="2203" spans="1:22" ht="15.75" thickBot="1" x14ac:dyDescent="0.3">
      <c r="A2203" t="s">
        <v>4693</v>
      </c>
      <c r="B2203" t="s">
        <v>4693</v>
      </c>
      <c r="C2203" t="s">
        <v>4693</v>
      </c>
      <c r="D2203" t="s">
        <v>629</v>
      </c>
      <c r="E2203" s="259" t="s">
        <v>1970</v>
      </c>
      <c r="F2203" t="s">
        <v>620</v>
      </c>
      <c r="G2203" s="89">
        <v>2012</v>
      </c>
      <c r="H2203" s="341" t="s">
        <v>734</v>
      </c>
      <c r="I2203" s="337" t="str">
        <f t="shared" si="94"/>
        <v>Pesado de Passageiros M3: I : Gasóleo : E5</v>
      </c>
      <c r="J2203" s="125">
        <v>88</v>
      </c>
      <c r="K2203" s="264">
        <v>2022</v>
      </c>
      <c r="L2203" s="85">
        <v>24506.039999999994</v>
      </c>
      <c r="M2203" s="85" t="s">
        <v>630</v>
      </c>
      <c r="N2203" s="128">
        <v>57865.375</v>
      </c>
      <c r="O2203" s="128">
        <f t="shared" si="95"/>
        <v>5092153</v>
      </c>
      <c r="P2203" s="89">
        <v>720</v>
      </c>
      <c r="Q2203" t="s">
        <v>47</v>
      </c>
      <c r="R2203" s="220" t="s">
        <v>1888</v>
      </c>
      <c r="S2203" s="220" t="s">
        <v>1861</v>
      </c>
      <c r="U2203" t="s">
        <v>1972</v>
      </c>
      <c r="V2203" t="s">
        <v>2832</v>
      </c>
    </row>
    <row r="2204" spans="1:22" ht="15.75" thickBot="1" x14ac:dyDescent="0.3">
      <c r="A2204" t="s">
        <v>4693</v>
      </c>
      <c r="B2204" t="s">
        <v>4693</v>
      </c>
      <c r="C2204" t="s">
        <v>4693</v>
      </c>
      <c r="D2204" t="s">
        <v>629</v>
      </c>
      <c r="E2204" s="259" t="s">
        <v>1970</v>
      </c>
      <c r="F2204" t="s">
        <v>620</v>
      </c>
      <c r="G2204" s="89">
        <v>2012</v>
      </c>
      <c r="H2204" s="341" t="s">
        <v>734</v>
      </c>
      <c r="I2204" s="337" t="str">
        <f t="shared" si="94"/>
        <v>Pesado de Passageiros M3: I : Gasóleo : E5</v>
      </c>
      <c r="J2204" s="125">
        <v>88</v>
      </c>
      <c r="K2204" s="264">
        <v>2022</v>
      </c>
      <c r="L2204" s="85">
        <v>26698.400000000012</v>
      </c>
      <c r="M2204" s="85" t="s">
        <v>630</v>
      </c>
      <c r="N2204" s="128">
        <v>62648.375</v>
      </c>
      <c r="O2204" s="128">
        <f t="shared" si="95"/>
        <v>5513057</v>
      </c>
      <c r="P2204" s="89">
        <v>721</v>
      </c>
      <c r="Q2204" t="s">
        <v>47</v>
      </c>
      <c r="R2204" s="220" t="s">
        <v>1888</v>
      </c>
      <c r="S2204" s="220" t="s">
        <v>1861</v>
      </c>
      <c r="U2204" t="s">
        <v>1972</v>
      </c>
      <c r="V2204" t="s">
        <v>2832</v>
      </c>
    </row>
    <row r="2205" spans="1:22" ht="15.75" thickBot="1" x14ac:dyDescent="0.3">
      <c r="A2205" t="s">
        <v>4693</v>
      </c>
      <c r="B2205" t="s">
        <v>4693</v>
      </c>
      <c r="C2205" t="s">
        <v>4693</v>
      </c>
      <c r="D2205" t="s">
        <v>629</v>
      </c>
      <c r="E2205" s="259" t="s">
        <v>1970</v>
      </c>
      <c r="F2205" t="s">
        <v>620</v>
      </c>
      <c r="G2205" s="89">
        <v>2008</v>
      </c>
      <c r="H2205" s="341" t="s">
        <v>731</v>
      </c>
      <c r="I2205" s="337" t="str">
        <f t="shared" si="94"/>
        <v>Pesado de Passageiros M3: I : Gasóleo : E4</v>
      </c>
      <c r="J2205" s="125">
        <v>90</v>
      </c>
      <c r="K2205" s="264">
        <v>2022</v>
      </c>
      <c r="L2205" s="85">
        <v>32432.12999999999</v>
      </c>
      <c r="M2205" s="85" t="s">
        <v>630</v>
      </c>
      <c r="N2205" s="128">
        <v>56030.375</v>
      </c>
      <c r="O2205" s="128">
        <f t="shared" si="95"/>
        <v>5042733.75</v>
      </c>
      <c r="P2205" s="89">
        <v>674</v>
      </c>
      <c r="Q2205" t="s">
        <v>47</v>
      </c>
      <c r="R2205" s="220" t="s">
        <v>1888</v>
      </c>
      <c r="S2205" s="220" t="s">
        <v>1861</v>
      </c>
      <c r="U2205" t="s">
        <v>1972</v>
      </c>
      <c r="V2205" t="s">
        <v>2832</v>
      </c>
    </row>
    <row r="2206" spans="1:22" ht="15.75" thickBot="1" x14ac:dyDescent="0.3">
      <c r="A2206" t="s">
        <v>4693</v>
      </c>
      <c r="B2206" t="s">
        <v>4693</v>
      </c>
      <c r="C2206" t="s">
        <v>4693</v>
      </c>
      <c r="D2206" t="s">
        <v>629</v>
      </c>
      <c r="E2206" s="259" t="s">
        <v>1970</v>
      </c>
      <c r="F2206" t="s">
        <v>620</v>
      </c>
      <c r="G2206" s="89">
        <v>2008</v>
      </c>
      <c r="H2206" s="341" t="s">
        <v>731</v>
      </c>
      <c r="I2206" s="337" t="str">
        <f t="shared" si="94"/>
        <v>Pesado de Passageiros M3: I : Gasóleo : E4</v>
      </c>
      <c r="J2206" s="125">
        <v>90</v>
      </c>
      <c r="K2206" s="264">
        <v>2022</v>
      </c>
      <c r="L2206" s="85">
        <v>35944.189999999973</v>
      </c>
      <c r="M2206" s="85" t="s">
        <v>630</v>
      </c>
      <c r="N2206" s="128">
        <v>69185.375</v>
      </c>
      <c r="O2206" s="128">
        <f t="shared" si="95"/>
        <v>6226683.75</v>
      </c>
      <c r="P2206" s="89">
        <v>676</v>
      </c>
      <c r="Q2206" t="s">
        <v>47</v>
      </c>
      <c r="R2206" s="220" t="s">
        <v>1888</v>
      </c>
      <c r="S2206" s="220" t="s">
        <v>1861</v>
      </c>
      <c r="U2206" t="s">
        <v>1972</v>
      </c>
      <c r="V2206" t="s">
        <v>2832</v>
      </c>
    </row>
    <row r="2207" spans="1:22" ht="15.75" thickBot="1" x14ac:dyDescent="0.3">
      <c r="A2207" t="s">
        <v>4693</v>
      </c>
      <c r="B2207" t="s">
        <v>4693</v>
      </c>
      <c r="C2207" t="s">
        <v>4693</v>
      </c>
      <c r="D2207" t="s">
        <v>629</v>
      </c>
      <c r="E2207" s="259" t="s">
        <v>1970</v>
      </c>
      <c r="F2207" t="s">
        <v>620</v>
      </c>
      <c r="G2207" s="89">
        <v>2008</v>
      </c>
      <c r="H2207" s="341" t="s">
        <v>731</v>
      </c>
      <c r="I2207" s="337" t="str">
        <f t="shared" si="94"/>
        <v>Pesado de Passageiros M3: I : Gasóleo : E4</v>
      </c>
      <c r="J2207" s="125">
        <v>90</v>
      </c>
      <c r="K2207" s="264">
        <v>2022</v>
      </c>
      <c r="L2207" s="85">
        <v>39775.219999999972</v>
      </c>
      <c r="M2207" s="85" t="s">
        <v>630</v>
      </c>
      <c r="N2207" s="128">
        <v>69423.375</v>
      </c>
      <c r="O2207" s="128">
        <f t="shared" si="95"/>
        <v>6248103.75</v>
      </c>
      <c r="P2207" s="89">
        <v>677</v>
      </c>
      <c r="Q2207" t="s">
        <v>47</v>
      </c>
      <c r="R2207" s="220" t="s">
        <v>1888</v>
      </c>
      <c r="S2207" s="220" t="s">
        <v>1861</v>
      </c>
      <c r="U2207" t="s">
        <v>1972</v>
      </c>
      <c r="V2207" t="s">
        <v>2832</v>
      </c>
    </row>
    <row r="2208" spans="1:22" ht="15.75" thickBot="1" x14ac:dyDescent="0.3">
      <c r="A2208" t="s">
        <v>4693</v>
      </c>
      <c r="B2208" t="s">
        <v>4693</v>
      </c>
      <c r="C2208" t="s">
        <v>4693</v>
      </c>
      <c r="D2208" t="s">
        <v>629</v>
      </c>
      <c r="E2208" s="259" t="s">
        <v>1970</v>
      </c>
      <c r="F2208" t="s">
        <v>620</v>
      </c>
      <c r="G2208" s="89">
        <v>2008</v>
      </c>
      <c r="H2208" s="341" t="s">
        <v>731</v>
      </c>
      <c r="I2208" s="337" t="str">
        <f t="shared" si="94"/>
        <v>Pesado de Passageiros M3: I : Gasóleo : E4</v>
      </c>
      <c r="J2208" s="125">
        <v>90</v>
      </c>
      <c r="K2208" s="264">
        <v>2022</v>
      </c>
      <c r="L2208" s="85">
        <v>41827.479999999967</v>
      </c>
      <c r="M2208" s="85" t="s">
        <v>630</v>
      </c>
      <c r="N2208" s="128">
        <v>62746.375</v>
      </c>
      <c r="O2208" s="128">
        <f t="shared" si="95"/>
        <v>5647173.75</v>
      </c>
      <c r="P2208" s="89">
        <v>678</v>
      </c>
      <c r="Q2208" t="s">
        <v>47</v>
      </c>
      <c r="R2208" s="220" t="s">
        <v>1888</v>
      </c>
      <c r="S2208" s="220" t="s">
        <v>1861</v>
      </c>
      <c r="U2208" t="s">
        <v>1972</v>
      </c>
      <c r="V2208" t="s">
        <v>2832</v>
      </c>
    </row>
    <row r="2209" spans="1:22" ht="15.75" thickBot="1" x14ac:dyDescent="0.3">
      <c r="A2209" t="s">
        <v>4693</v>
      </c>
      <c r="B2209" t="s">
        <v>4693</v>
      </c>
      <c r="C2209" t="s">
        <v>4693</v>
      </c>
      <c r="D2209" t="s">
        <v>629</v>
      </c>
      <c r="E2209" s="259" t="s">
        <v>1970</v>
      </c>
      <c r="F2209" t="s">
        <v>620</v>
      </c>
      <c r="G2209" s="89">
        <v>2008</v>
      </c>
      <c r="H2209" s="341" t="s">
        <v>731</v>
      </c>
      <c r="I2209" s="337" t="str">
        <f t="shared" si="94"/>
        <v>Pesado de Passageiros M3: I : Gasóleo : E4</v>
      </c>
      <c r="J2209" s="125">
        <v>90</v>
      </c>
      <c r="K2209" s="264">
        <v>2022</v>
      </c>
      <c r="L2209" s="85">
        <v>39299.719999999987</v>
      </c>
      <c r="M2209" s="85" t="s">
        <v>630</v>
      </c>
      <c r="N2209" s="128">
        <v>69133.375</v>
      </c>
      <c r="O2209" s="128">
        <f t="shared" si="95"/>
        <v>6222003.75</v>
      </c>
      <c r="P2209" s="89">
        <v>679</v>
      </c>
      <c r="Q2209" t="s">
        <v>47</v>
      </c>
      <c r="R2209" s="220" t="s">
        <v>1888</v>
      </c>
      <c r="S2209" s="220" t="s">
        <v>1861</v>
      </c>
      <c r="U2209" t="s">
        <v>1972</v>
      </c>
      <c r="V2209" t="s">
        <v>2832</v>
      </c>
    </row>
    <row r="2210" spans="1:22" ht="15.75" thickBot="1" x14ac:dyDescent="0.3">
      <c r="A2210" t="s">
        <v>4693</v>
      </c>
      <c r="B2210" t="s">
        <v>4693</v>
      </c>
      <c r="C2210" t="s">
        <v>4693</v>
      </c>
      <c r="D2210" t="s">
        <v>629</v>
      </c>
      <c r="E2210" s="259" t="s">
        <v>1970</v>
      </c>
      <c r="F2210" t="s">
        <v>620</v>
      </c>
      <c r="G2210" s="89">
        <v>2008</v>
      </c>
      <c r="H2210" s="341" t="s">
        <v>731</v>
      </c>
      <c r="I2210" s="337" t="str">
        <f t="shared" si="94"/>
        <v>Pesado de Passageiros M3: I : Gasóleo : E4</v>
      </c>
      <c r="J2210" s="125">
        <v>90</v>
      </c>
      <c r="K2210" s="264">
        <v>2022</v>
      </c>
      <c r="L2210" s="85">
        <v>35488.959999999985</v>
      </c>
      <c r="M2210" s="85" t="s">
        <v>630</v>
      </c>
      <c r="N2210" s="128">
        <v>67335.375</v>
      </c>
      <c r="O2210" s="128">
        <f t="shared" si="95"/>
        <v>6060183.75</v>
      </c>
      <c r="P2210" s="89">
        <v>680</v>
      </c>
      <c r="Q2210" t="s">
        <v>47</v>
      </c>
      <c r="R2210" s="220" t="s">
        <v>1888</v>
      </c>
      <c r="S2210" s="220" t="s">
        <v>1861</v>
      </c>
      <c r="U2210" t="s">
        <v>1972</v>
      </c>
      <c r="V2210" t="s">
        <v>2832</v>
      </c>
    </row>
    <row r="2211" spans="1:22" ht="15.75" thickBot="1" x14ac:dyDescent="0.3">
      <c r="A2211" t="s">
        <v>4693</v>
      </c>
      <c r="B2211" t="s">
        <v>4693</v>
      </c>
      <c r="C2211" t="s">
        <v>4693</v>
      </c>
      <c r="D2211" t="s">
        <v>629</v>
      </c>
      <c r="E2211" s="259" t="s">
        <v>1970</v>
      </c>
      <c r="F2211" t="s">
        <v>620</v>
      </c>
      <c r="G2211" s="89">
        <v>2008</v>
      </c>
      <c r="H2211" s="341" t="s">
        <v>731</v>
      </c>
      <c r="I2211" s="337" t="str">
        <f t="shared" si="94"/>
        <v>Pesado de Passageiros M3: I : Gasóleo : E4</v>
      </c>
      <c r="J2211" s="125">
        <v>90</v>
      </c>
      <c r="K2211" s="264">
        <v>2022</v>
      </c>
      <c r="L2211" s="85">
        <v>23478.999999999982</v>
      </c>
      <c r="M2211" s="85" t="s">
        <v>630</v>
      </c>
      <c r="N2211" s="128">
        <v>42566.375</v>
      </c>
      <c r="O2211" s="128">
        <f t="shared" si="95"/>
        <v>3830973.75</v>
      </c>
      <c r="P2211" s="89">
        <v>682</v>
      </c>
      <c r="Q2211" t="s">
        <v>47</v>
      </c>
      <c r="R2211" s="220" t="s">
        <v>1888</v>
      </c>
      <c r="S2211" s="220" t="s">
        <v>1861</v>
      </c>
      <c r="U2211" t="s">
        <v>1972</v>
      </c>
      <c r="V2211" t="s">
        <v>2832</v>
      </c>
    </row>
    <row r="2212" spans="1:22" ht="15.75" thickBot="1" x14ac:dyDescent="0.3">
      <c r="A2212" t="s">
        <v>4693</v>
      </c>
      <c r="B2212" t="s">
        <v>4693</v>
      </c>
      <c r="C2212" t="s">
        <v>4693</v>
      </c>
      <c r="D2212" t="s">
        <v>629</v>
      </c>
      <c r="E2212" s="259" t="s">
        <v>1970</v>
      </c>
      <c r="F2212" t="s">
        <v>620</v>
      </c>
      <c r="G2212" s="89">
        <v>2008</v>
      </c>
      <c r="H2212" s="341" t="s">
        <v>731</v>
      </c>
      <c r="I2212" s="337" t="str">
        <f t="shared" si="94"/>
        <v>Pesado de Passageiros M3: I : Gasóleo : E4</v>
      </c>
      <c r="J2212" s="125">
        <v>90</v>
      </c>
      <c r="K2212" s="264">
        <v>2022</v>
      </c>
      <c r="L2212" s="85">
        <v>34619.659999999996</v>
      </c>
      <c r="M2212" s="85" t="s">
        <v>630</v>
      </c>
      <c r="N2212" s="128">
        <v>72479.375</v>
      </c>
      <c r="O2212" s="128">
        <f t="shared" si="95"/>
        <v>6523143.75</v>
      </c>
      <c r="P2212" s="89">
        <v>683</v>
      </c>
      <c r="Q2212" t="s">
        <v>47</v>
      </c>
      <c r="R2212" s="220" t="s">
        <v>1888</v>
      </c>
      <c r="S2212" s="220" t="s">
        <v>1861</v>
      </c>
      <c r="U2212" t="s">
        <v>1972</v>
      </c>
      <c r="V2212" t="s">
        <v>2832</v>
      </c>
    </row>
    <row r="2213" spans="1:22" ht="15.75" thickBot="1" x14ac:dyDescent="0.3">
      <c r="A2213" t="s">
        <v>4693</v>
      </c>
      <c r="B2213" t="s">
        <v>4693</v>
      </c>
      <c r="C2213" t="s">
        <v>4693</v>
      </c>
      <c r="D2213" t="s">
        <v>629</v>
      </c>
      <c r="E2213" s="259" t="s">
        <v>1970</v>
      </c>
      <c r="F2213" t="s">
        <v>620</v>
      </c>
      <c r="G2213" s="89">
        <v>2002</v>
      </c>
      <c r="H2213" s="341" t="s">
        <v>732</v>
      </c>
      <c r="I2213" s="337" t="str">
        <f t="shared" si="94"/>
        <v>Pesado de Passageiros M3: I : Gasóleo : E3</v>
      </c>
      <c r="J2213" s="125">
        <v>87</v>
      </c>
      <c r="K2213" s="264">
        <v>2022</v>
      </c>
      <c r="L2213" s="85">
        <v>8506.77</v>
      </c>
      <c r="M2213" s="85" t="s">
        <v>630</v>
      </c>
      <c r="N2213" s="128">
        <v>21647.375</v>
      </c>
      <c r="O2213" s="128">
        <f t="shared" si="95"/>
        <v>1883321.625</v>
      </c>
      <c r="P2213" s="89">
        <v>603</v>
      </c>
      <c r="Q2213" t="s">
        <v>47</v>
      </c>
      <c r="R2213" s="220" t="s">
        <v>1888</v>
      </c>
      <c r="S2213" s="220" t="s">
        <v>1861</v>
      </c>
      <c r="U2213" t="s">
        <v>1972</v>
      </c>
      <c r="V2213" t="s">
        <v>2832</v>
      </c>
    </row>
    <row r="2214" spans="1:22" ht="15.75" thickBot="1" x14ac:dyDescent="0.3">
      <c r="A2214" t="s">
        <v>4693</v>
      </c>
      <c r="B2214" t="s">
        <v>4693</v>
      </c>
      <c r="C2214" t="s">
        <v>4693</v>
      </c>
      <c r="D2214" t="s">
        <v>629</v>
      </c>
      <c r="E2214" s="259" t="s">
        <v>1970</v>
      </c>
      <c r="F2214" t="s">
        <v>620</v>
      </c>
      <c r="G2214" s="89">
        <v>2002</v>
      </c>
      <c r="H2214" s="341" t="s">
        <v>732</v>
      </c>
      <c r="I2214" s="337" t="str">
        <f t="shared" si="94"/>
        <v>Pesado de Passageiros M3: I : Gasóleo : E3</v>
      </c>
      <c r="J2214" s="125">
        <v>87</v>
      </c>
      <c r="K2214" s="264">
        <v>2022</v>
      </c>
      <c r="L2214" s="85">
        <v>20979.71000000001</v>
      </c>
      <c r="M2214" s="85" t="s">
        <v>630</v>
      </c>
      <c r="N2214" s="128">
        <v>47438.375</v>
      </c>
      <c r="O2214" s="128">
        <f t="shared" si="95"/>
        <v>4127138.625</v>
      </c>
      <c r="P2214" s="89">
        <v>605</v>
      </c>
      <c r="Q2214" t="s">
        <v>47</v>
      </c>
      <c r="R2214" s="220" t="s">
        <v>1888</v>
      </c>
      <c r="S2214" s="220" t="s">
        <v>1861</v>
      </c>
      <c r="U2214" t="s">
        <v>1972</v>
      </c>
      <c r="V2214" t="s">
        <v>2832</v>
      </c>
    </row>
    <row r="2215" spans="1:22" ht="15.75" thickBot="1" x14ac:dyDescent="0.3">
      <c r="A2215" t="s">
        <v>4693</v>
      </c>
      <c r="B2215" t="s">
        <v>4693</v>
      </c>
      <c r="C2215" t="s">
        <v>4693</v>
      </c>
      <c r="D2215" t="s">
        <v>629</v>
      </c>
      <c r="E2215" s="259" t="s">
        <v>1970</v>
      </c>
      <c r="F2215" t="s">
        <v>620</v>
      </c>
      <c r="G2215" s="89">
        <v>2002</v>
      </c>
      <c r="H2215" s="341" t="s">
        <v>732</v>
      </c>
      <c r="I2215" s="337" t="str">
        <f t="shared" si="94"/>
        <v>Pesado de Passageiros M3: I : Gasóleo : E3</v>
      </c>
      <c r="J2215" s="125">
        <v>87</v>
      </c>
      <c r="K2215" s="264">
        <v>2022</v>
      </c>
      <c r="L2215" s="85">
        <v>11833.490000000002</v>
      </c>
      <c r="M2215" s="85" t="s">
        <v>630</v>
      </c>
      <c r="N2215" s="128">
        <v>28474.375</v>
      </c>
      <c r="O2215" s="128">
        <f t="shared" si="95"/>
        <v>2477270.625</v>
      </c>
      <c r="P2215" s="89">
        <v>606</v>
      </c>
      <c r="Q2215" t="s">
        <v>47</v>
      </c>
      <c r="R2215" s="220" t="s">
        <v>1888</v>
      </c>
      <c r="S2215" s="220" t="s">
        <v>1861</v>
      </c>
      <c r="U2215" t="s">
        <v>1972</v>
      </c>
      <c r="V2215" t="s">
        <v>2832</v>
      </c>
    </row>
    <row r="2216" spans="1:22" ht="15.75" thickBot="1" x14ac:dyDescent="0.3">
      <c r="A2216" t="s">
        <v>4693</v>
      </c>
      <c r="B2216" t="s">
        <v>4693</v>
      </c>
      <c r="C2216" t="s">
        <v>4693</v>
      </c>
      <c r="D2216" t="s">
        <v>629</v>
      </c>
      <c r="E2216" s="259" t="s">
        <v>1970</v>
      </c>
      <c r="F2216" t="s">
        <v>620</v>
      </c>
      <c r="G2216" s="89">
        <v>2007</v>
      </c>
      <c r="H2216" s="341" t="s">
        <v>731</v>
      </c>
      <c r="I2216" s="337" t="str">
        <f t="shared" si="94"/>
        <v>Pesado de Passageiros M3: I : Gasóleo : E4</v>
      </c>
      <c r="J2216" s="125">
        <v>90</v>
      </c>
      <c r="K2216" s="264">
        <v>2022</v>
      </c>
      <c r="L2216" s="85">
        <v>36131.530000000006</v>
      </c>
      <c r="M2216" s="85" t="s">
        <v>630</v>
      </c>
      <c r="N2216" s="128">
        <v>65264.375</v>
      </c>
      <c r="O2216" s="128">
        <f t="shared" si="95"/>
        <v>5873793.75</v>
      </c>
      <c r="P2216" s="89">
        <v>652</v>
      </c>
      <c r="Q2216" t="s">
        <v>47</v>
      </c>
      <c r="R2216" s="220" t="s">
        <v>1888</v>
      </c>
      <c r="S2216" s="220" t="s">
        <v>1861</v>
      </c>
      <c r="U2216" t="s">
        <v>1972</v>
      </c>
      <c r="V2216" t="s">
        <v>2832</v>
      </c>
    </row>
    <row r="2217" spans="1:22" ht="15.75" thickBot="1" x14ac:dyDescent="0.3">
      <c r="A2217" t="s">
        <v>4693</v>
      </c>
      <c r="B2217" t="s">
        <v>4693</v>
      </c>
      <c r="C2217" t="s">
        <v>4693</v>
      </c>
      <c r="D2217" t="s">
        <v>629</v>
      </c>
      <c r="E2217" s="259" t="s">
        <v>1970</v>
      </c>
      <c r="F2217" t="s">
        <v>620</v>
      </c>
      <c r="G2217" s="89">
        <v>2008</v>
      </c>
      <c r="H2217" s="341" t="s">
        <v>731</v>
      </c>
      <c r="I2217" s="337" t="str">
        <f t="shared" si="94"/>
        <v>Pesado de Passageiros M3: I : Gasóleo : E4</v>
      </c>
      <c r="J2217" s="125">
        <v>90</v>
      </c>
      <c r="K2217" s="264">
        <v>2022</v>
      </c>
      <c r="L2217" s="85">
        <v>4196.6899999999996</v>
      </c>
      <c r="M2217" s="85" t="s">
        <v>630</v>
      </c>
      <c r="N2217" s="128">
        <v>12267.375</v>
      </c>
      <c r="O2217" s="128">
        <f t="shared" si="95"/>
        <v>1104063.75</v>
      </c>
      <c r="P2217" s="89">
        <v>653</v>
      </c>
      <c r="Q2217" t="s">
        <v>47</v>
      </c>
      <c r="R2217" s="220" t="s">
        <v>1888</v>
      </c>
      <c r="S2217" s="220" t="s">
        <v>1861</v>
      </c>
      <c r="U2217" t="s">
        <v>1972</v>
      </c>
      <c r="V2217" t="s">
        <v>2832</v>
      </c>
    </row>
    <row r="2218" spans="1:22" ht="15.75" thickBot="1" x14ac:dyDescent="0.3">
      <c r="A2218" t="s">
        <v>4693</v>
      </c>
      <c r="B2218" t="s">
        <v>4693</v>
      </c>
      <c r="C2218" t="s">
        <v>4693</v>
      </c>
      <c r="D2218" t="s">
        <v>629</v>
      </c>
      <c r="E2218" s="259" t="s">
        <v>1970</v>
      </c>
      <c r="F2218" t="s">
        <v>620</v>
      </c>
      <c r="G2218" s="89">
        <v>2007</v>
      </c>
      <c r="H2218" s="341" t="s">
        <v>731</v>
      </c>
      <c r="I2218" s="337" t="str">
        <f t="shared" si="94"/>
        <v>Pesado de Passageiros M3: I : Gasóleo : E4</v>
      </c>
      <c r="J2218" s="125">
        <v>90</v>
      </c>
      <c r="K2218" s="264">
        <v>2022</v>
      </c>
      <c r="L2218" s="85">
        <v>18349.409999999982</v>
      </c>
      <c r="M2218" s="85" t="s">
        <v>630</v>
      </c>
      <c r="N2218" s="128">
        <v>37250.375</v>
      </c>
      <c r="O2218" s="128">
        <f t="shared" si="95"/>
        <v>3352533.75</v>
      </c>
      <c r="P2218" s="89">
        <v>654</v>
      </c>
      <c r="Q2218" t="s">
        <v>47</v>
      </c>
      <c r="R2218" s="220" t="s">
        <v>1888</v>
      </c>
      <c r="S2218" s="220" t="s">
        <v>1861</v>
      </c>
      <c r="U2218" t="s">
        <v>1972</v>
      </c>
      <c r="V2218" t="s">
        <v>2832</v>
      </c>
    </row>
    <row r="2219" spans="1:22" ht="15.75" thickBot="1" x14ac:dyDescent="0.3">
      <c r="A2219" t="s">
        <v>4693</v>
      </c>
      <c r="B2219" t="s">
        <v>4693</v>
      </c>
      <c r="C2219" t="s">
        <v>4693</v>
      </c>
      <c r="D2219" t="s">
        <v>629</v>
      </c>
      <c r="E2219" s="259" t="s">
        <v>1970</v>
      </c>
      <c r="F2219" t="s">
        <v>620</v>
      </c>
      <c r="G2219" s="89">
        <v>2007</v>
      </c>
      <c r="H2219" s="341" t="s">
        <v>731</v>
      </c>
      <c r="I2219" s="337" t="str">
        <f t="shared" si="94"/>
        <v>Pesado de Passageiros M3: I : Gasóleo : E4</v>
      </c>
      <c r="J2219" s="125">
        <v>90</v>
      </c>
      <c r="K2219" s="264">
        <v>2022</v>
      </c>
      <c r="L2219" s="85">
        <v>20451.290000000008</v>
      </c>
      <c r="M2219" s="85" t="s">
        <v>630</v>
      </c>
      <c r="N2219" s="128">
        <v>45436.375</v>
      </c>
      <c r="O2219" s="128">
        <f t="shared" si="95"/>
        <v>4089273.75</v>
      </c>
      <c r="P2219" s="89">
        <v>655</v>
      </c>
      <c r="Q2219" t="s">
        <v>47</v>
      </c>
      <c r="R2219" s="220" t="s">
        <v>1888</v>
      </c>
      <c r="S2219" s="220" t="s">
        <v>1861</v>
      </c>
      <c r="U2219" t="s">
        <v>1972</v>
      </c>
      <c r="V2219" t="s">
        <v>2832</v>
      </c>
    </row>
    <row r="2220" spans="1:22" ht="15.75" thickBot="1" x14ac:dyDescent="0.3">
      <c r="A2220" t="s">
        <v>4693</v>
      </c>
      <c r="B2220" t="s">
        <v>4693</v>
      </c>
      <c r="C2220" t="s">
        <v>4693</v>
      </c>
      <c r="D2220" t="s">
        <v>629</v>
      </c>
      <c r="E2220" s="259" t="s">
        <v>1970</v>
      </c>
      <c r="F2220" t="s">
        <v>620</v>
      </c>
      <c r="G2220" s="89">
        <v>2007</v>
      </c>
      <c r="H2220" s="341" t="s">
        <v>731</v>
      </c>
      <c r="I2220" s="337" t="str">
        <f t="shared" si="94"/>
        <v>Pesado de Passageiros M3: I : Gasóleo : E4</v>
      </c>
      <c r="J2220" s="125">
        <v>90</v>
      </c>
      <c r="K2220" s="264">
        <v>2022</v>
      </c>
      <c r="L2220" s="85">
        <v>27449.829999999987</v>
      </c>
      <c r="M2220" s="85" t="s">
        <v>630</v>
      </c>
      <c r="N2220" s="128">
        <v>56527.375</v>
      </c>
      <c r="O2220" s="128">
        <f t="shared" si="95"/>
        <v>5087463.75</v>
      </c>
      <c r="P2220" s="89">
        <v>657</v>
      </c>
      <c r="Q2220" t="s">
        <v>47</v>
      </c>
      <c r="R2220" s="220" t="s">
        <v>1888</v>
      </c>
      <c r="S2220" s="220" t="s">
        <v>1861</v>
      </c>
      <c r="U2220" t="s">
        <v>1972</v>
      </c>
      <c r="V2220" t="s">
        <v>2832</v>
      </c>
    </row>
    <row r="2221" spans="1:22" ht="15.75" thickBot="1" x14ac:dyDescent="0.3">
      <c r="A2221" t="s">
        <v>4693</v>
      </c>
      <c r="B2221" t="s">
        <v>4693</v>
      </c>
      <c r="C2221" t="s">
        <v>4693</v>
      </c>
      <c r="D2221" t="s">
        <v>629</v>
      </c>
      <c r="E2221" s="259" t="s">
        <v>1970</v>
      </c>
      <c r="F2221" t="s">
        <v>620</v>
      </c>
      <c r="G2221" s="89">
        <v>2007</v>
      </c>
      <c r="H2221" s="341" t="s">
        <v>731</v>
      </c>
      <c r="I2221" s="337" t="str">
        <f t="shared" si="94"/>
        <v>Pesado de Passageiros M3: I : Gasóleo : E4</v>
      </c>
      <c r="J2221" s="125">
        <v>90</v>
      </c>
      <c r="K2221" s="264">
        <v>2022</v>
      </c>
      <c r="L2221" s="85">
        <v>18719.560000000009</v>
      </c>
      <c r="M2221" s="85" t="s">
        <v>630</v>
      </c>
      <c r="N2221" s="128">
        <v>40038.275191937923</v>
      </c>
      <c r="O2221" s="128">
        <f t="shared" si="95"/>
        <v>3603444.7672744133</v>
      </c>
      <c r="P2221" s="89">
        <v>658</v>
      </c>
      <c r="Q2221" t="s">
        <v>47</v>
      </c>
      <c r="R2221" s="220" t="s">
        <v>1888</v>
      </c>
      <c r="S2221" s="220" t="s">
        <v>1861</v>
      </c>
      <c r="U2221" t="s">
        <v>1972</v>
      </c>
      <c r="V2221" t="s">
        <v>2832</v>
      </c>
    </row>
    <row r="2222" spans="1:22" ht="15.75" thickBot="1" x14ac:dyDescent="0.3">
      <c r="A2222" t="s">
        <v>4693</v>
      </c>
      <c r="B2222" t="s">
        <v>4693</v>
      </c>
      <c r="C2222" t="s">
        <v>4693</v>
      </c>
      <c r="D2222" t="s">
        <v>629</v>
      </c>
      <c r="E2222" s="259" t="s">
        <v>1970</v>
      </c>
      <c r="F2222" t="s">
        <v>620</v>
      </c>
      <c r="G2222" s="89">
        <v>2007</v>
      </c>
      <c r="H2222" s="341" t="s">
        <v>731</v>
      </c>
      <c r="I2222" s="337" t="str">
        <f t="shared" si="94"/>
        <v>Pesado de Passageiros M3: I : Gasóleo : E4</v>
      </c>
      <c r="J2222" s="125">
        <v>90</v>
      </c>
      <c r="K2222" s="264">
        <v>2022</v>
      </c>
      <c r="L2222" s="85">
        <v>32340.789999999946</v>
      </c>
      <c r="M2222" s="85" t="s">
        <v>630</v>
      </c>
      <c r="N2222" s="128">
        <v>67808.509528265917</v>
      </c>
      <c r="O2222" s="128">
        <f t="shared" si="95"/>
        <v>6102765.8575439323</v>
      </c>
      <c r="P2222" s="89">
        <v>659</v>
      </c>
      <c r="Q2222" t="s">
        <v>47</v>
      </c>
      <c r="R2222" s="220" t="s">
        <v>1888</v>
      </c>
      <c r="S2222" s="220" t="s">
        <v>1861</v>
      </c>
      <c r="U2222" t="s">
        <v>1972</v>
      </c>
      <c r="V2222" t="s">
        <v>2832</v>
      </c>
    </row>
    <row r="2223" spans="1:22" ht="15.75" thickBot="1" x14ac:dyDescent="0.3">
      <c r="A2223" t="s">
        <v>4693</v>
      </c>
      <c r="B2223" t="s">
        <v>4693</v>
      </c>
      <c r="C2223" t="s">
        <v>4693</v>
      </c>
      <c r="D2223" t="s">
        <v>629</v>
      </c>
      <c r="E2223" s="259" t="s">
        <v>1970</v>
      </c>
      <c r="F2223" t="s">
        <v>620</v>
      </c>
      <c r="G2223" s="89">
        <v>2007</v>
      </c>
      <c r="H2223" s="341" t="s">
        <v>731</v>
      </c>
      <c r="I2223" s="337" t="str">
        <f t="shared" si="94"/>
        <v>Pesado de Passageiros M3: I : Gasóleo : E4</v>
      </c>
      <c r="J2223" s="125">
        <v>90</v>
      </c>
      <c r="K2223" s="264">
        <v>2022</v>
      </c>
      <c r="L2223" s="85">
        <v>30207.87</v>
      </c>
      <c r="M2223" s="85" t="s">
        <v>630</v>
      </c>
      <c r="N2223" s="128">
        <v>69197.291612799163</v>
      </c>
      <c r="O2223" s="128">
        <f t="shared" si="95"/>
        <v>6227756.2451519249</v>
      </c>
      <c r="P2223" s="89">
        <v>660</v>
      </c>
      <c r="Q2223" t="s">
        <v>47</v>
      </c>
      <c r="R2223" s="220" t="s">
        <v>1888</v>
      </c>
      <c r="S2223" s="220" t="s">
        <v>1861</v>
      </c>
      <c r="U2223" t="s">
        <v>1972</v>
      </c>
      <c r="V2223" t="s">
        <v>2832</v>
      </c>
    </row>
    <row r="2224" spans="1:22" ht="15.75" thickBot="1" x14ac:dyDescent="0.3">
      <c r="A2224" t="s">
        <v>4693</v>
      </c>
      <c r="B2224" t="s">
        <v>4693</v>
      </c>
      <c r="C2224" t="s">
        <v>4693</v>
      </c>
      <c r="D2224" t="s">
        <v>629</v>
      </c>
      <c r="E2224" s="259" t="s">
        <v>1970</v>
      </c>
      <c r="F2224" t="s">
        <v>620</v>
      </c>
      <c r="G2224" s="89">
        <v>2007</v>
      </c>
      <c r="H2224" s="341" t="s">
        <v>731</v>
      </c>
      <c r="I2224" s="337" t="str">
        <f t="shared" si="94"/>
        <v>Pesado de Passageiros M3: I : Gasóleo : E4</v>
      </c>
      <c r="J2224" s="125">
        <v>90</v>
      </c>
      <c r="K2224" s="264">
        <v>2022</v>
      </c>
      <c r="L2224" s="85">
        <v>23325.050000000014</v>
      </c>
      <c r="M2224" s="85" t="s">
        <v>630</v>
      </c>
      <c r="N2224" s="128">
        <v>46032.375</v>
      </c>
      <c r="O2224" s="128">
        <f t="shared" si="95"/>
        <v>4142913.75</v>
      </c>
      <c r="P2224" s="89">
        <v>661</v>
      </c>
      <c r="Q2224" t="s">
        <v>47</v>
      </c>
      <c r="R2224" s="220" t="s">
        <v>1888</v>
      </c>
      <c r="S2224" s="220" t="s">
        <v>1861</v>
      </c>
      <c r="U2224" t="s">
        <v>1972</v>
      </c>
      <c r="V2224" t="s">
        <v>2832</v>
      </c>
    </row>
    <row r="2225" spans="1:22" ht="15.75" thickBot="1" x14ac:dyDescent="0.3">
      <c r="A2225" t="s">
        <v>4693</v>
      </c>
      <c r="B2225" t="s">
        <v>4693</v>
      </c>
      <c r="C2225" t="s">
        <v>4693</v>
      </c>
      <c r="D2225" t="s">
        <v>629</v>
      </c>
      <c r="E2225" s="259" t="s">
        <v>1970</v>
      </c>
      <c r="F2225" t="s">
        <v>620</v>
      </c>
      <c r="G2225" s="89">
        <v>2007</v>
      </c>
      <c r="H2225" s="341" t="s">
        <v>731</v>
      </c>
      <c r="I2225" s="337" t="str">
        <f t="shared" si="94"/>
        <v>Pesado de Passageiros M3: I : Gasóleo : E4</v>
      </c>
      <c r="J2225" s="125">
        <v>90</v>
      </c>
      <c r="K2225" s="264">
        <v>2022</v>
      </c>
      <c r="L2225" s="85">
        <v>29600.570000000011</v>
      </c>
      <c r="M2225" s="85" t="s">
        <v>630</v>
      </c>
      <c r="N2225" s="128">
        <v>58508.375</v>
      </c>
      <c r="O2225" s="128">
        <f t="shared" si="95"/>
        <v>5265753.75</v>
      </c>
      <c r="P2225" s="89">
        <v>662</v>
      </c>
      <c r="Q2225" t="s">
        <v>47</v>
      </c>
      <c r="R2225" s="220" t="s">
        <v>1888</v>
      </c>
      <c r="S2225" s="220" t="s">
        <v>1861</v>
      </c>
      <c r="U2225" t="s">
        <v>1972</v>
      </c>
      <c r="V2225" t="s">
        <v>2832</v>
      </c>
    </row>
    <row r="2226" spans="1:22" ht="15.75" thickBot="1" x14ac:dyDescent="0.3">
      <c r="A2226" t="s">
        <v>4693</v>
      </c>
      <c r="B2226" t="s">
        <v>4693</v>
      </c>
      <c r="C2226" t="s">
        <v>4693</v>
      </c>
      <c r="D2226" t="s">
        <v>629</v>
      </c>
      <c r="E2226" s="259" t="s">
        <v>1970</v>
      </c>
      <c r="F2226" t="s">
        <v>620</v>
      </c>
      <c r="G2226" s="89">
        <v>2007</v>
      </c>
      <c r="H2226" s="341" t="s">
        <v>731</v>
      </c>
      <c r="I2226" s="337" t="str">
        <f t="shared" si="94"/>
        <v>Pesado de Passageiros M3: I : Gasóleo : E4</v>
      </c>
      <c r="J2226" s="125">
        <v>90</v>
      </c>
      <c r="K2226" s="264">
        <v>2022</v>
      </c>
      <c r="L2226" s="85">
        <v>34612.329999999994</v>
      </c>
      <c r="M2226" s="85" t="s">
        <v>630</v>
      </c>
      <c r="N2226" s="128">
        <v>70977.375</v>
      </c>
      <c r="O2226" s="128">
        <f t="shared" si="95"/>
        <v>6387963.75</v>
      </c>
      <c r="P2226" s="89">
        <v>663</v>
      </c>
      <c r="Q2226" t="s">
        <v>47</v>
      </c>
      <c r="R2226" s="220" t="s">
        <v>1888</v>
      </c>
      <c r="S2226" s="220" t="s">
        <v>1861</v>
      </c>
      <c r="U2226" t="s">
        <v>1972</v>
      </c>
      <c r="V2226" t="s">
        <v>2832</v>
      </c>
    </row>
    <row r="2227" spans="1:22" ht="15.75" thickBot="1" x14ac:dyDescent="0.3">
      <c r="A2227" t="s">
        <v>4693</v>
      </c>
      <c r="B2227" t="s">
        <v>4693</v>
      </c>
      <c r="C2227" t="s">
        <v>4693</v>
      </c>
      <c r="D2227" t="s">
        <v>629</v>
      </c>
      <c r="E2227" s="259" t="s">
        <v>1970</v>
      </c>
      <c r="F2227" t="s">
        <v>620</v>
      </c>
      <c r="G2227" s="89">
        <v>2007</v>
      </c>
      <c r="H2227" s="341" t="s">
        <v>731</v>
      </c>
      <c r="I2227" s="337" t="str">
        <f t="shared" si="94"/>
        <v>Pesado de Passageiros M3: I : Gasóleo : E4</v>
      </c>
      <c r="J2227" s="125">
        <v>90</v>
      </c>
      <c r="K2227" s="264">
        <v>2022</v>
      </c>
      <c r="L2227" s="85">
        <v>28423.219999999987</v>
      </c>
      <c r="M2227" s="85" t="s">
        <v>630</v>
      </c>
      <c r="N2227" s="128">
        <v>59408.375</v>
      </c>
      <c r="O2227" s="128">
        <f t="shared" si="95"/>
        <v>5346753.75</v>
      </c>
      <c r="P2227" s="89">
        <v>664</v>
      </c>
      <c r="Q2227" t="s">
        <v>47</v>
      </c>
      <c r="R2227" s="220" t="s">
        <v>1888</v>
      </c>
      <c r="S2227" s="220" t="s">
        <v>1861</v>
      </c>
      <c r="U2227" t="s">
        <v>1972</v>
      </c>
      <c r="V2227" t="s">
        <v>2832</v>
      </c>
    </row>
    <row r="2228" spans="1:22" ht="15.75" thickBot="1" x14ac:dyDescent="0.3">
      <c r="A2228" t="s">
        <v>4693</v>
      </c>
      <c r="B2228" t="s">
        <v>4693</v>
      </c>
      <c r="C2228" t="s">
        <v>4693</v>
      </c>
      <c r="D2228" t="s">
        <v>629</v>
      </c>
      <c r="E2228" s="259" t="s">
        <v>1970</v>
      </c>
      <c r="F2228" t="s">
        <v>620</v>
      </c>
      <c r="G2228" s="89">
        <v>2007</v>
      </c>
      <c r="H2228" s="341" t="s">
        <v>731</v>
      </c>
      <c r="I2228" s="337" t="str">
        <f t="shared" si="94"/>
        <v>Pesado de Passageiros M3: I : Gasóleo : E4</v>
      </c>
      <c r="J2228" s="125">
        <v>90</v>
      </c>
      <c r="K2228" s="264">
        <v>2022</v>
      </c>
      <c r="L2228" s="85">
        <v>33256.169999999976</v>
      </c>
      <c r="M2228" s="85" t="s">
        <v>630</v>
      </c>
      <c r="N2228" s="128">
        <v>76951.375</v>
      </c>
      <c r="O2228" s="128">
        <f t="shared" si="95"/>
        <v>6925623.75</v>
      </c>
      <c r="P2228" s="89">
        <v>665</v>
      </c>
      <c r="Q2228" t="s">
        <v>47</v>
      </c>
      <c r="R2228" s="220" t="s">
        <v>1888</v>
      </c>
      <c r="S2228" s="220" t="s">
        <v>1861</v>
      </c>
      <c r="U2228" t="s">
        <v>1972</v>
      </c>
      <c r="V2228" t="s">
        <v>2832</v>
      </c>
    </row>
    <row r="2229" spans="1:22" ht="15.75" thickBot="1" x14ac:dyDescent="0.3">
      <c r="A2229" t="s">
        <v>4693</v>
      </c>
      <c r="B2229" t="s">
        <v>4693</v>
      </c>
      <c r="C2229" t="s">
        <v>4693</v>
      </c>
      <c r="D2229" t="s">
        <v>629</v>
      </c>
      <c r="E2229" s="259" t="s">
        <v>1970</v>
      </c>
      <c r="F2229" t="s">
        <v>620</v>
      </c>
      <c r="G2229" s="89">
        <v>2007</v>
      </c>
      <c r="H2229" s="341" t="s">
        <v>731</v>
      </c>
      <c r="I2229" s="337" t="str">
        <f t="shared" si="94"/>
        <v>Pesado de Passageiros M3: I : Gasóleo : E4</v>
      </c>
      <c r="J2229" s="125">
        <v>90</v>
      </c>
      <c r="K2229" s="264">
        <v>2022</v>
      </c>
      <c r="L2229" s="85">
        <v>30161.960000000017</v>
      </c>
      <c r="M2229" s="85" t="s">
        <v>630</v>
      </c>
      <c r="N2229" s="128">
        <v>67203.375</v>
      </c>
      <c r="O2229" s="128">
        <f t="shared" si="95"/>
        <v>6048303.75</v>
      </c>
      <c r="P2229" s="89">
        <v>666</v>
      </c>
      <c r="Q2229" t="s">
        <v>47</v>
      </c>
      <c r="R2229" s="220" t="s">
        <v>1888</v>
      </c>
      <c r="S2229" s="220" t="s">
        <v>1861</v>
      </c>
      <c r="U2229" t="s">
        <v>1972</v>
      </c>
      <c r="V2229" t="s">
        <v>2832</v>
      </c>
    </row>
    <row r="2230" spans="1:22" ht="15.75" thickBot="1" x14ac:dyDescent="0.3">
      <c r="A2230" t="s">
        <v>4693</v>
      </c>
      <c r="B2230" t="s">
        <v>4693</v>
      </c>
      <c r="C2230" t="s">
        <v>4693</v>
      </c>
      <c r="D2230" t="s">
        <v>629</v>
      </c>
      <c r="E2230" s="259" t="s">
        <v>1970</v>
      </c>
      <c r="F2230" t="s">
        <v>620</v>
      </c>
      <c r="G2230" s="89">
        <v>2007</v>
      </c>
      <c r="H2230" s="341" t="s">
        <v>731</v>
      </c>
      <c r="I2230" s="337" t="str">
        <f t="shared" si="94"/>
        <v>Pesado de Passageiros M3: I : Gasóleo : E4</v>
      </c>
      <c r="J2230" s="125">
        <v>90</v>
      </c>
      <c r="K2230" s="264">
        <v>2022</v>
      </c>
      <c r="L2230" s="85">
        <v>30555.410000000007</v>
      </c>
      <c r="M2230" s="85" t="s">
        <v>630</v>
      </c>
      <c r="N2230" s="128">
        <v>69906.786642105901</v>
      </c>
      <c r="O2230" s="128">
        <f t="shared" si="95"/>
        <v>6291610.7977895308</v>
      </c>
      <c r="P2230" s="89">
        <v>667</v>
      </c>
      <c r="Q2230" t="s">
        <v>47</v>
      </c>
      <c r="R2230" s="220" t="s">
        <v>1888</v>
      </c>
      <c r="S2230" s="220" t="s">
        <v>1861</v>
      </c>
      <c r="U2230" t="s">
        <v>1972</v>
      </c>
      <c r="V2230" t="s">
        <v>2832</v>
      </c>
    </row>
    <row r="2231" spans="1:22" ht="15.75" thickBot="1" x14ac:dyDescent="0.3">
      <c r="A2231" t="s">
        <v>4693</v>
      </c>
      <c r="B2231" t="s">
        <v>4693</v>
      </c>
      <c r="C2231" t="s">
        <v>4693</v>
      </c>
      <c r="D2231" t="s">
        <v>629</v>
      </c>
      <c r="E2231" s="259" t="s">
        <v>1970</v>
      </c>
      <c r="F2231" t="s">
        <v>620</v>
      </c>
      <c r="G2231" s="89">
        <v>2007</v>
      </c>
      <c r="H2231" s="341" t="s">
        <v>731</v>
      </c>
      <c r="I2231" s="337" t="str">
        <f t="shared" si="94"/>
        <v>Pesado de Passageiros M3: I : Gasóleo : E4</v>
      </c>
      <c r="J2231" s="125">
        <v>90</v>
      </c>
      <c r="K2231" s="264">
        <v>2022</v>
      </c>
      <c r="L2231" s="85">
        <v>28584.279999999988</v>
      </c>
      <c r="M2231" s="85" t="s">
        <v>630</v>
      </c>
      <c r="N2231" s="128">
        <v>64540.535676533822</v>
      </c>
      <c r="O2231" s="128">
        <f t="shared" si="95"/>
        <v>5808648.210888044</v>
      </c>
      <c r="P2231" s="89">
        <v>668</v>
      </c>
      <c r="Q2231" t="s">
        <v>47</v>
      </c>
      <c r="R2231" s="220" t="s">
        <v>1888</v>
      </c>
      <c r="S2231" s="220" t="s">
        <v>1861</v>
      </c>
      <c r="U2231" t="s">
        <v>1972</v>
      </c>
      <c r="V2231" t="s">
        <v>2832</v>
      </c>
    </row>
    <row r="2232" spans="1:22" ht="15.75" thickBot="1" x14ac:dyDescent="0.3">
      <c r="A2232" t="s">
        <v>4693</v>
      </c>
      <c r="B2232" t="s">
        <v>4693</v>
      </c>
      <c r="C2232" t="s">
        <v>4693</v>
      </c>
      <c r="D2232" t="s">
        <v>629</v>
      </c>
      <c r="E2232" s="259" t="s">
        <v>1970</v>
      </c>
      <c r="F2232" t="s">
        <v>620</v>
      </c>
      <c r="G2232" s="89">
        <v>2008</v>
      </c>
      <c r="H2232" s="341" t="s">
        <v>731</v>
      </c>
      <c r="I2232" s="337" t="str">
        <f t="shared" si="94"/>
        <v>Pesado de Passageiros M3: I : Gasóleo : E4</v>
      </c>
      <c r="J2232" s="125">
        <v>90</v>
      </c>
      <c r="K2232" s="264">
        <v>2022</v>
      </c>
      <c r="L2232" s="85">
        <v>24816.139999999992</v>
      </c>
      <c r="M2232" s="85" t="s">
        <v>630</v>
      </c>
      <c r="N2232" s="128">
        <v>52834.375</v>
      </c>
      <c r="O2232" s="128">
        <f t="shared" si="95"/>
        <v>4755093.75</v>
      </c>
      <c r="P2232" s="89">
        <v>685</v>
      </c>
      <c r="Q2232" t="s">
        <v>47</v>
      </c>
      <c r="R2232" s="220" t="s">
        <v>1888</v>
      </c>
      <c r="S2232" s="220" t="s">
        <v>1861</v>
      </c>
      <c r="U2232" t="s">
        <v>1972</v>
      </c>
      <c r="V2232" t="s">
        <v>2832</v>
      </c>
    </row>
    <row r="2233" spans="1:22" ht="15.75" thickBot="1" x14ac:dyDescent="0.3">
      <c r="A2233" t="s">
        <v>4693</v>
      </c>
      <c r="B2233" t="s">
        <v>4693</v>
      </c>
      <c r="C2233" t="s">
        <v>4693</v>
      </c>
      <c r="D2233" t="s">
        <v>629</v>
      </c>
      <c r="E2233" s="259" t="s">
        <v>1970</v>
      </c>
      <c r="F2233" t="s">
        <v>620</v>
      </c>
      <c r="G2233" s="89">
        <v>2008</v>
      </c>
      <c r="H2233" s="341" t="s">
        <v>731</v>
      </c>
      <c r="I2233" s="337" t="str">
        <f t="shared" si="94"/>
        <v>Pesado de Passageiros M3: I : Gasóleo : E4</v>
      </c>
      <c r="J2233" s="125">
        <v>90</v>
      </c>
      <c r="K2233" s="264">
        <v>2022</v>
      </c>
      <c r="L2233" s="85">
        <v>34934.79</v>
      </c>
      <c r="M2233" s="85" t="s">
        <v>630</v>
      </c>
      <c r="N2233" s="128">
        <v>70912.375</v>
      </c>
      <c r="O2233" s="128">
        <f t="shared" si="95"/>
        <v>6382113.75</v>
      </c>
      <c r="P2233" s="89">
        <v>686</v>
      </c>
      <c r="Q2233" t="s">
        <v>47</v>
      </c>
      <c r="R2233" s="220" t="s">
        <v>1888</v>
      </c>
      <c r="S2233" s="220" t="s">
        <v>1861</v>
      </c>
      <c r="U2233" t="s">
        <v>1972</v>
      </c>
      <c r="V2233" t="s">
        <v>2832</v>
      </c>
    </row>
    <row r="2234" spans="1:22" ht="15.75" thickBot="1" x14ac:dyDescent="0.3">
      <c r="A2234" t="s">
        <v>4693</v>
      </c>
      <c r="B2234" t="s">
        <v>4693</v>
      </c>
      <c r="C2234" t="s">
        <v>4693</v>
      </c>
      <c r="D2234" t="s">
        <v>629</v>
      </c>
      <c r="E2234" s="259" t="s">
        <v>1970</v>
      </c>
      <c r="F2234" t="s">
        <v>620</v>
      </c>
      <c r="G2234" s="89">
        <v>2008</v>
      </c>
      <c r="H2234" s="341" t="s">
        <v>731</v>
      </c>
      <c r="I2234" s="337" t="str">
        <f t="shared" si="94"/>
        <v>Pesado de Passageiros M3: I : Gasóleo : E4</v>
      </c>
      <c r="J2234" s="125">
        <v>90</v>
      </c>
      <c r="K2234" s="264">
        <v>2022</v>
      </c>
      <c r="L2234" s="85">
        <v>24380.410000000003</v>
      </c>
      <c r="M2234" s="85" t="s">
        <v>630</v>
      </c>
      <c r="N2234" s="128">
        <v>48218.375</v>
      </c>
      <c r="O2234" s="128">
        <f t="shared" si="95"/>
        <v>4339653.75</v>
      </c>
      <c r="P2234" s="89">
        <v>687</v>
      </c>
      <c r="Q2234" t="s">
        <v>47</v>
      </c>
      <c r="R2234" s="220" t="s">
        <v>1888</v>
      </c>
      <c r="S2234" s="220" t="s">
        <v>1861</v>
      </c>
      <c r="U2234" t="s">
        <v>1972</v>
      </c>
      <c r="V2234" t="s">
        <v>2832</v>
      </c>
    </row>
    <row r="2235" spans="1:22" ht="15.75" thickBot="1" x14ac:dyDescent="0.3">
      <c r="A2235" t="s">
        <v>4693</v>
      </c>
      <c r="B2235" t="s">
        <v>4693</v>
      </c>
      <c r="C2235" t="s">
        <v>4693</v>
      </c>
      <c r="D2235" t="s">
        <v>629</v>
      </c>
      <c r="E2235" s="259" t="s">
        <v>1970</v>
      </c>
      <c r="F2235" t="s">
        <v>620</v>
      </c>
      <c r="G2235" s="89">
        <v>2008</v>
      </c>
      <c r="H2235" s="341" t="s">
        <v>731</v>
      </c>
      <c r="I2235" s="337" t="str">
        <f t="shared" si="94"/>
        <v>Pesado de Passageiros M3: I : Gasóleo : E4</v>
      </c>
      <c r="J2235" s="125">
        <v>90</v>
      </c>
      <c r="K2235" s="264">
        <v>2022</v>
      </c>
      <c r="L2235" s="85">
        <v>13255.019999999999</v>
      </c>
      <c r="M2235" s="85" t="s">
        <v>630</v>
      </c>
      <c r="N2235" s="128">
        <v>29272.375</v>
      </c>
      <c r="O2235" s="128">
        <f t="shared" si="95"/>
        <v>2634513.75</v>
      </c>
      <c r="P2235" s="89">
        <v>688</v>
      </c>
      <c r="Q2235" t="s">
        <v>47</v>
      </c>
      <c r="R2235" s="220" t="s">
        <v>1888</v>
      </c>
      <c r="S2235" s="220" t="s">
        <v>1861</v>
      </c>
      <c r="U2235" t="s">
        <v>1972</v>
      </c>
      <c r="V2235" t="s">
        <v>2832</v>
      </c>
    </row>
    <row r="2236" spans="1:22" ht="15.75" thickBot="1" x14ac:dyDescent="0.3">
      <c r="A2236" t="s">
        <v>4693</v>
      </c>
      <c r="B2236" t="s">
        <v>4693</v>
      </c>
      <c r="C2236" t="s">
        <v>4693</v>
      </c>
      <c r="D2236" t="s">
        <v>629</v>
      </c>
      <c r="E2236" s="259" t="s">
        <v>1970</v>
      </c>
      <c r="F2236" t="s">
        <v>620</v>
      </c>
      <c r="G2236" s="89">
        <v>2009</v>
      </c>
      <c r="H2236" s="341" t="s">
        <v>731</v>
      </c>
      <c r="I2236" s="337" t="str">
        <f t="shared" si="94"/>
        <v>Pesado de Passageiros M3: I : Gasóleo : E4</v>
      </c>
      <c r="J2236" s="125">
        <v>90</v>
      </c>
      <c r="K2236" s="264">
        <v>2022</v>
      </c>
      <c r="L2236" s="85">
        <v>36366.370000000003</v>
      </c>
      <c r="M2236" s="85" t="s">
        <v>630</v>
      </c>
      <c r="N2236" s="128">
        <v>66757.375</v>
      </c>
      <c r="O2236" s="128">
        <f t="shared" si="95"/>
        <v>6008163.75</v>
      </c>
      <c r="P2236" s="89">
        <v>689</v>
      </c>
      <c r="Q2236" t="s">
        <v>47</v>
      </c>
      <c r="R2236" s="220" t="s">
        <v>1888</v>
      </c>
      <c r="S2236" s="220" t="s">
        <v>1861</v>
      </c>
      <c r="U2236" t="s">
        <v>1972</v>
      </c>
      <c r="V2236" t="s">
        <v>2832</v>
      </c>
    </row>
    <row r="2237" spans="1:22" ht="15.75" thickBot="1" x14ac:dyDescent="0.3">
      <c r="A2237" t="s">
        <v>4693</v>
      </c>
      <c r="B2237" t="s">
        <v>4693</v>
      </c>
      <c r="C2237" t="s">
        <v>4693</v>
      </c>
      <c r="D2237" t="s">
        <v>629</v>
      </c>
      <c r="E2237" s="259" t="s">
        <v>1970</v>
      </c>
      <c r="F2237" t="s">
        <v>620</v>
      </c>
      <c r="G2237" s="89">
        <v>2009</v>
      </c>
      <c r="H2237" s="341" t="s">
        <v>731</v>
      </c>
      <c r="I2237" s="337" t="str">
        <f t="shared" si="94"/>
        <v>Pesado de Passageiros M3: I : Gasóleo : E4</v>
      </c>
      <c r="J2237" s="125">
        <v>90</v>
      </c>
      <c r="K2237" s="264">
        <v>2022</v>
      </c>
      <c r="L2237" s="85">
        <v>1098.21</v>
      </c>
      <c r="M2237" s="85" t="s">
        <v>630</v>
      </c>
      <c r="N2237" s="128">
        <v>6352.375</v>
      </c>
      <c r="O2237" s="128">
        <f t="shared" si="95"/>
        <v>571713.75</v>
      </c>
      <c r="P2237" s="89">
        <v>690</v>
      </c>
      <c r="Q2237" t="s">
        <v>47</v>
      </c>
      <c r="R2237" s="220" t="s">
        <v>1888</v>
      </c>
      <c r="S2237" s="220" t="s">
        <v>1861</v>
      </c>
      <c r="U2237" t="s">
        <v>1972</v>
      </c>
      <c r="V2237" t="s">
        <v>2832</v>
      </c>
    </row>
    <row r="2238" spans="1:22" ht="15.75" thickBot="1" x14ac:dyDescent="0.3">
      <c r="A2238" t="s">
        <v>4693</v>
      </c>
      <c r="B2238" t="s">
        <v>4693</v>
      </c>
      <c r="C2238" t="s">
        <v>4693</v>
      </c>
      <c r="D2238" t="s">
        <v>629</v>
      </c>
      <c r="E2238" s="259" t="s">
        <v>1970</v>
      </c>
      <c r="F2238" t="s">
        <v>620</v>
      </c>
      <c r="G2238" s="89">
        <v>2009</v>
      </c>
      <c r="H2238" s="341" t="s">
        <v>731</v>
      </c>
      <c r="I2238" s="337" t="str">
        <f t="shared" si="94"/>
        <v>Pesado de Passageiros M3: I : Gasóleo : E4</v>
      </c>
      <c r="J2238" s="125">
        <v>90</v>
      </c>
      <c r="K2238" s="264">
        <v>2022</v>
      </c>
      <c r="L2238" s="85">
        <v>20397.549999999992</v>
      </c>
      <c r="M2238" s="85" t="s">
        <v>630</v>
      </c>
      <c r="N2238" s="128">
        <v>43937.375</v>
      </c>
      <c r="O2238" s="128">
        <f t="shared" si="95"/>
        <v>3954363.75</v>
      </c>
      <c r="P2238" s="89">
        <v>692</v>
      </c>
      <c r="Q2238" t="s">
        <v>47</v>
      </c>
      <c r="R2238" s="220" t="s">
        <v>1888</v>
      </c>
      <c r="S2238" s="220" t="s">
        <v>1861</v>
      </c>
      <c r="U2238" t="s">
        <v>1972</v>
      </c>
      <c r="V2238" t="s">
        <v>2832</v>
      </c>
    </row>
    <row r="2239" spans="1:22" ht="15.75" thickBot="1" x14ac:dyDescent="0.3">
      <c r="A2239" t="s">
        <v>4693</v>
      </c>
      <c r="B2239" t="s">
        <v>4693</v>
      </c>
      <c r="C2239" t="s">
        <v>4693</v>
      </c>
      <c r="D2239" t="s">
        <v>629</v>
      </c>
      <c r="E2239" s="259" t="s">
        <v>1970</v>
      </c>
      <c r="F2239" t="s">
        <v>620</v>
      </c>
      <c r="G2239" s="89">
        <v>2009</v>
      </c>
      <c r="H2239" s="341" t="s">
        <v>731</v>
      </c>
      <c r="I2239" s="337" t="str">
        <f t="shared" si="94"/>
        <v>Pesado de Passageiros M3: I : Gasóleo : E4</v>
      </c>
      <c r="J2239" s="125">
        <v>90</v>
      </c>
      <c r="K2239" s="264">
        <v>2022</v>
      </c>
      <c r="L2239" s="85">
        <v>28508.789999999986</v>
      </c>
      <c r="M2239" s="85" t="s">
        <v>630</v>
      </c>
      <c r="N2239" s="128">
        <v>62435.375</v>
      </c>
      <c r="O2239" s="128">
        <f t="shared" si="95"/>
        <v>5619183.75</v>
      </c>
      <c r="P2239" s="89">
        <v>695</v>
      </c>
      <c r="Q2239" t="s">
        <v>47</v>
      </c>
      <c r="R2239" s="220" t="s">
        <v>1888</v>
      </c>
      <c r="S2239" s="220" t="s">
        <v>1861</v>
      </c>
      <c r="U2239" t="s">
        <v>1972</v>
      </c>
      <c r="V2239" t="s">
        <v>2832</v>
      </c>
    </row>
    <row r="2240" spans="1:22" ht="15.75" thickBot="1" x14ac:dyDescent="0.3">
      <c r="A2240" t="s">
        <v>4693</v>
      </c>
      <c r="B2240" t="s">
        <v>4693</v>
      </c>
      <c r="C2240" t="s">
        <v>4693</v>
      </c>
      <c r="D2240" t="s">
        <v>629</v>
      </c>
      <c r="E2240" s="259" t="s">
        <v>1970</v>
      </c>
      <c r="F2240" t="s">
        <v>620</v>
      </c>
      <c r="G2240" s="89">
        <v>2009</v>
      </c>
      <c r="H2240" s="341" t="s">
        <v>731</v>
      </c>
      <c r="I2240" s="337" t="str">
        <f t="shared" si="94"/>
        <v>Pesado de Passageiros M3: I : Gasóleo : E4</v>
      </c>
      <c r="J2240" s="125">
        <v>90</v>
      </c>
      <c r="K2240" s="264">
        <v>2022</v>
      </c>
      <c r="L2240" s="85">
        <v>27841.4</v>
      </c>
      <c r="M2240" s="85" t="s">
        <v>630</v>
      </c>
      <c r="N2240" s="128">
        <v>52714.375</v>
      </c>
      <c r="O2240" s="128">
        <f t="shared" si="95"/>
        <v>4744293.75</v>
      </c>
      <c r="P2240" s="89">
        <v>696</v>
      </c>
      <c r="Q2240" t="s">
        <v>47</v>
      </c>
      <c r="R2240" s="220" t="s">
        <v>1888</v>
      </c>
      <c r="S2240" s="220" t="s">
        <v>1861</v>
      </c>
      <c r="U2240" t="s">
        <v>1972</v>
      </c>
      <c r="V2240" t="s">
        <v>2832</v>
      </c>
    </row>
    <row r="2241" spans="1:22" ht="15.75" thickBot="1" x14ac:dyDescent="0.3">
      <c r="A2241" t="s">
        <v>4693</v>
      </c>
      <c r="B2241" t="s">
        <v>4693</v>
      </c>
      <c r="C2241" t="s">
        <v>4693</v>
      </c>
      <c r="D2241" t="s">
        <v>629</v>
      </c>
      <c r="E2241" s="259" t="s">
        <v>1970</v>
      </c>
      <c r="F2241" t="s">
        <v>620</v>
      </c>
      <c r="G2241" s="89">
        <v>2007</v>
      </c>
      <c r="H2241" s="341" t="s">
        <v>731</v>
      </c>
      <c r="I2241" s="337" t="str">
        <f t="shared" si="94"/>
        <v>Pesado de Passageiros M3: I : Gasóleo : E4</v>
      </c>
      <c r="J2241" s="125">
        <v>90</v>
      </c>
      <c r="K2241" s="264">
        <v>2022</v>
      </c>
      <c r="L2241" s="85">
        <v>24695.43</v>
      </c>
      <c r="M2241" s="85" t="s">
        <v>630</v>
      </c>
      <c r="N2241" s="128">
        <v>46450.375</v>
      </c>
      <c r="O2241" s="128">
        <f t="shared" si="95"/>
        <v>4180533.75</v>
      </c>
      <c r="P2241" s="89">
        <v>800</v>
      </c>
      <c r="Q2241" t="s">
        <v>47</v>
      </c>
      <c r="R2241" s="220" t="s">
        <v>1888</v>
      </c>
      <c r="S2241" s="220" t="s">
        <v>1861</v>
      </c>
      <c r="U2241" t="s">
        <v>1972</v>
      </c>
      <c r="V2241" t="s">
        <v>2832</v>
      </c>
    </row>
    <row r="2242" spans="1:22" ht="15.75" thickBot="1" x14ac:dyDescent="0.3">
      <c r="A2242" t="s">
        <v>4693</v>
      </c>
      <c r="B2242" t="s">
        <v>4693</v>
      </c>
      <c r="C2242" t="s">
        <v>4693</v>
      </c>
      <c r="D2242" t="s">
        <v>629</v>
      </c>
      <c r="E2242" s="259" t="s">
        <v>1970</v>
      </c>
      <c r="F2242" t="s">
        <v>620</v>
      </c>
      <c r="G2242" s="89">
        <v>2007</v>
      </c>
      <c r="H2242" s="341" t="s">
        <v>731</v>
      </c>
      <c r="I2242" s="337" t="str">
        <f t="shared" si="94"/>
        <v>Pesado de Passageiros M3: I : Gasóleo : E4</v>
      </c>
      <c r="J2242" s="125">
        <v>90</v>
      </c>
      <c r="K2242" s="264">
        <v>2022</v>
      </c>
      <c r="L2242" s="85">
        <v>34123.880000000005</v>
      </c>
      <c r="M2242" s="85" t="s">
        <v>630</v>
      </c>
      <c r="N2242" s="128">
        <v>69638.375</v>
      </c>
      <c r="O2242" s="128">
        <f t="shared" si="95"/>
        <v>6267453.75</v>
      </c>
      <c r="P2242" s="89">
        <v>801</v>
      </c>
      <c r="Q2242" t="s">
        <v>47</v>
      </c>
      <c r="R2242" s="220" t="s">
        <v>1888</v>
      </c>
      <c r="S2242" s="220" t="s">
        <v>1861</v>
      </c>
      <c r="U2242" t="s">
        <v>1972</v>
      </c>
      <c r="V2242" t="s">
        <v>2832</v>
      </c>
    </row>
    <row r="2243" spans="1:22" ht="15.75" thickBot="1" x14ac:dyDescent="0.3">
      <c r="A2243" t="s">
        <v>4693</v>
      </c>
      <c r="B2243" t="s">
        <v>4693</v>
      </c>
      <c r="C2243" t="s">
        <v>4693</v>
      </c>
      <c r="D2243" t="s">
        <v>629</v>
      </c>
      <c r="E2243" s="259" t="s">
        <v>1970</v>
      </c>
      <c r="F2243" t="s">
        <v>620</v>
      </c>
      <c r="G2243" s="89">
        <v>2007</v>
      </c>
      <c r="H2243" s="341" t="s">
        <v>731</v>
      </c>
      <c r="I2243" s="337" t="str">
        <f t="shared" si="94"/>
        <v>Pesado de Passageiros M3: I : Gasóleo : E4</v>
      </c>
      <c r="J2243" s="125">
        <v>90</v>
      </c>
      <c r="K2243" s="264">
        <v>2022</v>
      </c>
      <c r="L2243" s="85">
        <v>17586.689999999995</v>
      </c>
      <c r="M2243" s="85" t="s">
        <v>630</v>
      </c>
      <c r="N2243" s="128">
        <v>37840.375</v>
      </c>
      <c r="O2243" s="128">
        <f t="shared" si="95"/>
        <v>3405633.75</v>
      </c>
      <c r="P2243" s="89">
        <v>802</v>
      </c>
      <c r="Q2243" t="s">
        <v>47</v>
      </c>
      <c r="R2243" s="220" t="s">
        <v>1888</v>
      </c>
      <c r="S2243" s="220" t="s">
        <v>1861</v>
      </c>
      <c r="U2243" t="s">
        <v>1972</v>
      </c>
      <c r="V2243" t="s">
        <v>2832</v>
      </c>
    </row>
    <row r="2244" spans="1:22" ht="15.75" thickBot="1" x14ac:dyDescent="0.3">
      <c r="A2244" t="s">
        <v>4693</v>
      </c>
      <c r="B2244" t="s">
        <v>4693</v>
      </c>
      <c r="C2244" t="s">
        <v>4693</v>
      </c>
      <c r="D2244" t="s">
        <v>629</v>
      </c>
      <c r="E2244" s="259" t="s">
        <v>1970</v>
      </c>
      <c r="F2244" t="s">
        <v>620</v>
      </c>
      <c r="G2244" s="89">
        <v>2007</v>
      </c>
      <c r="H2244" s="341" t="s">
        <v>731</v>
      </c>
      <c r="I2244" s="337" t="str">
        <f t="shared" ref="I2244:I2307" si="96">D2244&amp;": "&amp;E2244&amp;" : "&amp;F2244&amp;" : "&amp;H2244</f>
        <v>Pesado de Passageiros M3: I : Gasóleo : E4</v>
      </c>
      <c r="J2244" s="125">
        <v>90</v>
      </c>
      <c r="K2244" s="264">
        <v>2022</v>
      </c>
      <c r="L2244" s="85">
        <v>7943.6500000000005</v>
      </c>
      <c r="M2244" s="85" t="s">
        <v>630</v>
      </c>
      <c r="N2244" s="128">
        <v>18724.375</v>
      </c>
      <c r="O2244" s="128">
        <f t="shared" ref="O2244:O2307" si="97">N2244*J2244</f>
        <v>1685193.75</v>
      </c>
      <c r="P2244" s="89">
        <v>803</v>
      </c>
      <c r="Q2244" t="s">
        <v>47</v>
      </c>
      <c r="R2244" s="220" t="s">
        <v>1888</v>
      </c>
      <c r="S2244" s="220" t="s">
        <v>1861</v>
      </c>
      <c r="U2244" t="s">
        <v>1972</v>
      </c>
      <c r="V2244" t="s">
        <v>2832</v>
      </c>
    </row>
    <row r="2245" spans="1:22" ht="15.75" thickBot="1" x14ac:dyDescent="0.3">
      <c r="A2245" t="s">
        <v>4693</v>
      </c>
      <c r="B2245" t="s">
        <v>4693</v>
      </c>
      <c r="C2245" t="s">
        <v>4693</v>
      </c>
      <c r="D2245" t="s">
        <v>629</v>
      </c>
      <c r="E2245" s="259" t="s">
        <v>1970</v>
      </c>
      <c r="F2245" t="s">
        <v>620</v>
      </c>
      <c r="G2245" s="89">
        <v>2003</v>
      </c>
      <c r="H2245" s="341" t="s">
        <v>732</v>
      </c>
      <c r="I2245" s="337" t="str">
        <f t="shared" si="96"/>
        <v>Pesado de Passageiros M3: I : Gasóleo : E3</v>
      </c>
      <c r="J2245" s="125">
        <v>87</v>
      </c>
      <c r="K2245" s="264">
        <v>2022</v>
      </c>
      <c r="L2245" s="85">
        <v>25868.270000000019</v>
      </c>
      <c r="M2245" s="85" t="s">
        <v>630</v>
      </c>
      <c r="N2245" s="128">
        <v>57471.375</v>
      </c>
      <c r="O2245" s="128">
        <f t="shared" si="97"/>
        <v>5000009.625</v>
      </c>
      <c r="P2245" s="89">
        <v>607</v>
      </c>
      <c r="Q2245" t="s">
        <v>47</v>
      </c>
      <c r="R2245" s="220" t="s">
        <v>1888</v>
      </c>
      <c r="S2245" s="220" t="s">
        <v>1861</v>
      </c>
      <c r="U2245" t="s">
        <v>1972</v>
      </c>
      <c r="V2245" t="s">
        <v>2832</v>
      </c>
    </row>
    <row r="2246" spans="1:22" ht="15.75" thickBot="1" x14ac:dyDescent="0.3">
      <c r="A2246" t="s">
        <v>4693</v>
      </c>
      <c r="B2246" t="s">
        <v>4693</v>
      </c>
      <c r="C2246" t="s">
        <v>4693</v>
      </c>
      <c r="D2246" t="s">
        <v>629</v>
      </c>
      <c r="E2246" s="259" t="s">
        <v>1970</v>
      </c>
      <c r="F2246" t="s">
        <v>620</v>
      </c>
      <c r="G2246" s="89">
        <v>2003</v>
      </c>
      <c r="H2246" s="341" t="s">
        <v>732</v>
      </c>
      <c r="I2246" s="337" t="str">
        <f t="shared" si="96"/>
        <v>Pesado de Passageiros M3: I : Gasóleo : E3</v>
      </c>
      <c r="J2246" s="125">
        <v>87</v>
      </c>
      <c r="K2246" s="264">
        <v>2022</v>
      </c>
      <c r="L2246" s="85">
        <v>18500.629999999997</v>
      </c>
      <c r="M2246" s="85" t="s">
        <v>630</v>
      </c>
      <c r="N2246" s="128">
        <v>42732.174582463485</v>
      </c>
      <c r="O2246" s="128">
        <f t="shared" si="97"/>
        <v>3717699.1886743233</v>
      </c>
      <c r="P2246" s="89">
        <v>608</v>
      </c>
      <c r="Q2246" t="s">
        <v>47</v>
      </c>
      <c r="R2246" s="220" t="s">
        <v>1888</v>
      </c>
      <c r="S2246" s="220" t="s">
        <v>1861</v>
      </c>
      <c r="U2246" t="s">
        <v>1972</v>
      </c>
      <c r="V2246" t="s">
        <v>2832</v>
      </c>
    </row>
    <row r="2247" spans="1:22" ht="15.75" thickBot="1" x14ac:dyDescent="0.3">
      <c r="A2247" t="s">
        <v>4693</v>
      </c>
      <c r="B2247" t="s">
        <v>4693</v>
      </c>
      <c r="C2247" t="s">
        <v>4693</v>
      </c>
      <c r="D2247" t="s">
        <v>629</v>
      </c>
      <c r="E2247" s="259" t="s">
        <v>1970</v>
      </c>
      <c r="F2247" t="s">
        <v>620</v>
      </c>
      <c r="G2247" s="89">
        <v>2003</v>
      </c>
      <c r="H2247" s="341" t="s">
        <v>732</v>
      </c>
      <c r="I2247" s="337" t="str">
        <f t="shared" si="96"/>
        <v>Pesado de Passageiros M3: I : Gasóleo : E3</v>
      </c>
      <c r="J2247" s="125">
        <v>87</v>
      </c>
      <c r="K2247" s="264">
        <v>2022</v>
      </c>
      <c r="L2247" s="85">
        <v>15217.67</v>
      </c>
      <c r="M2247" s="85" t="s">
        <v>630</v>
      </c>
      <c r="N2247" s="128">
        <v>33068.375</v>
      </c>
      <c r="O2247" s="128">
        <f t="shared" si="97"/>
        <v>2876948.625</v>
      </c>
      <c r="P2247" s="89">
        <v>609</v>
      </c>
      <c r="Q2247" t="s">
        <v>47</v>
      </c>
      <c r="R2247" s="220" t="s">
        <v>1888</v>
      </c>
      <c r="S2247" s="220" t="s">
        <v>1861</v>
      </c>
      <c r="U2247" t="s">
        <v>1972</v>
      </c>
      <c r="V2247" t="s">
        <v>2832</v>
      </c>
    </row>
    <row r="2248" spans="1:22" ht="15.75" thickBot="1" x14ac:dyDescent="0.3">
      <c r="A2248" t="s">
        <v>4693</v>
      </c>
      <c r="B2248" t="s">
        <v>4693</v>
      </c>
      <c r="C2248" t="s">
        <v>4693</v>
      </c>
      <c r="D2248" t="s">
        <v>629</v>
      </c>
      <c r="E2248" s="259" t="s">
        <v>1970</v>
      </c>
      <c r="F2248" t="s">
        <v>620</v>
      </c>
      <c r="G2248" s="89">
        <v>2003</v>
      </c>
      <c r="H2248" s="341" t="s">
        <v>732</v>
      </c>
      <c r="I2248" s="337" t="str">
        <f t="shared" si="96"/>
        <v>Pesado de Passageiros M3: I : Gasóleo : E3</v>
      </c>
      <c r="J2248" s="125">
        <v>87</v>
      </c>
      <c r="K2248" s="264">
        <v>2022</v>
      </c>
      <c r="L2248" s="85">
        <v>21521.770000000015</v>
      </c>
      <c r="M2248" s="85" t="s">
        <v>630</v>
      </c>
      <c r="N2248" s="128">
        <v>48317.375</v>
      </c>
      <c r="O2248" s="128">
        <f t="shared" si="97"/>
        <v>4203611.625</v>
      </c>
      <c r="P2248" s="89">
        <v>612</v>
      </c>
      <c r="Q2248" t="s">
        <v>47</v>
      </c>
      <c r="R2248" s="220" t="s">
        <v>1888</v>
      </c>
      <c r="S2248" s="220" t="s">
        <v>1861</v>
      </c>
      <c r="U2248" t="s">
        <v>1972</v>
      </c>
      <c r="V2248" t="s">
        <v>2832</v>
      </c>
    </row>
    <row r="2249" spans="1:22" ht="15.75" thickBot="1" x14ac:dyDescent="0.3">
      <c r="A2249" t="s">
        <v>4693</v>
      </c>
      <c r="B2249" t="s">
        <v>4693</v>
      </c>
      <c r="C2249" t="s">
        <v>4693</v>
      </c>
      <c r="D2249" t="s">
        <v>629</v>
      </c>
      <c r="E2249" s="259" t="s">
        <v>1970</v>
      </c>
      <c r="F2249" t="s">
        <v>620</v>
      </c>
      <c r="G2249" s="89">
        <v>2003</v>
      </c>
      <c r="H2249" s="341" t="s">
        <v>732</v>
      </c>
      <c r="I2249" s="337" t="str">
        <f t="shared" si="96"/>
        <v>Pesado de Passageiros M3: I : Gasóleo : E3</v>
      </c>
      <c r="J2249" s="125">
        <v>81</v>
      </c>
      <c r="K2249" s="264">
        <v>2022</v>
      </c>
      <c r="L2249" s="85">
        <v>25923.41</v>
      </c>
      <c r="M2249" s="85" t="s">
        <v>630</v>
      </c>
      <c r="N2249" s="128">
        <v>53296.375</v>
      </c>
      <c r="O2249" s="128">
        <f t="shared" si="97"/>
        <v>4317006.375</v>
      </c>
      <c r="P2249" s="89">
        <v>613</v>
      </c>
      <c r="Q2249" t="s">
        <v>47</v>
      </c>
      <c r="R2249" s="220" t="s">
        <v>1888</v>
      </c>
      <c r="S2249" s="220" t="s">
        <v>1861</v>
      </c>
      <c r="U2249" t="s">
        <v>1972</v>
      </c>
      <c r="V2249" t="s">
        <v>2832</v>
      </c>
    </row>
    <row r="2250" spans="1:22" ht="15.75" thickBot="1" x14ac:dyDescent="0.3">
      <c r="A2250" t="s">
        <v>4693</v>
      </c>
      <c r="B2250" t="s">
        <v>4693</v>
      </c>
      <c r="C2250" t="s">
        <v>4693</v>
      </c>
      <c r="D2250" t="s">
        <v>629</v>
      </c>
      <c r="E2250" s="259" t="s">
        <v>1970</v>
      </c>
      <c r="F2250" t="s">
        <v>620</v>
      </c>
      <c r="G2250" s="89">
        <v>2003</v>
      </c>
      <c r="H2250" s="341" t="s">
        <v>732</v>
      </c>
      <c r="I2250" s="337" t="str">
        <f t="shared" si="96"/>
        <v>Pesado de Passageiros M3: I : Gasóleo : E3</v>
      </c>
      <c r="J2250" s="125">
        <v>81</v>
      </c>
      <c r="K2250" s="264">
        <v>2022</v>
      </c>
      <c r="L2250" s="85">
        <v>19166.37999999999</v>
      </c>
      <c r="M2250" s="85" t="s">
        <v>630</v>
      </c>
      <c r="N2250" s="128">
        <v>40041.759615384595</v>
      </c>
      <c r="O2250" s="128">
        <f t="shared" si="97"/>
        <v>3243382.5288461521</v>
      </c>
      <c r="P2250" s="89">
        <v>614</v>
      </c>
      <c r="Q2250" t="s">
        <v>47</v>
      </c>
      <c r="R2250" s="220" t="s">
        <v>1888</v>
      </c>
      <c r="S2250" s="220" t="s">
        <v>1861</v>
      </c>
      <c r="U2250" t="s">
        <v>1972</v>
      </c>
      <c r="V2250" t="s">
        <v>2832</v>
      </c>
    </row>
    <row r="2251" spans="1:22" ht="15.75" thickBot="1" x14ac:dyDescent="0.3">
      <c r="A2251" t="s">
        <v>4693</v>
      </c>
      <c r="B2251" t="s">
        <v>4693</v>
      </c>
      <c r="C2251" t="s">
        <v>4693</v>
      </c>
      <c r="D2251" t="s">
        <v>629</v>
      </c>
      <c r="E2251" s="259" t="s">
        <v>1970</v>
      </c>
      <c r="F2251" t="s">
        <v>620</v>
      </c>
      <c r="G2251" s="89">
        <v>2003</v>
      </c>
      <c r="H2251" s="341" t="s">
        <v>732</v>
      </c>
      <c r="I2251" s="337" t="str">
        <f t="shared" si="96"/>
        <v>Pesado de Passageiros M3: I : Gasóleo : E3</v>
      </c>
      <c r="J2251" s="125">
        <v>81</v>
      </c>
      <c r="K2251" s="264">
        <v>2022</v>
      </c>
      <c r="L2251" s="85">
        <v>17997.850000000002</v>
      </c>
      <c r="M2251" s="85" t="s">
        <v>630</v>
      </c>
      <c r="N2251" s="128">
        <v>40467.375</v>
      </c>
      <c r="O2251" s="128">
        <f t="shared" si="97"/>
        <v>3277857.375</v>
      </c>
      <c r="P2251" s="89">
        <v>623</v>
      </c>
      <c r="Q2251" t="s">
        <v>47</v>
      </c>
      <c r="R2251" s="220" t="s">
        <v>1888</v>
      </c>
      <c r="S2251" s="220" t="s">
        <v>1861</v>
      </c>
      <c r="U2251" t="s">
        <v>1972</v>
      </c>
      <c r="V2251" t="s">
        <v>2832</v>
      </c>
    </row>
    <row r="2252" spans="1:22" ht="15.75" thickBot="1" x14ac:dyDescent="0.3">
      <c r="A2252" t="s">
        <v>4693</v>
      </c>
      <c r="B2252" t="s">
        <v>4693</v>
      </c>
      <c r="C2252" t="s">
        <v>4693</v>
      </c>
      <c r="D2252" t="s">
        <v>629</v>
      </c>
      <c r="E2252" s="259" t="s">
        <v>1970</v>
      </c>
      <c r="F2252" t="s">
        <v>620</v>
      </c>
      <c r="G2252" s="89">
        <v>2021</v>
      </c>
      <c r="H2252" s="341" t="s">
        <v>733</v>
      </c>
      <c r="I2252" s="337" t="str">
        <f t="shared" si="96"/>
        <v>Pesado de Passageiros M3: I : Gasóleo : E6</v>
      </c>
      <c r="J2252" s="125">
        <v>108</v>
      </c>
      <c r="K2252" s="264">
        <v>2022</v>
      </c>
      <c r="L2252" s="85">
        <v>20229.009999999998</v>
      </c>
      <c r="M2252" s="85" t="s">
        <v>630</v>
      </c>
      <c r="N2252" s="128">
        <v>51712.375</v>
      </c>
      <c r="O2252" s="128">
        <f t="shared" si="97"/>
        <v>5584936.5</v>
      </c>
      <c r="P2252" s="89">
        <v>1100</v>
      </c>
      <c r="Q2252" t="s">
        <v>47</v>
      </c>
      <c r="R2252" s="220" t="s">
        <v>1888</v>
      </c>
      <c r="S2252" s="220" t="s">
        <v>1861</v>
      </c>
      <c r="U2252" t="s">
        <v>1972</v>
      </c>
      <c r="V2252" t="s">
        <v>2832</v>
      </c>
    </row>
    <row r="2253" spans="1:22" ht="15.75" thickBot="1" x14ac:dyDescent="0.3">
      <c r="A2253" t="s">
        <v>4693</v>
      </c>
      <c r="B2253" t="s">
        <v>4693</v>
      </c>
      <c r="C2253" t="s">
        <v>4693</v>
      </c>
      <c r="D2253" t="s">
        <v>629</v>
      </c>
      <c r="E2253" s="259" t="s">
        <v>1970</v>
      </c>
      <c r="F2253" t="s">
        <v>620</v>
      </c>
      <c r="G2253" s="89">
        <v>2021</v>
      </c>
      <c r="H2253" s="341" t="s">
        <v>733</v>
      </c>
      <c r="I2253" s="337" t="str">
        <f t="shared" si="96"/>
        <v>Pesado de Passageiros M3: I : Gasóleo : E6</v>
      </c>
      <c r="J2253" s="125">
        <v>108</v>
      </c>
      <c r="K2253" s="264">
        <v>2022</v>
      </c>
      <c r="L2253" s="85">
        <v>18885.320000000007</v>
      </c>
      <c r="M2253" s="85" t="s">
        <v>630</v>
      </c>
      <c r="N2253" s="128">
        <v>48371.375</v>
      </c>
      <c r="O2253" s="128">
        <f t="shared" si="97"/>
        <v>5224108.5</v>
      </c>
      <c r="P2253" s="89">
        <v>1101</v>
      </c>
      <c r="Q2253" t="s">
        <v>47</v>
      </c>
      <c r="R2253" s="220" t="s">
        <v>1888</v>
      </c>
      <c r="S2253" s="220" t="s">
        <v>1861</v>
      </c>
      <c r="U2253" t="s">
        <v>1972</v>
      </c>
      <c r="V2253" t="s">
        <v>2832</v>
      </c>
    </row>
    <row r="2254" spans="1:22" ht="15.75" thickBot="1" x14ac:dyDescent="0.3">
      <c r="A2254" t="s">
        <v>4693</v>
      </c>
      <c r="B2254" t="s">
        <v>4693</v>
      </c>
      <c r="C2254" t="s">
        <v>4693</v>
      </c>
      <c r="D2254" t="s">
        <v>629</v>
      </c>
      <c r="E2254" s="259" t="s">
        <v>1970</v>
      </c>
      <c r="F2254" t="s">
        <v>620</v>
      </c>
      <c r="G2254" s="89">
        <v>2021</v>
      </c>
      <c r="H2254" s="341" t="s">
        <v>733</v>
      </c>
      <c r="I2254" s="337" t="str">
        <f t="shared" si="96"/>
        <v>Pesado de Passageiros M3: I : Gasóleo : E6</v>
      </c>
      <c r="J2254" s="125">
        <v>108</v>
      </c>
      <c r="K2254" s="264">
        <v>2022</v>
      </c>
      <c r="L2254" s="85">
        <v>19680.380000000016</v>
      </c>
      <c r="M2254" s="85" t="s">
        <v>630</v>
      </c>
      <c r="N2254" s="128">
        <v>50122.375</v>
      </c>
      <c r="O2254" s="128">
        <f t="shared" si="97"/>
        <v>5413216.5</v>
      </c>
      <c r="P2254" s="89">
        <v>1102</v>
      </c>
      <c r="Q2254" t="s">
        <v>47</v>
      </c>
      <c r="R2254" s="220" t="s">
        <v>1888</v>
      </c>
      <c r="S2254" s="220" t="s">
        <v>1861</v>
      </c>
      <c r="U2254" t="s">
        <v>1972</v>
      </c>
      <c r="V2254" t="s">
        <v>2832</v>
      </c>
    </row>
    <row r="2255" spans="1:22" ht="15.75" thickBot="1" x14ac:dyDescent="0.3">
      <c r="A2255" t="s">
        <v>4693</v>
      </c>
      <c r="B2255" t="s">
        <v>4693</v>
      </c>
      <c r="C2255" t="s">
        <v>4693</v>
      </c>
      <c r="D2255" t="s">
        <v>629</v>
      </c>
      <c r="E2255" s="259" t="s">
        <v>1970</v>
      </c>
      <c r="F2255" t="s">
        <v>620</v>
      </c>
      <c r="G2255" s="89">
        <v>2021</v>
      </c>
      <c r="H2255" s="341" t="s">
        <v>733</v>
      </c>
      <c r="I2255" s="337" t="str">
        <f t="shared" si="96"/>
        <v>Pesado de Passageiros M3: I : Gasóleo : E6</v>
      </c>
      <c r="J2255" s="125">
        <v>108</v>
      </c>
      <c r="K2255" s="264">
        <v>2022</v>
      </c>
      <c r="L2255" s="85">
        <v>21280.050000000003</v>
      </c>
      <c r="M2255" s="85" t="s">
        <v>630</v>
      </c>
      <c r="N2255" s="128">
        <v>53080.375</v>
      </c>
      <c r="O2255" s="128">
        <f t="shared" si="97"/>
        <v>5732680.5</v>
      </c>
      <c r="P2255" s="89">
        <v>1103</v>
      </c>
      <c r="Q2255" t="s">
        <v>47</v>
      </c>
      <c r="R2255" s="220" t="s">
        <v>1888</v>
      </c>
      <c r="S2255" s="220" t="s">
        <v>1861</v>
      </c>
      <c r="U2255" t="s">
        <v>1972</v>
      </c>
      <c r="V2255" t="s">
        <v>2832</v>
      </c>
    </row>
    <row r="2256" spans="1:22" ht="15.75" thickBot="1" x14ac:dyDescent="0.3">
      <c r="A2256" t="s">
        <v>4693</v>
      </c>
      <c r="B2256" t="s">
        <v>4693</v>
      </c>
      <c r="C2256" t="s">
        <v>4693</v>
      </c>
      <c r="D2256" t="s">
        <v>629</v>
      </c>
      <c r="E2256" s="259" t="s">
        <v>1970</v>
      </c>
      <c r="F2256" t="s">
        <v>620</v>
      </c>
      <c r="G2256" s="89">
        <v>2021</v>
      </c>
      <c r="H2256" s="341" t="s">
        <v>733</v>
      </c>
      <c r="I2256" s="337" t="str">
        <f t="shared" si="96"/>
        <v>Pesado de Passageiros M3: I : Gasóleo : E6</v>
      </c>
      <c r="J2256" s="125">
        <v>108</v>
      </c>
      <c r="K2256" s="264">
        <v>2022</v>
      </c>
      <c r="L2256" s="85">
        <v>21874.599999999991</v>
      </c>
      <c r="M2256" s="85" t="s">
        <v>630</v>
      </c>
      <c r="N2256" s="128">
        <v>54530.375</v>
      </c>
      <c r="O2256" s="128">
        <f t="shared" si="97"/>
        <v>5889280.5</v>
      </c>
      <c r="P2256" s="89">
        <v>1104</v>
      </c>
      <c r="Q2256" t="s">
        <v>47</v>
      </c>
      <c r="R2256" s="220" t="s">
        <v>1888</v>
      </c>
      <c r="S2256" s="220" t="s">
        <v>1861</v>
      </c>
      <c r="U2256" t="s">
        <v>1972</v>
      </c>
      <c r="V2256" t="s">
        <v>2832</v>
      </c>
    </row>
    <row r="2257" spans="1:22" ht="15.75" thickBot="1" x14ac:dyDescent="0.3">
      <c r="A2257" t="s">
        <v>4693</v>
      </c>
      <c r="B2257" t="s">
        <v>4693</v>
      </c>
      <c r="C2257" t="s">
        <v>4693</v>
      </c>
      <c r="D2257" t="s">
        <v>629</v>
      </c>
      <c r="E2257" s="259" t="s">
        <v>1970</v>
      </c>
      <c r="F2257" t="s">
        <v>620</v>
      </c>
      <c r="G2257" s="89">
        <v>2021</v>
      </c>
      <c r="H2257" s="341" t="s">
        <v>733</v>
      </c>
      <c r="I2257" s="337" t="str">
        <f t="shared" si="96"/>
        <v>Pesado de Passageiros M3: I : Gasóleo : E6</v>
      </c>
      <c r="J2257" s="125">
        <v>108</v>
      </c>
      <c r="K2257" s="264">
        <v>2022</v>
      </c>
      <c r="L2257" s="85">
        <v>21128.369999999995</v>
      </c>
      <c r="M2257" s="85" t="s">
        <v>630</v>
      </c>
      <c r="N2257" s="128">
        <v>54320.375</v>
      </c>
      <c r="O2257" s="128">
        <f t="shared" si="97"/>
        <v>5866600.5</v>
      </c>
      <c r="P2257" s="89">
        <v>1105</v>
      </c>
      <c r="Q2257" t="s">
        <v>47</v>
      </c>
      <c r="R2257" s="220" t="s">
        <v>1888</v>
      </c>
      <c r="S2257" s="220" t="s">
        <v>1861</v>
      </c>
      <c r="U2257" t="s">
        <v>1972</v>
      </c>
      <c r="V2257" t="s">
        <v>2832</v>
      </c>
    </row>
    <row r="2258" spans="1:22" ht="15.75" thickBot="1" x14ac:dyDescent="0.3">
      <c r="A2258" t="s">
        <v>4693</v>
      </c>
      <c r="B2258" t="s">
        <v>4693</v>
      </c>
      <c r="C2258" t="s">
        <v>4693</v>
      </c>
      <c r="D2258" t="s">
        <v>629</v>
      </c>
      <c r="E2258" s="259" t="s">
        <v>1970</v>
      </c>
      <c r="F2258" t="s">
        <v>620</v>
      </c>
      <c r="G2258" s="89">
        <v>2021</v>
      </c>
      <c r="H2258" s="341" t="s">
        <v>733</v>
      </c>
      <c r="I2258" s="337" t="str">
        <f t="shared" si="96"/>
        <v>Pesado de Passageiros M3: I : Gasóleo : E6</v>
      </c>
      <c r="J2258" s="125">
        <v>108</v>
      </c>
      <c r="K2258" s="264">
        <v>2022</v>
      </c>
      <c r="L2258" s="85">
        <v>17173.840000000007</v>
      </c>
      <c r="M2258" s="85" t="s">
        <v>630</v>
      </c>
      <c r="N2258" s="128">
        <v>44051.375</v>
      </c>
      <c r="O2258" s="128">
        <f t="shared" si="97"/>
        <v>4757548.5</v>
      </c>
      <c r="P2258" s="89">
        <v>1106</v>
      </c>
      <c r="Q2258" t="s">
        <v>47</v>
      </c>
      <c r="R2258" s="220" t="s">
        <v>1888</v>
      </c>
      <c r="S2258" s="220" t="s">
        <v>1861</v>
      </c>
      <c r="U2258" t="s">
        <v>1972</v>
      </c>
      <c r="V2258" t="s">
        <v>2832</v>
      </c>
    </row>
    <row r="2259" spans="1:22" ht="15.75" thickBot="1" x14ac:dyDescent="0.3">
      <c r="A2259" t="s">
        <v>4693</v>
      </c>
      <c r="B2259" t="s">
        <v>4693</v>
      </c>
      <c r="C2259" t="s">
        <v>4693</v>
      </c>
      <c r="D2259" t="s">
        <v>629</v>
      </c>
      <c r="E2259" s="259" t="s">
        <v>1970</v>
      </c>
      <c r="F2259" t="s">
        <v>620</v>
      </c>
      <c r="G2259" s="89">
        <v>2021</v>
      </c>
      <c r="H2259" s="341" t="s">
        <v>733</v>
      </c>
      <c r="I2259" s="337" t="str">
        <f t="shared" si="96"/>
        <v>Pesado de Passageiros M3: I : Gasóleo : E6</v>
      </c>
      <c r="J2259" s="125">
        <v>108</v>
      </c>
      <c r="K2259" s="264">
        <v>2022</v>
      </c>
      <c r="L2259" s="85">
        <v>22021.860000000004</v>
      </c>
      <c r="M2259" s="85" t="s">
        <v>630</v>
      </c>
      <c r="N2259" s="128">
        <v>57292.375</v>
      </c>
      <c r="O2259" s="128">
        <f t="shared" si="97"/>
        <v>6187576.5</v>
      </c>
      <c r="P2259" s="89">
        <v>1107</v>
      </c>
      <c r="Q2259" t="s">
        <v>47</v>
      </c>
      <c r="R2259" s="220" t="s">
        <v>1888</v>
      </c>
      <c r="S2259" s="220" t="s">
        <v>1861</v>
      </c>
      <c r="U2259" t="s">
        <v>1972</v>
      </c>
      <c r="V2259" t="s">
        <v>2832</v>
      </c>
    </row>
    <row r="2260" spans="1:22" ht="15.75" thickBot="1" x14ac:dyDescent="0.3">
      <c r="A2260" t="s">
        <v>4693</v>
      </c>
      <c r="B2260" t="s">
        <v>4693</v>
      </c>
      <c r="C2260" t="s">
        <v>4693</v>
      </c>
      <c r="D2260" t="s">
        <v>629</v>
      </c>
      <c r="E2260" s="259" t="s">
        <v>1970</v>
      </c>
      <c r="F2260" t="s">
        <v>620</v>
      </c>
      <c r="G2260" s="89">
        <v>2021</v>
      </c>
      <c r="H2260" s="341" t="s">
        <v>733</v>
      </c>
      <c r="I2260" s="337" t="str">
        <f t="shared" si="96"/>
        <v>Pesado de Passageiros M3: I : Gasóleo : E6</v>
      </c>
      <c r="J2260" s="125">
        <v>108</v>
      </c>
      <c r="K2260" s="264">
        <v>2022</v>
      </c>
      <c r="L2260" s="85">
        <v>24328.020000000008</v>
      </c>
      <c r="M2260" s="85" t="s">
        <v>630</v>
      </c>
      <c r="N2260" s="128">
        <v>61731.375</v>
      </c>
      <c r="O2260" s="128">
        <f t="shared" si="97"/>
        <v>6666988.5</v>
      </c>
      <c r="P2260" s="89">
        <v>1108</v>
      </c>
      <c r="Q2260" t="s">
        <v>47</v>
      </c>
      <c r="R2260" s="220" t="s">
        <v>1888</v>
      </c>
      <c r="S2260" s="220" t="s">
        <v>1861</v>
      </c>
      <c r="U2260" t="s">
        <v>1972</v>
      </c>
      <c r="V2260" t="s">
        <v>2832</v>
      </c>
    </row>
    <row r="2261" spans="1:22" ht="15.75" thickBot="1" x14ac:dyDescent="0.3">
      <c r="A2261" t="s">
        <v>4693</v>
      </c>
      <c r="B2261" t="s">
        <v>4693</v>
      </c>
      <c r="C2261" t="s">
        <v>4693</v>
      </c>
      <c r="D2261" t="s">
        <v>629</v>
      </c>
      <c r="E2261" s="259" t="s">
        <v>1970</v>
      </c>
      <c r="F2261" t="s">
        <v>620</v>
      </c>
      <c r="G2261" s="89">
        <v>2021</v>
      </c>
      <c r="H2261" s="341" t="s">
        <v>733</v>
      </c>
      <c r="I2261" s="337" t="str">
        <f t="shared" si="96"/>
        <v>Pesado de Passageiros M3: I : Gasóleo : E6</v>
      </c>
      <c r="J2261" s="125">
        <v>108</v>
      </c>
      <c r="K2261" s="264">
        <v>2022</v>
      </c>
      <c r="L2261" s="85">
        <v>20619.900000000005</v>
      </c>
      <c r="M2261" s="85" t="s">
        <v>630</v>
      </c>
      <c r="N2261" s="128">
        <v>52259.375</v>
      </c>
      <c r="O2261" s="128">
        <f t="shared" si="97"/>
        <v>5644012.5</v>
      </c>
      <c r="P2261" s="89">
        <v>1109</v>
      </c>
      <c r="Q2261" t="s">
        <v>47</v>
      </c>
      <c r="R2261" s="220" t="s">
        <v>1888</v>
      </c>
      <c r="S2261" s="220" t="s">
        <v>1861</v>
      </c>
      <c r="U2261" t="s">
        <v>1972</v>
      </c>
      <c r="V2261" t="s">
        <v>2832</v>
      </c>
    </row>
    <row r="2262" spans="1:22" ht="15.75" thickBot="1" x14ac:dyDescent="0.3">
      <c r="A2262" t="s">
        <v>4693</v>
      </c>
      <c r="B2262" t="s">
        <v>4693</v>
      </c>
      <c r="C2262" t="s">
        <v>4693</v>
      </c>
      <c r="D2262" t="s">
        <v>629</v>
      </c>
      <c r="E2262" s="259" t="s">
        <v>1970</v>
      </c>
      <c r="F2262" t="s">
        <v>620</v>
      </c>
      <c r="G2262" s="89">
        <v>2021</v>
      </c>
      <c r="H2262" s="341" t="s">
        <v>733</v>
      </c>
      <c r="I2262" s="337" t="str">
        <f t="shared" si="96"/>
        <v>Pesado de Passageiros M3: I : Gasóleo : E6</v>
      </c>
      <c r="J2262" s="125">
        <v>108</v>
      </c>
      <c r="K2262" s="264">
        <v>2022</v>
      </c>
      <c r="L2262" s="85">
        <v>22844.270000000011</v>
      </c>
      <c r="M2262" s="85" t="s">
        <v>630</v>
      </c>
      <c r="N2262" s="128">
        <v>56924.375</v>
      </c>
      <c r="O2262" s="128">
        <f t="shared" si="97"/>
        <v>6147832.5</v>
      </c>
      <c r="P2262" s="89">
        <v>1110</v>
      </c>
      <c r="Q2262" t="s">
        <v>47</v>
      </c>
      <c r="R2262" s="220" t="s">
        <v>1888</v>
      </c>
      <c r="S2262" s="220" t="s">
        <v>1861</v>
      </c>
      <c r="U2262" t="s">
        <v>1972</v>
      </c>
      <c r="V2262" t="s">
        <v>2832</v>
      </c>
    </row>
    <row r="2263" spans="1:22" ht="15.75" thickBot="1" x14ac:dyDescent="0.3">
      <c r="A2263" t="s">
        <v>4693</v>
      </c>
      <c r="B2263" t="s">
        <v>4693</v>
      </c>
      <c r="C2263" t="s">
        <v>4693</v>
      </c>
      <c r="D2263" t="s">
        <v>629</v>
      </c>
      <c r="E2263" s="259" t="s">
        <v>1970</v>
      </c>
      <c r="F2263" t="s">
        <v>620</v>
      </c>
      <c r="G2263" s="89">
        <v>2021</v>
      </c>
      <c r="H2263" s="341" t="s">
        <v>733</v>
      </c>
      <c r="I2263" s="337" t="str">
        <f t="shared" si="96"/>
        <v>Pesado de Passageiros M3: I : Gasóleo : E6</v>
      </c>
      <c r="J2263" s="125">
        <v>108</v>
      </c>
      <c r="K2263" s="264">
        <v>2022</v>
      </c>
      <c r="L2263" s="85">
        <v>24156.139999999981</v>
      </c>
      <c r="M2263" s="85" t="s">
        <v>630</v>
      </c>
      <c r="N2263" s="128">
        <v>59978.375</v>
      </c>
      <c r="O2263" s="128">
        <f t="shared" si="97"/>
        <v>6477664.5</v>
      </c>
      <c r="P2263" s="89">
        <v>1111</v>
      </c>
      <c r="Q2263" t="s">
        <v>47</v>
      </c>
      <c r="R2263" s="220" t="s">
        <v>1888</v>
      </c>
      <c r="S2263" s="220" t="s">
        <v>1861</v>
      </c>
      <c r="U2263" t="s">
        <v>1972</v>
      </c>
      <c r="V2263" t="s">
        <v>2832</v>
      </c>
    </row>
    <row r="2264" spans="1:22" ht="15.75" thickBot="1" x14ac:dyDescent="0.3">
      <c r="A2264" t="s">
        <v>4693</v>
      </c>
      <c r="B2264" t="s">
        <v>4693</v>
      </c>
      <c r="C2264" t="s">
        <v>4693</v>
      </c>
      <c r="D2264" t="s">
        <v>629</v>
      </c>
      <c r="E2264" s="259" t="s">
        <v>1970</v>
      </c>
      <c r="F2264" t="s">
        <v>620</v>
      </c>
      <c r="G2264" s="89">
        <v>2021</v>
      </c>
      <c r="H2264" s="341" t="s">
        <v>733</v>
      </c>
      <c r="I2264" s="337" t="str">
        <f t="shared" si="96"/>
        <v>Pesado de Passageiros M3: I : Gasóleo : E6</v>
      </c>
      <c r="J2264" s="125">
        <v>108</v>
      </c>
      <c r="K2264" s="264">
        <v>2022</v>
      </c>
      <c r="L2264" s="85">
        <v>21722.810000000005</v>
      </c>
      <c r="M2264" s="85" t="s">
        <v>630</v>
      </c>
      <c r="N2264" s="128">
        <v>52714.375</v>
      </c>
      <c r="O2264" s="128">
        <f t="shared" si="97"/>
        <v>5693152.5</v>
      </c>
      <c r="P2264" s="89">
        <v>1112</v>
      </c>
      <c r="Q2264" t="s">
        <v>47</v>
      </c>
      <c r="R2264" s="220" t="s">
        <v>1888</v>
      </c>
      <c r="S2264" s="220" t="s">
        <v>1861</v>
      </c>
      <c r="U2264" t="s">
        <v>1972</v>
      </c>
      <c r="V2264" t="s">
        <v>2832</v>
      </c>
    </row>
    <row r="2265" spans="1:22" ht="15.75" thickBot="1" x14ac:dyDescent="0.3">
      <c r="A2265" t="s">
        <v>4693</v>
      </c>
      <c r="B2265" t="s">
        <v>4693</v>
      </c>
      <c r="C2265" t="s">
        <v>4693</v>
      </c>
      <c r="D2265" t="s">
        <v>629</v>
      </c>
      <c r="E2265" s="259" t="s">
        <v>1970</v>
      </c>
      <c r="F2265" t="s">
        <v>620</v>
      </c>
      <c r="G2265" s="89">
        <v>2021</v>
      </c>
      <c r="H2265" s="341" t="s">
        <v>733</v>
      </c>
      <c r="I2265" s="337" t="str">
        <f t="shared" si="96"/>
        <v>Pesado de Passageiros M3: I : Gasóleo : E6</v>
      </c>
      <c r="J2265" s="125">
        <v>108</v>
      </c>
      <c r="K2265" s="264">
        <v>2022</v>
      </c>
      <c r="L2265" s="85">
        <v>19570.069999999992</v>
      </c>
      <c r="M2265" s="85" t="s">
        <v>630</v>
      </c>
      <c r="N2265" s="128">
        <v>47347.375</v>
      </c>
      <c r="O2265" s="128">
        <f t="shared" si="97"/>
        <v>5113516.5</v>
      </c>
      <c r="P2265" s="89">
        <v>1113</v>
      </c>
      <c r="Q2265" t="s">
        <v>47</v>
      </c>
      <c r="R2265" s="220" t="s">
        <v>1888</v>
      </c>
      <c r="S2265" s="220" t="s">
        <v>1861</v>
      </c>
      <c r="U2265" t="s">
        <v>1972</v>
      </c>
      <c r="V2265" t="s">
        <v>2832</v>
      </c>
    </row>
    <row r="2266" spans="1:22" ht="15.75" thickBot="1" x14ac:dyDescent="0.3">
      <c r="A2266" t="s">
        <v>4693</v>
      </c>
      <c r="B2266" t="s">
        <v>4693</v>
      </c>
      <c r="C2266" t="s">
        <v>4693</v>
      </c>
      <c r="D2266" t="s">
        <v>629</v>
      </c>
      <c r="E2266" s="259" t="s">
        <v>1970</v>
      </c>
      <c r="F2266" t="s">
        <v>620</v>
      </c>
      <c r="G2266" s="89">
        <v>2021</v>
      </c>
      <c r="H2266" s="341" t="s">
        <v>733</v>
      </c>
      <c r="I2266" s="337" t="str">
        <f t="shared" si="96"/>
        <v>Pesado de Passageiros M3: I : Gasóleo : E6</v>
      </c>
      <c r="J2266" s="125">
        <v>108</v>
      </c>
      <c r="K2266" s="264">
        <v>2022</v>
      </c>
      <c r="L2266" s="85">
        <v>14745.309999999998</v>
      </c>
      <c r="M2266" s="85" t="s">
        <v>630</v>
      </c>
      <c r="N2266" s="128">
        <v>37807.375</v>
      </c>
      <c r="O2266" s="128">
        <f t="shared" si="97"/>
        <v>4083196.5</v>
      </c>
      <c r="P2266" s="89">
        <v>1114</v>
      </c>
      <c r="Q2266" t="s">
        <v>47</v>
      </c>
      <c r="R2266" s="220" t="s">
        <v>1888</v>
      </c>
      <c r="S2266" s="220" t="s">
        <v>1861</v>
      </c>
      <c r="U2266" t="s">
        <v>1972</v>
      </c>
      <c r="V2266" t="s">
        <v>2832</v>
      </c>
    </row>
    <row r="2267" spans="1:22" ht="15.75" thickBot="1" x14ac:dyDescent="0.3">
      <c r="A2267" t="s">
        <v>4693</v>
      </c>
      <c r="B2267" t="s">
        <v>4693</v>
      </c>
      <c r="C2267" t="s">
        <v>4693</v>
      </c>
      <c r="D2267" t="s">
        <v>629</v>
      </c>
      <c r="E2267" s="259" t="s">
        <v>1970</v>
      </c>
      <c r="F2267" t="s">
        <v>620</v>
      </c>
      <c r="G2267" s="89">
        <v>2021</v>
      </c>
      <c r="H2267" s="341" t="s">
        <v>733</v>
      </c>
      <c r="I2267" s="337" t="str">
        <f t="shared" si="96"/>
        <v>Pesado de Passageiros M3: I : Gasóleo : E6</v>
      </c>
      <c r="J2267" s="125">
        <v>108</v>
      </c>
      <c r="K2267" s="264">
        <v>2022</v>
      </c>
      <c r="L2267" s="85">
        <v>20859.989999999998</v>
      </c>
      <c r="M2267" s="85" t="s">
        <v>630</v>
      </c>
      <c r="N2267" s="128">
        <v>51511.375</v>
      </c>
      <c r="O2267" s="128">
        <f t="shared" si="97"/>
        <v>5563228.5</v>
      </c>
      <c r="P2267" s="89">
        <v>1115</v>
      </c>
      <c r="Q2267" t="s">
        <v>47</v>
      </c>
      <c r="R2267" s="220" t="s">
        <v>1888</v>
      </c>
      <c r="S2267" s="220" t="s">
        <v>1861</v>
      </c>
      <c r="U2267" t="s">
        <v>1972</v>
      </c>
      <c r="V2267" t="s">
        <v>2832</v>
      </c>
    </row>
    <row r="2268" spans="1:22" ht="15.75" thickBot="1" x14ac:dyDescent="0.3">
      <c r="A2268" t="s">
        <v>4693</v>
      </c>
      <c r="B2268" t="s">
        <v>4693</v>
      </c>
      <c r="C2268" t="s">
        <v>4693</v>
      </c>
      <c r="D2268" t="s">
        <v>629</v>
      </c>
      <c r="E2268" s="259" t="s">
        <v>1970</v>
      </c>
      <c r="F2268" t="s">
        <v>620</v>
      </c>
      <c r="G2268" s="89">
        <v>2021</v>
      </c>
      <c r="H2268" s="341" t="s">
        <v>733</v>
      </c>
      <c r="I2268" s="337" t="str">
        <f t="shared" si="96"/>
        <v>Pesado de Passageiros M3: I : Gasóleo : E6</v>
      </c>
      <c r="J2268" s="125">
        <v>108</v>
      </c>
      <c r="K2268" s="264">
        <v>2022</v>
      </c>
      <c r="L2268" s="85">
        <v>21221.179999999993</v>
      </c>
      <c r="M2268" s="85" t="s">
        <v>630</v>
      </c>
      <c r="N2268" s="128">
        <v>52703.375</v>
      </c>
      <c r="O2268" s="128">
        <f t="shared" si="97"/>
        <v>5691964.5</v>
      </c>
      <c r="P2268" s="89">
        <v>1116</v>
      </c>
      <c r="Q2268" t="s">
        <v>47</v>
      </c>
      <c r="R2268" s="220" t="s">
        <v>1888</v>
      </c>
      <c r="S2268" s="220" t="s">
        <v>1861</v>
      </c>
      <c r="U2268" t="s">
        <v>1972</v>
      </c>
      <c r="V2268" t="s">
        <v>2832</v>
      </c>
    </row>
    <row r="2269" spans="1:22" ht="15.75" thickBot="1" x14ac:dyDescent="0.3">
      <c r="A2269" t="s">
        <v>4693</v>
      </c>
      <c r="B2269" t="s">
        <v>4693</v>
      </c>
      <c r="C2269" t="s">
        <v>4693</v>
      </c>
      <c r="D2269" t="s">
        <v>629</v>
      </c>
      <c r="E2269" s="259" t="s">
        <v>1970</v>
      </c>
      <c r="F2269" t="s">
        <v>620</v>
      </c>
      <c r="G2269" s="89">
        <v>2021</v>
      </c>
      <c r="H2269" s="341" t="s">
        <v>733</v>
      </c>
      <c r="I2269" s="337" t="str">
        <f t="shared" si="96"/>
        <v>Pesado de Passageiros M3: I : Gasóleo : E6</v>
      </c>
      <c r="J2269" s="125">
        <v>108</v>
      </c>
      <c r="K2269" s="264">
        <v>2022</v>
      </c>
      <c r="L2269" s="85">
        <v>18964.349999999999</v>
      </c>
      <c r="M2269" s="85" t="s">
        <v>630</v>
      </c>
      <c r="N2269" s="128">
        <v>46647.375</v>
      </c>
      <c r="O2269" s="128">
        <f t="shared" si="97"/>
        <v>5037916.5</v>
      </c>
      <c r="P2269" s="89">
        <v>1117</v>
      </c>
      <c r="Q2269" t="s">
        <v>47</v>
      </c>
      <c r="R2269" s="220" t="s">
        <v>1888</v>
      </c>
      <c r="S2269" s="220" t="s">
        <v>1861</v>
      </c>
      <c r="U2269" t="s">
        <v>1972</v>
      </c>
      <c r="V2269" t="s">
        <v>2832</v>
      </c>
    </row>
    <row r="2270" spans="1:22" ht="15.75" thickBot="1" x14ac:dyDescent="0.3">
      <c r="A2270" t="s">
        <v>4693</v>
      </c>
      <c r="B2270" t="s">
        <v>4693</v>
      </c>
      <c r="C2270" t="s">
        <v>4693</v>
      </c>
      <c r="D2270" t="s">
        <v>629</v>
      </c>
      <c r="E2270" s="259" t="s">
        <v>1970</v>
      </c>
      <c r="F2270" t="s">
        <v>620</v>
      </c>
      <c r="G2270" s="89">
        <v>2021</v>
      </c>
      <c r="H2270" s="341" t="s">
        <v>733</v>
      </c>
      <c r="I2270" s="337" t="str">
        <f t="shared" si="96"/>
        <v>Pesado de Passageiros M3: I : Gasóleo : E6</v>
      </c>
      <c r="J2270" s="125">
        <v>108</v>
      </c>
      <c r="K2270" s="264">
        <v>2022</v>
      </c>
      <c r="L2270" s="85">
        <v>15685.039999999995</v>
      </c>
      <c r="M2270" s="85" t="s">
        <v>630</v>
      </c>
      <c r="N2270" s="128">
        <v>40519.375</v>
      </c>
      <c r="O2270" s="128">
        <f t="shared" si="97"/>
        <v>4376092.5</v>
      </c>
      <c r="P2270" s="89">
        <v>1118</v>
      </c>
      <c r="Q2270" t="s">
        <v>47</v>
      </c>
      <c r="R2270" s="220" t="s">
        <v>1888</v>
      </c>
      <c r="S2270" s="220" t="s">
        <v>1861</v>
      </c>
      <c r="U2270" t="s">
        <v>1972</v>
      </c>
      <c r="V2270" t="s">
        <v>2832</v>
      </c>
    </row>
    <row r="2271" spans="1:22" ht="15.75" thickBot="1" x14ac:dyDescent="0.3">
      <c r="A2271" t="s">
        <v>4693</v>
      </c>
      <c r="B2271" t="s">
        <v>4693</v>
      </c>
      <c r="C2271" t="s">
        <v>4693</v>
      </c>
      <c r="D2271" t="s">
        <v>629</v>
      </c>
      <c r="E2271" s="259" t="s">
        <v>1970</v>
      </c>
      <c r="F2271" t="s">
        <v>620</v>
      </c>
      <c r="G2271" s="89">
        <v>2021</v>
      </c>
      <c r="H2271" s="341" t="s">
        <v>733</v>
      </c>
      <c r="I2271" s="337" t="str">
        <f t="shared" si="96"/>
        <v>Pesado de Passageiros M3: I : Gasóleo : E6</v>
      </c>
      <c r="J2271" s="125">
        <v>108</v>
      </c>
      <c r="K2271" s="264">
        <v>2022</v>
      </c>
      <c r="L2271" s="85">
        <v>19765.429999999993</v>
      </c>
      <c r="M2271" s="85" t="s">
        <v>630</v>
      </c>
      <c r="N2271" s="128">
        <v>50282.375</v>
      </c>
      <c r="O2271" s="128">
        <f t="shared" si="97"/>
        <v>5430496.5</v>
      </c>
      <c r="P2271" s="89">
        <v>1119</v>
      </c>
      <c r="Q2271" t="s">
        <v>47</v>
      </c>
      <c r="R2271" s="220" t="s">
        <v>1888</v>
      </c>
      <c r="S2271" s="220" t="s">
        <v>1861</v>
      </c>
      <c r="U2271" t="s">
        <v>1972</v>
      </c>
      <c r="V2271" t="s">
        <v>2832</v>
      </c>
    </row>
    <row r="2272" spans="1:22" ht="15.75" thickBot="1" x14ac:dyDescent="0.3">
      <c r="A2272" t="s">
        <v>4693</v>
      </c>
      <c r="B2272" t="s">
        <v>4693</v>
      </c>
      <c r="C2272" t="s">
        <v>4693</v>
      </c>
      <c r="D2272" t="s">
        <v>629</v>
      </c>
      <c r="E2272" s="259" t="s">
        <v>1970</v>
      </c>
      <c r="F2272" t="s">
        <v>620</v>
      </c>
      <c r="G2272" s="89">
        <v>2021</v>
      </c>
      <c r="H2272" s="341" t="s">
        <v>733</v>
      </c>
      <c r="I2272" s="337" t="str">
        <f t="shared" si="96"/>
        <v>Pesado de Passageiros M3: I : Gasóleo : E6</v>
      </c>
      <c r="J2272" s="125">
        <v>108</v>
      </c>
      <c r="K2272" s="264">
        <v>2022</v>
      </c>
      <c r="L2272" s="85">
        <v>18776.229999999996</v>
      </c>
      <c r="M2272" s="85" t="s">
        <v>630</v>
      </c>
      <c r="N2272" s="128">
        <v>51271.375</v>
      </c>
      <c r="O2272" s="128">
        <f t="shared" si="97"/>
        <v>5537308.5</v>
      </c>
      <c r="P2272" s="89">
        <v>1120</v>
      </c>
      <c r="Q2272" t="s">
        <v>47</v>
      </c>
      <c r="R2272" s="220" t="s">
        <v>1888</v>
      </c>
      <c r="S2272" s="220" t="s">
        <v>1861</v>
      </c>
      <c r="U2272" t="s">
        <v>1972</v>
      </c>
      <c r="V2272" t="s">
        <v>2832</v>
      </c>
    </row>
    <row r="2273" spans="1:22" ht="15.75" thickBot="1" x14ac:dyDescent="0.3">
      <c r="A2273" t="s">
        <v>4693</v>
      </c>
      <c r="B2273" t="s">
        <v>4693</v>
      </c>
      <c r="C2273" t="s">
        <v>4693</v>
      </c>
      <c r="D2273" t="s">
        <v>629</v>
      </c>
      <c r="E2273" s="259" t="s">
        <v>1970</v>
      </c>
      <c r="F2273" t="s">
        <v>620</v>
      </c>
      <c r="G2273" s="89">
        <v>2021</v>
      </c>
      <c r="H2273" s="341" t="s">
        <v>733</v>
      </c>
      <c r="I2273" s="337" t="str">
        <f t="shared" si="96"/>
        <v>Pesado de Passageiros M3: I : Gasóleo : E6</v>
      </c>
      <c r="J2273" s="125">
        <v>108</v>
      </c>
      <c r="K2273" s="264">
        <v>2022</v>
      </c>
      <c r="L2273" s="85">
        <v>17456.300000000003</v>
      </c>
      <c r="M2273" s="85" t="s">
        <v>630</v>
      </c>
      <c r="N2273" s="128">
        <v>46224.375</v>
      </c>
      <c r="O2273" s="128">
        <f t="shared" si="97"/>
        <v>4992232.5</v>
      </c>
      <c r="P2273" s="89">
        <v>1121</v>
      </c>
      <c r="Q2273" t="s">
        <v>47</v>
      </c>
      <c r="R2273" s="220" t="s">
        <v>1888</v>
      </c>
      <c r="S2273" s="220" t="s">
        <v>1861</v>
      </c>
      <c r="U2273" t="s">
        <v>1972</v>
      </c>
      <c r="V2273" t="s">
        <v>2832</v>
      </c>
    </row>
    <row r="2274" spans="1:22" ht="15.75" thickBot="1" x14ac:dyDescent="0.3">
      <c r="A2274" t="s">
        <v>4693</v>
      </c>
      <c r="B2274" t="s">
        <v>4693</v>
      </c>
      <c r="C2274" t="s">
        <v>4693</v>
      </c>
      <c r="D2274" t="s">
        <v>629</v>
      </c>
      <c r="E2274" s="259" t="s">
        <v>1970</v>
      </c>
      <c r="F2274" t="s">
        <v>620</v>
      </c>
      <c r="G2274" s="89">
        <v>2021</v>
      </c>
      <c r="H2274" s="341" t="s">
        <v>733</v>
      </c>
      <c r="I2274" s="337" t="str">
        <f t="shared" si="96"/>
        <v>Pesado de Passageiros M3: I : Gasóleo : E6</v>
      </c>
      <c r="J2274" s="125">
        <v>108</v>
      </c>
      <c r="K2274" s="264">
        <v>2022</v>
      </c>
      <c r="L2274" s="85">
        <v>19268.48</v>
      </c>
      <c r="M2274" s="85" t="s">
        <v>630</v>
      </c>
      <c r="N2274" s="128">
        <v>49305.375</v>
      </c>
      <c r="O2274" s="128">
        <f t="shared" si="97"/>
        <v>5324980.5</v>
      </c>
      <c r="P2274" s="89">
        <v>1122</v>
      </c>
      <c r="Q2274" t="s">
        <v>47</v>
      </c>
      <c r="R2274" s="220" t="s">
        <v>1888</v>
      </c>
      <c r="S2274" s="220" t="s">
        <v>1861</v>
      </c>
      <c r="U2274" t="s">
        <v>1972</v>
      </c>
      <c r="V2274" t="s">
        <v>2832</v>
      </c>
    </row>
    <row r="2275" spans="1:22" ht="15.75" thickBot="1" x14ac:dyDescent="0.3">
      <c r="A2275" t="s">
        <v>4693</v>
      </c>
      <c r="B2275" t="s">
        <v>4693</v>
      </c>
      <c r="C2275" t="s">
        <v>4693</v>
      </c>
      <c r="D2275" t="s">
        <v>629</v>
      </c>
      <c r="E2275" s="259" t="s">
        <v>1970</v>
      </c>
      <c r="F2275" t="s">
        <v>620</v>
      </c>
      <c r="G2275" s="89">
        <v>2021</v>
      </c>
      <c r="H2275" s="341" t="s">
        <v>733</v>
      </c>
      <c r="I2275" s="337" t="str">
        <f t="shared" si="96"/>
        <v>Pesado de Passageiros M3: I : Gasóleo : E6</v>
      </c>
      <c r="J2275" s="125">
        <v>108</v>
      </c>
      <c r="K2275" s="264">
        <v>2022</v>
      </c>
      <c r="L2275" s="85">
        <v>12330.439999999999</v>
      </c>
      <c r="M2275" s="85" t="s">
        <v>630</v>
      </c>
      <c r="N2275" s="128">
        <v>33773.375</v>
      </c>
      <c r="O2275" s="128">
        <f t="shared" si="97"/>
        <v>3647524.5</v>
      </c>
      <c r="P2275" s="89">
        <v>1123</v>
      </c>
      <c r="Q2275" t="s">
        <v>47</v>
      </c>
      <c r="R2275" s="220" t="s">
        <v>1888</v>
      </c>
      <c r="S2275" s="220" t="s">
        <v>1861</v>
      </c>
      <c r="U2275" t="s">
        <v>1972</v>
      </c>
      <c r="V2275" t="s">
        <v>2832</v>
      </c>
    </row>
    <row r="2276" spans="1:22" ht="15.75" thickBot="1" x14ac:dyDescent="0.3">
      <c r="A2276" t="s">
        <v>4693</v>
      </c>
      <c r="B2276" t="s">
        <v>4693</v>
      </c>
      <c r="C2276" t="s">
        <v>4693</v>
      </c>
      <c r="D2276" t="s">
        <v>629</v>
      </c>
      <c r="E2276" s="259" t="s">
        <v>1970</v>
      </c>
      <c r="F2276" t="s">
        <v>620</v>
      </c>
      <c r="G2276" s="89">
        <v>2021</v>
      </c>
      <c r="H2276" s="341" t="s">
        <v>733</v>
      </c>
      <c r="I2276" s="337" t="str">
        <f t="shared" si="96"/>
        <v>Pesado de Passageiros M3: I : Gasóleo : E6</v>
      </c>
      <c r="J2276" s="125">
        <v>108</v>
      </c>
      <c r="K2276" s="264">
        <v>2022</v>
      </c>
      <c r="L2276" s="85">
        <v>17675.610000000004</v>
      </c>
      <c r="M2276" s="85" t="s">
        <v>630</v>
      </c>
      <c r="N2276" s="128">
        <v>48532.375</v>
      </c>
      <c r="O2276" s="128">
        <f t="shared" si="97"/>
        <v>5241496.5</v>
      </c>
      <c r="P2276" s="89">
        <v>1124</v>
      </c>
      <c r="Q2276" t="s">
        <v>47</v>
      </c>
      <c r="R2276" s="220" t="s">
        <v>1888</v>
      </c>
      <c r="S2276" s="220" t="s">
        <v>1861</v>
      </c>
      <c r="U2276" t="s">
        <v>1972</v>
      </c>
      <c r="V2276" t="s">
        <v>2832</v>
      </c>
    </row>
    <row r="2277" spans="1:22" ht="15.75" thickBot="1" x14ac:dyDescent="0.3">
      <c r="A2277" t="s">
        <v>4693</v>
      </c>
      <c r="B2277" t="s">
        <v>4693</v>
      </c>
      <c r="C2277" t="s">
        <v>4693</v>
      </c>
      <c r="D2277" t="s">
        <v>629</v>
      </c>
      <c r="E2277" s="259" t="s">
        <v>1970</v>
      </c>
      <c r="F2277" t="s">
        <v>620</v>
      </c>
      <c r="G2277" s="89">
        <v>2021</v>
      </c>
      <c r="H2277" s="341" t="s">
        <v>733</v>
      </c>
      <c r="I2277" s="337" t="str">
        <f t="shared" si="96"/>
        <v>Pesado de Passageiros M3: I : Gasóleo : E6</v>
      </c>
      <c r="J2277" s="125">
        <v>108</v>
      </c>
      <c r="K2277" s="264">
        <v>2022</v>
      </c>
      <c r="L2277" s="85">
        <v>21138.780000000002</v>
      </c>
      <c r="M2277" s="85" t="s">
        <v>630</v>
      </c>
      <c r="N2277" s="128">
        <v>55263.375</v>
      </c>
      <c r="O2277" s="128">
        <f t="shared" si="97"/>
        <v>5968444.5</v>
      </c>
      <c r="P2277" s="89">
        <v>1125</v>
      </c>
      <c r="Q2277" t="s">
        <v>47</v>
      </c>
      <c r="R2277" s="220" t="s">
        <v>1888</v>
      </c>
      <c r="S2277" s="220" t="s">
        <v>1861</v>
      </c>
      <c r="U2277" t="s">
        <v>1972</v>
      </c>
      <c r="V2277" t="s">
        <v>2832</v>
      </c>
    </row>
    <row r="2278" spans="1:22" ht="15.75" thickBot="1" x14ac:dyDescent="0.3">
      <c r="A2278" t="s">
        <v>4693</v>
      </c>
      <c r="B2278" t="s">
        <v>4693</v>
      </c>
      <c r="C2278" t="s">
        <v>4693</v>
      </c>
      <c r="D2278" t="s">
        <v>629</v>
      </c>
      <c r="E2278" s="259" t="s">
        <v>1970</v>
      </c>
      <c r="F2278" t="s">
        <v>620</v>
      </c>
      <c r="G2278" s="89">
        <v>2021</v>
      </c>
      <c r="H2278" s="341" t="s">
        <v>733</v>
      </c>
      <c r="I2278" s="337" t="str">
        <f t="shared" si="96"/>
        <v>Pesado de Passageiros M3: I : Gasóleo : E6</v>
      </c>
      <c r="J2278" s="125">
        <v>108</v>
      </c>
      <c r="K2278" s="264">
        <v>2022</v>
      </c>
      <c r="L2278" s="85">
        <v>20152.450000000004</v>
      </c>
      <c r="M2278" s="85" t="s">
        <v>630</v>
      </c>
      <c r="N2278" s="128">
        <v>53335.375</v>
      </c>
      <c r="O2278" s="128">
        <f t="shared" si="97"/>
        <v>5760220.5</v>
      </c>
      <c r="P2278" s="89">
        <v>1126</v>
      </c>
      <c r="Q2278" t="s">
        <v>47</v>
      </c>
      <c r="R2278" s="220" t="s">
        <v>1888</v>
      </c>
      <c r="S2278" s="220" t="s">
        <v>1861</v>
      </c>
      <c r="U2278" t="s">
        <v>1972</v>
      </c>
      <c r="V2278" t="s">
        <v>2832</v>
      </c>
    </row>
    <row r="2279" spans="1:22" ht="15.75" thickBot="1" x14ac:dyDescent="0.3">
      <c r="A2279" t="s">
        <v>4693</v>
      </c>
      <c r="B2279" t="s">
        <v>4693</v>
      </c>
      <c r="C2279" t="s">
        <v>4693</v>
      </c>
      <c r="D2279" t="s">
        <v>629</v>
      </c>
      <c r="E2279" s="259" t="s">
        <v>1970</v>
      </c>
      <c r="F2279" t="s">
        <v>620</v>
      </c>
      <c r="G2279" s="89">
        <v>2021</v>
      </c>
      <c r="H2279" s="341" t="s">
        <v>733</v>
      </c>
      <c r="I2279" s="337" t="str">
        <f t="shared" si="96"/>
        <v>Pesado de Passageiros M3: I : Gasóleo : E6</v>
      </c>
      <c r="J2279" s="125">
        <v>108</v>
      </c>
      <c r="K2279" s="264">
        <v>2022</v>
      </c>
      <c r="L2279" s="85">
        <v>16748.229999999996</v>
      </c>
      <c r="M2279" s="85" t="s">
        <v>630</v>
      </c>
      <c r="N2279" s="128">
        <v>43939.375</v>
      </c>
      <c r="O2279" s="128">
        <f t="shared" si="97"/>
        <v>4745452.5</v>
      </c>
      <c r="P2279" s="89">
        <v>1127</v>
      </c>
      <c r="Q2279" t="s">
        <v>47</v>
      </c>
      <c r="R2279" s="220" t="s">
        <v>1888</v>
      </c>
      <c r="S2279" s="220" t="s">
        <v>1861</v>
      </c>
      <c r="U2279" t="s">
        <v>1972</v>
      </c>
      <c r="V2279" t="s">
        <v>2832</v>
      </c>
    </row>
    <row r="2280" spans="1:22" ht="15.75" thickBot="1" x14ac:dyDescent="0.3">
      <c r="A2280" t="s">
        <v>4693</v>
      </c>
      <c r="B2280" t="s">
        <v>4693</v>
      </c>
      <c r="C2280" t="s">
        <v>4693</v>
      </c>
      <c r="D2280" t="s">
        <v>629</v>
      </c>
      <c r="E2280" s="259" t="s">
        <v>1970</v>
      </c>
      <c r="F2280" t="s">
        <v>620</v>
      </c>
      <c r="G2280" s="89">
        <v>2021</v>
      </c>
      <c r="H2280" s="341" t="s">
        <v>733</v>
      </c>
      <c r="I2280" s="337" t="str">
        <f t="shared" si="96"/>
        <v>Pesado de Passageiros M3: I : Gasóleo : E6</v>
      </c>
      <c r="J2280" s="125">
        <v>108</v>
      </c>
      <c r="K2280" s="264">
        <v>2022</v>
      </c>
      <c r="L2280" s="85">
        <v>14345.97999999999</v>
      </c>
      <c r="M2280" s="85" t="s">
        <v>630</v>
      </c>
      <c r="N2280" s="128">
        <v>38920.375</v>
      </c>
      <c r="O2280" s="128">
        <f t="shared" si="97"/>
        <v>4203400.5</v>
      </c>
      <c r="P2280" s="89">
        <v>1128</v>
      </c>
      <c r="Q2280" t="s">
        <v>47</v>
      </c>
      <c r="R2280" s="220" t="s">
        <v>1888</v>
      </c>
      <c r="S2280" s="220" t="s">
        <v>1861</v>
      </c>
      <c r="U2280" t="s">
        <v>1972</v>
      </c>
      <c r="V2280" t="s">
        <v>2832</v>
      </c>
    </row>
    <row r="2281" spans="1:22" ht="15.75" thickBot="1" x14ac:dyDescent="0.3">
      <c r="A2281" t="s">
        <v>4693</v>
      </c>
      <c r="B2281" t="s">
        <v>4693</v>
      </c>
      <c r="C2281" t="s">
        <v>4693</v>
      </c>
      <c r="D2281" t="s">
        <v>629</v>
      </c>
      <c r="E2281" s="259" t="s">
        <v>1970</v>
      </c>
      <c r="F2281" t="s">
        <v>620</v>
      </c>
      <c r="G2281" s="89">
        <v>2021</v>
      </c>
      <c r="H2281" s="341" t="s">
        <v>733</v>
      </c>
      <c r="I2281" s="337" t="str">
        <f t="shared" si="96"/>
        <v>Pesado de Passageiros M3: I : Gasóleo : E6</v>
      </c>
      <c r="J2281" s="125">
        <v>108</v>
      </c>
      <c r="K2281" s="264">
        <v>2022</v>
      </c>
      <c r="L2281" s="85">
        <v>20287.650000000005</v>
      </c>
      <c r="M2281" s="85" t="s">
        <v>630</v>
      </c>
      <c r="N2281" s="128">
        <v>54788.375</v>
      </c>
      <c r="O2281" s="128">
        <f t="shared" si="97"/>
        <v>5917144.5</v>
      </c>
      <c r="P2281" s="89">
        <v>1129</v>
      </c>
      <c r="Q2281" t="s">
        <v>47</v>
      </c>
      <c r="R2281" s="220" t="s">
        <v>1888</v>
      </c>
      <c r="S2281" s="220" t="s">
        <v>1861</v>
      </c>
      <c r="U2281" t="s">
        <v>1972</v>
      </c>
      <c r="V2281" t="s">
        <v>2832</v>
      </c>
    </row>
    <row r="2282" spans="1:22" ht="15.75" thickBot="1" x14ac:dyDescent="0.3">
      <c r="A2282" t="s">
        <v>4693</v>
      </c>
      <c r="B2282" t="s">
        <v>4693</v>
      </c>
      <c r="C2282" t="s">
        <v>4693</v>
      </c>
      <c r="D2282" t="s">
        <v>629</v>
      </c>
      <c r="E2282" s="259" t="s">
        <v>1970</v>
      </c>
      <c r="F2282" t="s">
        <v>620</v>
      </c>
      <c r="G2282" s="89">
        <v>2021</v>
      </c>
      <c r="H2282" s="341" t="s">
        <v>733</v>
      </c>
      <c r="I2282" s="337" t="str">
        <f t="shared" si="96"/>
        <v>Pesado de Passageiros M3: I : Gasóleo : E6</v>
      </c>
      <c r="J2282" s="125">
        <v>108</v>
      </c>
      <c r="K2282" s="264">
        <v>2022</v>
      </c>
      <c r="L2282" s="85">
        <v>20295.569999999996</v>
      </c>
      <c r="M2282" s="85" t="s">
        <v>630</v>
      </c>
      <c r="N2282" s="128">
        <v>52565.375</v>
      </c>
      <c r="O2282" s="128">
        <f t="shared" si="97"/>
        <v>5677060.5</v>
      </c>
      <c r="P2282" s="89">
        <v>1130</v>
      </c>
      <c r="Q2282" t="s">
        <v>47</v>
      </c>
      <c r="R2282" s="220" t="s">
        <v>1888</v>
      </c>
      <c r="S2282" s="220" t="s">
        <v>1861</v>
      </c>
      <c r="U2282" t="s">
        <v>1972</v>
      </c>
      <c r="V2282" t="s">
        <v>2832</v>
      </c>
    </row>
    <row r="2283" spans="1:22" ht="15.75" thickBot="1" x14ac:dyDescent="0.3">
      <c r="A2283" t="s">
        <v>4693</v>
      </c>
      <c r="B2283" t="s">
        <v>4693</v>
      </c>
      <c r="C2283" t="s">
        <v>4693</v>
      </c>
      <c r="D2283" t="s">
        <v>629</v>
      </c>
      <c r="E2283" s="259" t="s">
        <v>1970</v>
      </c>
      <c r="F2283" t="s">
        <v>620</v>
      </c>
      <c r="G2283" s="89">
        <v>2021</v>
      </c>
      <c r="H2283" s="341" t="s">
        <v>733</v>
      </c>
      <c r="I2283" s="337" t="str">
        <f t="shared" si="96"/>
        <v>Pesado de Passageiros M3: I : Gasóleo : E6</v>
      </c>
      <c r="J2283" s="125">
        <v>108</v>
      </c>
      <c r="K2283" s="264">
        <v>2022</v>
      </c>
      <c r="L2283" s="85">
        <v>21704.809999999998</v>
      </c>
      <c r="M2283" s="85" t="s">
        <v>630</v>
      </c>
      <c r="N2283" s="128">
        <v>55040.375</v>
      </c>
      <c r="O2283" s="128">
        <f t="shared" si="97"/>
        <v>5944360.5</v>
      </c>
      <c r="P2283" s="89">
        <v>1131</v>
      </c>
      <c r="Q2283" t="s">
        <v>47</v>
      </c>
      <c r="R2283" s="220" t="s">
        <v>1888</v>
      </c>
      <c r="S2283" s="220" t="s">
        <v>1861</v>
      </c>
      <c r="U2283" t="s">
        <v>1972</v>
      </c>
      <c r="V2283" t="s">
        <v>2832</v>
      </c>
    </row>
    <row r="2284" spans="1:22" ht="15.75" thickBot="1" x14ac:dyDescent="0.3">
      <c r="A2284" t="s">
        <v>4693</v>
      </c>
      <c r="B2284" t="s">
        <v>4693</v>
      </c>
      <c r="C2284" t="s">
        <v>4693</v>
      </c>
      <c r="D2284" t="s">
        <v>629</v>
      </c>
      <c r="E2284" s="259" t="s">
        <v>1970</v>
      </c>
      <c r="F2284" t="s">
        <v>620</v>
      </c>
      <c r="G2284" s="89">
        <v>2021</v>
      </c>
      <c r="H2284" s="341" t="s">
        <v>733</v>
      </c>
      <c r="I2284" s="337" t="str">
        <f t="shared" si="96"/>
        <v>Pesado de Passageiros M3: I : Gasóleo : E6</v>
      </c>
      <c r="J2284" s="125">
        <v>108</v>
      </c>
      <c r="K2284" s="264">
        <v>2022</v>
      </c>
      <c r="L2284" s="85">
        <v>19044.560000000005</v>
      </c>
      <c r="M2284" s="85" t="s">
        <v>630</v>
      </c>
      <c r="N2284" s="128">
        <v>48934.375</v>
      </c>
      <c r="O2284" s="128">
        <f t="shared" si="97"/>
        <v>5284912.5</v>
      </c>
      <c r="P2284" s="89">
        <v>1132</v>
      </c>
      <c r="Q2284" t="s">
        <v>47</v>
      </c>
      <c r="R2284" s="220" t="s">
        <v>1888</v>
      </c>
      <c r="S2284" s="220" t="s">
        <v>1861</v>
      </c>
      <c r="U2284" t="s">
        <v>1972</v>
      </c>
      <c r="V2284" t="s">
        <v>2832</v>
      </c>
    </row>
    <row r="2285" spans="1:22" ht="15.75" thickBot="1" x14ac:dyDescent="0.3">
      <c r="A2285" t="s">
        <v>4693</v>
      </c>
      <c r="B2285" t="s">
        <v>4693</v>
      </c>
      <c r="C2285" t="s">
        <v>4693</v>
      </c>
      <c r="D2285" t="s">
        <v>629</v>
      </c>
      <c r="E2285" s="259" t="s">
        <v>1970</v>
      </c>
      <c r="F2285" t="s">
        <v>620</v>
      </c>
      <c r="G2285" s="89">
        <v>2022</v>
      </c>
      <c r="H2285" s="341" t="s">
        <v>733</v>
      </c>
      <c r="I2285" s="337" t="str">
        <f t="shared" si="96"/>
        <v>Pesado de Passageiros M3: I : Gasóleo : E6</v>
      </c>
      <c r="J2285" s="125">
        <v>108</v>
      </c>
      <c r="K2285" s="264">
        <v>2022</v>
      </c>
      <c r="L2285" s="85">
        <v>20433.45</v>
      </c>
      <c r="M2285" s="85" t="s">
        <v>630</v>
      </c>
      <c r="N2285" s="128">
        <v>51230.375</v>
      </c>
      <c r="O2285" s="128">
        <f t="shared" si="97"/>
        <v>5532880.5</v>
      </c>
      <c r="P2285" s="89">
        <v>1135</v>
      </c>
      <c r="Q2285" t="s">
        <v>47</v>
      </c>
      <c r="R2285" s="220" t="s">
        <v>1888</v>
      </c>
      <c r="S2285" s="220" t="s">
        <v>1861</v>
      </c>
      <c r="U2285" t="s">
        <v>1972</v>
      </c>
      <c r="V2285" t="s">
        <v>2832</v>
      </c>
    </row>
    <row r="2286" spans="1:22" ht="15.75" thickBot="1" x14ac:dyDescent="0.3">
      <c r="A2286" t="s">
        <v>4693</v>
      </c>
      <c r="B2286" t="s">
        <v>4693</v>
      </c>
      <c r="C2286" t="s">
        <v>4693</v>
      </c>
      <c r="D2286" t="s">
        <v>629</v>
      </c>
      <c r="E2286" s="259" t="s">
        <v>1970</v>
      </c>
      <c r="F2286" t="s">
        <v>620</v>
      </c>
      <c r="G2286" s="89">
        <v>2022</v>
      </c>
      <c r="H2286" s="341" t="s">
        <v>733</v>
      </c>
      <c r="I2286" s="337" t="str">
        <f t="shared" si="96"/>
        <v>Pesado de Passageiros M3: I : Gasóleo : E6</v>
      </c>
      <c r="J2286" s="125">
        <v>108</v>
      </c>
      <c r="K2286" s="264">
        <v>2022</v>
      </c>
      <c r="L2286" s="85">
        <v>18572.059999999998</v>
      </c>
      <c r="M2286" s="85" t="s">
        <v>630</v>
      </c>
      <c r="N2286" s="128">
        <v>46046.375</v>
      </c>
      <c r="O2286" s="128">
        <f t="shared" si="97"/>
        <v>4973008.5</v>
      </c>
      <c r="P2286" s="89">
        <v>1136</v>
      </c>
      <c r="Q2286" t="s">
        <v>47</v>
      </c>
      <c r="R2286" s="220" t="s">
        <v>1888</v>
      </c>
      <c r="S2286" s="220" t="s">
        <v>1861</v>
      </c>
      <c r="U2286" t="s">
        <v>1972</v>
      </c>
      <c r="V2286" t="s">
        <v>2832</v>
      </c>
    </row>
    <row r="2287" spans="1:22" ht="15.75" thickBot="1" x14ac:dyDescent="0.3">
      <c r="A2287" t="s">
        <v>4693</v>
      </c>
      <c r="B2287" t="s">
        <v>4693</v>
      </c>
      <c r="C2287" t="s">
        <v>4693</v>
      </c>
      <c r="D2287" t="s">
        <v>629</v>
      </c>
      <c r="E2287" s="259" t="s">
        <v>1970</v>
      </c>
      <c r="F2287" t="s">
        <v>620</v>
      </c>
      <c r="G2287" s="89">
        <v>2022</v>
      </c>
      <c r="H2287" s="341" t="s">
        <v>733</v>
      </c>
      <c r="I2287" s="337" t="str">
        <f t="shared" si="96"/>
        <v>Pesado de Passageiros M3: I : Gasóleo : E6</v>
      </c>
      <c r="J2287" s="125">
        <v>108</v>
      </c>
      <c r="K2287" s="264">
        <v>2022</v>
      </c>
      <c r="L2287" s="85">
        <v>13284.849999999999</v>
      </c>
      <c r="M2287" s="85" t="s">
        <v>630</v>
      </c>
      <c r="N2287" s="128">
        <v>33878.375</v>
      </c>
      <c r="O2287" s="128">
        <f t="shared" si="97"/>
        <v>3658864.5</v>
      </c>
      <c r="P2287" s="89">
        <v>1137</v>
      </c>
      <c r="Q2287" t="s">
        <v>47</v>
      </c>
      <c r="R2287" s="220" t="s">
        <v>1888</v>
      </c>
      <c r="S2287" s="220" t="s">
        <v>1861</v>
      </c>
      <c r="U2287" t="s">
        <v>1972</v>
      </c>
      <c r="V2287" t="s">
        <v>2832</v>
      </c>
    </row>
    <row r="2288" spans="1:22" ht="15.75" thickBot="1" x14ac:dyDescent="0.3">
      <c r="A2288" t="s">
        <v>4693</v>
      </c>
      <c r="B2288" t="s">
        <v>4693</v>
      </c>
      <c r="C2288" t="s">
        <v>4693</v>
      </c>
      <c r="D2288" t="s">
        <v>629</v>
      </c>
      <c r="E2288" s="259" t="s">
        <v>1970</v>
      </c>
      <c r="F2288" t="s">
        <v>620</v>
      </c>
      <c r="G2288" s="89">
        <v>2022</v>
      </c>
      <c r="H2288" s="341" t="s">
        <v>733</v>
      </c>
      <c r="I2288" s="337" t="str">
        <f t="shared" si="96"/>
        <v>Pesado de Passageiros M3: I : Gasóleo : E6</v>
      </c>
      <c r="J2288" s="125">
        <v>108</v>
      </c>
      <c r="K2288" s="264">
        <v>2022</v>
      </c>
      <c r="L2288" s="85">
        <v>20533.14</v>
      </c>
      <c r="M2288" s="85" t="s">
        <v>630</v>
      </c>
      <c r="N2288" s="128">
        <v>51172.375</v>
      </c>
      <c r="O2288" s="128">
        <f t="shared" si="97"/>
        <v>5526616.5</v>
      </c>
      <c r="P2288" s="89">
        <v>1138</v>
      </c>
      <c r="Q2288" t="s">
        <v>47</v>
      </c>
      <c r="R2288" s="220" t="s">
        <v>1888</v>
      </c>
      <c r="S2288" s="220" t="s">
        <v>1861</v>
      </c>
      <c r="U2288" t="s">
        <v>1972</v>
      </c>
      <c r="V2288" t="s">
        <v>2832</v>
      </c>
    </row>
    <row r="2289" spans="1:22" ht="15.75" thickBot="1" x14ac:dyDescent="0.3">
      <c r="A2289" t="s">
        <v>4693</v>
      </c>
      <c r="B2289" t="s">
        <v>4693</v>
      </c>
      <c r="C2289" t="s">
        <v>4693</v>
      </c>
      <c r="D2289" t="s">
        <v>629</v>
      </c>
      <c r="E2289" s="259" t="s">
        <v>1970</v>
      </c>
      <c r="F2289" t="s">
        <v>620</v>
      </c>
      <c r="G2289" s="89">
        <v>2022</v>
      </c>
      <c r="H2289" s="341" t="s">
        <v>733</v>
      </c>
      <c r="I2289" s="337" t="str">
        <f t="shared" si="96"/>
        <v>Pesado de Passageiros M3: I : Gasóleo : E6</v>
      </c>
      <c r="J2289" s="125">
        <v>108</v>
      </c>
      <c r="K2289" s="264">
        <v>2022</v>
      </c>
      <c r="L2289" s="85">
        <v>19051.859999999997</v>
      </c>
      <c r="M2289" s="85" t="s">
        <v>630</v>
      </c>
      <c r="N2289" s="128">
        <v>49916.375</v>
      </c>
      <c r="O2289" s="128">
        <f t="shared" si="97"/>
        <v>5390968.5</v>
      </c>
      <c r="P2289" s="89">
        <v>1139</v>
      </c>
      <c r="Q2289" t="s">
        <v>47</v>
      </c>
      <c r="R2289" s="220" t="s">
        <v>1888</v>
      </c>
      <c r="S2289" s="220" t="s">
        <v>1861</v>
      </c>
      <c r="U2289" t="s">
        <v>1972</v>
      </c>
      <c r="V2289" t="s">
        <v>2832</v>
      </c>
    </row>
    <row r="2290" spans="1:22" ht="15.75" thickBot="1" x14ac:dyDescent="0.3">
      <c r="A2290" t="s">
        <v>4693</v>
      </c>
      <c r="B2290" t="s">
        <v>4693</v>
      </c>
      <c r="C2290" t="s">
        <v>4693</v>
      </c>
      <c r="D2290" t="s">
        <v>629</v>
      </c>
      <c r="E2290" s="259" t="s">
        <v>1970</v>
      </c>
      <c r="F2290" t="s">
        <v>620</v>
      </c>
      <c r="G2290" s="89">
        <v>2022</v>
      </c>
      <c r="H2290" s="341" t="s">
        <v>733</v>
      </c>
      <c r="I2290" s="337" t="str">
        <f t="shared" si="96"/>
        <v>Pesado de Passageiros M3: I : Gasóleo : E6</v>
      </c>
      <c r="J2290" s="125">
        <v>108</v>
      </c>
      <c r="K2290" s="264">
        <v>2022</v>
      </c>
      <c r="L2290" s="85">
        <v>17780.61</v>
      </c>
      <c r="M2290" s="85" t="s">
        <v>630</v>
      </c>
      <c r="N2290" s="128">
        <v>45103.375</v>
      </c>
      <c r="O2290" s="128">
        <f t="shared" si="97"/>
        <v>4871164.5</v>
      </c>
      <c r="P2290" s="89">
        <v>1140</v>
      </c>
      <c r="Q2290" t="s">
        <v>47</v>
      </c>
      <c r="R2290" s="220" t="s">
        <v>1888</v>
      </c>
      <c r="S2290" s="220" t="s">
        <v>1861</v>
      </c>
      <c r="U2290" t="s">
        <v>1972</v>
      </c>
      <c r="V2290" t="s">
        <v>2832</v>
      </c>
    </row>
    <row r="2291" spans="1:22" ht="15.75" thickBot="1" x14ac:dyDescent="0.3">
      <c r="A2291" t="s">
        <v>4693</v>
      </c>
      <c r="B2291" t="s">
        <v>4693</v>
      </c>
      <c r="C2291" t="s">
        <v>4693</v>
      </c>
      <c r="D2291" t="s">
        <v>629</v>
      </c>
      <c r="E2291" s="259" t="s">
        <v>1970</v>
      </c>
      <c r="F2291" t="s">
        <v>620</v>
      </c>
      <c r="G2291" s="89">
        <v>2022</v>
      </c>
      <c r="H2291" s="341" t="s">
        <v>733</v>
      </c>
      <c r="I2291" s="337" t="str">
        <f t="shared" si="96"/>
        <v>Pesado de Passageiros M3: I : Gasóleo : E6</v>
      </c>
      <c r="J2291" s="125">
        <v>108</v>
      </c>
      <c r="K2291" s="264">
        <v>2022</v>
      </c>
      <c r="L2291" s="85">
        <v>20781.419999999984</v>
      </c>
      <c r="M2291" s="85" t="s">
        <v>630</v>
      </c>
      <c r="N2291" s="128">
        <v>53968.375</v>
      </c>
      <c r="O2291" s="128">
        <f t="shared" si="97"/>
        <v>5828584.5</v>
      </c>
      <c r="P2291" s="89">
        <v>1141</v>
      </c>
      <c r="Q2291" t="s">
        <v>47</v>
      </c>
      <c r="R2291" s="220" t="s">
        <v>1888</v>
      </c>
      <c r="S2291" s="220" t="s">
        <v>1861</v>
      </c>
      <c r="U2291" t="s">
        <v>1972</v>
      </c>
      <c r="V2291" t="s">
        <v>2832</v>
      </c>
    </row>
    <row r="2292" spans="1:22" ht="15.75" thickBot="1" x14ac:dyDescent="0.3">
      <c r="A2292" t="s">
        <v>4693</v>
      </c>
      <c r="B2292" t="s">
        <v>4693</v>
      </c>
      <c r="C2292" t="s">
        <v>4693</v>
      </c>
      <c r="D2292" t="s">
        <v>629</v>
      </c>
      <c r="E2292" s="259" t="s">
        <v>1970</v>
      </c>
      <c r="F2292" t="s">
        <v>620</v>
      </c>
      <c r="G2292" s="89">
        <v>2022</v>
      </c>
      <c r="H2292" s="341" t="s">
        <v>733</v>
      </c>
      <c r="I2292" s="337" t="str">
        <f t="shared" si="96"/>
        <v>Pesado de Passageiros M3: I : Gasóleo : E6</v>
      </c>
      <c r="J2292" s="125">
        <v>108</v>
      </c>
      <c r="K2292" s="264">
        <v>2022</v>
      </c>
      <c r="L2292" s="85">
        <v>18871.390000000014</v>
      </c>
      <c r="M2292" s="85" t="s">
        <v>630</v>
      </c>
      <c r="N2292" s="128">
        <v>48043.375</v>
      </c>
      <c r="O2292" s="128">
        <f t="shared" si="97"/>
        <v>5188684.5</v>
      </c>
      <c r="P2292" s="89">
        <v>1142</v>
      </c>
      <c r="Q2292" t="s">
        <v>47</v>
      </c>
      <c r="R2292" s="220" t="s">
        <v>1888</v>
      </c>
      <c r="S2292" s="220" t="s">
        <v>1861</v>
      </c>
      <c r="U2292" t="s">
        <v>1972</v>
      </c>
      <c r="V2292" t="s">
        <v>2832</v>
      </c>
    </row>
    <row r="2293" spans="1:22" ht="15.75" thickBot="1" x14ac:dyDescent="0.3">
      <c r="A2293" t="s">
        <v>4693</v>
      </c>
      <c r="B2293" t="s">
        <v>4693</v>
      </c>
      <c r="C2293" t="s">
        <v>4693</v>
      </c>
      <c r="D2293" t="s">
        <v>629</v>
      </c>
      <c r="E2293" s="259" t="s">
        <v>1970</v>
      </c>
      <c r="F2293" t="s">
        <v>620</v>
      </c>
      <c r="G2293" s="89">
        <v>2022</v>
      </c>
      <c r="H2293" s="341" t="s">
        <v>733</v>
      </c>
      <c r="I2293" s="337" t="str">
        <f t="shared" si="96"/>
        <v>Pesado de Passageiros M3: I : Gasóleo : E6</v>
      </c>
      <c r="J2293" s="125">
        <v>108</v>
      </c>
      <c r="K2293" s="264">
        <v>2022</v>
      </c>
      <c r="L2293" s="85">
        <v>19874.179999999993</v>
      </c>
      <c r="M2293" s="85" t="s">
        <v>630</v>
      </c>
      <c r="N2293" s="128">
        <v>49054.375</v>
      </c>
      <c r="O2293" s="128">
        <f t="shared" si="97"/>
        <v>5297872.5</v>
      </c>
      <c r="P2293" s="89">
        <v>1143</v>
      </c>
      <c r="Q2293" t="s">
        <v>47</v>
      </c>
      <c r="R2293" s="220" t="s">
        <v>1888</v>
      </c>
      <c r="S2293" s="220" t="s">
        <v>1861</v>
      </c>
      <c r="U2293" t="s">
        <v>1972</v>
      </c>
      <c r="V2293" t="s">
        <v>2832</v>
      </c>
    </row>
    <row r="2294" spans="1:22" ht="15.75" thickBot="1" x14ac:dyDescent="0.3">
      <c r="A2294" t="s">
        <v>4693</v>
      </c>
      <c r="B2294" t="s">
        <v>4693</v>
      </c>
      <c r="C2294" t="s">
        <v>4693</v>
      </c>
      <c r="D2294" t="s">
        <v>629</v>
      </c>
      <c r="E2294" s="259" t="s">
        <v>1970</v>
      </c>
      <c r="F2294" t="s">
        <v>620</v>
      </c>
      <c r="G2294" s="89">
        <v>2022</v>
      </c>
      <c r="H2294" s="341" t="s">
        <v>733</v>
      </c>
      <c r="I2294" s="337" t="str">
        <f t="shared" si="96"/>
        <v>Pesado de Passageiros M3: I : Gasóleo : E6</v>
      </c>
      <c r="J2294" s="125">
        <v>108</v>
      </c>
      <c r="K2294" s="264">
        <v>2022</v>
      </c>
      <c r="L2294" s="85">
        <v>17986.480000000003</v>
      </c>
      <c r="M2294" s="85" t="s">
        <v>630</v>
      </c>
      <c r="N2294" s="128">
        <v>44174.375</v>
      </c>
      <c r="O2294" s="128">
        <f t="shared" si="97"/>
        <v>4770832.5</v>
      </c>
      <c r="P2294" s="89">
        <v>1144</v>
      </c>
      <c r="Q2294" t="s">
        <v>47</v>
      </c>
      <c r="R2294" s="220" t="s">
        <v>1888</v>
      </c>
      <c r="S2294" s="220" t="s">
        <v>1861</v>
      </c>
      <c r="U2294" t="s">
        <v>1972</v>
      </c>
      <c r="V2294" t="s">
        <v>2832</v>
      </c>
    </row>
    <row r="2295" spans="1:22" ht="15.75" thickBot="1" x14ac:dyDescent="0.3">
      <c r="A2295" t="s">
        <v>4693</v>
      </c>
      <c r="B2295" t="s">
        <v>4693</v>
      </c>
      <c r="C2295" t="s">
        <v>4693</v>
      </c>
      <c r="D2295" t="s">
        <v>629</v>
      </c>
      <c r="E2295" s="259" t="s">
        <v>1970</v>
      </c>
      <c r="F2295" t="s">
        <v>620</v>
      </c>
      <c r="G2295" s="89">
        <v>2022</v>
      </c>
      <c r="H2295" s="341" t="s">
        <v>733</v>
      </c>
      <c r="I2295" s="337" t="str">
        <f t="shared" si="96"/>
        <v>Pesado de Passageiros M3: I : Gasóleo : E6</v>
      </c>
      <c r="J2295" s="125">
        <v>108</v>
      </c>
      <c r="K2295" s="264">
        <v>2022</v>
      </c>
      <c r="L2295" s="85">
        <v>14813.360000000011</v>
      </c>
      <c r="M2295" s="85" t="s">
        <v>630</v>
      </c>
      <c r="N2295" s="128">
        <v>38788.375</v>
      </c>
      <c r="O2295" s="128">
        <f t="shared" si="97"/>
        <v>4189144.5</v>
      </c>
      <c r="P2295" s="89">
        <v>1145</v>
      </c>
      <c r="Q2295" t="s">
        <v>47</v>
      </c>
      <c r="R2295" s="220" t="s">
        <v>1888</v>
      </c>
      <c r="S2295" s="220" t="s">
        <v>1861</v>
      </c>
      <c r="U2295" t="s">
        <v>1972</v>
      </c>
      <c r="V2295" t="s">
        <v>2832</v>
      </c>
    </row>
    <row r="2296" spans="1:22" ht="15.75" thickBot="1" x14ac:dyDescent="0.3">
      <c r="A2296" t="s">
        <v>4693</v>
      </c>
      <c r="B2296" t="s">
        <v>4693</v>
      </c>
      <c r="C2296" t="s">
        <v>4693</v>
      </c>
      <c r="D2296" t="s">
        <v>629</v>
      </c>
      <c r="E2296" s="259" t="s">
        <v>1970</v>
      </c>
      <c r="F2296" t="s">
        <v>620</v>
      </c>
      <c r="G2296" s="89">
        <v>2022</v>
      </c>
      <c r="H2296" s="341" t="s">
        <v>733</v>
      </c>
      <c r="I2296" s="337" t="str">
        <f t="shared" si="96"/>
        <v>Pesado de Passageiros M3: I : Gasóleo : E6</v>
      </c>
      <c r="J2296" s="125">
        <v>108</v>
      </c>
      <c r="K2296" s="264">
        <v>2022</v>
      </c>
      <c r="L2296" s="85">
        <v>11487.450000000003</v>
      </c>
      <c r="M2296" s="85" t="s">
        <v>630</v>
      </c>
      <c r="N2296" s="128">
        <v>31020.375</v>
      </c>
      <c r="O2296" s="128">
        <f t="shared" si="97"/>
        <v>3350200.5</v>
      </c>
      <c r="P2296" s="89">
        <v>1146</v>
      </c>
      <c r="Q2296" t="s">
        <v>47</v>
      </c>
      <c r="R2296" s="220" t="s">
        <v>1888</v>
      </c>
      <c r="S2296" s="220" t="s">
        <v>1861</v>
      </c>
      <c r="U2296" t="s">
        <v>1972</v>
      </c>
      <c r="V2296" t="s">
        <v>2832</v>
      </c>
    </row>
    <row r="2297" spans="1:22" ht="15.75" thickBot="1" x14ac:dyDescent="0.3">
      <c r="A2297" t="s">
        <v>4693</v>
      </c>
      <c r="B2297" t="s">
        <v>4693</v>
      </c>
      <c r="C2297" t="s">
        <v>4693</v>
      </c>
      <c r="D2297" t="s">
        <v>629</v>
      </c>
      <c r="E2297" s="259" t="s">
        <v>1970</v>
      </c>
      <c r="F2297" t="s">
        <v>620</v>
      </c>
      <c r="G2297" s="89">
        <v>2022</v>
      </c>
      <c r="H2297" s="341" t="s">
        <v>733</v>
      </c>
      <c r="I2297" s="337" t="str">
        <f t="shared" si="96"/>
        <v>Pesado de Passageiros M3: I : Gasóleo : E6</v>
      </c>
      <c r="J2297" s="125">
        <v>108</v>
      </c>
      <c r="K2297" s="264">
        <v>2022</v>
      </c>
      <c r="L2297" s="85">
        <v>17296.63</v>
      </c>
      <c r="M2297" s="85" t="s">
        <v>630</v>
      </c>
      <c r="N2297" s="128">
        <v>43315.375</v>
      </c>
      <c r="O2297" s="128">
        <f t="shared" si="97"/>
        <v>4678060.5</v>
      </c>
      <c r="P2297" s="89">
        <v>1147</v>
      </c>
      <c r="Q2297" t="s">
        <v>47</v>
      </c>
      <c r="R2297" s="220" t="s">
        <v>1888</v>
      </c>
      <c r="S2297" s="220" t="s">
        <v>1861</v>
      </c>
      <c r="U2297" t="s">
        <v>1972</v>
      </c>
      <c r="V2297" t="s">
        <v>2832</v>
      </c>
    </row>
    <row r="2298" spans="1:22" ht="15.75" thickBot="1" x14ac:dyDescent="0.3">
      <c r="A2298" t="s">
        <v>4693</v>
      </c>
      <c r="B2298" t="s">
        <v>4693</v>
      </c>
      <c r="C2298" t="s">
        <v>4693</v>
      </c>
      <c r="D2298" t="s">
        <v>629</v>
      </c>
      <c r="E2298" s="259" t="s">
        <v>1970</v>
      </c>
      <c r="F2298" t="s">
        <v>620</v>
      </c>
      <c r="G2298" s="89">
        <v>2022</v>
      </c>
      <c r="H2298" s="341" t="s">
        <v>733</v>
      </c>
      <c r="I2298" s="337" t="str">
        <f t="shared" si="96"/>
        <v>Pesado de Passageiros M3: I : Gasóleo : E6</v>
      </c>
      <c r="J2298" s="125">
        <v>108</v>
      </c>
      <c r="K2298" s="264">
        <v>2022</v>
      </c>
      <c r="L2298" s="85">
        <v>18455.760000000006</v>
      </c>
      <c r="M2298" s="85" t="s">
        <v>630</v>
      </c>
      <c r="N2298" s="128">
        <v>46503.375</v>
      </c>
      <c r="O2298" s="128">
        <f t="shared" si="97"/>
        <v>5022364.5</v>
      </c>
      <c r="P2298" s="89">
        <v>1148</v>
      </c>
      <c r="Q2298" t="s">
        <v>47</v>
      </c>
      <c r="R2298" s="220" t="s">
        <v>1888</v>
      </c>
      <c r="S2298" s="220" t="s">
        <v>1861</v>
      </c>
      <c r="U2298" t="s">
        <v>1972</v>
      </c>
      <c r="V2298" t="s">
        <v>2832</v>
      </c>
    </row>
    <row r="2299" spans="1:22" ht="15.75" thickBot="1" x14ac:dyDescent="0.3">
      <c r="A2299" t="s">
        <v>4693</v>
      </c>
      <c r="B2299" t="s">
        <v>4693</v>
      </c>
      <c r="C2299" t="s">
        <v>4693</v>
      </c>
      <c r="D2299" t="s">
        <v>629</v>
      </c>
      <c r="E2299" s="259" t="s">
        <v>1970</v>
      </c>
      <c r="F2299" t="s">
        <v>620</v>
      </c>
      <c r="G2299" s="89">
        <v>2022</v>
      </c>
      <c r="H2299" s="341" t="s">
        <v>733</v>
      </c>
      <c r="I2299" s="337" t="str">
        <f t="shared" si="96"/>
        <v>Pesado de Passageiros M3: I : Gasóleo : E6</v>
      </c>
      <c r="J2299" s="125">
        <v>108</v>
      </c>
      <c r="K2299" s="264">
        <v>2022</v>
      </c>
      <c r="L2299" s="85">
        <v>19576.839999999986</v>
      </c>
      <c r="M2299" s="85" t="s">
        <v>630</v>
      </c>
      <c r="N2299" s="128">
        <v>49779.375</v>
      </c>
      <c r="O2299" s="128">
        <f t="shared" si="97"/>
        <v>5376172.5</v>
      </c>
      <c r="P2299" s="89">
        <v>1149</v>
      </c>
      <c r="Q2299" t="s">
        <v>47</v>
      </c>
      <c r="R2299" s="220" t="s">
        <v>1888</v>
      </c>
      <c r="S2299" s="220" t="s">
        <v>1861</v>
      </c>
      <c r="U2299" t="s">
        <v>1972</v>
      </c>
      <c r="V2299" t="s">
        <v>2832</v>
      </c>
    </row>
    <row r="2300" spans="1:22" ht="15.75" thickBot="1" x14ac:dyDescent="0.3">
      <c r="A2300" t="s">
        <v>4693</v>
      </c>
      <c r="B2300" t="s">
        <v>4693</v>
      </c>
      <c r="C2300" t="s">
        <v>4693</v>
      </c>
      <c r="D2300" t="s">
        <v>629</v>
      </c>
      <c r="E2300" s="259" t="s">
        <v>1970</v>
      </c>
      <c r="F2300" t="s">
        <v>620</v>
      </c>
      <c r="G2300" s="89">
        <v>2022</v>
      </c>
      <c r="H2300" s="341" t="s">
        <v>733</v>
      </c>
      <c r="I2300" s="337" t="str">
        <f t="shared" si="96"/>
        <v>Pesado de Passageiros M3: I : Gasóleo : E6</v>
      </c>
      <c r="J2300" s="125">
        <v>108</v>
      </c>
      <c r="K2300" s="264">
        <v>2022</v>
      </c>
      <c r="L2300" s="85">
        <v>14424.59</v>
      </c>
      <c r="M2300" s="85" t="s">
        <v>630</v>
      </c>
      <c r="N2300" s="128">
        <v>37276.375</v>
      </c>
      <c r="O2300" s="128">
        <f t="shared" si="97"/>
        <v>4025848.5</v>
      </c>
      <c r="P2300" s="89">
        <v>1150</v>
      </c>
      <c r="Q2300" t="s">
        <v>47</v>
      </c>
      <c r="R2300" s="220" t="s">
        <v>1888</v>
      </c>
      <c r="S2300" s="220" t="s">
        <v>1861</v>
      </c>
      <c r="U2300" t="s">
        <v>1972</v>
      </c>
      <c r="V2300" t="s">
        <v>2832</v>
      </c>
    </row>
    <row r="2301" spans="1:22" ht="15.75" thickBot="1" x14ac:dyDescent="0.3">
      <c r="A2301" t="s">
        <v>4693</v>
      </c>
      <c r="B2301" t="s">
        <v>4693</v>
      </c>
      <c r="C2301" t="s">
        <v>4693</v>
      </c>
      <c r="D2301" t="s">
        <v>629</v>
      </c>
      <c r="E2301" s="259" t="s">
        <v>1970</v>
      </c>
      <c r="F2301" t="s">
        <v>620</v>
      </c>
      <c r="G2301" s="89">
        <v>2022</v>
      </c>
      <c r="H2301" s="341" t="s">
        <v>733</v>
      </c>
      <c r="I2301" s="337" t="str">
        <f t="shared" si="96"/>
        <v>Pesado de Passageiros M3: I : Gasóleo : E6</v>
      </c>
      <c r="J2301" s="125">
        <v>108</v>
      </c>
      <c r="K2301" s="264">
        <v>2022</v>
      </c>
      <c r="L2301" s="85">
        <v>18586.339999999993</v>
      </c>
      <c r="M2301" s="85" t="s">
        <v>630</v>
      </c>
      <c r="N2301" s="128">
        <v>47102.375</v>
      </c>
      <c r="O2301" s="128">
        <f t="shared" si="97"/>
        <v>5087056.5</v>
      </c>
      <c r="P2301" s="89">
        <v>1151</v>
      </c>
      <c r="Q2301" t="s">
        <v>47</v>
      </c>
      <c r="R2301" s="220" t="s">
        <v>1888</v>
      </c>
      <c r="S2301" s="220" t="s">
        <v>1861</v>
      </c>
      <c r="U2301" t="s">
        <v>1972</v>
      </c>
      <c r="V2301" t="s">
        <v>2832</v>
      </c>
    </row>
    <row r="2302" spans="1:22" ht="15.75" thickBot="1" x14ac:dyDescent="0.3">
      <c r="A2302" t="s">
        <v>4693</v>
      </c>
      <c r="B2302" t="s">
        <v>4693</v>
      </c>
      <c r="C2302" t="s">
        <v>4693</v>
      </c>
      <c r="D2302" t="s">
        <v>629</v>
      </c>
      <c r="E2302" s="259" t="s">
        <v>1970</v>
      </c>
      <c r="F2302" t="s">
        <v>620</v>
      </c>
      <c r="G2302" s="89">
        <v>2022</v>
      </c>
      <c r="H2302" s="341" t="s">
        <v>733</v>
      </c>
      <c r="I2302" s="337" t="str">
        <f t="shared" si="96"/>
        <v>Pesado de Passageiros M3: I : Gasóleo : E6</v>
      </c>
      <c r="J2302" s="125">
        <v>108</v>
      </c>
      <c r="K2302" s="264">
        <v>2022</v>
      </c>
      <c r="L2302" s="85">
        <v>18855.450000000008</v>
      </c>
      <c r="M2302" s="85" t="s">
        <v>630</v>
      </c>
      <c r="N2302" s="128">
        <v>47064.375</v>
      </c>
      <c r="O2302" s="128">
        <f t="shared" si="97"/>
        <v>5082952.5</v>
      </c>
      <c r="P2302" s="89">
        <v>1152</v>
      </c>
      <c r="Q2302" t="s">
        <v>47</v>
      </c>
      <c r="R2302" s="220" t="s">
        <v>1888</v>
      </c>
      <c r="S2302" s="220" t="s">
        <v>1861</v>
      </c>
      <c r="U2302" t="s">
        <v>1972</v>
      </c>
      <c r="V2302" t="s">
        <v>2832</v>
      </c>
    </row>
    <row r="2303" spans="1:22" ht="15.75" thickBot="1" x14ac:dyDescent="0.3">
      <c r="A2303" t="s">
        <v>4693</v>
      </c>
      <c r="B2303" t="s">
        <v>4693</v>
      </c>
      <c r="C2303" t="s">
        <v>4693</v>
      </c>
      <c r="D2303" t="s">
        <v>629</v>
      </c>
      <c r="E2303" s="259" t="s">
        <v>1970</v>
      </c>
      <c r="F2303" t="s">
        <v>620</v>
      </c>
      <c r="G2303" s="89">
        <v>2022</v>
      </c>
      <c r="H2303" s="341" t="s">
        <v>733</v>
      </c>
      <c r="I2303" s="337" t="str">
        <f t="shared" si="96"/>
        <v>Pesado de Passageiros M3: I : Gasóleo : E6</v>
      </c>
      <c r="J2303" s="125">
        <v>108</v>
      </c>
      <c r="K2303" s="264">
        <v>2022</v>
      </c>
      <c r="L2303" s="85">
        <v>201.17</v>
      </c>
      <c r="M2303" s="85" t="s">
        <v>630</v>
      </c>
      <c r="N2303" s="128">
        <v>4651.375</v>
      </c>
      <c r="O2303" s="128">
        <f t="shared" si="97"/>
        <v>502348.5</v>
      </c>
      <c r="P2303" s="89">
        <v>1165</v>
      </c>
      <c r="Q2303" t="s">
        <v>47</v>
      </c>
      <c r="R2303" s="220" t="s">
        <v>1888</v>
      </c>
      <c r="S2303" s="220" t="s">
        <v>1861</v>
      </c>
      <c r="U2303" t="s">
        <v>1972</v>
      </c>
      <c r="V2303" t="s">
        <v>2832</v>
      </c>
    </row>
    <row r="2304" spans="1:22" ht="15.75" thickBot="1" x14ac:dyDescent="0.3">
      <c r="A2304" t="s">
        <v>4693</v>
      </c>
      <c r="B2304" t="s">
        <v>4693</v>
      </c>
      <c r="C2304" t="s">
        <v>4693</v>
      </c>
      <c r="D2304" t="s">
        <v>629</v>
      </c>
      <c r="E2304" s="259" t="s">
        <v>1970</v>
      </c>
      <c r="F2304" t="s">
        <v>620</v>
      </c>
      <c r="G2304" s="89">
        <v>2022</v>
      </c>
      <c r="H2304" s="341" t="s">
        <v>733</v>
      </c>
      <c r="I2304" s="337" t="str">
        <f t="shared" si="96"/>
        <v>Pesado de Passageiros M3: I : Gasóleo : E6</v>
      </c>
      <c r="J2304" s="125">
        <v>108</v>
      </c>
      <c r="K2304" s="264">
        <v>2022</v>
      </c>
      <c r="L2304" s="85">
        <v>399.48</v>
      </c>
      <c r="M2304" s="85" t="s">
        <v>630</v>
      </c>
      <c r="N2304" s="128">
        <v>5186.375</v>
      </c>
      <c r="O2304" s="128">
        <f t="shared" si="97"/>
        <v>560128.5</v>
      </c>
      <c r="P2304" s="89">
        <v>1176</v>
      </c>
      <c r="Q2304" t="s">
        <v>47</v>
      </c>
      <c r="R2304" s="220" t="s">
        <v>1888</v>
      </c>
      <c r="S2304" s="220" t="s">
        <v>1861</v>
      </c>
      <c r="U2304" t="s">
        <v>1972</v>
      </c>
      <c r="V2304" t="s">
        <v>2832</v>
      </c>
    </row>
    <row r="2305" spans="1:22" ht="15.75" thickBot="1" x14ac:dyDescent="0.3">
      <c r="A2305" t="s">
        <v>4693</v>
      </c>
      <c r="B2305" t="s">
        <v>4693</v>
      </c>
      <c r="C2305" t="s">
        <v>4693</v>
      </c>
      <c r="D2305" t="s">
        <v>629</v>
      </c>
      <c r="E2305" s="259" t="s">
        <v>1970</v>
      </c>
      <c r="F2305" t="s">
        <v>620</v>
      </c>
      <c r="G2305" s="89">
        <v>2022</v>
      </c>
      <c r="H2305" s="341" t="s">
        <v>733</v>
      </c>
      <c r="I2305" s="337" t="str">
        <f t="shared" si="96"/>
        <v>Pesado de Passageiros M3: I : Gasóleo : E6</v>
      </c>
      <c r="J2305" s="125">
        <v>108</v>
      </c>
      <c r="K2305" s="264">
        <v>2022</v>
      </c>
      <c r="L2305" s="85">
        <v>170.02</v>
      </c>
      <c r="M2305" s="85" t="s">
        <v>630</v>
      </c>
      <c r="N2305" s="128">
        <v>4567.375</v>
      </c>
      <c r="O2305" s="128">
        <f t="shared" si="97"/>
        <v>493276.5</v>
      </c>
      <c r="P2305" s="89">
        <v>1197</v>
      </c>
      <c r="Q2305" t="s">
        <v>47</v>
      </c>
      <c r="R2305" s="220" t="s">
        <v>1888</v>
      </c>
      <c r="S2305" s="220" t="s">
        <v>1861</v>
      </c>
      <c r="U2305" t="s">
        <v>1972</v>
      </c>
      <c r="V2305" t="s">
        <v>2832</v>
      </c>
    </row>
    <row r="2306" spans="1:22" ht="15.75" thickBot="1" x14ac:dyDescent="0.3">
      <c r="A2306" t="s">
        <v>4693</v>
      </c>
      <c r="B2306" t="s">
        <v>4693</v>
      </c>
      <c r="C2306" t="s">
        <v>4693</v>
      </c>
      <c r="D2306" t="s">
        <v>629</v>
      </c>
      <c r="E2306" s="259" t="s">
        <v>1970</v>
      </c>
      <c r="F2306" t="s">
        <v>620</v>
      </c>
      <c r="G2306" s="89">
        <v>2022</v>
      </c>
      <c r="H2306" s="341" t="s">
        <v>733</v>
      </c>
      <c r="I2306" s="337" t="str">
        <f t="shared" si="96"/>
        <v>Pesado de Passageiros M3: I : Gasóleo : E6</v>
      </c>
      <c r="J2306" s="125">
        <v>108</v>
      </c>
      <c r="K2306" s="264">
        <v>2022</v>
      </c>
      <c r="L2306" s="85">
        <v>169.25</v>
      </c>
      <c r="M2306" s="85" t="s">
        <v>630</v>
      </c>
      <c r="N2306" s="128">
        <v>4565.375</v>
      </c>
      <c r="O2306" s="128">
        <f t="shared" si="97"/>
        <v>493060.5</v>
      </c>
      <c r="P2306" s="89">
        <v>1205</v>
      </c>
      <c r="Q2306" t="s">
        <v>47</v>
      </c>
      <c r="R2306" s="220" t="s">
        <v>1888</v>
      </c>
      <c r="S2306" s="220" t="s">
        <v>1861</v>
      </c>
      <c r="U2306" t="s">
        <v>1972</v>
      </c>
      <c r="V2306" t="s">
        <v>2832</v>
      </c>
    </row>
    <row r="2307" spans="1:22" ht="15.75" thickBot="1" x14ac:dyDescent="0.3">
      <c r="A2307" t="s">
        <v>4693</v>
      </c>
      <c r="B2307" t="s">
        <v>4693</v>
      </c>
      <c r="C2307" t="s">
        <v>4693</v>
      </c>
      <c r="D2307" t="s">
        <v>629</v>
      </c>
      <c r="E2307" s="259" t="s">
        <v>1970</v>
      </c>
      <c r="F2307" t="s">
        <v>620</v>
      </c>
      <c r="G2307" s="89">
        <v>2022</v>
      </c>
      <c r="H2307" s="341" t="s">
        <v>733</v>
      </c>
      <c r="I2307" s="337" t="str">
        <f t="shared" si="96"/>
        <v>Pesado de Passageiros M3: I : Gasóleo : E6</v>
      </c>
      <c r="J2307" s="125">
        <v>108</v>
      </c>
      <c r="K2307" s="264">
        <v>2022</v>
      </c>
      <c r="L2307" s="85">
        <v>219.13</v>
      </c>
      <c r="M2307" s="85" t="s">
        <v>630</v>
      </c>
      <c r="N2307" s="128">
        <v>4700.375</v>
      </c>
      <c r="O2307" s="128">
        <f t="shared" si="97"/>
        <v>507640.5</v>
      </c>
      <c r="P2307" s="89">
        <v>1233</v>
      </c>
      <c r="Q2307" t="s">
        <v>47</v>
      </c>
      <c r="R2307" s="220" t="s">
        <v>1888</v>
      </c>
      <c r="S2307" s="220" t="s">
        <v>1861</v>
      </c>
      <c r="U2307" t="s">
        <v>1972</v>
      </c>
      <c r="V2307" t="s">
        <v>2832</v>
      </c>
    </row>
    <row r="2308" spans="1:22" ht="15.75" thickBot="1" x14ac:dyDescent="0.3">
      <c r="A2308" t="s">
        <v>4693</v>
      </c>
      <c r="B2308" t="s">
        <v>4693</v>
      </c>
      <c r="C2308" t="s">
        <v>4693</v>
      </c>
      <c r="D2308" t="s">
        <v>629</v>
      </c>
      <c r="E2308" s="259" t="s">
        <v>1970</v>
      </c>
      <c r="F2308" t="s">
        <v>620</v>
      </c>
      <c r="G2308" s="89">
        <v>2022</v>
      </c>
      <c r="H2308" s="341" t="s">
        <v>733</v>
      </c>
      <c r="I2308" s="337" t="str">
        <f t="shared" ref="I2308:I2371" si="98">D2308&amp;": "&amp;E2308&amp;" : "&amp;F2308&amp;" : "&amp;H2308</f>
        <v>Pesado de Passageiros M3: I : Gasóleo : E6</v>
      </c>
      <c r="J2308" s="125">
        <v>108</v>
      </c>
      <c r="K2308" s="264">
        <v>2022</v>
      </c>
      <c r="L2308" s="85">
        <v>8434.0300000000043</v>
      </c>
      <c r="M2308" s="85" t="s">
        <v>630</v>
      </c>
      <c r="N2308" s="128">
        <v>25323.375</v>
      </c>
      <c r="O2308" s="128">
        <f t="shared" ref="O2308:O2371" si="99">N2308*J2308</f>
        <v>2734924.5</v>
      </c>
      <c r="P2308" s="89">
        <v>1256</v>
      </c>
      <c r="Q2308" t="s">
        <v>47</v>
      </c>
      <c r="R2308" s="220" t="s">
        <v>1888</v>
      </c>
      <c r="S2308" s="220" t="s">
        <v>1861</v>
      </c>
      <c r="U2308" t="s">
        <v>1972</v>
      </c>
      <c r="V2308" t="s">
        <v>2832</v>
      </c>
    </row>
    <row r="2309" spans="1:22" ht="15.75" thickBot="1" x14ac:dyDescent="0.3">
      <c r="A2309" t="s">
        <v>4693</v>
      </c>
      <c r="B2309" t="s">
        <v>4693</v>
      </c>
      <c r="C2309" t="s">
        <v>4693</v>
      </c>
      <c r="D2309" t="s">
        <v>629</v>
      </c>
      <c r="E2309" s="259" t="s">
        <v>1970</v>
      </c>
      <c r="F2309" t="s">
        <v>620</v>
      </c>
      <c r="G2309" s="89">
        <v>2022</v>
      </c>
      <c r="H2309" s="341" t="s">
        <v>733</v>
      </c>
      <c r="I2309" s="337" t="str">
        <f t="shared" si="98"/>
        <v>Pesado de Passageiros M3: I : Gasóleo : E6</v>
      </c>
      <c r="J2309" s="125">
        <v>108</v>
      </c>
      <c r="K2309" s="264">
        <v>2022</v>
      </c>
      <c r="L2309" s="85">
        <v>7075.97</v>
      </c>
      <c r="M2309" s="85" t="s">
        <v>630</v>
      </c>
      <c r="N2309" s="128">
        <v>20794.375</v>
      </c>
      <c r="O2309" s="128">
        <f t="shared" si="99"/>
        <v>2245792.5</v>
      </c>
      <c r="P2309" s="89">
        <v>1257</v>
      </c>
      <c r="Q2309" t="s">
        <v>47</v>
      </c>
      <c r="R2309" s="220" t="s">
        <v>1888</v>
      </c>
      <c r="S2309" s="220" t="s">
        <v>1861</v>
      </c>
      <c r="U2309" t="s">
        <v>1972</v>
      </c>
      <c r="V2309" t="s">
        <v>2832</v>
      </c>
    </row>
    <row r="2310" spans="1:22" ht="15.75" thickBot="1" x14ac:dyDescent="0.3">
      <c r="A2310" t="s">
        <v>4693</v>
      </c>
      <c r="B2310" t="s">
        <v>4693</v>
      </c>
      <c r="C2310" t="s">
        <v>4693</v>
      </c>
      <c r="D2310" t="s">
        <v>629</v>
      </c>
      <c r="E2310" s="259" t="s">
        <v>1970</v>
      </c>
      <c r="F2310" t="s">
        <v>620</v>
      </c>
      <c r="G2310" s="89">
        <v>2022</v>
      </c>
      <c r="H2310" s="341" t="s">
        <v>733</v>
      </c>
      <c r="I2310" s="337" t="str">
        <f t="shared" si="98"/>
        <v>Pesado de Passageiros M3: I : Gasóleo : E6</v>
      </c>
      <c r="J2310" s="125">
        <v>108</v>
      </c>
      <c r="K2310" s="264">
        <v>2022</v>
      </c>
      <c r="L2310" s="85">
        <v>8851.5900000000038</v>
      </c>
      <c r="M2310" s="85" t="s">
        <v>630</v>
      </c>
      <c r="N2310" s="128">
        <v>25378.375</v>
      </c>
      <c r="O2310" s="128">
        <f t="shared" si="99"/>
        <v>2740864.5</v>
      </c>
      <c r="P2310" s="89">
        <v>1258</v>
      </c>
      <c r="Q2310" t="s">
        <v>47</v>
      </c>
      <c r="R2310" s="220" t="s">
        <v>1888</v>
      </c>
      <c r="S2310" s="220" t="s">
        <v>1861</v>
      </c>
      <c r="U2310" t="s">
        <v>1972</v>
      </c>
      <c r="V2310" t="s">
        <v>2832</v>
      </c>
    </row>
    <row r="2311" spans="1:22" ht="15.75" thickBot="1" x14ac:dyDescent="0.3">
      <c r="A2311" t="s">
        <v>4693</v>
      </c>
      <c r="B2311" t="s">
        <v>4693</v>
      </c>
      <c r="C2311" t="s">
        <v>4693</v>
      </c>
      <c r="D2311" t="s">
        <v>629</v>
      </c>
      <c r="E2311" s="259" t="s">
        <v>1970</v>
      </c>
      <c r="F2311" t="s">
        <v>620</v>
      </c>
      <c r="G2311" s="89">
        <v>2022</v>
      </c>
      <c r="H2311" s="341" t="s">
        <v>733</v>
      </c>
      <c r="I2311" s="337" t="str">
        <f t="shared" si="98"/>
        <v>Pesado de Passageiros M3: I : Gasóleo : E6</v>
      </c>
      <c r="J2311" s="125">
        <v>108</v>
      </c>
      <c r="K2311" s="264">
        <v>2022</v>
      </c>
      <c r="L2311" s="85">
        <v>9861.7099999999973</v>
      </c>
      <c r="M2311" s="85" t="s">
        <v>630</v>
      </c>
      <c r="N2311" s="128">
        <v>26383.375</v>
      </c>
      <c r="O2311" s="128">
        <f t="shared" si="99"/>
        <v>2849404.5</v>
      </c>
      <c r="P2311" s="89">
        <v>1259</v>
      </c>
      <c r="Q2311" t="s">
        <v>47</v>
      </c>
      <c r="R2311" s="220" t="s">
        <v>1888</v>
      </c>
      <c r="S2311" s="220" t="s">
        <v>1861</v>
      </c>
      <c r="U2311" t="s">
        <v>1972</v>
      </c>
      <c r="V2311" t="s">
        <v>2832</v>
      </c>
    </row>
    <row r="2312" spans="1:22" ht="15.75" thickBot="1" x14ac:dyDescent="0.3">
      <c r="A2312" t="s">
        <v>4693</v>
      </c>
      <c r="B2312" t="s">
        <v>4693</v>
      </c>
      <c r="C2312" t="s">
        <v>4693</v>
      </c>
      <c r="D2312" t="s">
        <v>629</v>
      </c>
      <c r="E2312" s="259" t="s">
        <v>1970</v>
      </c>
      <c r="F2312" t="s">
        <v>620</v>
      </c>
      <c r="G2312" s="89">
        <v>2022</v>
      </c>
      <c r="H2312" s="341" t="s">
        <v>733</v>
      </c>
      <c r="I2312" s="337" t="str">
        <f t="shared" si="98"/>
        <v>Pesado de Passageiros M3: I : Gasóleo : E6</v>
      </c>
      <c r="J2312" s="125">
        <v>108</v>
      </c>
      <c r="K2312" s="264">
        <v>2022</v>
      </c>
      <c r="L2312" s="85">
        <v>11560.299999999996</v>
      </c>
      <c r="M2312" s="85" t="s">
        <v>630</v>
      </c>
      <c r="N2312" s="128">
        <v>32078.375</v>
      </c>
      <c r="O2312" s="128">
        <f t="shared" si="99"/>
        <v>3464464.5</v>
      </c>
      <c r="P2312" s="89">
        <v>1260</v>
      </c>
      <c r="Q2312" t="s">
        <v>47</v>
      </c>
      <c r="R2312" s="220" t="s">
        <v>1888</v>
      </c>
      <c r="S2312" s="220" t="s">
        <v>1861</v>
      </c>
      <c r="U2312" t="s">
        <v>1972</v>
      </c>
      <c r="V2312" t="s">
        <v>2832</v>
      </c>
    </row>
    <row r="2313" spans="1:22" ht="15.75" thickBot="1" x14ac:dyDescent="0.3">
      <c r="A2313" t="s">
        <v>4693</v>
      </c>
      <c r="B2313" t="s">
        <v>4693</v>
      </c>
      <c r="C2313" t="s">
        <v>4693</v>
      </c>
      <c r="D2313" t="s">
        <v>629</v>
      </c>
      <c r="E2313" s="259" t="s">
        <v>1970</v>
      </c>
      <c r="F2313" t="s">
        <v>620</v>
      </c>
      <c r="G2313" s="89">
        <v>2022</v>
      </c>
      <c r="H2313" s="341" t="s">
        <v>733</v>
      </c>
      <c r="I2313" s="337" t="str">
        <f t="shared" si="98"/>
        <v>Pesado de Passageiros M3: I : Gasóleo : E6</v>
      </c>
      <c r="J2313" s="125">
        <v>108</v>
      </c>
      <c r="K2313" s="264">
        <v>2022</v>
      </c>
      <c r="L2313" s="85">
        <v>8943.8300000000054</v>
      </c>
      <c r="M2313" s="85" t="s">
        <v>630</v>
      </c>
      <c r="N2313" s="128">
        <v>24874.375</v>
      </c>
      <c r="O2313" s="128">
        <f t="shared" si="99"/>
        <v>2686432.5</v>
      </c>
      <c r="P2313" s="89">
        <v>1261</v>
      </c>
      <c r="Q2313" t="s">
        <v>47</v>
      </c>
      <c r="R2313" s="220" t="s">
        <v>1888</v>
      </c>
      <c r="S2313" s="220" t="s">
        <v>1861</v>
      </c>
      <c r="U2313" t="s">
        <v>1972</v>
      </c>
      <c r="V2313" t="s">
        <v>2832</v>
      </c>
    </row>
    <row r="2314" spans="1:22" ht="15.75" thickBot="1" x14ac:dyDescent="0.3">
      <c r="A2314" t="s">
        <v>4693</v>
      </c>
      <c r="B2314" t="s">
        <v>4693</v>
      </c>
      <c r="C2314" t="s">
        <v>4693</v>
      </c>
      <c r="D2314" t="s">
        <v>629</v>
      </c>
      <c r="E2314" s="259" t="s">
        <v>1970</v>
      </c>
      <c r="F2314" t="s">
        <v>620</v>
      </c>
      <c r="G2314" s="89">
        <v>2022</v>
      </c>
      <c r="H2314" s="341" t="s">
        <v>733</v>
      </c>
      <c r="I2314" s="337" t="str">
        <f t="shared" si="98"/>
        <v>Pesado de Passageiros M3: I : Gasóleo : E6</v>
      </c>
      <c r="J2314" s="125">
        <v>108</v>
      </c>
      <c r="K2314" s="264">
        <v>2022</v>
      </c>
      <c r="L2314" s="85">
        <v>8691.75</v>
      </c>
      <c r="M2314" s="85" t="s">
        <v>630</v>
      </c>
      <c r="N2314" s="128">
        <v>24372.375</v>
      </c>
      <c r="O2314" s="128">
        <f t="shared" si="99"/>
        <v>2632216.5</v>
      </c>
      <c r="P2314" s="89">
        <v>1262</v>
      </c>
      <c r="Q2314" t="s">
        <v>47</v>
      </c>
      <c r="R2314" s="220" t="s">
        <v>1888</v>
      </c>
      <c r="S2314" s="220" t="s">
        <v>1861</v>
      </c>
      <c r="U2314" t="s">
        <v>1972</v>
      </c>
      <c r="V2314" t="s">
        <v>2832</v>
      </c>
    </row>
    <row r="2315" spans="1:22" ht="15.75" thickBot="1" x14ac:dyDescent="0.3">
      <c r="A2315" t="s">
        <v>4693</v>
      </c>
      <c r="B2315" t="s">
        <v>4693</v>
      </c>
      <c r="C2315" t="s">
        <v>4693</v>
      </c>
      <c r="D2315" t="s">
        <v>629</v>
      </c>
      <c r="E2315" s="259" t="s">
        <v>1970</v>
      </c>
      <c r="F2315" t="s">
        <v>620</v>
      </c>
      <c r="G2315" s="89">
        <v>2022</v>
      </c>
      <c r="H2315" s="341" t="s">
        <v>733</v>
      </c>
      <c r="I2315" s="337" t="str">
        <f t="shared" si="98"/>
        <v>Pesado de Passageiros M3: I : Gasóleo : E6</v>
      </c>
      <c r="J2315" s="125">
        <v>108</v>
      </c>
      <c r="K2315" s="264">
        <v>2022</v>
      </c>
      <c r="L2315" s="85">
        <v>8800.7799999999988</v>
      </c>
      <c r="M2315" s="85" t="s">
        <v>630</v>
      </c>
      <c r="N2315" s="128">
        <v>24407.375</v>
      </c>
      <c r="O2315" s="128">
        <f t="shared" si="99"/>
        <v>2635996.5</v>
      </c>
      <c r="P2315" s="89">
        <v>1263</v>
      </c>
      <c r="Q2315" t="s">
        <v>47</v>
      </c>
      <c r="R2315" s="220" t="s">
        <v>1888</v>
      </c>
      <c r="S2315" s="220" t="s">
        <v>1861</v>
      </c>
      <c r="U2315" t="s">
        <v>1972</v>
      </c>
      <c r="V2315" t="s">
        <v>2832</v>
      </c>
    </row>
    <row r="2316" spans="1:22" ht="15.75" thickBot="1" x14ac:dyDescent="0.3">
      <c r="A2316" t="s">
        <v>4693</v>
      </c>
      <c r="B2316" t="s">
        <v>4693</v>
      </c>
      <c r="C2316" t="s">
        <v>4693</v>
      </c>
      <c r="D2316" t="s">
        <v>629</v>
      </c>
      <c r="E2316" s="259" t="s">
        <v>1970</v>
      </c>
      <c r="F2316" t="s">
        <v>620</v>
      </c>
      <c r="G2316" s="89">
        <v>2022</v>
      </c>
      <c r="H2316" s="341" t="s">
        <v>733</v>
      </c>
      <c r="I2316" s="337" t="str">
        <f t="shared" si="98"/>
        <v>Pesado de Passageiros M3: I : Gasóleo : E6</v>
      </c>
      <c r="J2316" s="125">
        <v>108</v>
      </c>
      <c r="K2316" s="264">
        <v>2022</v>
      </c>
      <c r="L2316" s="85">
        <v>9226.61</v>
      </c>
      <c r="M2316" s="85" t="s">
        <v>630</v>
      </c>
      <c r="N2316" s="128">
        <v>27359.375</v>
      </c>
      <c r="O2316" s="128">
        <f t="shared" si="99"/>
        <v>2954812.5</v>
      </c>
      <c r="P2316" s="89">
        <v>1264</v>
      </c>
      <c r="Q2316" t="s">
        <v>47</v>
      </c>
      <c r="R2316" s="220" t="s">
        <v>1888</v>
      </c>
      <c r="S2316" s="220" t="s">
        <v>1861</v>
      </c>
      <c r="U2316" t="s">
        <v>1972</v>
      </c>
      <c r="V2316" t="s">
        <v>2832</v>
      </c>
    </row>
    <row r="2317" spans="1:22" ht="15.75" thickBot="1" x14ac:dyDescent="0.3">
      <c r="A2317" t="s">
        <v>4693</v>
      </c>
      <c r="B2317" t="s">
        <v>4693</v>
      </c>
      <c r="C2317" t="s">
        <v>4693</v>
      </c>
      <c r="D2317" t="s">
        <v>629</v>
      </c>
      <c r="E2317" s="259" t="s">
        <v>1970</v>
      </c>
      <c r="F2317" t="s">
        <v>620</v>
      </c>
      <c r="G2317" s="89">
        <v>2022</v>
      </c>
      <c r="H2317" s="341" t="s">
        <v>733</v>
      </c>
      <c r="I2317" s="337" t="str">
        <f t="shared" si="98"/>
        <v>Pesado de Passageiros M3: I : Gasóleo : E6</v>
      </c>
      <c r="J2317" s="125">
        <v>108</v>
      </c>
      <c r="K2317" s="264">
        <v>2022</v>
      </c>
      <c r="L2317" s="85">
        <v>9265.0400000000009</v>
      </c>
      <c r="M2317" s="85" t="s">
        <v>630</v>
      </c>
      <c r="N2317" s="128">
        <v>26732.375</v>
      </c>
      <c r="O2317" s="128">
        <f t="shared" si="99"/>
        <v>2887096.5</v>
      </c>
      <c r="P2317" s="89">
        <v>1265</v>
      </c>
      <c r="Q2317" t="s">
        <v>47</v>
      </c>
      <c r="R2317" s="220" t="s">
        <v>1888</v>
      </c>
      <c r="S2317" s="220" t="s">
        <v>1861</v>
      </c>
      <c r="U2317" t="s">
        <v>1972</v>
      </c>
      <c r="V2317" t="s">
        <v>2832</v>
      </c>
    </row>
    <row r="2318" spans="1:22" ht="15.75" thickBot="1" x14ac:dyDescent="0.3">
      <c r="A2318" t="s">
        <v>4693</v>
      </c>
      <c r="B2318" t="s">
        <v>4693</v>
      </c>
      <c r="C2318" t="s">
        <v>4693</v>
      </c>
      <c r="D2318" t="s">
        <v>629</v>
      </c>
      <c r="E2318" s="259" t="s">
        <v>1970</v>
      </c>
      <c r="F2318" t="s">
        <v>620</v>
      </c>
      <c r="G2318" s="89">
        <v>2022</v>
      </c>
      <c r="H2318" s="341" t="s">
        <v>733</v>
      </c>
      <c r="I2318" s="337" t="str">
        <f t="shared" si="98"/>
        <v>Pesado de Passageiros M3: I : Gasóleo : E6</v>
      </c>
      <c r="J2318" s="125">
        <v>108</v>
      </c>
      <c r="K2318" s="264">
        <v>2022</v>
      </c>
      <c r="L2318" s="85">
        <v>3791.63</v>
      </c>
      <c r="M2318" s="85" t="s">
        <v>630</v>
      </c>
      <c r="N2318" s="128">
        <v>13189.375</v>
      </c>
      <c r="O2318" s="128">
        <f t="shared" si="99"/>
        <v>1424452.5</v>
      </c>
      <c r="P2318" s="89">
        <v>1266</v>
      </c>
      <c r="Q2318" t="s">
        <v>47</v>
      </c>
      <c r="R2318" s="220" t="s">
        <v>1888</v>
      </c>
      <c r="S2318" s="220" t="s">
        <v>1861</v>
      </c>
      <c r="U2318" t="s">
        <v>1972</v>
      </c>
      <c r="V2318" t="s">
        <v>2832</v>
      </c>
    </row>
    <row r="2319" spans="1:22" ht="15.75" thickBot="1" x14ac:dyDescent="0.3">
      <c r="A2319" t="s">
        <v>4693</v>
      </c>
      <c r="B2319" t="s">
        <v>4693</v>
      </c>
      <c r="C2319" t="s">
        <v>4693</v>
      </c>
      <c r="D2319" t="s">
        <v>629</v>
      </c>
      <c r="E2319" s="259" t="s">
        <v>1970</v>
      </c>
      <c r="F2319" t="s">
        <v>620</v>
      </c>
      <c r="G2319" s="89">
        <v>2022</v>
      </c>
      <c r="H2319" s="341" t="s">
        <v>733</v>
      </c>
      <c r="I2319" s="337" t="str">
        <f t="shared" si="98"/>
        <v>Pesado de Passageiros M3: I : Gasóleo : E6</v>
      </c>
      <c r="J2319" s="125">
        <v>108</v>
      </c>
      <c r="K2319" s="264">
        <v>2022</v>
      </c>
      <c r="L2319" s="85">
        <v>8685.3799999999992</v>
      </c>
      <c r="M2319" s="85" t="s">
        <v>630</v>
      </c>
      <c r="N2319" s="128">
        <v>24291.375</v>
      </c>
      <c r="O2319" s="128">
        <f t="shared" si="99"/>
        <v>2623468.5</v>
      </c>
      <c r="P2319" s="89">
        <v>1267</v>
      </c>
      <c r="Q2319" t="s">
        <v>47</v>
      </c>
      <c r="R2319" s="220" t="s">
        <v>1888</v>
      </c>
      <c r="S2319" s="220" t="s">
        <v>1861</v>
      </c>
      <c r="U2319" t="s">
        <v>1972</v>
      </c>
      <c r="V2319" t="s">
        <v>2832</v>
      </c>
    </row>
    <row r="2320" spans="1:22" ht="15.75" thickBot="1" x14ac:dyDescent="0.3">
      <c r="A2320" t="s">
        <v>4693</v>
      </c>
      <c r="B2320" t="s">
        <v>4693</v>
      </c>
      <c r="C2320" t="s">
        <v>4693</v>
      </c>
      <c r="D2320" t="s">
        <v>629</v>
      </c>
      <c r="E2320" s="259" t="s">
        <v>1970</v>
      </c>
      <c r="F2320" t="s">
        <v>620</v>
      </c>
      <c r="G2320" s="89">
        <v>2022</v>
      </c>
      <c r="H2320" s="341" t="s">
        <v>733</v>
      </c>
      <c r="I2320" s="337" t="str">
        <f t="shared" si="98"/>
        <v>Pesado de Passageiros M3: I : Gasóleo : E6</v>
      </c>
      <c r="J2320" s="125">
        <v>108</v>
      </c>
      <c r="K2320" s="264">
        <v>2022</v>
      </c>
      <c r="L2320" s="85">
        <v>9863.6300000000028</v>
      </c>
      <c r="M2320" s="85" t="s">
        <v>630</v>
      </c>
      <c r="N2320" s="128">
        <v>27333.375</v>
      </c>
      <c r="O2320" s="128">
        <f t="shared" si="99"/>
        <v>2952004.5</v>
      </c>
      <c r="P2320" s="89">
        <v>1268</v>
      </c>
      <c r="Q2320" t="s">
        <v>47</v>
      </c>
      <c r="R2320" s="220" t="s">
        <v>1888</v>
      </c>
      <c r="S2320" s="220" t="s">
        <v>1861</v>
      </c>
      <c r="U2320" t="s">
        <v>1972</v>
      </c>
      <c r="V2320" t="s">
        <v>2832</v>
      </c>
    </row>
    <row r="2321" spans="1:22" ht="15.75" thickBot="1" x14ac:dyDescent="0.3">
      <c r="A2321" t="s">
        <v>4693</v>
      </c>
      <c r="B2321" t="s">
        <v>4693</v>
      </c>
      <c r="C2321" t="s">
        <v>4693</v>
      </c>
      <c r="D2321" t="s">
        <v>629</v>
      </c>
      <c r="E2321" s="259" t="s">
        <v>1970</v>
      </c>
      <c r="F2321" t="s">
        <v>620</v>
      </c>
      <c r="G2321" s="89">
        <v>2022</v>
      </c>
      <c r="H2321" s="341" t="s">
        <v>733</v>
      </c>
      <c r="I2321" s="337" t="str">
        <f t="shared" si="98"/>
        <v>Pesado de Passageiros M3: I : Gasóleo : E6</v>
      </c>
      <c r="J2321" s="125">
        <v>108</v>
      </c>
      <c r="K2321" s="264">
        <v>2022</v>
      </c>
      <c r="L2321" s="85">
        <v>9608.4400000000041</v>
      </c>
      <c r="M2321" s="85" t="s">
        <v>630</v>
      </c>
      <c r="N2321" s="128">
        <v>27010.375</v>
      </c>
      <c r="O2321" s="128">
        <f t="shared" si="99"/>
        <v>2917120.5</v>
      </c>
      <c r="P2321" s="89">
        <v>1269</v>
      </c>
      <c r="Q2321" t="s">
        <v>47</v>
      </c>
      <c r="R2321" s="220" t="s">
        <v>1888</v>
      </c>
      <c r="S2321" s="220" t="s">
        <v>1861</v>
      </c>
      <c r="U2321" t="s">
        <v>1972</v>
      </c>
      <c r="V2321" t="s">
        <v>2832</v>
      </c>
    </row>
    <row r="2322" spans="1:22" ht="15.75" thickBot="1" x14ac:dyDescent="0.3">
      <c r="A2322" t="s">
        <v>4693</v>
      </c>
      <c r="B2322" t="s">
        <v>4693</v>
      </c>
      <c r="C2322" t="s">
        <v>4693</v>
      </c>
      <c r="D2322" t="s">
        <v>629</v>
      </c>
      <c r="E2322" s="259" t="s">
        <v>1970</v>
      </c>
      <c r="F2322" t="s">
        <v>620</v>
      </c>
      <c r="G2322" s="89">
        <v>2022</v>
      </c>
      <c r="H2322" s="341" t="s">
        <v>733</v>
      </c>
      <c r="I2322" s="337" t="str">
        <f t="shared" si="98"/>
        <v>Pesado de Passageiros M3: I : Gasóleo : E6</v>
      </c>
      <c r="J2322" s="125">
        <v>108</v>
      </c>
      <c r="K2322" s="264">
        <v>2022</v>
      </c>
      <c r="L2322" s="85">
        <v>8073.6299999999974</v>
      </c>
      <c r="M2322" s="85" t="s">
        <v>630</v>
      </c>
      <c r="N2322" s="128">
        <v>22852.375</v>
      </c>
      <c r="O2322" s="128">
        <f t="shared" si="99"/>
        <v>2468056.5</v>
      </c>
      <c r="P2322" s="89">
        <v>1270</v>
      </c>
      <c r="Q2322" t="s">
        <v>47</v>
      </c>
      <c r="R2322" s="220" t="s">
        <v>1888</v>
      </c>
      <c r="S2322" s="220" t="s">
        <v>1861</v>
      </c>
      <c r="U2322" t="s">
        <v>1972</v>
      </c>
      <c r="V2322" t="s">
        <v>2832</v>
      </c>
    </row>
    <row r="2323" spans="1:22" ht="15.75" thickBot="1" x14ac:dyDescent="0.3">
      <c r="A2323" t="s">
        <v>4693</v>
      </c>
      <c r="B2323" t="s">
        <v>4693</v>
      </c>
      <c r="C2323" t="s">
        <v>4693</v>
      </c>
      <c r="D2323" t="s">
        <v>629</v>
      </c>
      <c r="E2323" s="259" t="s">
        <v>1970</v>
      </c>
      <c r="F2323" t="s">
        <v>620</v>
      </c>
      <c r="G2323" s="89">
        <v>2022</v>
      </c>
      <c r="H2323" s="341" t="s">
        <v>733</v>
      </c>
      <c r="I2323" s="337" t="str">
        <f t="shared" si="98"/>
        <v>Pesado de Passageiros M3: I : Gasóleo : E6</v>
      </c>
      <c r="J2323" s="125">
        <v>108</v>
      </c>
      <c r="K2323" s="264">
        <v>2022</v>
      </c>
      <c r="L2323" s="85">
        <v>8716.5700000000015</v>
      </c>
      <c r="M2323" s="85" t="s">
        <v>630</v>
      </c>
      <c r="N2323" s="128">
        <v>26099.375</v>
      </c>
      <c r="O2323" s="128">
        <f t="shared" si="99"/>
        <v>2818732.5</v>
      </c>
      <c r="P2323" s="89">
        <v>1271</v>
      </c>
      <c r="Q2323" t="s">
        <v>47</v>
      </c>
      <c r="R2323" s="220" t="s">
        <v>1888</v>
      </c>
      <c r="S2323" s="220" t="s">
        <v>1861</v>
      </c>
      <c r="U2323" t="s">
        <v>1972</v>
      </c>
      <c r="V2323" t="s">
        <v>2832</v>
      </c>
    </row>
    <row r="2324" spans="1:22" ht="15.75" thickBot="1" x14ac:dyDescent="0.3">
      <c r="A2324" t="s">
        <v>4693</v>
      </c>
      <c r="B2324" t="s">
        <v>4693</v>
      </c>
      <c r="C2324" t="s">
        <v>4693</v>
      </c>
      <c r="D2324" t="s">
        <v>629</v>
      </c>
      <c r="E2324" s="259" t="s">
        <v>1970</v>
      </c>
      <c r="F2324" t="s">
        <v>620</v>
      </c>
      <c r="G2324" s="89">
        <v>2022</v>
      </c>
      <c r="H2324" s="341" t="s">
        <v>733</v>
      </c>
      <c r="I2324" s="337" t="str">
        <f t="shared" si="98"/>
        <v>Pesado de Passageiros M3: I : Gasóleo : E6</v>
      </c>
      <c r="J2324" s="125">
        <v>108</v>
      </c>
      <c r="K2324" s="264">
        <v>2022</v>
      </c>
      <c r="L2324" s="85">
        <v>193.85</v>
      </c>
      <c r="M2324" s="85" t="s">
        <v>630</v>
      </c>
      <c r="N2324" s="128">
        <v>4631.375</v>
      </c>
      <c r="O2324" s="128">
        <f t="shared" si="99"/>
        <v>500188.5</v>
      </c>
      <c r="P2324" s="89">
        <v>1272</v>
      </c>
      <c r="Q2324" t="s">
        <v>47</v>
      </c>
      <c r="R2324" s="220" t="s">
        <v>1888</v>
      </c>
      <c r="S2324" s="220" t="s">
        <v>1861</v>
      </c>
      <c r="U2324" t="s">
        <v>1972</v>
      </c>
      <c r="V2324" t="s">
        <v>2832</v>
      </c>
    </row>
    <row r="2325" spans="1:22" ht="15.75" thickBot="1" x14ac:dyDescent="0.3">
      <c r="A2325" t="s">
        <v>4693</v>
      </c>
      <c r="B2325" t="s">
        <v>4693</v>
      </c>
      <c r="C2325" t="s">
        <v>4693</v>
      </c>
      <c r="D2325" t="s">
        <v>629</v>
      </c>
      <c r="E2325" s="259" t="s">
        <v>1970</v>
      </c>
      <c r="F2325" t="s">
        <v>620</v>
      </c>
      <c r="G2325" s="89">
        <v>2022</v>
      </c>
      <c r="H2325" s="341" t="s">
        <v>733</v>
      </c>
      <c r="I2325" s="337" t="str">
        <f t="shared" si="98"/>
        <v>Pesado de Passageiros M3: I : Gasóleo : E6</v>
      </c>
      <c r="J2325" s="125">
        <v>108</v>
      </c>
      <c r="K2325" s="264">
        <v>2022</v>
      </c>
      <c r="L2325" s="85">
        <v>2643.5300000000007</v>
      </c>
      <c r="M2325" s="85" t="s">
        <v>630</v>
      </c>
      <c r="N2325" s="128">
        <v>11044.375</v>
      </c>
      <c r="O2325" s="128">
        <f t="shared" si="99"/>
        <v>1192792.5</v>
      </c>
      <c r="P2325" s="89">
        <v>1274</v>
      </c>
      <c r="Q2325" t="s">
        <v>47</v>
      </c>
      <c r="R2325" s="220" t="s">
        <v>1888</v>
      </c>
      <c r="S2325" s="220" t="s">
        <v>1861</v>
      </c>
      <c r="U2325" t="s">
        <v>1972</v>
      </c>
      <c r="V2325" t="s">
        <v>2832</v>
      </c>
    </row>
    <row r="2326" spans="1:22" ht="15.75" thickBot="1" x14ac:dyDescent="0.3">
      <c r="A2326" t="s">
        <v>4693</v>
      </c>
      <c r="B2326" t="s">
        <v>4693</v>
      </c>
      <c r="C2326" t="s">
        <v>4693</v>
      </c>
      <c r="D2326" t="s">
        <v>629</v>
      </c>
      <c r="E2326" s="259" t="s">
        <v>1970</v>
      </c>
      <c r="F2326" t="s">
        <v>620</v>
      </c>
      <c r="G2326" s="89">
        <v>2022</v>
      </c>
      <c r="H2326" s="341" t="s">
        <v>733</v>
      </c>
      <c r="I2326" s="337" t="str">
        <f t="shared" si="98"/>
        <v>Pesado de Passageiros M3: I : Gasóleo : E6</v>
      </c>
      <c r="J2326" s="125">
        <v>108</v>
      </c>
      <c r="K2326" s="264">
        <v>2022</v>
      </c>
      <c r="L2326" s="85">
        <v>1058.8800000000001</v>
      </c>
      <c r="M2326" s="85" t="s">
        <v>630</v>
      </c>
      <c r="N2326" s="128">
        <v>7218.375</v>
      </c>
      <c r="O2326" s="128">
        <f t="shared" si="99"/>
        <v>779584.5</v>
      </c>
      <c r="P2326" s="89">
        <v>1275</v>
      </c>
      <c r="Q2326" t="s">
        <v>47</v>
      </c>
      <c r="R2326" s="220" t="s">
        <v>1888</v>
      </c>
      <c r="S2326" s="220" t="s">
        <v>1861</v>
      </c>
      <c r="U2326" t="s">
        <v>1972</v>
      </c>
      <c r="V2326" t="s">
        <v>2832</v>
      </c>
    </row>
    <row r="2327" spans="1:22" ht="15.75" thickBot="1" x14ac:dyDescent="0.3">
      <c r="A2327" t="s">
        <v>4693</v>
      </c>
      <c r="B2327" t="s">
        <v>4693</v>
      </c>
      <c r="C2327" t="s">
        <v>4693</v>
      </c>
      <c r="D2327" t="s">
        <v>629</v>
      </c>
      <c r="E2327" s="259" t="s">
        <v>1970</v>
      </c>
      <c r="F2327" t="s">
        <v>620</v>
      </c>
      <c r="G2327" s="89">
        <v>2022</v>
      </c>
      <c r="H2327" s="341" t="s">
        <v>733</v>
      </c>
      <c r="I2327" s="337" t="str">
        <f t="shared" si="98"/>
        <v>Pesado de Passageiros M3: I : Gasóleo : E6</v>
      </c>
      <c r="J2327" s="125">
        <v>108</v>
      </c>
      <c r="K2327" s="264">
        <v>2022</v>
      </c>
      <c r="L2327" s="85">
        <v>617.30999999999995</v>
      </c>
      <c r="M2327" s="85" t="s">
        <v>630</v>
      </c>
      <c r="N2327" s="128">
        <v>5706.375</v>
      </c>
      <c r="O2327" s="128">
        <f t="shared" si="99"/>
        <v>616288.5</v>
      </c>
      <c r="P2327" s="89">
        <v>1276</v>
      </c>
      <c r="Q2327" t="s">
        <v>47</v>
      </c>
      <c r="R2327" s="220" t="s">
        <v>1888</v>
      </c>
      <c r="S2327" s="220" t="s">
        <v>1861</v>
      </c>
      <c r="U2327" t="s">
        <v>1972</v>
      </c>
      <c r="V2327" t="s">
        <v>2832</v>
      </c>
    </row>
    <row r="2328" spans="1:22" ht="15.75" thickBot="1" x14ac:dyDescent="0.3">
      <c r="A2328" t="s">
        <v>4693</v>
      </c>
      <c r="B2328" t="s">
        <v>4693</v>
      </c>
      <c r="C2328" t="s">
        <v>4693</v>
      </c>
      <c r="D2328" t="s">
        <v>629</v>
      </c>
      <c r="E2328" s="259" t="s">
        <v>1970</v>
      </c>
      <c r="F2328" t="s">
        <v>620</v>
      </c>
      <c r="G2328" s="89">
        <v>2022</v>
      </c>
      <c r="H2328" s="341" t="s">
        <v>733</v>
      </c>
      <c r="I2328" s="337" t="str">
        <f t="shared" si="98"/>
        <v>Pesado de Passageiros M3: I : Gasóleo : E6</v>
      </c>
      <c r="J2328" s="125">
        <v>108</v>
      </c>
      <c r="K2328" s="264">
        <v>2022</v>
      </c>
      <c r="L2328" s="85">
        <v>7907.07</v>
      </c>
      <c r="M2328" s="85" t="s">
        <v>630</v>
      </c>
      <c r="N2328" s="128">
        <v>23646.375</v>
      </c>
      <c r="O2328" s="128">
        <f t="shared" si="99"/>
        <v>2553808.5</v>
      </c>
      <c r="P2328" s="89">
        <v>1277</v>
      </c>
      <c r="Q2328" t="s">
        <v>47</v>
      </c>
      <c r="R2328" s="220" t="s">
        <v>1888</v>
      </c>
      <c r="S2328" s="220" t="s">
        <v>1861</v>
      </c>
      <c r="U2328" t="s">
        <v>1972</v>
      </c>
      <c r="V2328" t="s">
        <v>2832</v>
      </c>
    </row>
    <row r="2329" spans="1:22" ht="15.75" thickBot="1" x14ac:dyDescent="0.3">
      <c r="A2329" t="s">
        <v>4693</v>
      </c>
      <c r="B2329" t="s">
        <v>4693</v>
      </c>
      <c r="C2329" t="s">
        <v>4693</v>
      </c>
      <c r="D2329" t="s">
        <v>629</v>
      </c>
      <c r="E2329" s="259" t="s">
        <v>1970</v>
      </c>
      <c r="F2329" t="s">
        <v>620</v>
      </c>
      <c r="G2329" s="89">
        <v>2022</v>
      </c>
      <c r="H2329" s="341" t="s">
        <v>733</v>
      </c>
      <c r="I2329" s="337" t="str">
        <f t="shared" si="98"/>
        <v>Pesado de Passageiros M3: I : Gasóleo : E6</v>
      </c>
      <c r="J2329" s="125">
        <v>108</v>
      </c>
      <c r="K2329" s="264">
        <v>2022</v>
      </c>
      <c r="L2329" s="85">
        <v>9010.9299999999967</v>
      </c>
      <c r="M2329" s="85" t="s">
        <v>630</v>
      </c>
      <c r="N2329" s="128">
        <v>25649.375</v>
      </c>
      <c r="O2329" s="128">
        <f t="shared" si="99"/>
        <v>2770132.5</v>
      </c>
      <c r="P2329" s="89">
        <v>1278</v>
      </c>
      <c r="Q2329" t="s">
        <v>47</v>
      </c>
      <c r="R2329" s="220" t="s">
        <v>1888</v>
      </c>
      <c r="S2329" s="220" t="s">
        <v>1861</v>
      </c>
      <c r="U2329" t="s">
        <v>1972</v>
      </c>
      <c r="V2329" t="s">
        <v>2832</v>
      </c>
    </row>
    <row r="2330" spans="1:22" ht="15.75" thickBot="1" x14ac:dyDescent="0.3">
      <c r="A2330" t="s">
        <v>4693</v>
      </c>
      <c r="B2330" t="s">
        <v>4693</v>
      </c>
      <c r="C2330" t="s">
        <v>4693</v>
      </c>
      <c r="D2330" t="s">
        <v>629</v>
      </c>
      <c r="E2330" s="259" t="s">
        <v>1970</v>
      </c>
      <c r="F2330" t="s">
        <v>620</v>
      </c>
      <c r="G2330" s="89">
        <v>2022</v>
      </c>
      <c r="H2330" s="341" t="s">
        <v>733</v>
      </c>
      <c r="I2330" s="337" t="str">
        <f t="shared" si="98"/>
        <v>Pesado de Passageiros M3: I : Gasóleo : E6</v>
      </c>
      <c r="J2330" s="125">
        <v>108</v>
      </c>
      <c r="K2330" s="264">
        <v>2022</v>
      </c>
      <c r="L2330" s="85">
        <v>450.78</v>
      </c>
      <c r="M2330" s="85" t="s">
        <v>630</v>
      </c>
      <c r="N2330" s="128">
        <v>5324.375</v>
      </c>
      <c r="O2330" s="128">
        <f t="shared" si="99"/>
        <v>575032.5</v>
      </c>
      <c r="P2330" s="89">
        <v>1279</v>
      </c>
      <c r="Q2330" t="s">
        <v>47</v>
      </c>
      <c r="R2330" s="220" t="s">
        <v>1888</v>
      </c>
      <c r="S2330" s="220" t="s">
        <v>1861</v>
      </c>
      <c r="U2330" t="s">
        <v>1972</v>
      </c>
      <c r="V2330" t="s">
        <v>2832</v>
      </c>
    </row>
    <row r="2331" spans="1:22" ht="15.75" thickBot="1" x14ac:dyDescent="0.3">
      <c r="A2331" t="s">
        <v>4693</v>
      </c>
      <c r="B2331" t="s">
        <v>4693</v>
      </c>
      <c r="C2331" t="s">
        <v>4693</v>
      </c>
      <c r="D2331" t="s">
        <v>629</v>
      </c>
      <c r="E2331" s="259" t="s">
        <v>1970</v>
      </c>
      <c r="F2331" t="s">
        <v>620</v>
      </c>
      <c r="G2331" s="89">
        <v>2022</v>
      </c>
      <c r="H2331" s="341" t="s">
        <v>733</v>
      </c>
      <c r="I2331" s="337" t="str">
        <f t="shared" si="98"/>
        <v>Pesado de Passageiros M3: I : Gasóleo : E6</v>
      </c>
      <c r="J2331" s="125">
        <v>108</v>
      </c>
      <c r="K2331" s="264">
        <v>2022</v>
      </c>
      <c r="L2331" s="85">
        <v>7528.8000000000011</v>
      </c>
      <c r="M2331" s="85" t="s">
        <v>630</v>
      </c>
      <c r="N2331" s="128">
        <v>23680.375</v>
      </c>
      <c r="O2331" s="128">
        <f t="shared" si="99"/>
        <v>2557480.5</v>
      </c>
      <c r="P2331" s="89">
        <v>1281</v>
      </c>
      <c r="Q2331" t="s">
        <v>47</v>
      </c>
      <c r="R2331" s="220" t="s">
        <v>1888</v>
      </c>
      <c r="S2331" s="220" t="s">
        <v>1861</v>
      </c>
      <c r="U2331" t="s">
        <v>1972</v>
      </c>
      <c r="V2331" t="s">
        <v>2832</v>
      </c>
    </row>
    <row r="2332" spans="1:22" ht="15.75" thickBot="1" x14ac:dyDescent="0.3">
      <c r="A2332" t="s">
        <v>4693</v>
      </c>
      <c r="B2332" t="s">
        <v>4693</v>
      </c>
      <c r="C2332" t="s">
        <v>4693</v>
      </c>
      <c r="D2332" t="s">
        <v>629</v>
      </c>
      <c r="E2332" s="259" t="s">
        <v>1970</v>
      </c>
      <c r="F2332" t="s">
        <v>620</v>
      </c>
      <c r="G2332" s="89">
        <v>2022</v>
      </c>
      <c r="H2332" s="341" t="s">
        <v>733</v>
      </c>
      <c r="I2332" s="337" t="str">
        <f t="shared" si="98"/>
        <v>Pesado de Passageiros M3: I : Gasóleo : E6</v>
      </c>
      <c r="J2332" s="125">
        <v>108</v>
      </c>
      <c r="K2332" s="264">
        <v>2022</v>
      </c>
      <c r="L2332" s="85">
        <v>8245.5899999999983</v>
      </c>
      <c r="M2332" s="85" t="s">
        <v>630</v>
      </c>
      <c r="N2332" s="128">
        <v>23959.375</v>
      </c>
      <c r="O2332" s="128">
        <f t="shared" si="99"/>
        <v>2587612.5</v>
      </c>
      <c r="P2332" s="89">
        <v>1283</v>
      </c>
      <c r="Q2332" t="s">
        <v>47</v>
      </c>
      <c r="R2332" s="220" t="s">
        <v>1888</v>
      </c>
      <c r="S2332" s="220" t="s">
        <v>1861</v>
      </c>
      <c r="U2332" t="s">
        <v>1972</v>
      </c>
      <c r="V2332" t="s">
        <v>2832</v>
      </c>
    </row>
    <row r="2333" spans="1:22" ht="15.75" thickBot="1" x14ac:dyDescent="0.3">
      <c r="A2333" t="s">
        <v>4693</v>
      </c>
      <c r="B2333" t="s">
        <v>4693</v>
      </c>
      <c r="C2333" t="s">
        <v>4693</v>
      </c>
      <c r="D2333" t="s">
        <v>629</v>
      </c>
      <c r="E2333" s="259" t="s">
        <v>1970</v>
      </c>
      <c r="F2333" t="s">
        <v>620</v>
      </c>
      <c r="G2333" s="89">
        <v>2022</v>
      </c>
      <c r="H2333" s="341" t="s">
        <v>733</v>
      </c>
      <c r="I2333" s="337" t="str">
        <f t="shared" si="98"/>
        <v>Pesado de Passageiros M3: I : Gasóleo : E6</v>
      </c>
      <c r="J2333" s="125">
        <v>108</v>
      </c>
      <c r="K2333" s="264">
        <v>2022</v>
      </c>
      <c r="L2333" s="85">
        <v>3337.1299999999997</v>
      </c>
      <c r="M2333" s="85" t="s">
        <v>630</v>
      </c>
      <c r="N2333" s="128">
        <v>13006.375</v>
      </c>
      <c r="O2333" s="128">
        <f t="shared" si="99"/>
        <v>1404688.5</v>
      </c>
      <c r="P2333" s="89">
        <v>1284</v>
      </c>
      <c r="Q2333" t="s">
        <v>47</v>
      </c>
      <c r="R2333" s="220" t="s">
        <v>1888</v>
      </c>
      <c r="S2333" s="220" t="s">
        <v>1861</v>
      </c>
      <c r="U2333" t="s">
        <v>1972</v>
      </c>
      <c r="V2333" t="s">
        <v>2832</v>
      </c>
    </row>
    <row r="2334" spans="1:22" ht="15.75" thickBot="1" x14ac:dyDescent="0.3">
      <c r="A2334" t="s">
        <v>4693</v>
      </c>
      <c r="B2334" t="s">
        <v>4693</v>
      </c>
      <c r="C2334" t="s">
        <v>4693</v>
      </c>
      <c r="D2334" t="s">
        <v>629</v>
      </c>
      <c r="E2334" s="259" t="s">
        <v>1970</v>
      </c>
      <c r="F2334" t="s">
        <v>620</v>
      </c>
      <c r="G2334" s="89">
        <v>2022</v>
      </c>
      <c r="H2334" s="341" t="s">
        <v>733</v>
      </c>
      <c r="I2334" s="337" t="str">
        <f t="shared" si="98"/>
        <v>Pesado de Passageiros M3: I : Gasóleo : E6</v>
      </c>
      <c r="J2334" s="125">
        <v>108</v>
      </c>
      <c r="K2334" s="264">
        <v>2022</v>
      </c>
      <c r="L2334" s="85">
        <v>1198.7400000000002</v>
      </c>
      <c r="M2334" s="85" t="s">
        <v>630</v>
      </c>
      <c r="N2334" s="128">
        <v>6995.375</v>
      </c>
      <c r="O2334" s="128">
        <f t="shared" si="99"/>
        <v>755500.5</v>
      </c>
      <c r="P2334" s="89">
        <v>1302</v>
      </c>
      <c r="Q2334" t="s">
        <v>47</v>
      </c>
      <c r="R2334" s="220" t="s">
        <v>1888</v>
      </c>
      <c r="S2334" s="220" t="s">
        <v>1861</v>
      </c>
      <c r="U2334" t="s">
        <v>1972</v>
      </c>
      <c r="V2334" t="s">
        <v>2832</v>
      </c>
    </row>
    <row r="2335" spans="1:22" ht="15.75" thickBot="1" x14ac:dyDescent="0.3">
      <c r="A2335" t="s">
        <v>4693</v>
      </c>
      <c r="B2335" t="s">
        <v>4693</v>
      </c>
      <c r="C2335" t="s">
        <v>4693</v>
      </c>
      <c r="D2335" t="s">
        <v>629</v>
      </c>
      <c r="E2335" s="259" t="s">
        <v>1970</v>
      </c>
      <c r="F2335" t="s">
        <v>620</v>
      </c>
      <c r="G2335" s="89">
        <v>2022</v>
      </c>
      <c r="H2335" s="341" t="s">
        <v>733</v>
      </c>
      <c r="I2335" s="337" t="str">
        <f t="shared" si="98"/>
        <v>Pesado de Passageiros M3: I : Gasóleo : E6</v>
      </c>
      <c r="J2335" s="125">
        <v>108</v>
      </c>
      <c r="K2335" s="264">
        <v>2022</v>
      </c>
      <c r="L2335" s="85">
        <v>1710.5199999999998</v>
      </c>
      <c r="M2335" s="85" t="s">
        <v>630</v>
      </c>
      <c r="N2335" s="128">
        <v>8415.375</v>
      </c>
      <c r="O2335" s="128">
        <f t="shared" si="99"/>
        <v>908860.5</v>
      </c>
      <c r="P2335" s="89">
        <v>1305</v>
      </c>
      <c r="Q2335" t="s">
        <v>47</v>
      </c>
      <c r="R2335" s="220" t="s">
        <v>1888</v>
      </c>
      <c r="S2335" s="220" t="s">
        <v>1861</v>
      </c>
      <c r="U2335" t="s">
        <v>1972</v>
      </c>
      <c r="V2335" t="s">
        <v>2832</v>
      </c>
    </row>
    <row r="2336" spans="1:22" ht="15.75" thickBot="1" x14ac:dyDescent="0.3">
      <c r="A2336" t="s">
        <v>4693</v>
      </c>
      <c r="B2336" t="s">
        <v>4693</v>
      </c>
      <c r="C2336" t="s">
        <v>4693</v>
      </c>
      <c r="D2336" t="s">
        <v>629</v>
      </c>
      <c r="E2336" s="259" t="s">
        <v>1970</v>
      </c>
      <c r="F2336" t="s">
        <v>620</v>
      </c>
      <c r="G2336" s="89">
        <v>2022</v>
      </c>
      <c r="H2336" s="341" t="s">
        <v>733</v>
      </c>
      <c r="I2336" s="337" t="str">
        <f t="shared" si="98"/>
        <v>Pesado de Passageiros M3: I : Gasóleo : E6</v>
      </c>
      <c r="J2336" s="125">
        <v>108</v>
      </c>
      <c r="K2336" s="264">
        <v>2022</v>
      </c>
      <c r="L2336" s="85">
        <v>1995.84</v>
      </c>
      <c r="M2336" s="85" t="s">
        <v>630</v>
      </c>
      <c r="N2336" s="128">
        <v>9164.375</v>
      </c>
      <c r="O2336" s="128">
        <f t="shared" si="99"/>
        <v>989752.5</v>
      </c>
      <c r="P2336" s="89">
        <v>1306</v>
      </c>
      <c r="Q2336" t="s">
        <v>47</v>
      </c>
      <c r="R2336" s="220" t="s">
        <v>1888</v>
      </c>
      <c r="S2336" s="220" t="s">
        <v>1861</v>
      </c>
      <c r="U2336" t="s">
        <v>1972</v>
      </c>
      <c r="V2336" t="s">
        <v>2832</v>
      </c>
    </row>
    <row r="2337" spans="1:22" ht="15.75" thickBot="1" x14ac:dyDescent="0.3">
      <c r="A2337" t="s">
        <v>4693</v>
      </c>
      <c r="B2337" t="s">
        <v>4693</v>
      </c>
      <c r="C2337" t="s">
        <v>4693</v>
      </c>
      <c r="D2337" t="s">
        <v>629</v>
      </c>
      <c r="E2337" s="259" t="s">
        <v>1970</v>
      </c>
      <c r="F2337" t="s">
        <v>620</v>
      </c>
      <c r="G2337" s="89">
        <v>2022</v>
      </c>
      <c r="H2337" s="341" t="s">
        <v>733</v>
      </c>
      <c r="I2337" s="337" t="str">
        <f t="shared" si="98"/>
        <v>Pesado de Passageiros M3: I : Gasóleo : E6</v>
      </c>
      <c r="J2337" s="125">
        <v>108</v>
      </c>
      <c r="K2337" s="264">
        <v>2022</v>
      </c>
      <c r="L2337" s="85">
        <v>1575.5300000000002</v>
      </c>
      <c r="M2337" s="85" t="s">
        <v>630</v>
      </c>
      <c r="N2337" s="128">
        <v>8048.375</v>
      </c>
      <c r="O2337" s="128">
        <f t="shared" si="99"/>
        <v>869224.5</v>
      </c>
      <c r="P2337" s="89">
        <v>1309</v>
      </c>
      <c r="Q2337" t="s">
        <v>47</v>
      </c>
      <c r="R2337" s="220" t="s">
        <v>1888</v>
      </c>
      <c r="S2337" s="220" t="s">
        <v>1861</v>
      </c>
      <c r="U2337" t="s">
        <v>1972</v>
      </c>
      <c r="V2337" t="s">
        <v>2832</v>
      </c>
    </row>
    <row r="2338" spans="1:22" ht="15.75" thickBot="1" x14ac:dyDescent="0.3">
      <c r="A2338" t="s">
        <v>4693</v>
      </c>
      <c r="B2338" t="s">
        <v>4693</v>
      </c>
      <c r="C2338" t="s">
        <v>4693</v>
      </c>
      <c r="D2338" t="s">
        <v>629</v>
      </c>
      <c r="E2338" s="259" t="s">
        <v>1970</v>
      </c>
      <c r="F2338" t="s">
        <v>620</v>
      </c>
      <c r="G2338" s="89">
        <v>2022</v>
      </c>
      <c r="H2338" s="341" t="s">
        <v>733</v>
      </c>
      <c r="I2338" s="337" t="str">
        <f t="shared" si="98"/>
        <v>Pesado de Passageiros M3: I : Gasóleo : E6</v>
      </c>
      <c r="J2338" s="125">
        <v>108</v>
      </c>
      <c r="K2338" s="264">
        <v>2022</v>
      </c>
      <c r="L2338" s="85">
        <v>1823.77</v>
      </c>
      <c r="M2338" s="85" t="s">
        <v>630</v>
      </c>
      <c r="N2338" s="128">
        <v>9037.375</v>
      </c>
      <c r="O2338" s="128">
        <f t="shared" si="99"/>
        <v>976036.5</v>
      </c>
      <c r="P2338" s="89">
        <v>1310</v>
      </c>
      <c r="Q2338" t="s">
        <v>47</v>
      </c>
      <c r="R2338" s="220" t="s">
        <v>1888</v>
      </c>
      <c r="S2338" s="220" t="s">
        <v>1861</v>
      </c>
      <c r="U2338" t="s">
        <v>1972</v>
      </c>
      <c r="V2338" t="s">
        <v>2832</v>
      </c>
    </row>
    <row r="2339" spans="1:22" ht="15.75" thickBot="1" x14ac:dyDescent="0.3">
      <c r="A2339" t="s">
        <v>4693</v>
      </c>
      <c r="B2339" t="s">
        <v>4693</v>
      </c>
      <c r="C2339" t="s">
        <v>4693</v>
      </c>
      <c r="D2339" t="s">
        <v>629</v>
      </c>
      <c r="E2339" s="259" t="s">
        <v>1970</v>
      </c>
      <c r="F2339" t="s">
        <v>620</v>
      </c>
      <c r="G2339" s="89">
        <v>2022</v>
      </c>
      <c r="H2339" s="341" t="s">
        <v>733</v>
      </c>
      <c r="I2339" s="337" t="str">
        <f t="shared" si="98"/>
        <v>Pesado de Passageiros M3: I : Gasóleo : E6</v>
      </c>
      <c r="J2339" s="125">
        <v>108</v>
      </c>
      <c r="K2339" s="264">
        <v>2022</v>
      </c>
      <c r="L2339" s="85">
        <v>1188.4100000000001</v>
      </c>
      <c r="M2339" s="85" t="s">
        <v>630</v>
      </c>
      <c r="N2339" s="128">
        <v>6511.375</v>
      </c>
      <c r="O2339" s="128">
        <f t="shared" si="99"/>
        <v>703228.5</v>
      </c>
      <c r="P2339" s="89">
        <v>1311</v>
      </c>
      <c r="Q2339" t="s">
        <v>47</v>
      </c>
      <c r="R2339" s="220" t="s">
        <v>1888</v>
      </c>
      <c r="S2339" s="220" t="s">
        <v>1861</v>
      </c>
      <c r="U2339" t="s">
        <v>1972</v>
      </c>
      <c r="V2339" t="s">
        <v>2832</v>
      </c>
    </row>
    <row r="2340" spans="1:22" ht="15.75" thickBot="1" x14ac:dyDescent="0.3">
      <c r="A2340" t="s">
        <v>4693</v>
      </c>
      <c r="B2340" t="s">
        <v>4693</v>
      </c>
      <c r="C2340" t="s">
        <v>4693</v>
      </c>
      <c r="D2340" t="s">
        <v>629</v>
      </c>
      <c r="E2340" s="259" t="s">
        <v>1970</v>
      </c>
      <c r="F2340" t="s">
        <v>620</v>
      </c>
      <c r="G2340" s="89">
        <v>2022</v>
      </c>
      <c r="H2340" s="341" t="s">
        <v>733</v>
      </c>
      <c r="I2340" s="337" t="str">
        <f t="shared" si="98"/>
        <v>Pesado de Passageiros M3: I : Gasóleo : E6</v>
      </c>
      <c r="J2340" s="125">
        <v>108</v>
      </c>
      <c r="K2340" s="264">
        <v>2022</v>
      </c>
      <c r="L2340" s="85">
        <v>1797.04</v>
      </c>
      <c r="M2340" s="85" t="s">
        <v>630</v>
      </c>
      <c r="N2340" s="128">
        <v>8017.375</v>
      </c>
      <c r="O2340" s="128">
        <f t="shared" si="99"/>
        <v>865876.5</v>
      </c>
      <c r="P2340" s="89">
        <v>1312</v>
      </c>
      <c r="Q2340" t="s">
        <v>47</v>
      </c>
      <c r="R2340" s="220" t="s">
        <v>1888</v>
      </c>
      <c r="S2340" s="220" t="s">
        <v>1861</v>
      </c>
      <c r="U2340" t="s">
        <v>1972</v>
      </c>
      <c r="V2340" t="s">
        <v>2832</v>
      </c>
    </row>
    <row r="2341" spans="1:22" ht="15.75" thickBot="1" x14ac:dyDescent="0.3">
      <c r="A2341" t="s">
        <v>4693</v>
      </c>
      <c r="B2341" t="s">
        <v>4693</v>
      </c>
      <c r="C2341" t="s">
        <v>4693</v>
      </c>
      <c r="D2341" t="s">
        <v>629</v>
      </c>
      <c r="E2341" s="259" t="s">
        <v>1970</v>
      </c>
      <c r="F2341" t="s">
        <v>620</v>
      </c>
      <c r="G2341" s="89">
        <v>2022</v>
      </c>
      <c r="H2341" s="341" t="s">
        <v>733</v>
      </c>
      <c r="I2341" s="337" t="str">
        <f t="shared" si="98"/>
        <v>Pesado de Passageiros M3: I : Gasóleo : E6</v>
      </c>
      <c r="J2341" s="125">
        <v>108</v>
      </c>
      <c r="K2341" s="264">
        <v>2022</v>
      </c>
      <c r="L2341" s="85">
        <v>1599.6699999999998</v>
      </c>
      <c r="M2341" s="85" t="s">
        <v>630</v>
      </c>
      <c r="N2341" s="128">
        <v>8431.375</v>
      </c>
      <c r="O2341" s="128">
        <f t="shared" si="99"/>
        <v>910588.5</v>
      </c>
      <c r="P2341" s="89">
        <v>1313</v>
      </c>
      <c r="Q2341" t="s">
        <v>47</v>
      </c>
      <c r="R2341" s="220" t="s">
        <v>1888</v>
      </c>
      <c r="S2341" s="220" t="s">
        <v>1861</v>
      </c>
      <c r="U2341" t="s">
        <v>1972</v>
      </c>
      <c r="V2341" t="s">
        <v>2832</v>
      </c>
    </row>
    <row r="2342" spans="1:22" ht="15.75" thickBot="1" x14ac:dyDescent="0.3">
      <c r="A2342" t="s">
        <v>4693</v>
      </c>
      <c r="B2342" t="s">
        <v>4693</v>
      </c>
      <c r="C2342" t="s">
        <v>4693</v>
      </c>
      <c r="D2342" t="s">
        <v>629</v>
      </c>
      <c r="E2342" s="259" t="s">
        <v>1970</v>
      </c>
      <c r="F2342" t="s">
        <v>620</v>
      </c>
      <c r="G2342" s="89">
        <v>2022</v>
      </c>
      <c r="H2342" s="341" t="s">
        <v>733</v>
      </c>
      <c r="I2342" s="337" t="str">
        <f t="shared" si="98"/>
        <v>Pesado de Passageiros M3: I : Gasóleo : E6</v>
      </c>
      <c r="J2342" s="125">
        <v>108</v>
      </c>
      <c r="K2342" s="264">
        <v>2022</v>
      </c>
      <c r="L2342" s="85">
        <v>1509.58</v>
      </c>
      <c r="M2342" s="85" t="s">
        <v>630</v>
      </c>
      <c r="N2342" s="128">
        <v>7387.375</v>
      </c>
      <c r="O2342" s="128">
        <f t="shared" si="99"/>
        <v>797836.5</v>
      </c>
      <c r="P2342" s="89">
        <v>1314</v>
      </c>
      <c r="Q2342" t="s">
        <v>47</v>
      </c>
      <c r="R2342" s="220" t="s">
        <v>1888</v>
      </c>
      <c r="S2342" s="220" t="s">
        <v>1861</v>
      </c>
      <c r="U2342" t="s">
        <v>1972</v>
      </c>
      <c r="V2342" t="s">
        <v>2832</v>
      </c>
    </row>
    <row r="2343" spans="1:22" ht="15.75" thickBot="1" x14ac:dyDescent="0.3">
      <c r="A2343" t="s">
        <v>4693</v>
      </c>
      <c r="B2343" t="s">
        <v>4693</v>
      </c>
      <c r="C2343" t="s">
        <v>4693</v>
      </c>
      <c r="D2343" t="s">
        <v>629</v>
      </c>
      <c r="E2343" s="259" t="s">
        <v>1970</v>
      </c>
      <c r="F2343" t="s">
        <v>620</v>
      </c>
      <c r="G2343" s="89">
        <v>2022</v>
      </c>
      <c r="H2343" s="341" t="s">
        <v>733</v>
      </c>
      <c r="I2343" s="337" t="str">
        <f t="shared" si="98"/>
        <v>Pesado de Passageiros M3: I : Gasóleo : E6</v>
      </c>
      <c r="J2343" s="125">
        <v>108</v>
      </c>
      <c r="K2343" s="264">
        <v>2022</v>
      </c>
      <c r="L2343" s="85">
        <v>1715.6099999999997</v>
      </c>
      <c r="M2343" s="85" t="s">
        <v>630</v>
      </c>
      <c r="N2343" s="128">
        <v>8744.375</v>
      </c>
      <c r="O2343" s="128">
        <f t="shared" si="99"/>
        <v>944392.5</v>
      </c>
      <c r="P2343" s="89">
        <v>1364</v>
      </c>
      <c r="Q2343" t="s">
        <v>47</v>
      </c>
      <c r="R2343" s="220" t="s">
        <v>1888</v>
      </c>
      <c r="S2343" s="220" t="s">
        <v>1861</v>
      </c>
      <c r="U2343" t="s">
        <v>1972</v>
      </c>
      <c r="V2343" t="s">
        <v>2832</v>
      </c>
    </row>
    <row r="2344" spans="1:22" ht="15.75" thickBot="1" x14ac:dyDescent="0.3">
      <c r="A2344" t="s">
        <v>4693</v>
      </c>
      <c r="B2344" t="s">
        <v>4693</v>
      </c>
      <c r="C2344" t="s">
        <v>4693</v>
      </c>
      <c r="D2344" t="s">
        <v>629</v>
      </c>
      <c r="E2344" s="259" t="s">
        <v>1970</v>
      </c>
      <c r="F2344" t="s">
        <v>620</v>
      </c>
      <c r="G2344" s="89">
        <v>2022</v>
      </c>
      <c r="H2344" s="341" t="s">
        <v>733</v>
      </c>
      <c r="I2344" s="337" t="str">
        <f t="shared" si="98"/>
        <v>Pesado de Passageiros M3: I : Gasóleo : E6</v>
      </c>
      <c r="J2344" s="125">
        <v>108</v>
      </c>
      <c r="K2344" s="264">
        <v>2022</v>
      </c>
      <c r="L2344" s="85">
        <v>1688.24</v>
      </c>
      <c r="M2344" s="85" t="s">
        <v>630</v>
      </c>
      <c r="N2344" s="128">
        <v>8670.375</v>
      </c>
      <c r="O2344" s="128">
        <f t="shared" si="99"/>
        <v>936400.5</v>
      </c>
      <c r="P2344" s="89">
        <v>1368</v>
      </c>
      <c r="Q2344" t="s">
        <v>47</v>
      </c>
      <c r="R2344" s="220" t="s">
        <v>1888</v>
      </c>
      <c r="S2344" s="220" t="s">
        <v>1861</v>
      </c>
      <c r="U2344" t="s">
        <v>1972</v>
      </c>
      <c r="V2344" t="s">
        <v>2832</v>
      </c>
    </row>
    <row r="2345" spans="1:22" ht="15.75" thickBot="1" x14ac:dyDescent="0.3">
      <c r="A2345" t="s">
        <v>4693</v>
      </c>
      <c r="B2345" t="s">
        <v>4693</v>
      </c>
      <c r="C2345" t="s">
        <v>4693</v>
      </c>
      <c r="D2345" t="s">
        <v>629</v>
      </c>
      <c r="E2345" s="259" t="s">
        <v>1970</v>
      </c>
      <c r="F2345" t="s">
        <v>620</v>
      </c>
      <c r="G2345" s="89">
        <v>2022</v>
      </c>
      <c r="H2345" s="341" t="s">
        <v>733</v>
      </c>
      <c r="I2345" s="337" t="str">
        <f t="shared" si="98"/>
        <v>Pesado de Passageiros M3: I : Gasóleo : E6</v>
      </c>
      <c r="J2345" s="125">
        <v>108</v>
      </c>
      <c r="K2345" s="264">
        <v>2022</v>
      </c>
      <c r="L2345" s="85">
        <v>1590.54</v>
      </c>
      <c r="M2345" s="85" t="s">
        <v>630</v>
      </c>
      <c r="N2345" s="128">
        <v>8405.375</v>
      </c>
      <c r="O2345" s="128">
        <f t="shared" si="99"/>
        <v>907780.5</v>
      </c>
      <c r="P2345" s="89">
        <v>1369</v>
      </c>
      <c r="Q2345" t="s">
        <v>47</v>
      </c>
      <c r="R2345" s="220" t="s">
        <v>1888</v>
      </c>
      <c r="S2345" s="220" t="s">
        <v>1861</v>
      </c>
      <c r="U2345" t="s">
        <v>1972</v>
      </c>
      <c r="V2345" t="s">
        <v>2832</v>
      </c>
    </row>
    <row r="2346" spans="1:22" ht="15.75" thickBot="1" x14ac:dyDescent="0.3">
      <c r="A2346" t="s">
        <v>4693</v>
      </c>
      <c r="B2346" t="s">
        <v>4693</v>
      </c>
      <c r="C2346" t="s">
        <v>4693</v>
      </c>
      <c r="D2346" t="s">
        <v>629</v>
      </c>
      <c r="E2346" s="259" t="s">
        <v>1970</v>
      </c>
      <c r="F2346" t="s">
        <v>620</v>
      </c>
      <c r="G2346" s="89">
        <v>2022</v>
      </c>
      <c r="H2346" s="341" t="s">
        <v>733</v>
      </c>
      <c r="I2346" s="337" t="str">
        <f t="shared" si="98"/>
        <v>Pesado de Passageiros M3: I : Gasóleo : E6</v>
      </c>
      <c r="J2346" s="125">
        <v>108</v>
      </c>
      <c r="K2346" s="264">
        <v>2022</v>
      </c>
      <c r="L2346" s="85">
        <v>1849.6</v>
      </c>
      <c r="M2346" s="85" t="s">
        <v>630</v>
      </c>
      <c r="N2346" s="128">
        <v>9106.375</v>
      </c>
      <c r="O2346" s="128">
        <f t="shared" si="99"/>
        <v>983488.5</v>
      </c>
      <c r="P2346" s="89">
        <v>1379</v>
      </c>
      <c r="Q2346" t="s">
        <v>47</v>
      </c>
      <c r="R2346" s="220" t="s">
        <v>1888</v>
      </c>
      <c r="S2346" s="220" t="s">
        <v>1861</v>
      </c>
      <c r="U2346" t="s">
        <v>1972</v>
      </c>
      <c r="V2346" t="s">
        <v>2832</v>
      </c>
    </row>
    <row r="2347" spans="1:22" ht="15.75" thickBot="1" x14ac:dyDescent="0.3">
      <c r="A2347" t="s">
        <v>4693</v>
      </c>
      <c r="B2347" t="s">
        <v>4693</v>
      </c>
      <c r="C2347" t="s">
        <v>4693</v>
      </c>
      <c r="D2347" t="s">
        <v>629</v>
      </c>
      <c r="E2347" s="259" t="s">
        <v>1970</v>
      </c>
      <c r="F2347" t="s">
        <v>620</v>
      </c>
      <c r="G2347" s="89">
        <v>2022</v>
      </c>
      <c r="H2347" s="341" t="s">
        <v>733</v>
      </c>
      <c r="I2347" s="337" t="str">
        <f t="shared" si="98"/>
        <v>Pesado de Passageiros M3: I : Gasóleo : E6</v>
      </c>
      <c r="J2347" s="125">
        <v>108</v>
      </c>
      <c r="K2347" s="264">
        <v>2022</v>
      </c>
      <c r="L2347" s="85">
        <v>208.4</v>
      </c>
      <c r="M2347" s="85" t="s">
        <v>630</v>
      </c>
      <c r="N2347" s="128">
        <v>4671.375</v>
      </c>
      <c r="O2347" s="128">
        <f t="shared" si="99"/>
        <v>504508.5</v>
      </c>
      <c r="P2347" s="89">
        <v>1409</v>
      </c>
      <c r="Q2347" t="s">
        <v>47</v>
      </c>
      <c r="R2347" s="220" t="s">
        <v>1888</v>
      </c>
      <c r="S2347" s="220" t="s">
        <v>1861</v>
      </c>
      <c r="U2347" t="s">
        <v>1972</v>
      </c>
      <c r="V2347" t="s">
        <v>2832</v>
      </c>
    </row>
    <row r="2348" spans="1:22" ht="15.75" thickBot="1" x14ac:dyDescent="0.3">
      <c r="A2348" t="s">
        <v>4693</v>
      </c>
      <c r="B2348" t="s">
        <v>4693</v>
      </c>
      <c r="C2348" t="s">
        <v>4693</v>
      </c>
      <c r="D2348" t="s">
        <v>629</v>
      </c>
      <c r="E2348" s="259" t="s">
        <v>1970</v>
      </c>
      <c r="F2348" t="s">
        <v>620</v>
      </c>
      <c r="G2348" s="89">
        <v>1998</v>
      </c>
      <c r="H2348" s="341" t="s">
        <v>735</v>
      </c>
      <c r="I2348" s="337" t="str">
        <f t="shared" si="98"/>
        <v>Pesado de Passageiros M3: I : Gasóleo : E2</v>
      </c>
      <c r="J2348" s="125">
        <v>72</v>
      </c>
      <c r="K2348" s="264">
        <v>2022</v>
      </c>
      <c r="L2348" s="85">
        <v>14855.309999999996</v>
      </c>
      <c r="M2348" s="85" t="s">
        <v>630</v>
      </c>
      <c r="N2348" s="128">
        <v>35691.375</v>
      </c>
      <c r="O2348" s="128">
        <f t="shared" si="99"/>
        <v>2569779</v>
      </c>
      <c r="P2348" s="89">
        <v>220</v>
      </c>
      <c r="Q2348" t="s">
        <v>47</v>
      </c>
      <c r="R2348" s="220" t="s">
        <v>1888</v>
      </c>
      <c r="S2348" s="220" t="s">
        <v>1861</v>
      </c>
      <c r="U2348" t="s">
        <v>1972</v>
      </c>
      <c r="V2348" t="s">
        <v>2832</v>
      </c>
    </row>
    <row r="2349" spans="1:22" ht="15.75" thickBot="1" x14ac:dyDescent="0.3">
      <c r="A2349" t="s">
        <v>4693</v>
      </c>
      <c r="B2349" t="s">
        <v>4693</v>
      </c>
      <c r="C2349" t="s">
        <v>4693</v>
      </c>
      <c r="D2349" t="s">
        <v>629</v>
      </c>
      <c r="E2349" s="259" t="s">
        <v>1970</v>
      </c>
      <c r="F2349" t="s">
        <v>620</v>
      </c>
      <c r="G2349" s="89">
        <v>1998</v>
      </c>
      <c r="H2349" s="341" t="s">
        <v>735</v>
      </c>
      <c r="I2349" s="337" t="str">
        <f t="shared" si="98"/>
        <v>Pesado de Passageiros M3: I : Gasóleo : E2</v>
      </c>
      <c r="J2349" s="125">
        <v>72</v>
      </c>
      <c r="K2349" s="264">
        <v>2022</v>
      </c>
      <c r="L2349" s="85">
        <v>30763.05</v>
      </c>
      <c r="M2349" s="85" t="s">
        <v>630</v>
      </c>
      <c r="N2349" s="128">
        <v>65731.375</v>
      </c>
      <c r="O2349" s="128">
        <f t="shared" si="99"/>
        <v>4732659</v>
      </c>
      <c r="P2349" s="89">
        <v>221</v>
      </c>
      <c r="Q2349" t="s">
        <v>47</v>
      </c>
      <c r="R2349" s="220" t="s">
        <v>1888</v>
      </c>
      <c r="S2349" s="220" t="s">
        <v>1861</v>
      </c>
      <c r="U2349" t="s">
        <v>1972</v>
      </c>
      <c r="V2349" t="s">
        <v>2832</v>
      </c>
    </row>
    <row r="2350" spans="1:22" ht="15.75" thickBot="1" x14ac:dyDescent="0.3">
      <c r="A2350" t="s">
        <v>4693</v>
      </c>
      <c r="B2350" t="s">
        <v>4693</v>
      </c>
      <c r="C2350" t="s">
        <v>4693</v>
      </c>
      <c r="D2350" t="s">
        <v>629</v>
      </c>
      <c r="E2350" s="259" t="s">
        <v>1970</v>
      </c>
      <c r="F2350" t="s">
        <v>620</v>
      </c>
      <c r="G2350" s="89">
        <v>1998</v>
      </c>
      <c r="H2350" s="341" t="s">
        <v>735</v>
      </c>
      <c r="I2350" s="337" t="str">
        <f t="shared" si="98"/>
        <v>Pesado de Passageiros M3: I : Gasóleo : E2</v>
      </c>
      <c r="J2350" s="125">
        <v>72</v>
      </c>
      <c r="K2350" s="264">
        <v>2022</v>
      </c>
      <c r="L2350" s="85">
        <v>20617.149999999998</v>
      </c>
      <c r="M2350" s="85" t="s">
        <v>630</v>
      </c>
      <c r="N2350" s="128">
        <v>45342.394999999997</v>
      </c>
      <c r="O2350" s="128">
        <f t="shared" si="99"/>
        <v>3264652.44</v>
      </c>
      <c r="P2350" s="89">
        <v>222</v>
      </c>
      <c r="Q2350" t="s">
        <v>47</v>
      </c>
      <c r="R2350" s="220" t="s">
        <v>1888</v>
      </c>
      <c r="S2350" s="220" t="s">
        <v>1861</v>
      </c>
      <c r="U2350" t="s">
        <v>1972</v>
      </c>
      <c r="V2350" t="s">
        <v>2832</v>
      </c>
    </row>
    <row r="2351" spans="1:22" ht="15.75" thickBot="1" x14ac:dyDescent="0.3">
      <c r="A2351" t="s">
        <v>4693</v>
      </c>
      <c r="B2351" t="s">
        <v>4693</v>
      </c>
      <c r="C2351" t="s">
        <v>4693</v>
      </c>
      <c r="D2351" t="s">
        <v>629</v>
      </c>
      <c r="E2351" s="259" t="s">
        <v>1970</v>
      </c>
      <c r="F2351" t="s">
        <v>620</v>
      </c>
      <c r="G2351" s="89">
        <v>1998</v>
      </c>
      <c r="H2351" s="341" t="s">
        <v>735</v>
      </c>
      <c r="I2351" s="337" t="str">
        <f t="shared" si="98"/>
        <v>Pesado de Passageiros M3: I : Gasóleo : E2</v>
      </c>
      <c r="J2351" s="125">
        <v>72</v>
      </c>
      <c r="K2351" s="264">
        <v>2022</v>
      </c>
      <c r="L2351" s="85">
        <v>23831.889999999996</v>
      </c>
      <c r="M2351" s="85" t="s">
        <v>630</v>
      </c>
      <c r="N2351" s="128">
        <v>53272.375</v>
      </c>
      <c r="O2351" s="128">
        <f t="shared" si="99"/>
        <v>3835611</v>
      </c>
      <c r="P2351" s="89">
        <v>224</v>
      </c>
      <c r="Q2351" t="s">
        <v>47</v>
      </c>
      <c r="R2351" s="220" t="s">
        <v>1888</v>
      </c>
      <c r="S2351" s="220" t="s">
        <v>1861</v>
      </c>
      <c r="U2351" t="s">
        <v>1972</v>
      </c>
      <c r="V2351" t="s">
        <v>2832</v>
      </c>
    </row>
    <row r="2352" spans="1:22" ht="15.75" thickBot="1" x14ac:dyDescent="0.3">
      <c r="A2352" t="s">
        <v>4693</v>
      </c>
      <c r="B2352" t="s">
        <v>4693</v>
      </c>
      <c r="C2352" t="s">
        <v>4693</v>
      </c>
      <c r="D2352" t="s">
        <v>629</v>
      </c>
      <c r="E2352" s="259" t="s">
        <v>1970</v>
      </c>
      <c r="F2352" t="s">
        <v>620</v>
      </c>
      <c r="G2352" s="89">
        <v>1998</v>
      </c>
      <c r="H2352" s="341" t="s">
        <v>735</v>
      </c>
      <c r="I2352" s="337" t="str">
        <f t="shared" si="98"/>
        <v>Pesado de Passageiros M3: I : Gasóleo : E2</v>
      </c>
      <c r="J2352" s="125">
        <v>72</v>
      </c>
      <c r="K2352" s="264">
        <v>2022</v>
      </c>
      <c r="L2352" s="85">
        <v>29021.119999999988</v>
      </c>
      <c r="M2352" s="85" t="s">
        <v>630</v>
      </c>
      <c r="N2352" s="128">
        <v>52163.375</v>
      </c>
      <c r="O2352" s="128">
        <f t="shared" si="99"/>
        <v>3755763</v>
      </c>
      <c r="P2352" s="89">
        <v>226</v>
      </c>
      <c r="Q2352" t="s">
        <v>47</v>
      </c>
      <c r="R2352" s="220" t="s">
        <v>1888</v>
      </c>
      <c r="S2352" s="220" t="s">
        <v>1861</v>
      </c>
      <c r="U2352" t="s">
        <v>1972</v>
      </c>
      <c r="V2352" t="s">
        <v>2832</v>
      </c>
    </row>
    <row r="2353" spans="1:22" ht="15.75" thickBot="1" x14ac:dyDescent="0.3">
      <c r="A2353" t="s">
        <v>4693</v>
      </c>
      <c r="B2353" t="s">
        <v>4693</v>
      </c>
      <c r="C2353" t="s">
        <v>4693</v>
      </c>
      <c r="D2353" t="s">
        <v>629</v>
      </c>
      <c r="E2353" s="259" t="s">
        <v>1970</v>
      </c>
      <c r="F2353" t="s">
        <v>620</v>
      </c>
      <c r="G2353" s="89">
        <v>1998</v>
      </c>
      <c r="H2353" s="341" t="s">
        <v>735</v>
      </c>
      <c r="I2353" s="337" t="str">
        <f t="shared" si="98"/>
        <v>Pesado de Passageiros M3: I : Gasóleo : E2</v>
      </c>
      <c r="J2353" s="125">
        <v>72</v>
      </c>
      <c r="K2353" s="264">
        <v>2022</v>
      </c>
      <c r="L2353" s="85">
        <v>21017.190000000006</v>
      </c>
      <c r="M2353" s="85" t="s">
        <v>630</v>
      </c>
      <c r="N2353" s="128">
        <v>47589.375</v>
      </c>
      <c r="O2353" s="128">
        <f t="shared" si="99"/>
        <v>3426435</v>
      </c>
      <c r="P2353" s="89">
        <v>227</v>
      </c>
      <c r="Q2353" t="s">
        <v>47</v>
      </c>
      <c r="R2353" s="220" t="s">
        <v>1888</v>
      </c>
      <c r="S2353" s="220" t="s">
        <v>1861</v>
      </c>
      <c r="U2353" t="s">
        <v>1972</v>
      </c>
      <c r="V2353" t="s">
        <v>2832</v>
      </c>
    </row>
    <row r="2354" spans="1:22" ht="15.75" thickBot="1" x14ac:dyDescent="0.3">
      <c r="A2354" t="s">
        <v>4693</v>
      </c>
      <c r="B2354" t="s">
        <v>4693</v>
      </c>
      <c r="C2354" t="s">
        <v>4693</v>
      </c>
      <c r="D2354" t="s">
        <v>629</v>
      </c>
      <c r="E2354" s="259" t="s">
        <v>1970</v>
      </c>
      <c r="F2354" t="s">
        <v>620</v>
      </c>
      <c r="G2354" s="89">
        <v>1998</v>
      </c>
      <c r="H2354" s="341" t="s">
        <v>735</v>
      </c>
      <c r="I2354" s="337" t="str">
        <f t="shared" si="98"/>
        <v>Pesado de Passageiros M3: I : Gasóleo : E2</v>
      </c>
      <c r="J2354" s="125">
        <v>72</v>
      </c>
      <c r="K2354" s="264">
        <v>2022</v>
      </c>
      <c r="L2354" s="85">
        <v>31525.179999999997</v>
      </c>
      <c r="M2354" s="85" t="s">
        <v>630</v>
      </c>
      <c r="N2354" s="128">
        <v>64387.375</v>
      </c>
      <c r="O2354" s="128">
        <f t="shared" si="99"/>
        <v>4635891</v>
      </c>
      <c r="P2354" s="89">
        <v>230</v>
      </c>
      <c r="Q2354" t="s">
        <v>47</v>
      </c>
      <c r="R2354" s="220" t="s">
        <v>1888</v>
      </c>
      <c r="S2354" s="220" t="s">
        <v>1861</v>
      </c>
      <c r="U2354" t="s">
        <v>1972</v>
      </c>
      <c r="V2354" t="s">
        <v>2832</v>
      </c>
    </row>
    <row r="2355" spans="1:22" ht="15.75" thickBot="1" x14ac:dyDescent="0.3">
      <c r="A2355" t="s">
        <v>4693</v>
      </c>
      <c r="B2355" t="s">
        <v>4693</v>
      </c>
      <c r="C2355" t="s">
        <v>4693</v>
      </c>
      <c r="D2355" t="s">
        <v>629</v>
      </c>
      <c r="E2355" s="259" t="s">
        <v>1970</v>
      </c>
      <c r="F2355" t="s">
        <v>620</v>
      </c>
      <c r="G2355" s="89">
        <v>1998</v>
      </c>
      <c r="H2355" s="341" t="s">
        <v>735</v>
      </c>
      <c r="I2355" s="337" t="str">
        <f t="shared" si="98"/>
        <v>Pesado de Passageiros M3: I : Gasóleo : E2</v>
      </c>
      <c r="J2355" s="125">
        <v>72</v>
      </c>
      <c r="K2355" s="264">
        <v>2022</v>
      </c>
      <c r="L2355" s="85">
        <v>33913.480000000003</v>
      </c>
      <c r="M2355" s="85" t="s">
        <v>630</v>
      </c>
      <c r="N2355" s="128">
        <v>65434.796338155662</v>
      </c>
      <c r="O2355" s="128">
        <f t="shared" si="99"/>
        <v>4711305.3363472074</v>
      </c>
      <c r="P2355" s="89">
        <v>231</v>
      </c>
      <c r="Q2355" t="s">
        <v>47</v>
      </c>
      <c r="R2355" s="220" t="s">
        <v>1888</v>
      </c>
      <c r="S2355" s="220" t="s">
        <v>1861</v>
      </c>
      <c r="U2355" t="s">
        <v>1972</v>
      </c>
      <c r="V2355" t="s">
        <v>2832</v>
      </c>
    </row>
    <row r="2356" spans="1:22" ht="15.75" thickBot="1" x14ac:dyDescent="0.3">
      <c r="A2356" t="s">
        <v>4693</v>
      </c>
      <c r="B2356" t="s">
        <v>4693</v>
      </c>
      <c r="C2356" t="s">
        <v>4693</v>
      </c>
      <c r="D2356" t="s">
        <v>629</v>
      </c>
      <c r="E2356" s="259" t="s">
        <v>1970</v>
      </c>
      <c r="F2356" t="s">
        <v>620</v>
      </c>
      <c r="G2356" s="89">
        <v>1998</v>
      </c>
      <c r="H2356" s="341" t="s">
        <v>735</v>
      </c>
      <c r="I2356" s="337" t="str">
        <f t="shared" si="98"/>
        <v>Pesado de Passageiros M3: I : Gasóleo : E2</v>
      </c>
      <c r="J2356" s="125">
        <v>72</v>
      </c>
      <c r="K2356" s="264">
        <v>2022</v>
      </c>
      <c r="L2356" s="85">
        <v>27824.969999999961</v>
      </c>
      <c r="M2356" s="85" t="s">
        <v>630</v>
      </c>
      <c r="N2356" s="128">
        <v>55515.375</v>
      </c>
      <c r="O2356" s="128">
        <f t="shared" si="99"/>
        <v>3997107</v>
      </c>
      <c r="P2356" s="89">
        <v>232</v>
      </c>
      <c r="Q2356" t="s">
        <v>47</v>
      </c>
      <c r="R2356" s="220" t="s">
        <v>1888</v>
      </c>
      <c r="S2356" s="220" t="s">
        <v>1861</v>
      </c>
      <c r="U2356" t="s">
        <v>1972</v>
      </c>
      <c r="V2356" t="s">
        <v>2832</v>
      </c>
    </row>
    <row r="2357" spans="1:22" ht="15.75" thickBot="1" x14ac:dyDescent="0.3">
      <c r="A2357" t="s">
        <v>4693</v>
      </c>
      <c r="B2357" t="s">
        <v>4693</v>
      </c>
      <c r="C2357" t="s">
        <v>4693</v>
      </c>
      <c r="D2357" t="s">
        <v>629</v>
      </c>
      <c r="E2357" s="259" t="s">
        <v>1970</v>
      </c>
      <c r="F2357" t="s">
        <v>620</v>
      </c>
      <c r="G2357" s="89">
        <v>1998</v>
      </c>
      <c r="H2357" s="341" t="s">
        <v>735</v>
      </c>
      <c r="I2357" s="337" t="str">
        <f t="shared" si="98"/>
        <v>Pesado de Passageiros M3: I : Gasóleo : E2</v>
      </c>
      <c r="J2357" s="125">
        <v>72</v>
      </c>
      <c r="K2357" s="264">
        <v>2022</v>
      </c>
      <c r="L2357" s="85">
        <v>30734.170000000016</v>
      </c>
      <c r="M2357" s="85" t="s">
        <v>630</v>
      </c>
      <c r="N2357" s="128">
        <v>68214.375</v>
      </c>
      <c r="O2357" s="128">
        <f t="shared" si="99"/>
        <v>4911435</v>
      </c>
      <c r="P2357" s="89">
        <v>234</v>
      </c>
      <c r="Q2357" t="s">
        <v>47</v>
      </c>
      <c r="R2357" s="220" t="s">
        <v>1888</v>
      </c>
      <c r="S2357" s="220" t="s">
        <v>1861</v>
      </c>
      <c r="U2357" t="s">
        <v>1972</v>
      </c>
      <c r="V2357" t="s">
        <v>2832</v>
      </c>
    </row>
    <row r="2358" spans="1:22" ht="15.75" thickBot="1" x14ac:dyDescent="0.3">
      <c r="A2358" t="s">
        <v>4693</v>
      </c>
      <c r="B2358" t="s">
        <v>4693</v>
      </c>
      <c r="C2358" t="s">
        <v>4693</v>
      </c>
      <c r="D2358" t="s">
        <v>629</v>
      </c>
      <c r="E2358" s="259" t="s">
        <v>1970</v>
      </c>
      <c r="F2358" t="s">
        <v>620</v>
      </c>
      <c r="G2358" s="89">
        <v>1998</v>
      </c>
      <c r="H2358" s="341" t="s">
        <v>735</v>
      </c>
      <c r="I2358" s="337" t="str">
        <f t="shared" si="98"/>
        <v>Pesado de Passageiros M3: I : Gasóleo : E2</v>
      </c>
      <c r="J2358" s="125">
        <v>72</v>
      </c>
      <c r="K2358" s="264">
        <v>2022</v>
      </c>
      <c r="L2358" s="85">
        <v>22517.599999999995</v>
      </c>
      <c r="M2358" s="85" t="s">
        <v>630</v>
      </c>
      <c r="N2358" s="128">
        <v>50513.375</v>
      </c>
      <c r="O2358" s="128">
        <f t="shared" si="99"/>
        <v>3636963</v>
      </c>
      <c r="P2358" s="89">
        <v>236</v>
      </c>
      <c r="Q2358" t="s">
        <v>47</v>
      </c>
      <c r="R2358" s="220" t="s">
        <v>1888</v>
      </c>
      <c r="S2358" s="220" t="s">
        <v>1861</v>
      </c>
      <c r="U2358" t="s">
        <v>1972</v>
      </c>
      <c r="V2358" t="s">
        <v>2832</v>
      </c>
    </row>
    <row r="2359" spans="1:22" ht="15.75" thickBot="1" x14ac:dyDescent="0.3">
      <c r="A2359" t="s">
        <v>4693</v>
      </c>
      <c r="B2359" t="s">
        <v>4693</v>
      </c>
      <c r="C2359" t="s">
        <v>4693</v>
      </c>
      <c r="D2359" t="s">
        <v>629</v>
      </c>
      <c r="E2359" s="259" t="s">
        <v>1970</v>
      </c>
      <c r="F2359" t="s">
        <v>620</v>
      </c>
      <c r="G2359" s="89">
        <v>1998</v>
      </c>
      <c r="H2359" s="341" t="s">
        <v>735</v>
      </c>
      <c r="I2359" s="337" t="str">
        <f t="shared" si="98"/>
        <v>Pesado de Passageiros M3: I : Gasóleo : E2</v>
      </c>
      <c r="J2359" s="125">
        <v>72</v>
      </c>
      <c r="K2359" s="264">
        <v>2022</v>
      </c>
      <c r="L2359" s="85">
        <v>14401.349999999995</v>
      </c>
      <c r="M2359" s="85" t="s">
        <v>630</v>
      </c>
      <c r="N2359" s="128">
        <v>32354.375</v>
      </c>
      <c r="O2359" s="128">
        <f t="shared" si="99"/>
        <v>2329515</v>
      </c>
      <c r="P2359" s="89">
        <v>237</v>
      </c>
      <c r="Q2359" t="s">
        <v>47</v>
      </c>
      <c r="R2359" s="220" t="s">
        <v>1888</v>
      </c>
      <c r="S2359" s="220" t="s">
        <v>1861</v>
      </c>
      <c r="U2359" t="s">
        <v>1972</v>
      </c>
      <c r="V2359" t="s">
        <v>2832</v>
      </c>
    </row>
    <row r="2360" spans="1:22" ht="15.75" thickBot="1" x14ac:dyDescent="0.3">
      <c r="A2360" t="s">
        <v>4693</v>
      </c>
      <c r="B2360" t="s">
        <v>4693</v>
      </c>
      <c r="C2360" t="s">
        <v>4693</v>
      </c>
      <c r="D2360" t="s">
        <v>629</v>
      </c>
      <c r="E2360" s="259" t="s">
        <v>1970</v>
      </c>
      <c r="F2360" t="s">
        <v>620</v>
      </c>
      <c r="G2360" s="89">
        <v>1998</v>
      </c>
      <c r="H2360" s="341" t="s">
        <v>735</v>
      </c>
      <c r="I2360" s="337" t="str">
        <f t="shared" si="98"/>
        <v>Pesado de Passageiros M3: I : Gasóleo : E2</v>
      </c>
      <c r="J2360" s="125">
        <v>72</v>
      </c>
      <c r="K2360" s="264">
        <v>2022</v>
      </c>
      <c r="L2360" s="85">
        <v>7835.1400000000021</v>
      </c>
      <c r="M2360" s="85" t="s">
        <v>630</v>
      </c>
      <c r="N2360" s="128">
        <v>19891.375</v>
      </c>
      <c r="O2360" s="128">
        <f t="shared" si="99"/>
        <v>1432179</v>
      </c>
      <c r="P2360" s="89">
        <v>238</v>
      </c>
      <c r="Q2360" t="s">
        <v>47</v>
      </c>
      <c r="R2360" s="220" t="s">
        <v>1888</v>
      </c>
      <c r="S2360" s="220" t="s">
        <v>1861</v>
      </c>
      <c r="U2360" t="s">
        <v>1972</v>
      </c>
      <c r="V2360" t="s">
        <v>2832</v>
      </c>
    </row>
    <row r="2361" spans="1:22" ht="15.75" thickBot="1" x14ac:dyDescent="0.3">
      <c r="A2361" t="s">
        <v>4693</v>
      </c>
      <c r="B2361" t="s">
        <v>4693</v>
      </c>
      <c r="C2361" t="s">
        <v>4693</v>
      </c>
      <c r="D2361" t="s">
        <v>629</v>
      </c>
      <c r="E2361" s="259" t="s">
        <v>1970</v>
      </c>
      <c r="F2361" t="s">
        <v>620</v>
      </c>
      <c r="G2361" s="89">
        <v>1999</v>
      </c>
      <c r="H2361" s="341" t="s">
        <v>735</v>
      </c>
      <c r="I2361" s="337" t="str">
        <f t="shared" si="98"/>
        <v>Pesado de Passageiros M3: I : Gasóleo : E2</v>
      </c>
      <c r="J2361" s="125">
        <v>72</v>
      </c>
      <c r="K2361" s="264">
        <v>2022</v>
      </c>
      <c r="L2361" s="85">
        <v>27344.37</v>
      </c>
      <c r="M2361" s="85" t="s">
        <v>630</v>
      </c>
      <c r="N2361" s="128">
        <v>54746.319444445253</v>
      </c>
      <c r="O2361" s="128">
        <f t="shared" si="99"/>
        <v>3941735.0000000582</v>
      </c>
      <c r="P2361" s="89">
        <v>247</v>
      </c>
      <c r="Q2361" t="s">
        <v>47</v>
      </c>
      <c r="R2361" s="220" t="s">
        <v>1888</v>
      </c>
      <c r="S2361" s="220" t="s">
        <v>1861</v>
      </c>
      <c r="U2361" t="s">
        <v>1972</v>
      </c>
      <c r="V2361" t="s">
        <v>2832</v>
      </c>
    </row>
    <row r="2362" spans="1:22" ht="15.75" thickBot="1" x14ac:dyDescent="0.3">
      <c r="A2362" t="s">
        <v>4693</v>
      </c>
      <c r="B2362" t="s">
        <v>4693</v>
      </c>
      <c r="C2362" t="s">
        <v>4693</v>
      </c>
      <c r="D2362" t="s">
        <v>629</v>
      </c>
      <c r="E2362" s="259" t="s">
        <v>1970</v>
      </c>
      <c r="F2362" t="s">
        <v>620</v>
      </c>
      <c r="G2362" s="89">
        <v>2000</v>
      </c>
      <c r="H2362" s="341" t="s">
        <v>735</v>
      </c>
      <c r="I2362" s="337" t="str">
        <f t="shared" si="98"/>
        <v>Pesado de Passageiros M3: I : Gasóleo : E2</v>
      </c>
      <c r="J2362" s="125">
        <v>72</v>
      </c>
      <c r="K2362" s="264">
        <v>2022</v>
      </c>
      <c r="L2362" s="85">
        <v>26576.649999999991</v>
      </c>
      <c r="M2362" s="85" t="s">
        <v>630</v>
      </c>
      <c r="N2362" s="128">
        <v>57464.15500000061</v>
      </c>
      <c r="O2362" s="128">
        <f t="shared" si="99"/>
        <v>4137419.1600000439</v>
      </c>
      <c r="P2362" s="89">
        <v>250</v>
      </c>
      <c r="Q2362" t="s">
        <v>47</v>
      </c>
      <c r="R2362" s="220" t="s">
        <v>1888</v>
      </c>
      <c r="S2362" s="220" t="s">
        <v>1861</v>
      </c>
      <c r="U2362" t="s">
        <v>1972</v>
      </c>
      <c r="V2362" t="s">
        <v>2832</v>
      </c>
    </row>
    <row r="2363" spans="1:22" ht="15.75" thickBot="1" x14ac:dyDescent="0.3">
      <c r="A2363" t="s">
        <v>4693</v>
      </c>
      <c r="B2363" t="s">
        <v>4693</v>
      </c>
      <c r="C2363" t="s">
        <v>4693</v>
      </c>
      <c r="D2363" t="s">
        <v>629</v>
      </c>
      <c r="E2363" s="259" t="s">
        <v>1970</v>
      </c>
      <c r="F2363" t="s">
        <v>620</v>
      </c>
      <c r="G2363" s="89">
        <v>2000</v>
      </c>
      <c r="H2363" s="341" t="s">
        <v>735</v>
      </c>
      <c r="I2363" s="337" t="str">
        <f t="shared" si="98"/>
        <v>Pesado de Passageiros M3: I : Gasóleo : E2</v>
      </c>
      <c r="J2363" s="125">
        <v>72</v>
      </c>
      <c r="K2363" s="264">
        <v>2022</v>
      </c>
      <c r="L2363" s="85">
        <v>24220.739999999972</v>
      </c>
      <c r="M2363" s="85" t="s">
        <v>630</v>
      </c>
      <c r="N2363" s="128">
        <v>52918.375</v>
      </c>
      <c r="O2363" s="128">
        <f t="shared" si="99"/>
        <v>3810123</v>
      </c>
      <c r="P2363" s="89">
        <v>253</v>
      </c>
      <c r="Q2363" t="s">
        <v>47</v>
      </c>
      <c r="R2363" s="220" t="s">
        <v>1888</v>
      </c>
      <c r="S2363" s="220" t="s">
        <v>1861</v>
      </c>
      <c r="U2363" t="s">
        <v>1972</v>
      </c>
      <c r="V2363" t="s">
        <v>2832</v>
      </c>
    </row>
    <row r="2364" spans="1:22" ht="15.75" thickBot="1" x14ac:dyDescent="0.3">
      <c r="A2364" t="s">
        <v>4693</v>
      </c>
      <c r="B2364" t="s">
        <v>4693</v>
      </c>
      <c r="C2364" t="s">
        <v>4693</v>
      </c>
      <c r="D2364" t="s">
        <v>629</v>
      </c>
      <c r="E2364" s="259" t="s">
        <v>1970</v>
      </c>
      <c r="F2364" t="s">
        <v>620</v>
      </c>
      <c r="G2364" s="89">
        <v>2000</v>
      </c>
      <c r="H2364" s="341" t="s">
        <v>735</v>
      </c>
      <c r="I2364" s="337" t="str">
        <f t="shared" si="98"/>
        <v>Pesado de Passageiros M3: I : Gasóleo : E2</v>
      </c>
      <c r="J2364" s="125">
        <v>72</v>
      </c>
      <c r="K2364" s="264">
        <v>2022</v>
      </c>
      <c r="L2364" s="85">
        <v>24606.61</v>
      </c>
      <c r="M2364" s="85" t="s">
        <v>630</v>
      </c>
      <c r="N2364" s="128">
        <v>53321.074999999997</v>
      </c>
      <c r="O2364" s="128">
        <f t="shared" si="99"/>
        <v>3839117.4</v>
      </c>
      <c r="P2364" s="89">
        <v>254</v>
      </c>
      <c r="Q2364" t="s">
        <v>47</v>
      </c>
      <c r="R2364" s="220" t="s">
        <v>1888</v>
      </c>
      <c r="S2364" s="220" t="s">
        <v>1861</v>
      </c>
      <c r="U2364" t="s">
        <v>1972</v>
      </c>
      <c r="V2364" t="s">
        <v>2832</v>
      </c>
    </row>
    <row r="2365" spans="1:22" ht="15.75" thickBot="1" x14ac:dyDescent="0.3">
      <c r="A2365" t="s">
        <v>4693</v>
      </c>
      <c r="B2365" t="s">
        <v>4693</v>
      </c>
      <c r="C2365" t="s">
        <v>4693</v>
      </c>
      <c r="D2365" t="s">
        <v>629</v>
      </c>
      <c r="E2365" s="259" t="s">
        <v>1970</v>
      </c>
      <c r="F2365" t="s">
        <v>620</v>
      </c>
      <c r="G2365" s="89">
        <v>2000</v>
      </c>
      <c r="H2365" s="341" t="s">
        <v>735</v>
      </c>
      <c r="I2365" s="337" t="str">
        <f t="shared" si="98"/>
        <v>Pesado de Passageiros M3: I : Gasóleo : E2</v>
      </c>
      <c r="J2365" s="125">
        <v>72</v>
      </c>
      <c r="K2365" s="264">
        <v>2022</v>
      </c>
      <c r="L2365" s="85">
        <v>29772.770000000004</v>
      </c>
      <c r="M2365" s="85" t="s">
        <v>630</v>
      </c>
      <c r="N2365" s="128">
        <v>55814.375</v>
      </c>
      <c r="O2365" s="128">
        <f t="shared" si="99"/>
        <v>4018635</v>
      </c>
      <c r="P2365" s="89">
        <v>255</v>
      </c>
      <c r="Q2365" t="s">
        <v>47</v>
      </c>
      <c r="R2365" s="220" t="s">
        <v>1888</v>
      </c>
      <c r="S2365" s="220" t="s">
        <v>1861</v>
      </c>
      <c r="U2365" t="s">
        <v>1972</v>
      </c>
      <c r="V2365" t="s">
        <v>2832</v>
      </c>
    </row>
    <row r="2366" spans="1:22" ht="15.75" thickBot="1" x14ac:dyDescent="0.3">
      <c r="A2366" t="s">
        <v>4693</v>
      </c>
      <c r="B2366" t="s">
        <v>4693</v>
      </c>
      <c r="C2366" t="s">
        <v>4693</v>
      </c>
      <c r="D2366" t="s">
        <v>629</v>
      </c>
      <c r="E2366" s="259" t="s">
        <v>1970</v>
      </c>
      <c r="F2366" t="s">
        <v>620</v>
      </c>
      <c r="G2366" s="89">
        <v>2000</v>
      </c>
      <c r="H2366" s="341" t="s">
        <v>735</v>
      </c>
      <c r="I2366" s="337" t="str">
        <f t="shared" si="98"/>
        <v>Pesado de Passageiros M3: I : Gasóleo : E2</v>
      </c>
      <c r="J2366" s="125">
        <v>72</v>
      </c>
      <c r="K2366" s="264">
        <v>2022</v>
      </c>
      <c r="L2366" s="85">
        <v>35663.690000000017</v>
      </c>
      <c r="M2366" s="85" t="s">
        <v>630</v>
      </c>
      <c r="N2366" s="128">
        <v>69727.486111110979</v>
      </c>
      <c r="O2366" s="128">
        <f t="shared" si="99"/>
        <v>5020378.9999999907</v>
      </c>
      <c r="P2366" s="89">
        <v>263</v>
      </c>
      <c r="Q2366" t="s">
        <v>47</v>
      </c>
      <c r="R2366" s="220" t="s">
        <v>1888</v>
      </c>
      <c r="S2366" s="220" t="s">
        <v>1861</v>
      </c>
      <c r="U2366" t="s">
        <v>1972</v>
      </c>
      <c r="V2366" t="s">
        <v>2832</v>
      </c>
    </row>
    <row r="2367" spans="1:22" ht="15.75" thickBot="1" x14ac:dyDescent="0.3">
      <c r="A2367" t="s">
        <v>4693</v>
      </c>
      <c r="B2367" t="s">
        <v>4693</v>
      </c>
      <c r="C2367" t="s">
        <v>4693</v>
      </c>
      <c r="D2367" t="s">
        <v>629</v>
      </c>
      <c r="E2367" s="259" t="s">
        <v>1970</v>
      </c>
      <c r="F2367" t="s">
        <v>620</v>
      </c>
      <c r="G2367" s="89">
        <v>2000</v>
      </c>
      <c r="H2367" s="341" t="s">
        <v>735</v>
      </c>
      <c r="I2367" s="337" t="str">
        <f t="shared" si="98"/>
        <v>Pesado de Passageiros M3: I : Gasóleo : E2</v>
      </c>
      <c r="J2367" s="125">
        <v>72</v>
      </c>
      <c r="K2367" s="264">
        <v>2022</v>
      </c>
      <c r="L2367" s="85">
        <v>27795.489999999994</v>
      </c>
      <c r="M2367" s="85" t="s">
        <v>630</v>
      </c>
      <c r="N2367" s="128">
        <v>57755.025732459588</v>
      </c>
      <c r="O2367" s="128">
        <f t="shared" si="99"/>
        <v>4158361.8527370906</v>
      </c>
      <c r="P2367" s="89">
        <v>264</v>
      </c>
      <c r="Q2367" t="s">
        <v>47</v>
      </c>
      <c r="R2367" s="220" t="s">
        <v>1888</v>
      </c>
      <c r="S2367" s="220" t="s">
        <v>1861</v>
      </c>
      <c r="U2367" t="s">
        <v>1972</v>
      </c>
      <c r="V2367" t="s">
        <v>2832</v>
      </c>
    </row>
    <row r="2368" spans="1:22" ht="15.75" thickBot="1" x14ac:dyDescent="0.3">
      <c r="A2368" t="s">
        <v>4693</v>
      </c>
      <c r="B2368" t="s">
        <v>4693</v>
      </c>
      <c r="C2368" t="s">
        <v>4693</v>
      </c>
      <c r="D2368" t="s">
        <v>629</v>
      </c>
      <c r="E2368" s="259" t="s">
        <v>1970</v>
      </c>
      <c r="F2368" t="s">
        <v>620</v>
      </c>
      <c r="G2368" s="89">
        <v>2000</v>
      </c>
      <c r="H2368" s="341" t="s">
        <v>735</v>
      </c>
      <c r="I2368" s="337" t="str">
        <f t="shared" si="98"/>
        <v>Pesado de Passageiros M3: I : Gasóleo : E2</v>
      </c>
      <c r="J2368" s="125">
        <v>72</v>
      </c>
      <c r="K2368" s="264">
        <v>2022</v>
      </c>
      <c r="L2368" s="85">
        <v>26345.01999999999</v>
      </c>
      <c r="M2368" s="85" t="s">
        <v>630</v>
      </c>
      <c r="N2368" s="128">
        <v>59109.375</v>
      </c>
      <c r="O2368" s="128">
        <f t="shared" si="99"/>
        <v>4255875</v>
      </c>
      <c r="P2368" s="89">
        <v>269</v>
      </c>
      <c r="Q2368" t="s">
        <v>47</v>
      </c>
      <c r="R2368" s="220" t="s">
        <v>1888</v>
      </c>
      <c r="S2368" s="220" t="s">
        <v>1861</v>
      </c>
      <c r="U2368" t="s">
        <v>1972</v>
      </c>
      <c r="V2368" t="s">
        <v>2832</v>
      </c>
    </row>
    <row r="2369" spans="1:22" ht="15.75" thickBot="1" x14ac:dyDescent="0.3">
      <c r="A2369" t="s">
        <v>4693</v>
      </c>
      <c r="B2369" t="s">
        <v>4693</v>
      </c>
      <c r="C2369" t="s">
        <v>4693</v>
      </c>
      <c r="D2369" t="s">
        <v>629</v>
      </c>
      <c r="E2369" s="259" t="s">
        <v>1970</v>
      </c>
      <c r="F2369" t="s">
        <v>620</v>
      </c>
      <c r="G2369" s="89">
        <v>2000</v>
      </c>
      <c r="H2369" s="341" t="s">
        <v>735</v>
      </c>
      <c r="I2369" s="337" t="str">
        <f t="shared" si="98"/>
        <v>Pesado de Passageiros M3: I : Gasóleo : E2</v>
      </c>
      <c r="J2369" s="125">
        <v>72</v>
      </c>
      <c r="K2369" s="264">
        <v>2022</v>
      </c>
      <c r="L2369" s="85">
        <v>32315.520000000008</v>
      </c>
      <c r="M2369" s="85" t="s">
        <v>630</v>
      </c>
      <c r="N2369" s="128">
        <v>68999.375</v>
      </c>
      <c r="O2369" s="128">
        <f t="shared" si="99"/>
        <v>4967955</v>
      </c>
      <c r="P2369" s="89">
        <v>271</v>
      </c>
      <c r="Q2369" t="s">
        <v>47</v>
      </c>
      <c r="R2369" s="220" t="s">
        <v>1888</v>
      </c>
      <c r="S2369" s="220" t="s">
        <v>1861</v>
      </c>
      <c r="U2369" t="s">
        <v>1972</v>
      </c>
      <c r="V2369" t="s">
        <v>2832</v>
      </c>
    </row>
    <row r="2370" spans="1:22" ht="15.75" thickBot="1" x14ac:dyDescent="0.3">
      <c r="A2370" t="s">
        <v>4693</v>
      </c>
      <c r="B2370" t="s">
        <v>4693</v>
      </c>
      <c r="C2370" t="s">
        <v>4693</v>
      </c>
      <c r="D2370" t="s">
        <v>629</v>
      </c>
      <c r="E2370" s="259" t="s">
        <v>1970</v>
      </c>
      <c r="F2370" t="s">
        <v>620</v>
      </c>
      <c r="G2370" s="89">
        <v>2000</v>
      </c>
      <c r="H2370" s="341" t="s">
        <v>735</v>
      </c>
      <c r="I2370" s="337" t="str">
        <f t="shared" si="98"/>
        <v>Pesado de Passageiros M3: I : Gasóleo : E2</v>
      </c>
      <c r="J2370" s="125">
        <v>72</v>
      </c>
      <c r="K2370" s="264">
        <v>2022</v>
      </c>
      <c r="L2370" s="85">
        <v>20967.289999999986</v>
      </c>
      <c r="M2370" s="85" t="s">
        <v>630</v>
      </c>
      <c r="N2370" s="128">
        <v>38020.068877551006</v>
      </c>
      <c r="O2370" s="128">
        <f t="shared" si="99"/>
        <v>2737444.9591836724</v>
      </c>
      <c r="P2370" s="89">
        <v>273</v>
      </c>
      <c r="Q2370" t="s">
        <v>47</v>
      </c>
      <c r="R2370" s="220" t="s">
        <v>1888</v>
      </c>
      <c r="S2370" s="220" t="s">
        <v>1861</v>
      </c>
      <c r="U2370" t="s">
        <v>1972</v>
      </c>
      <c r="V2370" t="s">
        <v>2832</v>
      </c>
    </row>
    <row r="2371" spans="1:22" ht="15.75" thickBot="1" x14ac:dyDescent="0.3">
      <c r="A2371" t="s">
        <v>4693</v>
      </c>
      <c r="B2371" t="s">
        <v>4693</v>
      </c>
      <c r="C2371" t="s">
        <v>4693</v>
      </c>
      <c r="D2371" t="s">
        <v>629</v>
      </c>
      <c r="E2371" s="259" t="s">
        <v>1970</v>
      </c>
      <c r="F2371" t="s">
        <v>620</v>
      </c>
      <c r="G2371" s="89">
        <v>2000</v>
      </c>
      <c r="H2371" s="341" t="s">
        <v>735</v>
      </c>
      <c r="I2371" s="337" t="str">
        <f t="shared" si="98"/>
        <v>Pesado de Passageiros M3: I : Gasóleo : E2</v>
      </c>
      <c r="J2371" s="125">
        <v>72</v>
      </c>
      <c r="K2371" s="264">
        <v>2022</v>
      </c>
      <c r="L2371" s="85">
        <v>18006.289999999994</v>
      </c>
      <c r="M2371" s="85" t="s">
        <v>630</v>
      </c>
      <c r="N2371" s="128">
        <v>39904.375</v>
      </c>
      <c r="O2371" s="128">
        <f t="shared" si="99"/>
        <v>2873115</v>
      </c>
      <c r="P2371" s="89">
        <v>274</v>
      </c>
      <c r="Q2371" t="s">
        <v>47</v>
      </c>
      <c r="R2371" s="220" t="s">
        <v>1888</v>
      </c>
      <c r="S2371" s="220" t="s">
        <v>1861</v>
      </c>
      <c r="U2371" t="s">
        <v>1972</v>
      </c>
      <c r="V2371" t="s">
        <v>2832</v>
      </c>
    </row>
    <row r="2372" spans="1:22" ht="15.75" thickBot="1" x14ac:dyDescent="0.3">
      <c r="A2372" t="s">
        <v>4693</v>
      </c>
      <c r="B2372" t="s">
        <v>4693</v>
      </c>
      <c r="C2372" t="s">
        <v>4693</v>
      </c>
      <c r="D2372" t="s">
        <v>629</v>
      </c>
      <c r="E2372" s="259" t="s">
        <v>1970</v>
      </c>
      <c r="F2372" t="s">
        <v>620</v>
      </c>
      <c r="G2372" s="89">
        <v>2005</v>
      </c>
      <c r="H2372" s="341" t="s">
        <v>732</v>
      </c>
      <c r="I2372" s="337" t="str">
        <f t="shared" ref="I2372:I2435" si="100">D2372&amp;": "&amp;E2372&amp;" : "&amp;F2372&amp;" : "&amp;H2372</f>
        <v>Pesado de Passageiros M3: I : Gasóleo : E3</v>
      </c>
      <c r="J2372" s="125">
        <v>89</v>
      </c>
      <c r="K2372" s="264">
        <v>2022</v>
      </c>
      <c r="L2372" s="85">
        <v>8522.6299999999992</v>
      </c>
      <c r="M2372" s="85" t="s">
        <v>630</v>
      </c>
      <c r="N2372" s="128">
        <v>21105.172494780854</v>
      </c>
      <c r="O2372" s="128">
        <f t="shared" ref="O2372:O2435" si="101">N2372*J2372</f>
        <v>1878360.3520354959</v>
      </c>
      <c r="P2372" s="89">
        <v>289</v>
      </c>
      <c r="Q2372" t="s">
        <v>47</v>
      </c>
      <c r="R2372" s="220" t="s">
        <v>1888</v>
      </c>
      <c r="S2372" s="220" t="s">
        <v>1861</v>
      </c>
      <c r="U2372" t="s">
        <v>1972</v>
      </c>
      <c r="V2372" t="s">
        <v>2832</v>
      </c>
    </row>
    <row r="2373" spans="1:22" ht="15.75" thickBot="1" x14ac:dyDescent="0.3">
      <c r="A2373" t="s">
        <v>4693</v>
      </c>
      <c r="B2373" t="s">
        <v>4693</v>
      </c>
      <c r="C2373" t="s">
        <v>4693</v>
      </c>
      <c r="D2373" t="s">
        <v>629</v>
      </c>
      <c r="E2373" s="259" t="s">
        <v>1970</v>
      </c>
      <c r="F2373" t="s">
        <v>620</v>
      </c>
      <c r="G2373" s="89">
        <v>2005</v>
      </c>
      <c r="H2373" s="341" t="s">
        <v>732</v>
      </c>
      <c r="I2373" s="337" t="str">
        <f t="shared" si="100"/>
        <v>Pesado de Passageiros M3: I : Gasóleo : E3</v>
      </c>
      <c r="J2373" s="125">
        <v>89</v>
      </c>
      <c r="K2373" s="264">
        <v>2022</v>
      </c>
      <c r="L2373" s="85">
        <v>16158.22</v>
      </c>
      <c r="M2373" s="85" t="s">
        <v>630</v>
      </c>
      <c r="N2373" s="128">
        <v>33285.085061306483</v>
      </c>
      <c r="O2373" s="128">
        <f t="shared" si="101"/>
        <v>2962372.5704562771</v>
      </c>
      <c r="P2373" s="89">
        <v>290</v>
      </c>
      <c r="Q2373" t="s">
        <v>47</v>
      </c>
      <c r="R2373" s="220" t="s">
        <v>1888</v>
      </c>
      <c r="S2373" s="220" t="s">
        <v>1861</v>
      </c>
      <c r="U2373" t="s">
        <v>1972</v>
      </c>
      <c r="V2373" t="s">
        <v>2832</v>
      </c>
    </row>
    <row r="2374" spans="1:22" ht="15.75" thickBot="1" x14ac:dyDescent="0.3">
      <c r="A2374" t="s">
        <v>4693</v>
      </c>
      <c r="B2374" t="s">
        <v>4693</v>
      </c>
      <c r="C2374" t="s">
        <v>4693</v>
      </c>
      <c r="D2374" t="s">
        <v>629</v>
      </c>
      <c r="E2374" s="259" t="s">
        <v>1970</v>
      </c>
      <c r="F2374" t="s">
        <v>620</v>
      </c>
      <c r="G2374" s="89">
        <v>2006</v>
      </c>
      <c r="H2374" s="341" t="s">
        <v>732</v>
      </c>
      <c r="I2374" s="337" t="str">
        <f t="shared" si="100"/>
        <v>Pesado de Passageiros M3: I : Gasóleo : E3</v>
      </c>
      <c r="J2374" s="125">
        <v>89</v>
      </c>
      <c r="K2374" s="264">
        <v>2022</v>
      </c>
      <c r="L2374" s="85">
        <v>9066.9700000000048</v>
      </c>
      <c r="M2374" s="85" t="s">
        <v>630</v>
      </c>
      <c r="N2374" s="128">
        <v>18291.375</v>
      </c>
      <c r="O2374" s="128">
        <f t="shared" si="101"/>
        <v>1627932.375</v>
      </c>
      <c r="P2374" s="89">
        <v>292</v>
      </c>
      <c r="Q2374" t="s">
        <v>47</v>
      </c>
      <c r="R2374" s="220" t="s">
        <v>1888</v>
      </c>
      <c r="S2374" s="220" t="s">
        <v>1861</v>
      </c>
      <c r="U2374" t="s">
        <v>1972</v>
      </c>
      <c r="V2374" t="s">
        <v>2832</v>
      </c>
    </row>
    <row r="2375" spans="1:22" ht="15.75" thickBot="1" x14ac:dyDescent="0.3">
      <c r="A2375" t="s">
        <v>4693</v>
      </c>
      <c r="B2375" t="s">
        <v>4693</v>
      </c>
      <c r="C2375" t="s">
        <v>4693</v>
      </c>
      <c r="D2375" t="s">
        <v>629</v>
      </c>
      <c r="E2375" s="259" t="s">
        <v>1970</v>
      </c>
      <c r="F2375" t="s">
        <v>620</v>
      </c>
      <c r="G2375" s="89">
        <v>2005</v>
      </c>
      <c r="H2375" s="341" t="s">
        <v>732</v>
      </c>
      <c r="I2375" s="337" t="str">
        <f t="shared" si="100"/>
        <v>Pesado de Passageiros M3: I : Gasóleo : E3</v>
      </c>
      <c r="J2375" s="125">
        <v>89</v>
      </c>
      <c r="K2375" s="264">
        <v>2022</v>
      </c>
      <c r="L2375" s="85">
        <v>19133.419999999995</v>
      </c>
      <c r="M2375" s="85" t="s">
        <v>630</v>
      </c>
      <c r="N2375" s="128">
        <v>35973.375</v>
      </c>
      <c r="O2375" s="128">
        <f t="shared" si="101"/>
        <v>3201630.375</v>
      </c>
      <c r="P2375" s="89">
        <v>293</v>
      </c>
      <c r="Q2375" t="s">
        <v>47</v>
      </c>
      <c r="R2375" s="220" t="s">
        <v>1888</v>
      </c>
      <c r="S2375" s="220" t="s">
        <v>1861</v>
      </c>
      <c r="U2375" t="s">
        <v>1972</v>
      </c>
      <c r="V2375" t="s">
        <v>2832</v>
      </c>
    </row>
    <row r="2376" spans="1:22" ht="15.75" thickBot="1" x14ac:dyDescent="0.3">
      <c r="A2376" t="s">
        <v>4693</v>
      </c>
      <c r="B2376" t="s">
        <v>4693</v>
      </c>
      <c r="C2376" t="s">
        <v>4693</v>
      </c>
      <c r="D2376" t="s">
        <v>629</v>
      </c>
      <c r="E2376" s="259" t="s">
        <v>1970</v>
      </c>
      <c r="F2376" t="s">
        <v>620</v>
      </c>
      <c r="G2376" s="89">
        <v>2005</v>
      </c>
      <c r="H2376" s="341" t="s">
        <v>732</v>
      </c>
      <c r="I2376" s="337" t="str">
        <f t="shared" si="100"/>
        <v>Pesado de Passageiros M3: I : Gasóleo : E3</v>
      </c>
      <c r="J2376" s="125">
        <v>89</v>
      </c>
      <c r="K2376" s="264">
        <v>2022</v>
      </c>
      <c r="L2376" s="85">
        <v>12777.88</v>
      </c>
      <c r="M2376" s="85" t="s">
        <v>630</v>
      </c>
      <c r="N2376" s="128">
        <v>25632.375</v>
      </c>
      <c r="O2376" s="128">
        <f t="shared" si="101"/>
        <v>2281281.375</v>
      </c>
      <c r="P2376" s="89">
        <v>294</v>
      </c>
      <c r="Q2376" t="s">
        <v>47</v>
      </c>
      <c r="R2376" s="220" t="s">
        <v>1888</v>
      </c>
      <c r="S2376" s="220" t="s">
        <v>1861</v>
      </c>
      <c r="U2376" t="s">
        <v>1972</v>
      </c>
      <c r="V2376" t="s">
        <v>2832</v>
      </c>
    </row>
    <row r="2377" spans="1:22" ht="15.75" thickBot="1" x14ac:dyDescent="0.3">
      <c r="A2377" t="s">
        <v>4693</v>
      </c>
      <c r="B2377" t="s">
        <v>4693</v>
      </c>
      <c r="C2377" t="s">
        <v>4693</v>
      </c>
      <c r="D2377" t="s">
        <v>629</v>
      </c>
      <c r="E2377" s="259" t="s">
        <v>1970</v>
      </c>
      <c r="F2377" t="s">
        <v>620</v>
      </c>
      <c r="G2377" s="89">
        <v>2005</v>
      </c>
      <c r="H2377" s="341" t="s">
        <v>732</v>
      </c>
      <c r="I2377" s="337" t="str">
        <f t="shared" si="100"/>
        <v>Pesado de Passageiros M3: I : Gasóleo : E3</v>
      </c>
      <c r="J2377" s="125">
        <v>89</v>
      </c>
      <c r="K2377" s="264">
        <v>2022</v>
      </c>
      <c r="L2377" s="85">
        <v>17693.03999999999</v>
      </c>
      <c r="M2377" s="85" t="s">
        <v>630</v>
      </c>
      <c r="N2377" s="128">
        <v>36320.375</v>
      </c>
      <c r="O2377" s="128">
        <f t="shared" si="101"/>
        <v>3232513.375</v>
      </c>
      <c r="P2377" s="89">
        <v>295</v>
      </c>
      <c r="Q2377" t="s">
        <v>47</v>
      </c>
      <c r="R2377" s="220" t="s">
        <v>1888</v>
      </c>
      <c r="S2377" s="220" t="s">
        <v>1861</v>
      </c>
      <c r="U2377" t="s">
        <v>1972</v>
      </c>
      <c r="V2377" t="s">
        <v>2832</v>
      </c>
    </row>
    <row r="2378" spans="1:22" ht="15.75" thickBot="1" x14ac:dyDescent="0.3">
      <c r="A2378" t="s">
        <v>4693</v>
      </c>
      <c r="B2378" t="s">
        <v>4693</v>
      </c>
      <c r="C2378" t="s">
        <v>4693</v>
      </c>
      <c r="D2378" t="s">
        <v>629</v>
      </c>
      <c r="E2378" s="259" t="s">
        <v>1970</v>
      </c>
      <c r="F2378" t="s">
        <v>620</v>
      </c>
      <c r="G2378" s="89">
        <v>2006</v>
      </c>
      <c r="H2378" s="341" t="s">
        <v>732</v>
      </c>
      <c r="I2378" s="337" t="str">
        <f t="shared" si="100"/>
        <v>Pesado de Passageiros M3: I : Gasóleo : E3</v>
      </c>
      <c r="J2378" s="125">
        <v>89</v>
      </c>
      <c r="K2378" s="264">
        <v>2022</v>
      </c>
      <c r="L2378" s="85">
        <v>10633.790000000005</v>
      </c>
      <c r="M2378" s="85" t="s">
        <v>630</v>
      </c>
      <c r="N2378" s="128">
        <v>23944.375</v>
      </c>
      <c r="O2378" s="128">
        <f t="shared" si="101"/>
        <v>2131049.375</v>
      </c>
      <c r="P2378" s="89">
        <v>296</v>
      </c>
      <c r="Q2378" t="s">
        <v>47</v>
      </c>
      <c r="R2378" s="220" t="s">
        <v>1888</v>
      </c>
      <c r="S2378" s="220" t="s">
        <v>1861</v>
      </c>
      <c r="U2378" t="s">
        <v>1972</v>
      </c>
      <c r="V2378" t="s">
        <v>2832</v>
      </c>
    </row>
    <row r="2379" spans="1:22" ht="15.75" thickBot="1" x14ac:dyDescent="0.3">
      <c r="A2379" t="s">
        <v>4693</v>
      </c>
      <c r="B2379" t="s">
        <v>4693</v>
      </c>
      <c r="C2379" t="s">
        <v>4693</v>
      </c>
      <c r="D2379" t="s">
        <v>629</v>
      </c>
      <c r="E2379" s="259" t="s">
        <v>1970</v>
      </c>
      <c r="F2379" t="s">
        <v>620</v>
      </c>
      <c r="G2379" s="89">
        <v>2006</v>
      </c>
      <c r="H2379" s="341" t="s">
        <v>732</v>
      </c>
      <c r="I2379" s="337" t="str">
        <f t="shared" si="100"/>
        <v>Pesado de Passageiros M3: I : Gasóleo : E3</v>
      </c>
      <c r="J2379" s="125">
        <v>89</v>
      </c>
      <c r="K2379" s="264">
        <v>2022</v>
      </c>
      <c r="L2379" s="85">
        <v>11945.949999999993</v>
      </c>
      <c r="M2379" s="85" t="s">
        <v>630</v>
      </c>
      <c r="N2379" s="128">
        <v>23131.375</v>
      </c>
      <c r="O2379" s="128">
        <f t="shared" si="101"/>
        <v>2058692.375</v>
      </c>
      <c r="P2379" s="89">
        <v>298</v>
      </c>
      <c r="Q2379" t="s">
        <v>47</v>
      </c>
      <c r="R2379" s="220" t="s">
        <v>1888</v>
      </c>
      <c r="S2379" s="220" t="s">
        <v>1861</v>
      </c>
      <c r="U2379" t="s">
        <v>1972</v>
      </c>
      <c r="V2379" t="s">
        <v>2832</v>
      </c>
    </row>
    <row r="2380" spans="1:22" ht="15.75" thickBot="1" x14ac:dyDescent="0.3">
      <c r="A2380" t="s">
        <v>4693</v>
      </c>
      <c r="B2380" t="s">
        <v>4693</v>
      </c>
      <c r="C2380" t="s">
        <v>4693</v>
      </c>
      <c r="D2380" t="s">
        <v>629</v>
      </c>
      <c r="E2380" s="259" t="s">
        <v>1970</v>
      </c>
      <c r="F2380" t="s">
        <v>620</v>
      </c>
      <c r="G2380" s="89">
        <v>2014</v>
      </c>
      <c r="H2380" s="341" t="s">
        <v>733</v>
      </c>
      <c r="I2380" s="337" t="str">
        <f t="shared" si="100"/>
        <v>Pesado de Passageiros M3: I : Gasóleo : E6</v>
      </c>
      <c r="J2380" s="125">
        <v>90</v>
      </c>
      <c r="K2380" s="264">
        <v>2022</v>
      </c>
      <c r="L2380" s="85">
        <v>32209.120000000003</v>
      </c>
      <c r="M2380" s="85" t="s">
        <v>630</v>
      </c>
      <c r="N2380" s="128">
        <v>71334.375</v>
      </c>
      <c r="O2380" s="128">
        <f t="shared" si="101"/>
        <v>6420093.75</v>
      </c>
      <c r="P2380" s="89">
        <v>306</v>
      </c>
      <c r="Q2380" t="s">
        <v>47</v>
      </c>
      <c r="R2380" s="220" t="s">
        <v>1888</v>
      </c>
      <c r="S2380" s="220" t="s">
        <v>1861</v>
      </c>
      <c r="U2380" t="s">
        <v>1972</v>
      </c>
      <c r="V2380" t="s">
        <v>2832</v>
      </c>
    </row>
    <row r="2381" spans="1:22" ht="15.75" thickBot="1" x14ac:dyDescent="0.3">
      <c r="A2381" t="s">
        <v>4693</v>
      </c>
      <c r="B2381" t="s">
        <v>4693</v>
      </c>
      <c r="C2381" t="s">
        <v>4693</v>
      </c>
      <c r="D2381" t="s">
        <v>629</v>
      </c>
      <c r="E2381" s="259" t="s">
        <v>1970</v>
      </c>
      <c r="F2381" t="s">
        <v>620</v>
      </c>
      <c r="G2381" s="89">
        <v>2014</v>
      </c>
      <c r="H2381" s="341" t="s">
        <v>733</v>
      </c>
      <c r="I2381" s="337" t="str">
        <f t="shared" si="100"/>
        <v>Pesado de Passageiros M3: I : Gasóleo : E6</v>
      </c>
      <c r="J2381" s="125">
        <v>90</v>
      </c>
      <c r="K2381" s="264">
        <v>2022</v>
      </c>
      <c r="L2381" s="85">
        <v>24717.839999999986</v>
      </c>
      <c r="M2381" s="85" t="s">
        <v>630</v>
      </c>
      <c r="N2381" s="128">
        <v>60424.375</v>
      </c>
      <c r="O2381" s="128">
        <f t="shared" si="101"/>
        <v>5438193.75</v>
      </c>
      <c r="P2381" s="89">
        <v>307</v>
      </c>
      <c r="Q2381" t="s">
        <v>47</v>
      </c>
      <c r="R2381" s="220" t="s">
        <v>1888</v>
      </c>
      <c r="S2381" s="220" t="s">
        <v>1861</v>
      </c>
      <c r="U2381" t="s">
        <v>1972</v>
      </c>
      <c r="V2381" t="s">
        <v>2832</v>
      </c>
    </row>
    <row r="2382" spans="1:22" ht="15.75" thickBot="1" x14ac:dyDescent="0.3">
      <c r="A2382" t="s">
        <v>4693</v>
      </c>
      <c r="B2382" t="s">
        <v>4693</v>
      </c>
      <c r="C2382" t="s">
        <v>4693</v>
      </c>
      <c r="D2382" t="s">
        <v>629</v>
      </c>
      <c r="E2382" s="259" t="s">
        <v>1970</v>
      </c>
      <c r="F2382" t="s">
        <v>620</v>
      </c>
      <c r="G2382" s="89">
        <v>2014</v>
      </c>
      <c r="H2382" s="341" t="s">
        <v>733</v>
      </c>
      <c r="I2382" s="337" t="str">
        <f t="shared" si="100"/>
        <v>Pesado de Passageiros M3: I : Gasóleo : E6</v>
      </c>
      <c r="J2382" s="125">
        <v>90</v>
      </c>
      <c r="K2382" s="264">
        <v>2022</v>
      </c>
      <c r="L2382" s="85">
        <v>27426.189999999995</v>
      </c>
      <c r="M2382" s="85" t="s">
        <v>630</v>
      </c>
      <c r="N2382" s="128">
        <v>64593.375</v>
      </c>
      <c r="O2382" s="128">
        <f t="shared" si="101"/>
        <v>5813403.75</v>
      </c>
      <c r="P2382" s="89">
        <v>308</v>
      </c>
      <c r="Q2382" t="s">
        <v>47</v>
      </c>
      <c r="R2382" s="220" t="s">
        <v>1888</v>
      </c>
      <c r="S2382" s="220" t="s">
        <v>1861</v>
      </c>
      <c r="U2382" t="s">
        <v>1972</v>
      </c>
      <c r="V2382" t="s">
        <v>2832</v>
      </c>
    </row>
    <row r="2383" spans="1:22" ht="15.75" thickBot="1" x14ac:dyDescent="0.3">
      <c r="A2383" t="s">
        <v>4693</v>
      </c>
      <c r="B2383" t="s">
        <v>4693</v>
      </c>
      <c r="C2383" t="s">
        <v>4693</v>
      </c>
      <c r="D2383" t="s">
        <v>629</v>
      </c>
      <c r="E2383" s="259" t="s">
        <v>1970</v>
      </c>
      <c r="F2383" t="s">
        <v>620</v>
      </c>
      <c r="G2383" s="89">
        <v>2014</v>
      </c>
      <c r="H2383" s="341" t="s">
        <v>733</v>
      </c>
      <c r="I2383" s="337" t="str">
        <f t="shared" si="100"/>
        <v>Pesado de Passageiros M3: I : Gasóleo : E6</v>
      </c>
      <c r="J2383" s="125">
        <v>90</v>
      </c>
      <c r="K2383" s="264">
        <v>2022</v>
      </c>
      <c r="L2383" s="85">
        <v>29489.85</v>
      </c>
      <c r="M2383" s="85" t="s">
        <v>630</v>
      </c>
      <c r="N2383" s="128">
        <v>69188.375</v>
      </c>
      <c r="O2383" s="128">
        <f t="shared" si="101"/>
        <v>6226953.75</v>
      </c>
      <c r="P2383" s="89">
        <v>309</v>
      </c>
      <c r="Q2383" t="s">
        <v>47</v>
      </c>
      <c r="R2383" s="220" t="s">
        <v>1888</v>
      </c>
      <c r="S2383" s="220" t="s">
        <v>1861</v>
      </c>
      <c r="U2383" t="s">
        <v>1972</v>
      </c>
      <c r="V2383" t="s">
        <v>2832</v>
      </c>
    </row>
    <row r="2384" spans="1:22" ht="15.75" thickBot="1" x14ac:dyDescent="0.3">
      <c r="A2384" t="s">
        <v>4693</v>
      </c>
      <c r="B2384" t="s">
        <v>4693</v>
      </c>
      <c r="C2384" t="s">
        <v>4693</v>
      </c>
      <c r="D2384" t="s">
        <v>629</v>
      </c>
      <c r="E2384" s="259" t="s">
        <v>1970</v>
      </c>
      <c r="F2384" t="s">
        <v>620</v>
      </c>
      <c r="G2384" s="89">
        <v>2014</v>
      </c>
      <c r="H2384" s="341" t="s">
        <v>733</v>
      </c>
      <c r="I2384" s="337" t="str">
        <f t="shared" si="100"/>
        <v>Pesado de Passageiros M3: I : Gasóleo : E6</v>
      </c>
      <c r="J2384" s="125">
        <v>90</v>
      </c>
      <c r="K2384" s="264">
        <v>2022</v>
      </c>
      <c r="L2384" s="85">
        <v>21510.930000000004</v>
      </c>
      <c r="M2384" s="85" t="s">
        <v>630</v>
      </c>
      <c r="N2384" s="128">
        <v>51390.375</v>
      </c>
      <c r="O2384" s="128">
        <f t="shared" si="101"/>
        <v>4625133.75</v>
      </c>
      <c r="P2384" s="89">
        <v>310</v>
      </c>
      <c r="Q2384" t="s">
        <v>47</v>
      </c>
      <c r="R2384" s="220" t="s">
        <v>1888</v>
      </c>
      <c r="S2384" s="220" t="s">
        <v>1861</v>
      </c>
      <c r="U2384" t="s">
        <v>1972</v>
      </c>
      <c r="V2384" t="s">
        <v>2832</v>
      </c>
    </row>
    <row r="2385" spans="1:22" ht="15.75" thickBot="1" x14ac:dyDescent="0.3">
      <c r="A2385" t="s">
        <v>4693</v>
      </c>
      <c r="B2385" t="s">
        <v>4693</v>
      </c>
      <c r="C2385" t="s">
        <v>4693</v>
      </c>
      <c r="D2385" t="s">
        <v>629</v>
      </c>
      <c r="E2385" s="259" t="s">
        <v>1970</v>
      </c>
      <c r="F2385" t="s">
        <v>620</v>
      </c>
      <c r="G2385" s="89">
        <v>2014</v>
      </c>
      <c r="H2385" s="341" t="s">
        <v>733</v>
      </c>
      <c r="I2385" s="337" t="str">
        <f t="shared" si="100"/>
        <v>Pesado de Passageiros M3: I : Gasóleo : E6</v>
      </c>
      <c r="J2385" s="125">
        <v>90</v>
      </c>
      <c r="K2385" s="264">
        <v>2022</v>
      </c>
      <c r="L2385" s="85">
        <v>30623.749999999989</v>
      </c>
      <c r="M2385" s="85" t="s">
        <v>630</v>
      </c>
      <c r="N2385" s="128">
        <v>67782.375</v>
      </c>
      <c r="O2385" s="128">
        <f t="shared" si="101"/>
        <v>6100413.75</v>
      </c>
      <c r="P2385" s="89">
        <v>311</v>
      </c>
      <c r="Q2385" t="s">
        <v>47</v>
      </c>
      <c r="R2385" s="220" t="s">
        <v>1888</v>
      </c>
      <c r="S2385" s="220" t="s">
        <v>1861</v>
      </c>
      <c r="U2385" t="s">
        <v>1972</v>
      </c>
      <c r="V2385" t="s">
        <v>2832</v>
      </c>
    </row>
    <row r="2386" spans="1:22" ht="15.75" thickBot="1" x14ac:dyDescent="0.3">
      <c r="A2386" t="s">
        <v>4693</v>
      </c>
      <c r="B2386" t="s">
        <v>4693</v>
      </c>
      <c r="C2386" t="s">
        <v>4693</v>
      </c>
      <c r="D2386" t="s">
        <v>629</v>
      </c>
      <c r="E2386" s="259" t="s">
        <v>1970</v>
      </c>
      <c r="F2386" t="s">
        <v>620</v>
      </c>
      <c r="G2386" s="89">
        <v>2015</v>
      </c>
      <c r="H2386" s="341" t="s">
        <v>733</v>
      </c>
      <c r="I2386" s="337" t="str">
        <f t="shared" si="100"/>
        <v>Pesado de Passageiros M3: I : Gasóleo : E6</v>
      </c>
      <c r="J2386" s="125">
        <v>90</v>
      </c>
      <c r="K2386" s="264">
        <v>2022</v>
      </c>
      <c r="L2386" s="85">
        <v>27948.379999999979</v>
      </c>
      <c r="M2386" s="85" t="s">
        <v>630</v>
      </c>
      <c r="N2386" s="128">
        <v>66359.375</v>
      </c>
      <c r="O2386" s="128">
        <f t="shared" si="101"/>
        <v>5972343.75</v>
      </c>
      <c r="P2386" s="89">
        <v>312</v>
      </c>
      <c r="Q2386" t="s">
        <v>47</v>
      </c>
      <c r="R2386" s="220" t="s">
        <v>1888</v>
      </c>
      <c r="S2386" s="220" t="s">
        <v>1861</v>
      </c>
      <c r="U2386" t="s">
        <v>1972</v>
      </c>
      <c r="V2386" t="s">
        <v>2832</v>
      </c>
    </row>
    <row r="2387" spans="1:22" ht="15.75" thickBot="1" x14ac:dyDescent="0.3">
      <c r="A2387" t="s">
        <v>4693</v>
      </c>
      <c r="B2387" t="s">
        <v>4693</v>
      </c>
      <c r="C2387" t="s">
        <v>4693</v>
      </c>
      <c r="D2387" t="s">
        <v>629</v>
      </c>
      <c r="E2387" s="259" t="s">
        <v>1970</v>
      </c>
      <c r="F2387" t="s">
        <v>620</v>
      </c>
      <c r="G2387" s="89">
        <v>2015</v>
      </c>
      <c r="H2387" s="341" t="s">
        <v>733</v>
      </c>
      <c r="I2387" s="337" t="str">
        <f t="shared" si="100"/>
        <v>Pesado de Passageiros M3: I : Gasóleo : E6</v>
      </c>
      <c r="J2387" s="125">
        <v>90</v>
      </c>
      <c r="K2387" s="264">
        <v>2022</v>
      </c>
      <c r="L2387" s="85">
        <v>30133.600000000002</v>
      </c>
      <c r="M2387" s="85" t="s">
        <v>630</v>
      </c>
      <c r="N2387" s="128">
        <v>69054.375</v>
      </c>
      <c r="O2387" s="128">
        <f t="shared" si="101"/>
        <v>6214893.75</v>
      </c>
      <c r="P2387" s="89">
        <v>313</v>
      </c>
      <c r="Q2387" t="s">
        <v>47</v>
      </c>
      <c r="R2387" s="220" t="s">
        <v>1888</v>
      </c>
      <c r="S2387" s="220" t="s">
        <v>1861</v>
      </c>
      <c r="U2387" t="s">
        <v>1972</v>
      </c>
      <c r="V2387" t="s">
        <v>2832</v>
      </c>
    </row>
    <row r="2388" spans="1:22" ht="15.75" thickBot="1" x14ac:dyDescent="0.3">
      <c r="A2388" t="s">
        <v>4693</v>
      </c>
      <c r="B2388" t="s">
        <v>4693</v>
      </c>
      <c r="C2388" t="s">
        <v>4693</v>
      </c>
      <c r="D2388" t="s">
        <v>629</v>
      </c>
      <c r="E2388" s="259" t="s">
        <v>1970</v>
      </c>
      <c r="F2388" t="s">
        <v>620</v>
      </c>
      <c r="G2388" s="89">
        <v>2015</v>
      </c>
      <c r="H2388" s="341" t="s">
        <v>733</v>
      </c>
      <c r="I2388" s="337" t="str">
        <f t="shared" si="100"/>
        <v>Pesado de Passageiros M3: I : Gasóleo : E6</v>
      </c>
      <c r="J2388" s="125">
        <v>90</v>
      </c>
      <c r="K2388" s="264">
        <v>2022</v>
      </c>
      <c r="L2388" s="85">
        <v>28330.720000000005</v>
      </c>
      <c r="M2388" s="85" t="s">
        <v>630</v>
      </c>
      <c r="N2388" s="128">
        <v>64969.375</v>
      </c>
      <c r="O2388" s="128">
        <f t="shared" si="101"/>
        <v>5847243.75</v>
      </c>
      <c r="P2388" s="89">
        <v>314</v>
      </c>
      <c r="Q2388" t="s">
        <v>47</v>
      </c>
      <c r="R2388" s="220" t="s">
        <v>1888</v>
      </c>
      <c r="S2388" s="220" t="s">
        <v>1861</v>
      </c>
      <c r="U2388" t="s">
        <v>1972</v>
      </c>
      <c r="V2388" t="s">
        <v>2832</v>
      </c>
    </row>
    <row r="2389" spans="1:22" ht="15.75" thickBot="1" x14ac:dyDescent="0.3">
      <c r="A2389" t="s">
        <v>4693</v>
      </c>
      <c r="B2389" t="s">
        <v>4693</v>
      </c>
      <c r="C2389" t="s">
        <v>4693</v>
      </c>
      <c r="D2389" t="s">
        <v>629</v>
      </c>
      <c r="E2389" s="259" t="s">
        <v>1970</v>
      </c>
      <c r="F2389" t="s">
        <v>620</v>
      </c>
      <c r="G2389" s="89">
        <v>2015</v>
      </c>
      <c r="H2389" s="341" t="s">
        <v>733</v>
      </c>
      <c r="I2389" s="337" t="str">
        <f t="shared" si="100"/>
        <v>Pesado de Passageiros M3: I : Gasóleo : E6</v>
      </c>
      <c r="J2389" s="125">
        <v>90</v>
      </c>
      <c r="K2389" s="264">
        <v>2022</v>
      </c>
      <c r="L2389" s="85">
        <v>31380.580000000009</v>
      </c>
      <c r="M2389" s="85" t="s">
        <v>630</v>
      </c>
      <c r="N2389" s="128">
        <v>71533.375</v>
      </c>
      <c r="O2389" s="128">
        <f t="shared" si="101"/>
        <v>6438003.75</v>
      </c>
      <c r="P2389" s="89">
        <v>315</v>
      </c>
      <c r="Q2389" t="s">
        <v>47</v>
      </c>
      <c r="R2389" s="220" t="s">
        <v>1888</v>
      </c>
      <c r="S2389" s="220" t="s">
        <v>1861</v>
      </c>
      <c r="U2389" t="s">
        <v>1972</v>
      </c>
      <c r="V2389" t="s">
        <v>2832</v>
      </c>
    </row>
    <row r="2390" spans="1:22" ht="15.75" thickBot="1" x14ac:dyDescent="0.3">
      <c r="A2390" t="s">
        <v>4693</v>
      </c>
      <c r="B2390" t="s">
        <v>4693</v>
      </c>
      <c r="C2390" t="s">
        <v>4693</v>
      </c>
      <c r="D2390" t="s">
        <v>629</v>
      </c>
      <c r="E2390" s="259" t="s">
        <v>1970</v>
      </c>
      <c r="F2390" t="s">
        <v>620</v>
      </c>
      <c r="G2390" s="89">
        <v>2015</v>
      </c>
      <c r="H2390" s="341" t="s">
        <v>733</v>
      </c>
      <c r="I2390" s="337" t="str">
        <f t="shared" si="100"/>
        <v>Pesado de Passageiros M3: I : Gasóleo : E6</v>
      </c>
      <c r="J2390" s="125">
        <v>90</v>
      </c>
      <c r="K2390" s="264">
        <v>2022</v>
      </c>
      <c r="L2390" s="85">
        <v>30374.180000000015</v>
      </c>
      <c r="M2390" s="85" t="s">
        <v>630</v>
      </c>
      <c r="N2390" s="128">
        <v>69055.375</v>
      </c>
      <c r="O2390" s="128">
        <f t="shared" si="101"/>
        <v>6214983.75</v>
      </c>
      <c r="P2390" s="89">
        <v>316</v>
      </c>
      <c r="Q2390" t="s">
        <v>47</v>
      </c>
      <c r="R2390" s="220" t="s">
        <v>1888</v>
      </c>
      <c r="S2390" s="220" t="s">
        <v>1861</v>
      </c>
      <c r="U2390" t="s">
        <v>1972</v>
      </c>
      <c r="V2390" t="s">
        <v>2832</v>
      </c>
    </row>
    <row r="2391" spans="1:22" ht="15.75" thickBot="1" x14ac:dyDescent="0.3">
      <c r="A2391" t="s">
        <v>4693</v>
      </c>
      <c r="B2391" t="s">
        <v>4693</v>
      </c>
      <c r="C2391" t="s">
        <v>4693</v>
      </c>
      <c r="D2391" t="s">
        <v>629</v>
      </c>
      <c r="E2391" s="259" t="s">
        <v>1970</v>
      </c>
      <c r="F2391" t="s">
        <v>620</v>
      </c>
      <c r="G2391" s="89">
        <v>2015</v>
      </c>
      <c r="H2391" s="341" t="s">
        <v>733</v>
      </c>
      <c r="I2391" s="337" t="str">
        <f t="shared" si="100"/>
        <v>Pesado de Passageiros M3: I : Gasóleo : E6</v>
      </c>
      <c r="J2391" s="125">
        <v>90</v>
      </c>
      <c r="K2391" s="264">
        <v>2022</v>
      </c>
      <c r="L2391" s="85">
        <v>30960.149999999991</v>
      </c>
      <c r="M2391" s="85" t="s">
        <v>630</v>
      </c>
      <c r="N2391" s="128">
        <v>73083.375</v>
      </c>
      <c r="O2391" s="128">
        <f t="shared" si="101"/>
        <v>6577503.75</v>
      </c>
      <c r="P2391" s="89">
        <v>317</v>
      </c>
      <c r="Q2391" t="s">
        <v>47</v>
      </c>
      <c r="R2391" s="220" t="s">
        <v>1888</v>
      </c>
      <c r="S2391" s="220" t="s">
        <v>1861</v>
      </c>
      <c r="U2391" t="s">
        <v>1972</v>
      </c>
      <c r="V2391" t="s">
        <v>2832</v>
      </c>
    </row>
    <row r="2392" spans="1:22" ht="15.75" thickBot="1" x14ac:dyDescent="0.3">
      <c r="A2392" t="s">
        <v>4693</v>
      </c>
      <c r="B2392" t="s">
        <v>4693</v>
      </c>
      <c r="C2392" t="s">
        <v>4693</v>
      </c>
      <c r="D2392" t="s">
        <v>629</v>
      </c>
      <c r="E2392" s="259" t="s">
        <v>1970</v>
      </c>
      <c r="F2392" t="s">
        <v>620</v>
      </c>
      <c r="G2392" s="89">
        <v>2015</v>
      </c>
      <c r="H2392" s="341" t="s">
        <v>733</v>
      </c>
      <c r="I2392" s="337" t="str">
        <f t="shared" si="100"/>
        <v>Pesado de Passageiros M3: I : Gasóleo : E6</v>
      </c>
      <c r="J2392" s="125">
        <v>90</v>
      </c>
      <c r="K2392" s="264">
        <v>2022</v>
      </c>
      <c r="L2392" s="85">
        <v>28846.329999999998</v>
      </c>
      <c r="M2392" s="85" t="s">
        <v>630</v>
      </c>
      <c r="N2392" s="128">
        <v>63499.375</v>
      </c>
      <c r="O2392" s="128">
        <f t="shared" si="101"/>
        <v>5714943.75</v>
      </c>
      <c r="P2392" s="89">
        <v>318</v>
      </c>
      <c r="Q2392" t="s">
        <v>47</v>
      </c>
      <c r="R2392" s="220" t="s">
        <v>1888</v>
      </c>
      <c r="S2392" s="220" t="s">
        <v>1861</v>
      </c>
      <c r="U2392" t="s">
        <v>1972</v>
      </c>
      <c r="V2392" t="s">
        <v>2832</v>
      </c>
    </row>
    <row r="2393" spans="1:22" ht="15.75" thickBot="1" x14ac:dyDescent="0.3">
      <c r="A2393" t="s">
        <v>4693</v>
      </c>
      <c r="B2393" t="s">
        <v>4693</v>
      </c>
      <c r="C2393" t="s">
        <v>4693</v>
      </c>
      <c r="D2393" t="s">
        <v>629</v>
      </c>
      <c r="E2393" s="259" t="s">
        <v>1970</v>
      </c>
      <c r="F2393" t="s">
        <v>620</v>
      </c>
      <c r="G2393" s="89">
        <v>2015</v>
      </c>
      <c r="H2393" s="341" t="s">
        <v>733</v>
      </c>
      <c r="I2393" s="337" t="str">
        <f t="shared" si="100"/>
        <v>Pesado de Passageiros M3: I : Gasóleo : E6</v>
      </c>
      <c r="J2393" s="125">
        <v>90</v>
      </c>
      <c r="K2393" s="264">
        <v>2022</v>
      </c>
      <c r="L2393" s="85">
        <v>25693.670000000024</v>
      </c>
      <c r="M2393" s="85" t="s">
        <v>630</v>
      </c>
      <c r="N2393" s="128">
        <v>60731.375</v>
      </c>
      <c r="O2393" s="128">
        <f t="shared" si="101"/>
        <v>5465823.75</v>
      </c>
      <c r="P2393" s="89">
        <v>319</v>
      </c>
      <c r="Q2393" t="s">
        <v>47</v>
      </c>
      <c r="R2393" s="220" t="s">
        <v>1888</v>
      </c>
      <c r="S2393" s="220" t="s">
        <v>1861</v>
      </c>
      <c r="U2393" t="s">
        <v>1972</v>
      </c>
      <c r="V2393" t="s">
        <v>2832</v>
      </c>
    </row>
    <row r="2394" spans="1:22" ht="15.75" thickBot="1" x14ac:dyDescent="0.3">
      <c r="A2394" t="s">
        <v>4693</v>
      </c>
      <c r="B2394" t="s">
        <v>4693</v>
      </c>
      <c r="C2394" t="s">
        <v>4693</v>
      </c>
      <c r="D2394" t="s">
        <v>629</v>
      </c>
      <c r="E2394" s="259" t="s">
        <v>1970</v>
      </c>
      <c r="F2394" t="s">
        <v>620</v>
      </c>
      <c r="G2394" s="89">
        <v>2015</v>
      </c>
      <c r="H2394" s="341" t="s">
        <v>733</v>
      </c>
      <c r="I2394" s="337" t="str">
        <f t="shared" si="100"/>
        <v>Pesado de Passageiros M3: I : Gasóleo : E6</v>
      </c>
      <c r="J2394" s="125">
        <v>90</v>
      </c>
      <c r="K2394" s="264">
        <v>2022</v>
      </c>
      <c r="L2394" s="85">
        <v>24210.309999999994</v>
      </c>
      <c r="M2394" s="85" t="s">
        <v>630</v>
      </c>
      <c r="N2394" s="128">
        <v>55340.375</v>
      </c>
      <c r="O2394" s="128">
        <f t="shared" si="101"/>
        <v>4980633.75</v>
      </c>
      <c r="P2394" s="89">
        <v>320</v>
      </c>
      <c r="Q2394" t="s">
        <v>47</v>
      </c>
      <c r="R2394" s="220" t="s">
        <v>1888</v>
      </c>
      <c r="S2394" s="220" t="s">
        <v>1861</v>
      </c>
      <c r="U2394" t="s">
        <v>1972</v>
      </c>
      <c r="V2394" t="s">
        <v>2832</v>
      </c>
    </row>
    <row r="2395" spans="1:22" ht="15.75" thickBot="1" x14ac:dyDescent="0.3">
      <c r="A2395" t="s">
        <v>4693</v>
      </c>
      <c r="B2395" t="s">
        <v>4693</v>
      </c>
      <c r="C2395" t="s">
        <v>4693</v>
      </c>
      <c r="D2395" t="s">
        <v>629</v>
      </c>
      <c r="E2395" s="259" t="s">
        <v>1970</v>
      </c>
      <c r="F2395" t="s">
        <v>620</v>
      </c>
      <c r="G2395" s="89">
        <v>2015</v>
      </c>
      <c r="H2395" s="341" t="s">
        <v>733</v>
      </c>
      <c r="I2395" s="337" t="str">
        <f t="shared" si="100"/>
        <v>Pesado de Passageiros M3: I : Gasóleo : E6</v>
      </c>
      <c r="J2395" s="125">
        <v>90</v>
      </c>
      <c r="K2395" s="264">
        <v>2022</v>
      </c>
      <c r="L2395" s="85">
        <v>31869.109999999997</v>
      </c>
      <c r="M2395" s="85" t="s">
        <v>630</v>
      </c>
      <c r="N2395" s="128">
        <v>68314.375</v>
      </c>
      <c r="O2395" s="128">
        <f t="shared" si="101"/>
        <v>6148293.75</v>
      </c>
      <c r="P2395" s="89">
        <v>321</v>
      </c>
      <c r="Q2395" t="s">
        <v>47</v>
      </c>
      <c r="R2395" s="220" t="s">
        <v>1888</v>
      </c>
      <c r="S2395" s="220" t="s">
        <v>1861</v>
      </c>
      <c r="U2395" t="s">
        <v>1972</v>
      </c>
      <c r="V2395" t="s">
        <v>2832</v>
      </c>
    </row>
    <row r="2396" spans="1:22" ht="15.75" thickBot="1" x14ac:dyDescent="0.3">
      <c r="A2396" t="s">
        <v>4693</v>
      </c>
      <c r="B2396" t="s">
        <v>4693</v>
      </c>
      <c r="C2396" t="s">
        <v>4693</v>
      </c>
      <c r="D2396" t="s">
        <v>629</v>
      </c>
      <c r="E2396" s="259" t="s">
        <v>1970</v>
      </c>
      <c r="F2396" t="s">
        <v>620</v>
      </c>
      <c r="G2396" s="89">
        <v>2015</v>
      </c>
      <c r="H2396" s="341" t="s">
        <v>733</v>
      </c>
      <c r="I2396" s="337" t="str">
        <f t="shared" si="100"/>
        <v>Pesado de Passageiros M3: I : Gasóleo : E6</v>
      </c>
      <c r="J2396" s="125">
        <v>90</v>
      </c>
      <c r="K2396" s="264">
        <v>2022</v>
      </c>
      <c r="L2396" s="85">
        <v>26219.35999999999</v>
      </c>
      <c r="M2396" s="85" t="s">
        <v>630</v>
      </c>
      <c r="N2396" s="128">
        <v>58628.375</v>
      </c>
      <c r="O2396" s="128">
        <f t="shared" si="101"/>
        <v>5276553.75</v>
      </c>
      <c r="P2396" s="89">
        <v>322</v>
      </c>
      <c r="Q2396" t="s">
        <v>47</v>
      </c>
      <c r="R2396" s="220" t="s">
        <v>1888</v>
      </c>
      <c r="S2396" s="220" t="s">
        <v>1861</v>
      </c>
      <c r="U2396" t="s">
        <v>1972</v>
      </c>
      <c r="V2396" t="s">
        <v>2832</v>
      </c>
    </row>
    <row r="2397" spans="1:22" ht="15.75" thickBot="1" x14ac:dyDescent="0.3">
      <c r="A2397" t="s">
        <v>4693</v>
      </c>
      <c r="B2397" t="s">
        <v>4693</v>
      </c>
      <c r="C2397" t="s">
        <v>4693</v>
      </c>
      <c r="D2397" t="s">
        <v>629</v>
      </c>
      <c r="E2397" s="259" t="s">
        <v>1970</v>
      </c>
      <c r="F2397" t="s">
        <v>620</v>
      </c>
      <c r="G2397" s="89">
        <v>2015</v>
      </c>
      <c r="H2397" s="341" t="s">
        <v>733</v>
      </c>
      <c r="I2397" s="337" t="str">
        <f t="shared" si="100"/>
        <v>Pesado de Passageiros M3: I : Gasóleo : E6</v>
      </c>
      <c r="J2397" s="125">
        <v>90</v>
      </c>
      <c r="K2397" s="264">
        <v>2022</v>
      </c>
      <c r="L2397" s="85">
        <v>28736.289999999997</v>
      </c>
      <c r="M2397" s="85" t="s">
        <v>630</v>
      </c>
      <c r="N2397" s="128">
        <v>64072.375</v>
      </c>
      <c r="O2397" s="128">
        <f t="shared" si="101"/>
        <v>5766513.75</v>
      </c>
      <c r="P2397" s="89">
        <v>323</v>
      </c>
      <c r="Q2397" t="s">
        <v>47</v>
      </c>
      <c r="R2397" s="220" t="s">
        <v>1888</v>
      </c>
      <c r="S2397" s="220" t="s">
        <v>1861</v>
      </c>
      <c r="U2397" t="s">
        <v>1972</v>
      </c>
      <c r="V2397" t="s">
        <v>2832</v>
      </c>
    </row>
    <row r="2398" spans="1:22" ht="15.75" thickBot="1" x14ac:dyDescent="0.3">
      <c r="A2398" t="s">
        <v>4693</v>
      </c>
      <c r="B2398" t="s">
        <v>4693</v>
      </c>
      <c r="C2398" t="s">
        <v>4693</v>
      </c>
      <c r="D2398" t="s">
        <v>629</v>
      </c>
      <c r="E2398" s="259" t="s">
        <v>1970</v>
      </c>
      <c r="F2398" t="s">
        <v>620</v>
      </c>
      <c r="G2398" s="89">
        <v>2015</v>
      </c>
      <c r="H2398" s="341" t="s">
        <v>733</v>
      </c>
      <c r="I2398" s="337" t="str">
        <f t="shared" si="100"/>
        <v>Pesado de Passageiros M3: I : Gasóleo : E6</v>
      </c>
      <c r="J2398" s="125">
        <v>90</v>
      </c>
      <c r="K2398" s="264">
        <v>2022</v>
      </c>
      <c r="L2398" s="85">
        <v>27307.450000000019</v>
      </c>
      <c r="M2398" s="85" t="s">
        <v>630</v>
      </c>
      <c r="N2398" s="128">
        <v>66936.375</v>
      </c>
      <c r="O2398" s="128">
        <f t="shared" si="101"/>
        <v>6024273.75</v>
      </c>
      <c r="P2398" s="89">
        <v>324</v>
      </c>
      <c r="Q2398" t="s">
        <v>47</v>
      </c>
      <c r="R2398" s="220" t="s">
        <v>1888</v>
      </c>
      <c r="S2398" s="220" t="s">
        <v>1861</v>
      </c>
      <c r="U2398" t="s">
        <v>1972</v>
      </c>
      <c r="V2398" t="s">
        <v>2832</v>
      </c>
    </row>
    <row r="2399" spans="1:22" ht="15.75" thickBot="1" x14ac:dyDescent="0.3">
      <c r="A2399" t="s">
        <v>4693</v>
      </c>
      <c r="B2399" t="s">
        <v>4693</v>
      </c>
      <c r="C2399" t="s">
        <v>4693</v>
      </c>
      <c r="D2399" t="s">
        <v>629</v>
      </c>
      <c r="E2399" s="259" t="s">
        <v>1970</v>
      </c>
      <c r="F2399" t="s">
        <v>620</v>
      </c>
      <c r="G2399" s="89">
        <v>2015</v>
      </c>
      <c r="H2399" s="341" t="s">
        <v>733</v>
      </c>
      <c r="I2399" s="337" t="str">
        <f t="shared" si="100"/>
        <v>Pesado de Passageiros M3: I : Gasóleo : E6</v>
      </c>
      <c r="J2399" s="125">
        <v>90</v>
      </c>
      <c r="K2399" s="264">
        <v>2022</v>
      </c>
      <c r="L2399" s="85">
        <v>30600.819999999996</v>
      </c>
      <c r="M2399" s="85" t="s">
        <v>630</v>
      </c>
      <c r="N2399" s="128">
        <v>72244.375</v>
      </c>
      <c r="O2399" s="128">
        <f t="shared" si="101"/>
        <v>6501993.75</v>
      </c>
      <c r="P2399" s="89">
        <v>325</v>
      </c>
      <c r="Q2399" t="s">
        <v>47</v>
      </c>
      <c r="R2399" s="220" t="s">
        <v>1888</v>
      </c>
      <c r="S2399" s="220" t="s">
        <v>1861</v>
      </c>
      <c r="U2399" t="s">
        <v>1972</v>
      </c>
      <c r="V2399" t="s">
        <v>2832</v>
      </c>
    </row>
    <row r="2400" spans="1:22" ht="15.75" thickBot="1" x14ac:dyDescent="0.3">
      <c r="A2400" t="s">
        <v>4693</v>
      </c>
      <c r="B2400" t="s">
        <v>4693</v>
      </c>
      <c r="C2400" t="s">
        <v>4693</v>
      </c>
      <c r="D2400" t="s">
        <v>629</v>
      </c>
      <c r="E2400" s="259" t="s">
        <v>1970</v>
      </c>
      <c r="F2400" t="s">
        <v>620</v>
      </c>
      <c r="G2400" s="89">
        <v>2015</v>
      </c>
      <c r="H2400" s="341" t="s">
        <v>733</v>
      </c>
      <c r="I2400" s="337" t="str">
        <f t="shared" si="100"/>
        <v>Pesado de Passageiros M3: I : Gasóleo : E6</v>
      </c>
      <c r="J2400" s="125">
        <v>90</v>
      </c>
      <c r="K2400" s="264">
        <v>2022</v>
      </c>
      <c r="L2400" s="85">
        <v>20834.940000000006</v>
      </c>
      <c r="M2400" s="85" t="s">
        <v>630</v>
      </c>
      <c r="N2400" s="128">
        <v>50439.375</v>
      </c>
      <c r="O2400" s="128">
        <f t="shared" si="101"/>
        <v>4539543.75</v>
      </c>
      <c r="P2400" s="89">
        <v>326</v>
      </c>
      <c r="Q2400" t="s">
        <v>47</v>
      </c>
      <c r="R2400" s="220" t="s">
        <v>1888</v>
      </c>
      <c r="S2400" s="220" t="s">
        <v>1861</v>
      </c>
      <c r="U2400" t="s">
        <v>1972</v>
      </c>
      <c r="V2400" t="s">
        <v>2832</v>
      </c>
    </row>
    <row r="2401" spans="1:22" ht="15.75" thickBot="1" x14ac:dyDescent="0.3">
      <c r="A2401" t="s">
        <v>4693</v>
      </c>
      <c r="B2401" t="s">
        <v>4693</v>
      </c>
      <c r="C2401" t="s">
        <v>4693</v>
      </c>
      <c r="D2401" t="s">
        <v>629</v>
      </c>
      <c r="E2401" s="259" t="s">
        <v>1970</v>
      </c>
      <c r="F2401" t="s">
        <v>620</v>
      </c>
      <c r="G2401" s="89">
        <v>2015</v>
      </c>
      <c r="H2401" s="341" t="s">
        <v>733</v>
      </c>
      <c r="I2401" s="337" t="str">
        <f t="shared" si="100"/>
        <v>Pesado de Passageiros M3: I : Gasóleo : E6</v>
      </c>
      <c r="J2401" s="125">
        <v>90</v>
      </c>
      <c r="K2401" s="264">
        <v>2022</v>
      </c>
      <c r="L2401" s="85">
        <v>29404.12000000001</v>
      </c>
      <c r="M2401" s="85" t="s">
        <v>630</v>
      </c>
      <c r="N2401" s="128">
        <v>67488.375</v>
      </c>
      <c r="O2401" s="128">
        <f t="shared" si="101"/>
        <v>6073953.75</v>
      </c>
      <c r="P2401" s="89">
        <v>327</v>
      </c>
      <c r="Q2401" t="s">
        <v>47</v>
      </c>
      <c r="R2401" s="220" t="s">
        <v>1888</v>
      </c>
      <c r="S2401" s="220" t="s">
        <v>1861</v>
      </c>
      <c r="U2401" t="s">
        <v>1972</v>
      </c>
      <c r="V2401" t="s">
        <v>2832</v>
      </c>
    </row>
    <row r="2402" spans="1:22" ht="15.75" thickBot="1" x14ac:dyDescent="0.3">
      <c r="A2402" t="s">
        <v>4693</v>
      </c>
      <c r="B2402" t="s">
        <v>4693</v>
      </c>
      <c r="C2402" t="s">
        <v>4693</v>
      </c>
      <c r="D2402" t="s">
        <v>629</v>
      </c>
      <c r="E2402" s="259" t="s">
        <v>1970</v>
      </c>
      <c r="F2402" t="s">
        <v>620</v>
      </c>
      <c r="G2402" s="89">
        <v>2015</v>
      </c>
      <c r="H2402" s="341" t="s">
        <v>733</v>
      </c>
      <c r="I2402" s="337" t="str">
        <f t="shared" si="100"/>
        <v>Pesado de Passageiros M3: I : Gasóleo : E6</v>
      </c>
      <c r="J2402" s="125">
        <v>90</v>
      </c>
      <c r="K2402" s="264">
        <v>2022</v>
      </c>
      <c r="L2402" s="85">
        <v>22618.30000000001</v>
      </c>
      <c r="M2402" s="85" t="s">
        <v>630</v>
      </c>
      <c r="N2402" s="128">
        <v>51979.375</v>
      </c>
      <c r="O2402" s="128">
        <f t="shared" si="101"/>
        <v>4678143.75</v>
      </c>
      <c r="P2402" s="89">
        <v>328</v>
      </c>
      <c r="Q2402" t="s">
        <v>47</v>
      </c>
      <c r="R2402" s="220" t="s">
        <v>1888</v>
      </c>
      <c r="S2402" s="220" t="s">
        <v>1861</v>
      </c>
      <c r="U2402" t="s">
        <v>1972</v>
      </c>
      <c r="V2402" t="s">
        <v>2832</v>
      </c>
    </row>
    <row r="2403" spans="1:22" ht="15.75" thickBot="1" x14ac:dyDescent="0.3">
      <c r="A2403" t="s">
        <v>4693</v>
      </c>
      <c r="B2403" t="s">
        <v>4693</v>
      </c>
      <c r="C2403" t="s">
        <v>4693</v>
      </c>
      <c r="D2403" t="s">
        <v>629</v>
      </c>
      <c r="E2403" s="259" t="s">
        <v>1970</v>
      </c>
      <c r="F2403" t="s">
        <v>620</v>
      </c>
      <c r="G2403" s="89">
        <v>2015</v>
      </c>
      <c r="H2403" s="341" t="s">
        <v>733</v>
      </c>
      <c r="I2403" s="337" t="str">
        <f t="shared" si="100"/>
        <v>Pesado de Passageiros M3: I : Gasóleo : E6</v>
      </c>
      <c r="J2403" s="125">
        <v>90</v>
      </c>
      <c r="K2403" s="264">
        <v>2022</v>
      </c>
      <c r="L2403" s="85">
        <v>13559.469999999994</v>
      </c>
      <c r="M2403" s="85" t="s">
        <v>630</v>
      </c>
      <c r="N2403" s="128">
        <v>32165.375</v>
      </c>
      <c r="O2403" s="128">
        <f t="shared" si="101"/>
        <v>2894883.75</v>
      </c>
      <c r="P2403" s="89">
        <v>329</v>
      </c>
      <c r="Q2403" t="s">
        <v>47</v>
      </c>
      <c r="R2403" s="220" t="s">
        <v>1888</v>
      </c>
      <c r="S2403" s="220" t="s">
        <v>1861</v>
      </c>
      <c r="U2403" t="s">
        <v>1972</v>
      </c>
      <c r="V2403" t="s">
        <v>2832</v>
      </c>
    </row>
    <row r="2404" spans="1:22" ht="15.75" thickBot="1" x14ac:dyDescent="0.3">
      <c r="A2404" t="s">
        <v>4693</v>
      </c>
      <c r="B2404" t="s">
        <v>4693</v>
      </c>
      <c r="C2404" t="s">
        <v>4693</v>
      </c>
      <c r="D2404" t="s">
        <v>629</v>
      </c>
      <c r="E2404" s="259" t="s">
        <v>1970</v>
      </c>
      <c r="F2404" t="s">
        <v>620</v>
      </c>
      <c r="G2404" s="89">
        <v>2015</v>
      </c>
      <c r="H2404" s="341" t="s">
        <v>733</v>
      </c>
      <c r="I2404" s="337" t="str">
        <f t="shared" si="100"/>
        <v>Pesado de Passageiros M3: I : Gasóleo : E6</v>
      </c>
      <c r="J2404" s="125">
        <v>90</v>
      </c>
      <c r="K2404" s="264">
        <v>2022</v>
      </c>
      <c r="L2404" s="85">
        <v>25049.340000000018</v>
      </c>
      <c r="M2404" s="85" t="s">
        <v>630</v>
      </c>
      <c r="N2404" s="128">
        <v>58858.375</v>
      </c>
      <c r="O2404" s="128">
        <f t="shared" si="101"/>
        <v>5297253.75</v>
      </c>
      <c r="P2404" s="89">
        <v>330</v>
      </c>
      <c r="Q2404" t="s">
        <v>47</v>
      </c>
      <c r="R2404" s="220" t="s">
        <v>1888</v>
      </c>
      <c r="S2404" s="220" t="s">
        <v>1861</v>
      </c>
      <c r="U2404" t="s">
        <v>1972</v>
      </c>
      <c r="V2404" t="s">
        <v>2832</v>
      </c>
    </row>
    <row r="2405" spans="1:22" ht="15.75" thickBot="1" x14ac:dyDescent="0.3">
      <c r="A2405" t="s">
        <v>4693</v>
      </c>
      <c r="B2405" t="s">
        <v>4693</v>
      </c>
      <c r="C2405" t="s">
        <v>4693</v>
      </c>
      <c r="D2405" t="s">
        <v>629</v>
      </c>
      <c r="E2405" s="259" t="s">
        <v>1970</v>
      </c>
      <c r="F2405" t="s">
        <v>620</v>
      </c>
      <c r="G2405" s="89">
        <v>2015</v>
      </c>
      <c r="H2405" s="341" t="s">
        <v>733</v>
      </c>
      <c r="I2405" s="337" t="str">
        <f t="shared" si="100"/>
        <v>Pesado de Passageiros M3: I : Gasóleo : E6</v>
      </c>
      <c r="J2405" s="125">
        <v>90</v>
      </c>
      <c r="K2405" s="264">
        <v>2022</v>
      </c>
      <c r="L2405" s="85">
        <v>25989.350000000009</v>
      </c>
      <c r="M2405" s="85" t="s">
        <v>630</v>
      </c>
      <c r="N2405" s="128">
        <v>59046.375</v>
      </c>
      <c r="O2405" s="128">
        <f t="shared" si="101"/>
        <v>5314173.75</v>
      </c>
      <c r="P2405" s="89">
        <v>331</v>
      </c>
      <c r="Q2405" t="s">
        <v>47</v>
      </c>
      <c r="R2405" s="220" t="s">
        <v>1888</v>
      </c>
      <c r="S2405" s="220" t="s">
        <v>1861</v>
      </c>
      <c r="U2405" t="s">
        <v>1972</v>
      </c>
      <c r="V2405" t="s">
        <v>2832</v>
      </c>
    </row>
    <row r="2406" spans="1:22" ht="15.75" thickBot="1" x14ac:dyDescent="0.3">
      <c r="A2406" t="s">
        <v>4693</v>
      </c>
      <c r="B2406" t="s">
        <v>4693</v>
      </c>
      <c r="C2406" t="s">
        <v>4693</v>
      </c>
      <c r="D2406" t="s">
        <v>629</v>
      </c>
      <c r="E2406" s="259" t="s">
        <v>1970</v>
      </c>
      <c r="F2406" t="s">
        <v>620</v>
      </c>
      <c r="G2406" s="89">
        <v>2015</v>
      </c>
      <c r="H2406" s="341" t="s">
        <v>733</v>
      </c>
      <c r="I2406" s="337" t="str">
        <f t="shared" si="100"/>
        <v>Pesado de Passageiros M3: I : Gasóleo : E6</v>
      </c>
      <c r="J2406" s="125">
        <v>90</v>
      </c>
      <c r="K2406" s="264">
        <v>2022</v>
      </c>
      <c r="L2406" s="85">
        <v>28818.91</v>
      </c>
      <c r="M2406" s="85" t="s">
        <v>630</v>
      </c>
      <c r="N2406" s="128">
        <v>64325.375</v>
      </c>
      <c r="O2406" s="128">
        <f t="shared" si="101"/>
        <v>5789283.75</v>
      </c>
      <c r="P2406" s="89">
        <v>332</v>
      </c>
      <c r="Q2406" t="s">
        <v>47</v>
      </c>
      <c r="R2406" s="220" t="s">
        <v>1888</v>
      </c>
      <c r="S2406" s="220" t="s">
        <v>1861</v>
      </c>
      <c r="U2406" t="s">
        <v>1972</v>
      </c>
      <c r="V2406" t="s">
        <v>2832</v>
      </c>
    </row>
    <row r="2407" spans="1:22" ht="15.75" thickBot="1" x14ac:dyDescent="0.3">
      <c r="A2407" t="s">
        <v>4693</v>
      </c>
      <c r="B2407" t="s">
        <v>4693</v>
      </c>
      <c r="C2407" t="s">
        <v>4693</v>
      </c>
      <c r="D2407" t="s">
        <v>629</v>
      </c>
      <c r="E2407" s="259" t="s">
        <v>1970</v>
      </c>
      <c r="F2407" t="s">
        <v>620</v>
      </c>
      <c r="G2407" s="89">
        <v>2015</v>
      </c>
      <c r="H2407" s="341" t="s">
        <v>733</v>
      </c>
      <c r="I2407" s="337" t="str">
        <f t="shared" si="100"/>
        <v>Pesado de Passageiros M3: I : Gasóleo : E6</v>
      </c>
      <c r="J2407" s="125">
        <v>90</v>
      </c>
      <c r="K2407" s="264">
        <v>2022</v>
      </c>
      <c r="L2407" s="85">
        <v>24526.979999999985</v>
      </c>
      <c r="M2407" s="85" t="s">
        <v>630</v>
      </c>
      <c r="N2407" s="128">
        <v>53849.375</v>
      </c>
      <c r="O2407" s="128">
        <f t="shared" si="101"/>
        <v>4846443.75</v>
      </c>
      <c r="P2407" s="89">
        <v>333</v>
      </c>
      <c r="Q2407" t="s">
        <v>47</v>
      </c>
      <c r="R2407" s="220" t="s">
        <v>1888</v>
      </c>
      <c r="S2407" s="220" t="s">
        <v>1861</v>
      </c>
      <c r="U2407" t="s">
        <v>1972</v>
      </c>
      <c r="V2407" t="s">
        <v>2832</v>
      </c>
    </row>
    <row r="2408" spans="1:22" ht="15.75" thickBot="1" x14ac:dyDescent="0.3">
      <c r="A2408" t="s">
        <v>4693</v>
      </c>
      <c r="B2408" t="s">
        <v>4693</v>
      </c>
      <c r="C2408" t="s">
        <v>4693</v>
      </c>
      <c r="D2408" t="s">
        <v>629</v>
      </c>
      <c r="E2408" s="259" t="s">
        <v>1970</v>
      </c>
      <c r="F2408" t="s">
        <v>620</v>
      </c>
      <c r="G2408" s="89">
        <v>2015</v>
      </c>
      <c r="H2408" s="341" t="s">
        <v>733</v>
      </c>
      <c r="I2408" s="337" t="str">
        <f t="shared" si="100"/>
        <v>Pesado de Passageiros M3: I : Gasóleo : E6</v>
      </c>
      <c r="J2408" s="125">
        <v>90</v>
      </c>
      <c r="K2408" s="264">
        <v>2022</v>
      </c>
      <c r="L2408" s="85">
        <v>27680.14</v>
      </c>
      <c r="M2408" s="85" t="s">
        <v>630</v>
      </c>
      <c r="N2408" s="128">
        <v>59620.375</v>
      </c>
      <c r="O2408" s="128">
        <f t="shared" si="101"/>
        <v>5365833.75</v>
      </c>
      <c r="P2408" s="89">
        <v>334</v>
      </c>
      <c r="Q2408" t="s">
        <v>47</v>
      </c>
      <c r="R2408" s="220" t="s">
        <v>1888</v>
      </c>
      <c r="S2408" s="220" t="s">
        <v>1861</v>
      </c>
      <c r="U2408" t="s">
        <v>1972</v>
      </c>
      <c r="V2408" t="s">
        <v>2832</v>
      </c>
    </row>
    <row r="2409" spans="1:22" ht="15.75" thickBot="1" x14ac:dyDescent="0.3">
      <c r="A2409" t="s">
        <v>4693</v>
      </c>
      <c r="B2409" t="s">
        <v>4693</v>
      </c>
      <c r="C2409" t="s">
        <v>4693</v>
      </c>
      <c r="D2409" t="s">
        <v>629</v>
      </c>
      <c r="E2409" s="259" t="s">
        <v>1970</v>
      </c>
      <c r="F2409" t="s">
        <v>620</v>
      </c>
      <c r="G2409" s="89">
        <v>2015</v>
      </c>
      <c r="H2409" s="341" t="s">
        <v>733</v>
      </c>
      <c r="I2409" s="337" t="str">
        <f t="shared" si="100"/>
        <v>Pesado de Passageiros M3: I : Gasóleo : E6</v>
      </c>
      <c r="J2409" s="125">
        <v>90</v>
      </c>
      <c r="K2409" s="264">
        <v>2022</v>
      </c>
      <c r="L2409" s="85">
        <v>25379.539999999968</v>
      </c>
      <c r="M2409" s="85" t="s">
        <v>630</v>
      </c>
      <c r="N2409" s="128">
        <v>58684.375</v>
      </c>
      <c r="O2409" s="128">
        <f t="shared" si="101"/>
        <v>5281593.75</v>
      </c>
      <c r="P2409" s="89">
        <v>335</v>
      </c>
      <c r="Q2409" t="s">
        <v>47</v>
      </c>
      <c r="R2409" s="220" t="s">
        <v>1888</v>
      </c>
      <c r="S2409" s="220" t="s">
        <v>1861</v>
      </c>
      <c r="U2409" t="s">
        <v>1972</v>
      </c>
      <c r="V2409" t="s">
        <v>2832</v>
      </c>
    </row>
    <row r="2410" spans="1:22" ht="15.75" thickBot="1" x14ac:dyDescent="0.3">
      <c r="A2410" t="s">
        <v>4693</v>
      </c>
      <c r="B2410" t="s">
        <v>4693</v>
      </c>
      <c r="C2410" t="s">
        <v>4693</v>
      </c>
      <c r="D2410" t="s">
        <v>629</v>
      </c>
      <c r="E2410" s="259" t="s">
        <v>1970</v>
      </c>
      <c r="F2410" t="s">
        <v>620</v>
      </c>
      <c r="G2410" s="89">
        <v>2003</v>
      </c>
      <c r="H2410" s="341" t="s">
        <v>732</v>
      </c>
      <c r="I2410" s="337" t="str">
        <f t="shared" si="100"/>
        <v>Pesado de Passageiros M3: I : Gasóleo : E3</v>
      </c>
      <c r="J2410" s="125">
        <v>79</v>
      </c>
      <c r="K2410" s="264">
        <v>2022</v>
      </c>
      <c r="L2410" s="85">
        <v>10630.660000000002</v>
      </c>
      <c r="M2410" s="85" t="s">
        <v>630</v>
      </c>
      <c r="N2410" s="128">
        <v>25736.375</v>
      </c>
      <c r="O2410" s="128">
        <f t="shared" si="101"/>
        <v>2033173.625</v>
      </c>
      <c r="P2410" s="89">
        <v>284</v>
      </c>
      <c r="Q2410" t="s">
        <v>47</v>
      </c>
      <c r="R2410" s="220" t="s">
        <v>1888</v>
      </c>
      <c r="S2410" s="220" t="s">
        <v>1861</v>
      </c>
      <c r="U2410" t="s">
        <v>1972</v>
      </c>
      <c r="V2410" t="s">
        <v>2832</v>
      </c>
    </row>
    <row r="2411" spans="1:22" ht="15.75" thickBot="1" x14ac:dyDescent="0.3">
      <c r="A2411" t="s">
        <v>4693</v>
      </c>
      <c r="B2411" t="s">
        <v>4693</v>
      </c>
      <c r="C2411" t="s">
        <v>4693</v>
      </c>
      <c r="D2411" t="s">
        <v>629</v>
      </c>
      <c r="E2411" s="259" t="s">
        <v>1970</v>
      </c>
      <c r="F2411" t="s">
        <v>620</v>
      </c>
      <c r="G2411" s="89">
        <v>2003</v>
      </c>
      <c r="H2411" s="341" t="s">
        <v>732</v>
      </c>
      <c r="I2411" s="337" t="str">
        <f t="shared" si="100"/>
        <v>Pesado de Passageiros M3: I : Gasóleo : E3</v>
      </c>
      <c r="J2411" s="125">
        <v>79</v>
      </c>
      <c r="K2411" s="264">
        <v>2022</v>
      </c>
      <c r="L2411" s="85">
        <v>21578.089999999997</v>
      </c>
      <c r="M2411" s="85" t="s">
        <v>630</v>
      </c>
      <c r="N2411" s="128">
        <v>46618.375</v>
      </c>
      <c r="O2411" s="128">
        <f t="shared" si="101"/>
        <v>3682851.625</v>
      </c>
      <c r="P2411" s="89">
        <v>285</v>
      </c>
      <c r="Q2411" t="s">
        <v>47</v>
      </c>
      <c r="R2411" s="220" t="s">
        <v>1888</v>
      </c>
      <c r="S2411" s="220" t="s">
        <v>1861</v>
      </c>
      <c r="U2411" t="s">
        <v>1972</v>
      </c>
      <c r="V2411" t="s">
        <v>2832</v>
      </c>
    </row>
    <row r="2412" spans="1:22" ht="15.75" thickBot="1" x14ac:dyDescent="0.3">
      <c r="A2412" t="s">
        <v>4693</v>
      </c>
      <c r="B2412" t="s">
        <v>4693</v>
      </c>
      <c r="C2412" t="s">
        <v>4693</v>
      </c>
      <c r="D2412" t="s">
        <v>629</v>
      </c>
      <c r="E2412" s="259" t="s">
        <v>1970</v>
      </c>
      <c r="F2412" t="s">
        <v>620</v>
      </c>
      <c r="G2412" s="89">
        <v>2003</v>
      </c>
      <c r="H2412" s="341" t="s">
        <v>732</v>
      </c>
      <c r="I2412" s="337" t="str">
        <f t="shared" si="100"/>
        <v>Pesado de Passageiros M3: I : Gasóleo : E3</v>
      </c>
      <c r="J2412" s="125">
        <v>79</v>
      </c>
      <c r="K2412" s="264">
        <v>2022</v>
      </c>
      <c r="L2412" s="85">
        <v>10697.74</v>
      </c>
      <c r="M2412" s="85" t="s">
        <v>630</v>
      </c>
      <c r="N2412" s="128">
        <v>24653.375</v>
      </c>
      <c r="O2412" s="128">
        <f t="shared" si="101"/>
        <v>1947616.625</v>
      </c>
      <c r="P2412" s="89">
        <v>286</v>
      </c>
      <c r="Q2412" t="s">
        <v>47</v>
      </c>
      <c r="R2412" s="220" t="s">
        <v>1888</v>
      </c>
      <c r="S2412" s="220" t="s">
        <v>1861</v>
      </c>
      <c r="U2412" t="s">
        <v>1972</v>
      </c>
      <c r="V2412" t="s">
        <v>2832</v>
      </c>
    </row>
    <row r="2413" spans="1:22" ht="15.75" thickBot="1" x14ac:dyDescent="0.3">
      <c r="A2413" t="s">
        <v>4693</v>
      </c>
      <c r="B2413" t="s">
        <v>4693</v>
      </c>
      <c r="C2413" t="s">
        <v>4693</v>
      </c>
      <c r="D2413" t="s">
        <v>629</v>
      </c>
      <c r="E2413" s="259" t="s">
        <v>1970</v>
      </c>
      <c r="F2413" t="s">
        <v>620</v>
      </c>
      <c r="G2413" s="89">
        <v>2003</v>
      </c>
      <c r="H2413" s="341" t="s">
        <v>732</v>
      </c>
      <c r="I2413" s="337" t="str">
        <f t="shared" si="100"/>
        <v>Pesado de Passageiros M3: I : Gasóleo : E3</v>
      </c>
      <c r="J2413" s="125">
        <v>79</v>
      </c>
      <c r="K2413" s="264">
        <v>2022</v>
      </c>
      <c r="L2413" s="85">
        <v>15942.009999999993</v>
      </c>
      <c r="M2413" s="85" t="s">
        <v>630</v>
      </c>
      <c r="N2413" s="128">
        <v>38853.078549060505</v>
      </c>
      <c r="O2413" s="128">
        <f t="shared" si="101"/>
        <v>3069393.2053757799</v>
      </c>
      <c r="P2413" s="89">
        <v>287</v>
      </c>
      <c r="Q2413" t="s">
        <v>47</v>
      </c>
      <c r="R2413" s="220" t="s">
        <v>1888</v>
      </c>
      <c r="S2413" s="220" t="s">
        <v>1861</v>
      </c>
      <c r="U2413" t="s">
        <v>1972</v>
      </c>
      <c r="V2413" t="s">
        <v>2832</v>
      </c>
    </row>
    <row r="2414" spans="1:22" ht="15.75" thickBot="1" x14ac:dyDescent="0.3">
      <c r="A2414" t="s">
        <v>2836</v>
      </c>
      <c r="B2414" t="s">
        <v>2836</v>
      </c>
      <c r="C2414" t="s">
        <v>2836</v>
      </c>
      <c r="D2414" t="s">
        <v>629</v>
      </c>
      <c r="E2414" s="259" t="s">
        <v>1853</v>
      </c>
      <c r="F2414" t="s">
        <v>620</v>
      </c>
      <c r="G2414" s="89">
        <v>1999</v>
      </c>
      <c r="H2414" s="343" t="s">
        <v>2250</v>
      </c>
      <c r="I2414" s="337" t="str">
        <f t="shared" si="100"/>
        <v>Pesado de Passageiros M3: III : Gasóleo : Geral</v>
      </c>
      <c r="J2414" s="265">
        <v>49</v>
      </c>
      <c r="K2414" s="264">
        <v>2022</v>
      </c>
      <c r="L2414" s="85"/>
      <c r="M2414" s="85" t="s">
        <v>630</v>
      </c>
      <c r="N2414" s="128"/>
      <c r="O2414" s="128">
        <f t="shared" si="101"/>
        <v>0</v>
      </c>
      <c r="P2414" s="89">
        <v>270</v>
      </c>
      <c r="Q2414" t="s">
        <v>47</v>
      </c>
      <c r="R2414" s="220" t="s">
        <v>1888</v>
      </c>
      <c r="S2414" s="220" t="s">
        <v>1861</v>
      </c>
      <c r="T2414" t="s">
        <v>2647</v>
      </c>
      <c r="U2414" t="s">
        <v>1972</v>
      </c>
      <c r="V2414" t="s">
        <v>2832</v>
      </c>
    </row>
    <row r="2415" spans="1:22" ht="15.75" thickBot="1" x14ac:dyDescent="0.3">
      <c r="A2415" t="s">
        <v>2836</v>
      </c>
      <c r="B2415" t="s">
        <v>2836</v>
      </c>
      <c r="C2415" t="s">
        <v>2836</v>
      </c>
      <c r="D2415" t="s">
        <v>629</v>
      </c>
      <c r="E2415" s="259" t="s">
        <v>1853</v>
      </c>
      <c r="F2415" t="s">
        <v>620</v>
      </c>
      <c r="G2415" s="89">
        <v>2000</v>
      </c>
      <c r="H2415" s="343" t="s">
        <v>2250</v>
      </c>
      <c r="I2415" s="337" t="str">
        <f t="shared" si="100"/>
        <v>Pesado de Passageiros M3: III : Gasóleo : Geral</v>
      </c>
      <c r="J2415" s="265">
        <v>49</v>
      </c>
      <c r="K2415" s="264">
        <v>2022</v>
      </c>
      <c r="L2415" s="85"/>
      <c r="M2415" s="85" t="s">
        <v>630</v>
      </c>
      <c r="N2415" s="128"/>
      <c r="O2415" s="128">
        <f t="shared" si="101"/>
        <v>0</v>
      </c>
      <c r="P2415" s="89">
        <v>272</v>
      </c>
      <c r="Q2415" t="s">
        <v>47</v>
      </c>
      <c r="R2415" s="220" t="s">
        <v>1888</v>
      </c>
      <c r="S2415" s="220" t="s">
        <v>1861</v>
      </c>
      <c r="T2415" t="s">
        <v>2647</v>
      </c>
      <c r="U2415" t="s">
        <v>1972</v>
      </c>
      <c r="V2415" t="s">
        <v>2832</v>
      </c>
    </row>
    <row r="2416" spans="1:22" ht="15.75" thickBot="1" x14ac:dyDescent="0.3">
      <c r="A2416" t="s">
        <v>2836</v>
      </c>
      <c r="B2416" t="s">
        <v>2836</v>
      </c>
      <c r="C2416" t="s">
        <v>2836</v>
      </c>
      <c r="D2416" t="s">
        <v>629</v>
      </c>
      <c r="E2416" s="259" t="s">
        <v>1853</v>
      </c>
      <c r="F2416" t="s">
        <v>620</v>
      </c>
      <c r="G2416" s="89">
        <v>2001</v>
      </c>
      <c r="H2416" s="343" t="s">
        <v>2250</v>
      </c>
      <c r="I2416" s="337" t="str">
        <f t="shared" si="100"/>
        <v>Pesado de Passageiros M3: III : Gasóleo : Geral</v>
      </c>
      <c r="J2416" s="265">
        <v>51</v>
      </c>
      <c r="K2416" s="264">
        <v>2022</v>
      </c>
      <c r="L2416" s="85"/>
      <c r="M2416" s="85" t="s">
        <v>630</v>
      </c>
      <c r="N2416" s="128"/>
      <c r="O2416" s="128">
        <f t="shared" si="101"/>
        <v>0</v>
      </c>
      <c r="P2416" s="89">
        <v>280</v>
      </c>
      <c r="Q2416" t="s">
        <v>47</v>
      </c>
      <c r="R2416" s="220" t="s">
        <v>1888</v>
      </c>
      <c r="S2416" s="220" t="s">
        <v>1861</v>
      </c>
      <c r="T2416" t="s">
        <v>2647</v>
      </c>
      <c r="U2416" t="s">
        <v>1972</v>
      </c>
      <c r="V2416" t="s">
        <v>2832</v>
      </c>
    </row>
    <row r="2417" spans="1:22" ht="15.75" thickBot="1" x14ac:dyDescent="0.3">
      <c r="A2417" t="s">
        <v>2836</v>
      </c>
      <c r="B2417" t="s">
        <v>2836</v>
      </c>
      <c r="C2417" t="s">
        <v>2836</v>
      </c>
      <c r="D2417" t="s">
        <v>629</v>
      </c>
      <c r="E2417" s="259" t="s">
        <v>1853</v>
      </c>
      <c r="F2417" t="s">
        <v>620</v>
      </c>
      <c r="G2417" s="89">
        <v>2001</v>
      </c>
      <c r="H2417" s="343" t="s">
        <v>2250</v>
      </c>
      <c r="I2417" s="337" t="str">
        <f t="shared" si="100"/>
        <v>Pesado de Passageiros M3: III : Gasóleo : Geral</v>
      </c>
      <c r="J2417" s="265">
        <v>51</v>
      </c>
      <c r="K2417" s="264">
        <v>2022</v>
      </c>
      <c r="L2417" s="85">
        <v>146.9</v>
      </c>
      <c r="M2417" s="85" t="s">
        <v>630</v>
      </c>
      <c r="N2417" s="128">
        <v>488</v>
      </c>
      <c r="O2417" s="128">
        <f t="shared" si="101"/>
        <v>24888</v>
      </c>
      <c r="P2417" s="89">
        <v>286</v>
      </c>
      <c r="Q2417" t="s">
        <v>47</v>
      </c>
      <c r="R2417" s="220" t="s">
        <v>1888</v>
      </c>
      <c r="S2417" s="220" t="s">
        <v>1861</v>
      </c>
      <c r="T2417" t="s">
        <v>2647</v>
      </c>
      <c r="U2417" t="s">
        <v>1972</v>
      </c>
      <c r="V2417" t="s">
        <v>2832</v>
      </c>
    </row>
    <row r="2418" spans="1:22" ht="15.75" thickBot="1" x14ac:dyDescent="0.3">
      <c r="A2418" t="s">
        <v>2836</v>
      </c>
      <c r="B2418" t="s">
        <v>2836</v>
      </c>
      <c r="C2418" t="s">
        <v>2836</v>
      </c>
      <c r="D2418" t="s">
        <v>629</v>
      </c>
      <c r="E2418" s="259" t="s">
        <v>1853</v>
      </c>
      <c r="F2418" t="s">
        <v>620</v>
      </c>
      <c r="G2418" s="89">
        <v>1999</v>
      </c>
      <c r="H2418" s="343" t="s">
        <v>2250</v>
      </c>
      <c r="I2418" s="337" t="str">
        <f t="shared" si="100"/>
        <v>Pesado de Passageiros M3: III : Gasóleo : Geral</v>
      </c>
      <c r="J2418" s="265">
        <v>49</v>
      </c>
      <c r="K2418" s="264">
        <v>2022</v>
      </c>
      <c r="L2418" s="85"/>
      <c r="M2418" s="85" t="s">
        <v>630</v>
      </c>
      <c r="N2418" s="128"/>
      <c r="O2418" s="128">
        <f t="shared" si="101"/>
        <v>0</v>
      </c>
      <c r="P2418" s="89">
        <v>298</v>
      </c>
      <c r="Q2418" t="s">
        <v>47</v>
      </c>
      <c r="R2418" s="220" t="s">
        <v>1888</v>
      </c>
      <c r="S2418" s="220" t="s">
        <v>1861</v>
      </c>
      <c r="T2418" t="s">
        <v>2647</v>
      </c>
      <c r="U2418" t="s">
        <v>1972</v>
      </c>
      <c r="V2418" t="s">
        <v>2832</v>
      </c>
    </row>
    <row r="2419" spans="1:22" ht="15.75" thickBot="1" x14ac:dyDescent="0.3">
      <c r="A2419" t="s">
        <v>2836</v>
      </c>
      <c r="B2419" t="s">
        <v>2836</v>
      </c>
      <c r="C2419" t="s">
        <v>2836</v>
      </c>
      <c r="D2419" t="s">
        <v>629</v>
      </c>
      <c r="E2419" s="259" t="s">
        <v>1853</v>
      </c>
      <c r="F2419" t="s">
        <v>620</v>
      </c>
      <c r="G2419" s="89">
        <v>2000</v>
      </c>
      <c r="H2419" s="343" t="s">
        <v>2250</v>
      </c>
      <c r="I2419" s="337" t="str">
        <f t="shared" si="100"/>
        <v>Pesado de Passageiros M3: III : Gasóleo : Geral</v>
      </c>
      <c r="J2419" s="265">
        <v>50</v>
      </c>
      <c r="K2419" s="264">
        <v>2022</v>
      </c>
      <c r="L2419" s="85"/>
      <c r="M2419" s="85" t="s">
        <v>630</v>
      </c>
      <c r="N2419" s="128"/>
      <c r="O2419" s="128">
        <f t="shared" si="101"/>
        <v>0</v>
      </c>
      <c r="P2419" s="89">
        <v>300</v>
      </c>
      <c r="Q2419" t="s">
        <v>47</v>
      </c>
      <c r="R2419" s="220" t="s">
        <v>1888</v>
      </c>
      <c r="S2419" s="220" t="s">
        <v>1861</v>
      </c>
      <c r="T2419" t="s">
        <v>2647</v>
      </c>
      <c r="U2419" t="s">
        <v>1972</v>
      </c>
      <c r="V2419" t="s">
        <v>2832</v>
      </c>
    </row>
    <row r="2420" spans="1:22" ht="15.75" thickBot="1" x14ac:dyDescent="0.3">
      <c r="A2420" t="s">
        <v>2836</v>
      </c>
      <c r="B2420" t="s">
        <v>2836</v>
      </c>
      <c r="C2420" t="s">
        <v>2836</v>
      </c>
      <c r="D2420" t="s">
        <v>629</v>
      </c>
      <c r="E2420" s="259" t="s">
        <v>1853</v>
      </c>
      <c r="F2420" t="s">
        <v>620</v>
      </c>
      <c r="G2420" s="89">
        <v>2000</v>
      </c>
      <c r="H2420" s="343" t="s">
        <v>2250</v>
      </c>
      <c r="I2420" s="337" t="str">
        <f t="shared" si="100"/>
        <v>Pesado de Passageiros M3: III : Gasóleo : Geral</v>
      </c>
      <c r="J2420" s="265">
        <v>50</v>
      </c>
      <c r="K2420" s="264">
        <v>2022</v>
      </c>
      <c r="L2420" s="85"/>
      <c r="M2420" s="85" t="s">
        <v>630</v>
      </c>
      <c r="N2420" s="128"/>
      <c r="O2420" s="128">
        <f t="shared" si="101"/>
        <v>0</v>
      </c>
      <c r="P2420" s="89">
        <v>301</v>
      </c>
      <c r="Q2420" t="s">
        <v>47</v>
      </c>
      <c r="R2420" s="220" t="s">
        <v>1888</v>
      </c>
      <c r="S2420" s="220" t="s">
        <v>1861</v>
      </c>
      <c r="T2420" t="s">
        <v>2647</v>
      </c>
      <c r="U2420" t="s">
        <v>1972</v>
      </c>
      <c r="V2420" t="s">
        <v>2832</v>
      </c>
    </row>
    <row r="2421" spans="1:22" ht="15.75" thickBot="1" x14ac:dyDescent="0.3">
      <c r="A2421" t="s">
        <v>2836</v>
      </c>
      <c r="B2421" t="s">
        <v>2836</v>
      </c>
      <c r="C2421" t="s">
        <v>2836</v>
      </c>
      <c r="D2421" t="s">
        <v>629</v>
      </c>
      <c r="E2421" s="259" t="s">
        <v>1853</v>
      </c>
      <c r="F2421" t="s">
        <v>620</v>
      </c>
      <c r="G2421" s="89">
        <v>2001</v>
      </c>
      <c r="H2421" s="343" t="s">
        <v>2250</v>
      </c>
      <c r="I2421" s="337" t="str">
        <f t="shared" si="100"/>
        <v>Pesado de Passageiros M3: III : Gasóleo : Geral</v>
      </c>
      <c r="J2421" s="265">
        <v>50</v>
      </c>
      <c r="K2421" s="264">
        <v>2022</v>
      </c>
      <c r="L2421" s="85"/>
      <c r="M2421" s="85" t="s">
        <v>630</v>
      </c>
      <c r="N2421" s="128"/>
      <c r="O2421" s="128">
        <f t="shared" si="101"/>
        <v>0</v>
      </c>
      <c r="P2421" s="89">
        <v>305</v>
      </c>
      <c r="Q2421" t="s">
        <v>47</v>
      </c>
      <c r="R2421" s="220" t="s">
        <v>1888</v>
      </c>
      <c r="S2421" s="220" t="s">
        <v>1861</v>
      </c>
      <c r="T2421" t="s">
        <v>2647</v>
      </c>
      <c r="U2421" t="s">
        <v>1972</v>
      </c>
      <c r="V2421" t="s">
        <v>2832</v>
      </c>
    </row>
    <row r="2422" spans="1:22" ht="15.75" thickBot="1" x14ac:dyDescent="0.3">
      <c r="A2422" t="s">
        <v>2836</v>
      </c>
      <c r="B2422" t="s">
        <v>2836</v>
      </c>
      <c r="C2422" t="s">
        <v>2836</v>
      </c>
      <c r="D2422" t="s">
        <v>629</v>
      </c>
      <c r="E2422" s="259" t="s">
        <v>1853</v>
      </c>
      <c r="F2422" t="s">
        <v>620</v>
      </c>
      <c r="G2422" s="89">
        <v>2001</v>
      </c>
      <c r="H2422" s="343" t="s">
        <v>2250</v>
      </c>
      <c r="I2422" s="337" t="str">
        <f t="shared" si="100"/>
        <v>Pesado de Passageiros M3: III : Gasóleo : Geral</v>
      </c>
      <c r="J2422" s="265">
        <v>50</v>
      </c>
      <c r="K2422" s="264">
        <v>2022</v>
      </c>
      <c r="L2422" s="85">
        <v>10414.799999999999</v>
      </c>
      <c r="M2422" s="85" t="s">
        <v>630</v>
      </c>
      <c r="N2422" s="128">
        <v>33098</v>
      </c>
      <c r="O2422" s="128">
        <f t="shared" si="101"/>
        <v>1654900</v>
      </c>
      <c r="P2422" s="89">
        <v>306</v>
      </c>
      <c r="Q2422" t="s">
        <v>47</v>
      </c>
      <c r="R2422" s="220" t="s">
        <v>1888</v>
      </c>
      <c r="S2422" s="220" t="s">
        <v>1861</v>
      </c>
      <c r="T2422" t="s">
        <v>2647</v>
      </c>
      <c r="U2422" t="s">
        <v>1972</v>
      </c>
      <c r="V2422" t="s">
        <v>2832</v>
      </c>
    </row>
    <row r="2423" spans="1:22" ht="15.75" thickBot="1" x14ac:dyDescent="0.3">
      <c r="A2423" t="s">
        <v>2836</v>
      </c>
      <c r="B2423" t="s">
        <v>2836</v>
      </c>
      <c r="C2423" t="s">
        <v>2836</v>
      </c>
      <c r="D2423" t="s">
        <v>629</v>
      </c>
      <c r="E2423" s="259" t="s">
        <v>1853</v>
      </c>
      <c r="F2423" t="s">
        <v>620</v>
      </c>
      <c r="G2423" s="89">
        <v>2001</v>
      </c>
      <c r="H2423" s="343" t="s">
        <v>2250</v>
      </c>
      <c r="I2423" s="337" t="str">
        <f t="shared" si="100"/>
        <v>Pesado de Passageiros M3: III : Gasóleo : Geral</v>
      </c>
      <c r="J2423" s="265">
        <v>44</v>
      </c>
      <c r="K2423" s="264">
        <v>2022</v>
      </c>
      <c r="L2423" s="85"/>
      <c r="M2423" s="85" t="s">
        <v>630</v>
      </c>
      <c r="N2423" s="128"/>
      <c r="O2423" s="128">
        <f t="shared" si="101"/>
        <v>0</v>
      </c>
      <c r="P2423" s="89">
        <v>308</v>
      </c>
      <c r="Q2423" t="s">
        <v>47</v>
      </c>
      <c r="R2423" s="220" t="s">
        <v>1888</v>
      </c>
      <c r="S2423" s="220" t="s">
        <v>1861</v>
      </c>
      <c r="T2423" t="s">
        <v>2647</v>
      </c>
      <c r="U2423" t="s">
        <v>1972</v>
      </c>
      <c r="V2423" t="s">
        <v>2832</v>
      </c>
    </row>
    <row r="2424" spans="1:22" ht="15.75" thickBot="1" x14ac:dyDescent="0.3">
      <c r="A2424" t="s">
        <v>2836</v>
      </c>
      <c r="B2424" t="s">
        <v>2836</v>
      </c>
      <c r="C2424" t="s">
        <v>2836</v>
      </c>
      <c r="D2424" t="s">
        <v>629</v>
      </c>
      <c r="E2424" s="259" t="s">
        <v>1853</v>
      </c>
      <c r="F2424" t="s">
        <v>620</v>
      </c>
      <c r="G2424" s="89">
        <v>2002</v>
      </c>
      <c r="H2424" s="343" t="s">
        <v>2250</v>
      </c>
      <c r="I2424" s="337" t="str">
        <f t="shared" si="100"/>
        <v>Pesado de Passageiros M3: III : Gasóleo : Geral</v>
      </c>
      <c r="J2424" s="265">
        <v>55</v>
      </c>
      <c r="K2424" s="264">
        <v>2022</v>
      </c>
      <c r="L2424" s="85"/>
      <c r="M2424" s="85" t="s">
        <v>630</v>
      </c>
      <c r="N2424" s="128"/>
      <c r="O2424" s="128">
        <f t="shared" si="101"/>
        <v>0</v>
      </c>
      <c r="P2424" s="89">
        <v>309</v>
      </c>
      <c r="Q2424" t="s">
        <v>47</v>
      </c>
      <c r="R2424" s="220" t="s">
        <v>1888</v>
      </c>
      <c r="S2424" s="220" t="s">
        <v>1861</v>
      </c>
      <c r="T2424" t="s">
        <v>2647</v>
      </c>
      <c r="U2424" t="s">
        <v>1972</v>
      </c>
      <c r="V2424" t="s">
        <v>2832</v>
      </c>
    </row>
    <row r="2425" spans="1:22" ht="15.75" thickBot="1" x14ac:dyDescent="0.3">
      <c r="A2425" t="s">
        <v>2836</v>
      </c>
      <c r="B2425" t="s">
        <v>2836</v>
      </c>
      <c r="C2425" t="s">
        <v>2836</v>
      </c>
      <c r="D2425" t="s">
        <v>629</v>
      </c>
      <c r="E2425" s="259" t="s">
        <v>1853</v>
      </c>
      <c r="F2425" t="s">
        <v>620</v>
      </c>
      <c r="G2425" s="89">
        <v>2002</v>
      </c>
      <c r="H2425" s="343" t="s">
        <v>2250</v>
      </c>
      <c r="I2425" s="337" t="str">
        <f t="shared" si="100"/>
        <v>Pesado de Passageiros M3: III : Gasóleo : Geral</v>
      </c>
      <c r="J2425" s="265">
        <v>35</v>
      </c>
      <c r="K2425" s="264">
        <v>2022</v>
      </c>
      <c r="L2425" s="85"/>
      <c r="M2425" s="85" t="s">
        <v>630</v>
      </c>
      <c r="N2425" s="128"/>
      <c r="O2425" s="128">
        <f t="shared" si="101"/>
        <v>0</v>
      </c>
      <c r="P2425" s="89">
        <v>310</v>
      </c>
      <c r="Q2425" t="s">
        <v>47</v>
      </c>
      <c r="R2425" s="220" t="s">
        <v>1888</v>
      </c>
      <c r="S2425" s="220" t="s">
        <v>1861</v>
      </c>
      <c r="T2425" t="s">
        <v>2647</v>
      </c>
      <c r="U2425" t="s">
        <v>1972</v>
      </c>
      <c r="V2425" t="s">
        <v>2832</v>
      </c>
    </row>
    <row r="2426" spans="1:22" ht="15.75" thickBot="1" x14ac:dyDescent="0.3">
      <c r="A2426" t="s">
        <v>2836</v>
      </c>
      <c r="B2426" t="s">
        <v>2836</v>
      </c>
      <c r="C2426" t="s">
        <v>2836</v>
      </c>
      <c r="D2426" t="s">
        <v>629</v>
      </c>
      <c r="E2426" s="259" t="s">
        <v>1853</v>
      </c>
      <c r="F2426" t="s">
        <v>620</v>
      </c>
      <c r="G2426" s="89">
        <v>2002</v>
      </c>
      <c r="H2426" s="343" t="s">
        <v>2250</v>
      </c>
      <c r="I2426" s="337" t="str">
        <f t="shared" si="100"/>
        <v>Pesado de Passageiros M3: III : Gasóleo : Geral</v>
      </c>
      <c r="J2426" s="265">
        <v>50</v>
      </c>
      <c r="K2426" s="264">
        <v>2022</v>
      </c>
      <c r="L2426" s="85"/>
      <c r="M2426" s="85" t="s">
        <v>630</v>
      </c>
      <c r="N2426" s="128"/>
      <c r="O2426" s="128">
        <f t="shared" si="101"/>
        <v>0</v>
      </c>
      <c r="P2426" s="89">
        <v>311</v>
      </c>
      <c r="Q2426" t="s">
        <v>47</v>
      </c>
      <c r="R2426" s="220" t="s">
        <v>1888</v>
      </c>
      <c r="S2426" s="220" t="s">
        <v>1861</v>
      </c>
      <c r="T2426" t="s">
        <v>2647</v>
      </c>
      <c r="U2426" t="s">
        <v>1972</v>
      </c>
      <c r="V2426" t="s">
        <v>2832</v>
      </c>
    </row>
    <row r="2427" spans="1:22" ht="15.75" thickBot="1" x14ac:dyDescent="0.3">
      <c r="A2427" t="s">
        <v>2836</v>
      </c>
      <c r="B2427" t="s">
        <v>2836</v>
      </c>
      <c r="C2427" t="s">
        <v>2836</v>
      </c>
      <c r="D2427" t="s">
        <v>629</v>
      </c>
      <c r="E2427" s="259" t="s">
        <v>1853</v>
      </c>
      <c r="F2427" t="s">
        <v>620</v>
      </c>
      <c r="G2427" s="89">
        <v>2002</v>
      </c>
      <c r="H2427" s="343" t="s">
        <v>2250</v>
      </c>
      <c r="I2427" s="337" t="str">
        <f t="shared" si="100"/>
        <v>Pesado de Passageiros M3: III : Gasóleo : Geral</v>
      </c>
      <c r="J2427" s="265">
        <v>49</v>
      </c>
      <c r="K2427" s="264">
        <v>2022</v>
      </c>
      <c r="L2427" s="85"/>
      <c r="M2427" s="85" t="s">
        <v>630</v>
      </c>
      <c r="N2427" s="128"/>
      <c r="O2427" s="128">
        <f t="shared" si="101"/>
        <v>0</v>
      </c>
      <c r="P2427" s="89">
        <v>315</v>
      </c>
      <c r="Q2427" t="s">
        <v>47</v>
      </c>
      <c r="R2427" s="220" t="s">
        <v>1888</v>
      </c>
      <c r="S2427" s="220" t="s">
        <v>1861</v>
      </c>
      <c r="T2427" t="s">
        <v>2647</v>
      </c>
      <c r="U2427" t="s">
        <v>1972</v>
      </c>
      <c r="V2427" t="s">
        <v>2832</v>
      </c>
    </row>
    <row r="2428" spans="1:22" ht="15.75" thickBot="1" x14ac:dyDescent="0.3">
      <c r="A2428" t="s">
        <v>2836</v>
      </c>
      <c r="B2428" t="s">
        <v>2836</v>
      </c>
      <c r="C2428" t="s">
        <v>2836</v>
      </c>
      <c r="D2428" t="s">
        <v>629</v>
      </c>
      <c r="E2428" s="259" t="s">
        <v>1853</v>
      </c>
      <c r="F2428" t="s">
        <v>620</v>
      </c>
      <c r="G2428" s="89">
        <v>2004</v>
      </c>
      <c r="H2428" s="343" t="s">
        <v>2250</v>
      </c>
      <c r="I2428" s="337" t="str">
        <f t="shared" si="100"/>
        <v>Pesado de Passageiros M3: III : Gasóleo : Geral</v>
      </c>
      <c r="J2428" s="265">
        <v>55</v>
      </c>
      <c r="K2428" s="264">
        <v>2022</v>
      </c>
      <c r="L2428" s="85"/>
      <c r="M2428" s="85" t="s">
        <v>630</v>
      </c>
      <c r="N2428" s="128"/>
      <c r="O2428" s="128">
        <f t="shared" si="101"/>
        <v>0</v>
      </c>
      <c r="P2428" s="89">
        <v>316</v>
      </c>
      <c r="Q2428" t="s">
        <v>47</v>
      </c>
      <c r="R2428" s="220" t="s">
        <v>1888</v>
      </c>
      <c r="S2428" s="220" t="s">
        <v>1861</v>
      </c>
      <c r="T2428" t="s">
        <v>2647</v>
      </c>
      <c r="U2428" t="s">
        <v>1972</v>
      </c>
      <c r="V2428" t="s">
        <v>2832</v>
      </c>
    </row>
    <row r="2429" spans="1:22" ht="15.75" thickBot="1" x14ac:dyDescent="0.3">
      <c r="A2429" t="s">
        <v>2836</v>
      </c>
      <c r="B2429" t="s">
        <v>2836</v>
      </c>
      <c r="C2429" t="s">
        <v>2836</v>
      </c>
      <c r="D2429" t="s">
        <v>629</v>
      </c>
      <c r="E2429" s="259" t="s">
        <v>1853</v>
      </c>
      <c r="F2429" t="s">
        <v>620</v>
      </c>
      <c r="G2429" s="89">
        <v>2004</v>
      </c>
      <c r="H2429" s="343" t="s">
        <v>2250</v>
      </c>
      <c r="I2429" s="337" t="str">
        <f t="shared" si="100"/>
        <v>Pesado de Passageiros M3: III : Gasóleo : Geral</v>
      </c>
      <c r="J2429" s="265">
        <v>50</v>
      </c>
      <c r="K2429" s="264">
        <v>2022</v>
      </c>
      <c r="L2429" s="85"/>
      <c r="M2429" s="85" t="s">
        <v>630</v>
      </c>
      <c r="N2429" s="128"/>
      <c r="O2429" s="128">
        <f t="shared" si="101"/>
        <v>0</v>
      </c>
      <c r="P2429" s="89">
        <v>318</v>
      </c>
      <c r="Q2429" t="s">
        <v>47</v>
      </c>
      <c r="R2429" s="220" t="s">
        <v>1888</v>
      </c>
      <c r="S2429" s="220" t="s">
        <v>1861</v>
      </c>
      <c r="T2429" t="s">
        <v>2647</v>
      </c>
      <c r="U2429" t="s">
        <v>1972</v>
      </c>
      <c r="V2429" t="s">
        <v>2832</v>
      </c>
    </row>
    <row r="2430" spans="1:22" ht="15.75" thickBot="1" x14ac:dyDescent="0.3">
      <c r="A2430" t="s">
        <v>2836</v>
      </c>
      <c r="B2430" t="s">
        <v>2836</v>
      </c>
      <c r="C2430" t="s">
        <v>2836</v>
      </c>
      <c r="D2430" t="s">
        <v>629</v>
      </c>
      <c r="E2430" s="259" t="s">
        <v>1853</v>
      </c>
      <c r="F2430" t="s">
        <v>620</v>
      </c>
      <c r="G2430" s="89">
        <v>2007</v>
      </c>
      <c r="H2430" s="343" t="s">
        <v>2250</v>
      </c>
      <c r="I2430" s="337" t="str">
        <f t="shared" si="100"/>
        <v>Pesado de Passageiros M3: III : Gasóleo : Geral</v>
      </c>
      <c r="J2430" s="265">
        <v>55</v>
      </c>
      <c r="K2430" s="264">
        <v>2022</v>
      </c>
      <c r="L2430" s="85"/>
      <c r="M2430" s="85" t="s">
        <v>630</v>
      </c>
      <c r="N2430" s="128"/>
      <c r="O2430" s="128">
        <f t="shared" si="101"/>
        <v>0</v>
      </c>
      <c r="P2430" s="89">
        <v>323</v>
      </c>
      <c r="Q2430" t="s">
        <v>47</v>
      </c>
      <c r="R2430" s="220" t="s">
        <v>1888</v>
      </c>
      <c r="S2430" s="220" t="s">
        <v>1861</v>
      </c>
      <c r="T2430" t="s">
        <v>2647</v>
      </c>
      <c r="U2430" t="s">
        <v>1972</v>
      </c>
      <c r="V2430" t="s">
        <v>2832</v>
      </c>
    </row>
    <row r="2431" spans="1:22" ht="15.75" thickBot="1" x14ac:dyDescent="0.3">
      <c r="A2431" t="s">
        <v>2836</v>
      </c>
      <c r="B2431" t="s">
        <v>2836</v>
      </c>
      <c r="C2431" t="s">
        <v>2836</v>
      </c>
      <c r="D2431" t="s">
        <v>629</v>
      </c>
      <c r="E2431" s="259" t="s">
        <v>1853</v>
      </c>
      <c r="F2431" t="s">
        <v>620</v>
      </c>
      <c r="G2431" s="89">
        <v>2007</v>
      </c>
      <c r="H2431" s="343" t="s">
        <v>2250</v>
      </c>
      <c r="I2431" s="337" t="str">
        <f t="shared" si="100"/>
        <v>Pesado de Passageiros M3: III : Gasóleo : Geral</v>
      </c>
      <c r="J2431" s="265">
        <v>50</v>
      </c>
      <c r="K2431" s="264">
        <v>2022</v>
      </c>
      <c r="L2431" s="85">
        <v>5751.2</v>
      </c>
      <c r="M2431" s="85" t="s">
        <v>630</v>
      </c>
      <c r="N2431" s="128">
        <v>19456</v>
      </c>
      <c r="O2431" s="128">
        <f t="shared" si="101"/>
        <v>972800</v>
      </c>
      <c r="P2431" s="89">
        <v>324</v>
      </c>
      <c r="Q2431" t="s">
        <v>47</v>
      </c>
      <c r="R2431" s="220" t="s">
        <v>1888</v>
      </c>
      <c r="S2431" s="220" t="s">
        <v>1861</v>
      </c>
      <c r="T2431" t="s">
        <v>2647</v>
      </c>
      <c r="U2431" t="s">
        <v>1972</v>
      </c>
      <c r="V2431" t="s">
        <v>2832</v>
      </c>
    </row>
    <row r="2432" spans="1:22" ht="15.75" thickBot="1" x14ac:dyDescent="0.3">
      <c r="A2432" t="s">
        <v>2836</v>
      </c>
      <c r="B2432" t="s">
        <v>2836</v>
      </c>
      <c r="C2432" t="s">
        <v>2836</v>
      </c>
      <c r="D2432" t="s">
        <v>629</v>
      </c>
      <c r="E2432" s="259" t="s">
        <v>1853</v>
      </c>
      <c r="F2432" t="s">
        <v>620</v>
      </c>
      <c r="G2432" s="89">
        <v>2007</v>
      </c>
      <c r="H2432" s="343" t="s">
        <v>2250</v>
      </c>
      <c r="I2432" s="337" t="str">
        <f t="shared" si="100"/>
        <v>Pesado de Passageiros M3: III : Gasóleo : Geral</v>
      </c>
      <c r="J2432" s="265">
        <v>50</v>
      </c>
      <c r="K2432" s="264">
        <v>2022</v>
      </c>
      <c r="L2432" s="85">
        <v>14244.3</v>
      </c>
      <c r="M2432" s="85" t="s">
        <v>630</v>
      </c>
      <c r="N2432" s="128">
        <v>40337</v>
      </c>
      <c r="O2432" s="128">
        <f t="shared" si="101"/>
        <v>2016850</v>
      </c>
      <c r="P2432" s="89">
        <v>325</v>
      </c>
      <c r="Q2432" t="s">
        <v>47</v>
      </c>
      <c r="R2432" s="220" t="s">
        <v>1888</v>
      </c>
      <c r="S2432" s="220" t="s">
        <v>1861</v>
      </c>
      <c r="T2432" t="s">
        <v>2647</v>
      </c>
      <c r="U2432" t="s">
        <v>1972</v>
      </c>
      <c r="V2432" t="s">
        <v>2832</v>
      </c>
    </row>
    <row r="2433" spans="1:22" ht="15.75" thickBot="1" x14ac:dyDescent="0.3">
      <c r="A2433" t="s">
        <v>2836</v>
      </c>
      <c r="B2433" t="s">
        <v>2836</v>
      </c>
      <c r="C2433" t="s">
        <v>2836</v>
      </c>
      <c r="D2433" t="s">
        <v>629</v>
      </c>
      <c r="E2433" s="259" t="s">
        <v>1853</v>
      </c>
      <c r="F2433" t="s">
        <v>620</v>
      </c>
      <c r="G2433" s="89">
        <v>2008</v>
      </c>
      <c r="H2433" s="343" t="s">
        <v>2250</v>
      </c>
      <c r="I2433" s="337" t="str">
        <f t="shared" si="100"/>
        <v>Pesado de Passageiros M3: III : Gasóleo : Geral</v>
      </c>
      <c r="J2433" s="265">
        <v>50</v>
      </c>
      <c r="K2433" s="264">
        <v>2022</v>
      </c>
      <c r="L2433" s="85">
        <v>18309.099999999999</v>
      </c>
      <c r="M2433" s="85" t="s">
        <v>630</v>
      </c>
      <c r="N2433" s="128">
        <v>61557</v>
      </c>
      <c r="O2433" s="128">
        <f t="shared" si="101"/>
        <v>3077850</v>
      </c>
      <c r="P2433" s="89">
        <v>328</v>
      </c>
      <c r="Q2433" t="s">
        <v>47</v>
      </c>
      <c r="R2433" s="220" t="s">
        <v>1888</v>
      </c>
      <c r="S2433" s="220" t="s">
        <v>1861</v>
      </c>
      <c r="T2433" t="s">
        <v>2647</v>
      </c>
      <c r="U2433" t="s">
        <v>1972</v>
      </c>
      <c r="V2433" t="s">
        <v>2832</v>
      </c>
    </row>
    <row r="2434" spans="1:22" ht="15.75" thickBot="1" x14ac:dyDescent="0.3">
      <c r="A2434" t="s">
        <v>2836</v>
      </c>
      <c r="B2434" t="s">
        <v>2836</v>
      </c>
      <c r="C2434" t="s">
        <v>2836</v>
      </c>
      <c r="D2434" t="s">
        <v>629</v>
      </c>
      <c r="E2434" s="259" t="s">
        <v>1853</v>
      </c>
      <c r="F2434" t="s">
        <v>620</v>
      </c>
      <c r="G2434" s="89">
        <v>2008</v>
      </c>
      <c r="H2434" s="343" t="s">
        <v>2250</v>
      </c>
      <c r="I2434" s="337" t="str">
        <f t="shared" si="100"/>
        <v>Pesado de Passageiros M3: III : Gasóleo : Geral</v>
      </c>
      <c r="J2434" s="265">
        <v>55</v>
      </c>
      <c r="K2434" s="264">
        <v>2022</v>
      </c>
      <c r="L2434" s="85">
        <v>19235</v>
      </c>
      <c r="M2434" s="85" t="s">
        <v>630</v>
      </c>
      <c r="N2434" s="128">
        <v>54369</v>
      </c>
      <c r="O2434" s="128">
        <f t="shared" si="101"/>
        <v>2990295</v>
      </c>
      <c r="P2434" s="89">
        <v>332</v>
      </c>
      <c r="Q2434" t="s">
        <v>47</v>
      </c>
      <c r="R2434" s="220" t="s">
        <v>1888</v>
      </c>
      <c r="S2434" s="220" t="s">
        <v>1861</v>
      </c>
      <c r="T2434" t="s">
        <v>2647</v>
      </c>
      <c r="U2434" t="s">
        <v>1972</v>
      </c>
      <c r="V2434" t="s">
        <v>2832</v>
      </c>
    </row>
    <row r="2435" spans="1:22" ht="15.75" thickBot="1" x14ac:dyDescent="0.3">
      <c r="A2435" t="s">
        <v>2836</v>
      </c>
      <c r="B2435" t="s">
        <v>2836</v>
      </c>
      <c r="C2435" t="s">
        <v>2836</v>
      </c>
      <c r="D2435" t="s">
        <v>629</v>
      </c>
      <c r="E2435" s="259" t="s">
        <v>1853</v>
      </c>
      <c r="F2435" t="s">
        <v>620</v>
      </c>
      <c r="G2435" s="89">
        <v>2009</v>
      </c>
      <c r="H2435" s="343" t="s">
        <v>2250</v>
      </c>
      <c r="I2435" s="337" t="str">
        <f t="shared" si="100"/>
        <v>Pesado de Passageiros M3: III : Gasóleo : Geral</v>
      </c>
      <c r="J2435" s="265">
        <v>39</v>
      </c>
      <c r="K2435" s="264">
        <v>2022</v>
      </c>
      <c r="L2435" s="85">
        <v>12234.6</v>
      </c>
      <c r="M2435" s="85" t="s">
        <v>630</v>
      </c>
      <c r="N2435" s="128">
        <v>41117</v>
      </c>
      <c r="O2435" s="128">
        <f t="shared" si="101"/>
        <v>1603563</v>
      </c>
      <c r="P2435" s="89">
        <v>333</v>
      </c>
      <c r="Q2435" t="s">
        <v>47</v>
      </c>
      <c r="R2435" s="220" t="s">
        <v>1888</v>
      </c>
      <c r="S2435" s="220" t="s">
        <v>1861</v>
      </c>
      <c r="T2435" t="s">
        <v>2647</v>
      </c>
      <c r="U2435" t="s">
        <v>1972</v>
      </c>
      <c r="V2435" t="s">
        <v>2832</v>
      </c>
    </row>
    <row r="2436" spans="1:22" ht="15.75" thickBot="1" x14ac:dyDescent="0.3">
      <c r="A2436" t="s">
        <v>2836</v>
      </c>
      <c r="B2436" t="s">
        <v>2836</v>
      </c>
      <c r="C2436" t="s">
        <v>2836</v>
      </c>
      <c r="D2436" t="s">
        <v>629</v>
      </c>
      <c r="E2436" s="259" t="s">
        <v>1853</v>
      </c>
      <c r="F2436" t="s">
        <v>620</v>
      </c>
      <c r="G2436" s="89">
        <v>2010</v>
      </c>
      <c r="H2436" s="343" t="s">
        <v>2250</v>
      </c>
      <c r="I2436" s="337" t="str">
        <f t="shared" ref="I2436:I2499" si="102">D2436&amp;": "&amp;E2436&amp;" : "&amp;F2436&amp;" : "&amp;H2436</f>
        <v>Pesado de Passageiros M3: III : Gasóleo : Geral</v>
      </c>
      <c r="J2436" s="265">
        <v>50</v>
      </c>
      <c r="K2436" s="264">
        <v>2022</v>
      </c>
      <c r="L2436" s="85">
        <v>13322.3</v>
      </c>
      <c r="M2436" s="85" t="s">
        <v>630</v>
      </c>
      <c r="N2436" s="128">
        <v>38580</v>
      </c>
      <c r="O2436" s="128">
        <f t="shared" ref="O2436:O2499" si="103">N2436*J2436</f>
        <v>1929000</v>
      </c>
      <c r="P2436" s="89">
        <v>334</v>
      </c>
      <c r="Q2436" t="s">
        <v>47</v>
      </c>
      <c r="R2436" s="220" t="s">
        <v>1888</v>
      </c>
      <c r="S2436" s="220" t="s">
        <v>1861</v>
      </c>
      <c r="T2436" t="s">
        <v>2647</v>
      </c>
      <c r="U2436" t="s">
        <v>1972</v>
      </c>
      <c r="V2436" t="s">
        <v>2832</v>
      </c>
    </row>
    <row r="2437" spans="1:22" ht="15.75" thickBot="1" x14ac:dyDescent="0.3">
      <c r="A2437" t="s">
        <v>2836</v>
      </c>
      <c r="B2437" t="s">
        <v>2836</v>
      </c>
      <c r="C2437" t="s">
        <v>2836</v>
      </c>
      <c r="D2437" t="s">
        <v>629</v>
      </c>
      <c r="E2437" s="259" t="s">
        <v>1853</v>
      </c>
      <c r="F2437" t="s">
        <v>620</v>
      </c>
      <c r="G2437" s="89">
        <v>2008</v>
      </c>
      <c r="H2437" s="343" t="s">
        <v>2250</v>
      </c>
      <c r="I2437" s="337" t="str">
        <f t="shared" si="102"/>
        <v>Pesado de Passageiros M3: III : Gasóleo : Geral</v>
      </c>
      <c r="J2437" s="265">
        <v>49</v>
      </c>
      <c r="K2437" s="264">
        <v>2022</v>
      </c>
      <c r="L2437" s="85">
        <v>14452.3</v>
      </c>
      <c r="M2437" s="85" t="s">
        <v>630</v>
      </c>
      <c r="N2437" s="128">
        <v>45023</v>
      </c>
      <c r="O2437" s="128">
        <f t="shared" si="103"/>
        <v>2206127</v>
      </c>
      <c r="P2437" s="89">
        <v>335</v>
      </c>
      <c r="Q2437" t="s">
        <v>47</v>
      </c>
      <c r="R2437" s="220" t="s">
        <v>1888</v>
      </c>
      <c r="S2437" s="220" t="s">
        <v>1861</v>
      </c>
      <c r="T2437" t="s">
        <v>2647</v>
      </c>
      <c r="U2437" t="s">
        <v>1972</v>
      </c>
      <c r="V2437" t="s">
        <v>2832</v>
      </c>
    </row>
    <row r="2438" spans="1:22" ht="15.75" thickBot="1" x14ac:dyDescent="0.3">
      <c r="A2438" t="s">
        <v>2836</v>
      </c>
      <c r="B2438" t="s">
        <v>2836</v>
      </c>
      <c r="C2438" t="s">
        <v>2836</v>
      </c>
      <c r="D2438" t="s">
        <v>629</v>
      </c>
      <c r="E2438" s="259" t="s">
        <v>1853</v>
      </c>
      <c r="F2438" t="s">
        <v>620</v>
      </c>
      <c r="G2438" s="89">
        <v>2011</v>
      </c>
      <c r="H2438" s="343" t="s">
        <v>2250</v>
      </c>
      <c r="I2438" s="337" t="str">
        <f t="shared" si="102"/>
        <v>Pesado de Passageiros M3: III : Gasóleo : Geral</v>
      </c>
      <c r="J2438" s="265">
        <v>50</v>
      </c>
      <c r="K2438" s="264">
        <v>2022</v>
      </c>
      <c r="L2438" s="85">
        <v>20539</v>
      </c>
      <c r="M2438" s="85" t="s">
        <v>630</v>
      </c>
      <c r="N2438" s="128">
        <v>56333</v>
      </c>
      <c r="O2438" s="128">
        <f t="shared" si="103"/>
        <v>2816650</v>
      </c>
      <c r="P2438" s="89">
        <v>336</v>
      </c>
      <c r="Q2438" t="s">
        <v>47</v>
      </c>
      <c r="R2438" s="220" t="s">
        <v>1888</v>
      </c>
      <c r="S2438" s="220" t="s">
        <v>1861</v>
      </c>
      <c r="T2438" t="s">
        <v>2647</v>
      </c>
      <c r="U2438" t="s">
        <v>1972</v>
      </c>
      <c r="V2438" t="s">
        <v>2832</v>
      </c>
    </row>
    <row r="2439" spans="1:22" ht="15.75" thickBot="1" x14ac:dyDescent="0.3">
      <c r="A2439" t="s">
        <v>2836</v>
      </c>
      <c r="B2439" t="s">
        <v>2836</v>
      </c>
      <c r="C2439" t="s">
        <v>2836</v>
      </c>
      <c r="D2439" t="s">
        <v>629</v>
      </c>
      <c r="E2439" s="259" t="s">
        <v>1853</v>
      </c>
      <c r="F2439" t="s">
        <v>620</v>
      </c>
      <c r="G2439" s="89">
        <v>2011</v>
      </c>
      <c r="H2439" s="343" t="s">
        <v>2250</v>
      </c>
      <c r="I2439" s="337" t="str">
        <f t="shared" si="102"/>
        <v>Pesado de Passageiros M3: III : Gasóleo : Geral</v>
      </c>
      <c r="J2439" s="265">
        <v>50</v>
      </c>
      <c r="K2439" s="264">
        <v>2022</v>
      </c>
      <c r="L2439" s="85">
        <v>12634.4</v>
      </c>
      <c r="M2439" s="85" t="s">
        <v>630</v>
      </c>
      <c r="N2439" s="128">
        <v>36897</v>
      </c>
      <c r="O2439" s="128">
        <f t="shared" si="103"/>
        <v>1844850</v>
      </c>
      <c r="P2439" s="89">
        <v>337</v>
      </c>
      <c r="Q2439" t="s">
        <v>47</v>
      </c>
      <c r="R2439" s="220" t="s">
        <v>1888</v>
      </c>
      <c r="S2439" s="220" t="s">
        <v>1861</v>
      </c>
      <c r="T2439" t="s">
        <v>2647</v>
      </c>
      <c r="U2439" t="s">
        <v>1972</v>
      </c>
      <c r="V2439" t="s">
        <v>2832</v>
      </c>
    </row>
    <row r="2440" spans="1:22" ht="15.75" thickBot="1" x14ac:dyDescent="0.3">
      <c r="A2440" t="s">
        <v>2836</v>
      </c>
      <c r="B2440" t="s">
        <v>2836</v>
      </c>
      <c r="C2440" t="s">
        <v>2836</v>
      </c>
      <c r="D2440" t="s">
        <v>629</v>
      </c>
      <c r="E2440" s="259" t="s">
        <v>1853</v>
      </c>
      <c r="F2440" t="s">
        <v>620</v>
      </c>
      <c r="G2440" s="89">
        <v>2011</v>
      </c>
      <c r="H2440" s="343" t="s">
        <v>2250</v>
      </c>
      <c r="I2440" s="337" t="str">
        <f t="shared" si="102"/>
        <v>Pesado de Passageiros M3: III : Gasóleo : Geral</v>
      </c>
      <c r="J2440" s="265">
        <v>35</v>
      </c>
      <c r="K2440" s="264">
        <v>2022</v>
      </c>
      <c r="L2440" s="85">
        <v>9309.7000000000007</v>
      </c>
      <c r="M2440" s="85" t="s">
        <v>630</v>
      </c>
      <c r="N2440" s="128">
        <v>34512</v>
      </c>
      <c r="O2440" s="128">
        <f t="shared" si="103"/>
        <v>1207920</v>
      </c>
      <c r="P2440" s="89">
        <v>339</v>
      </c>
      <c r="Q2440" t="s">
        <v>47</v>
      </c>
      <c r="R2440" s="220" t="s">
        <v>1888</v>
      </c>
      <c r="S2440" s="220" t="s">
        <v>1861</v>
      </c>
      <c r="T2440" t="s">
        <v>2647</v>
      </c>
      <c r="U2440" t="s">
        <v>1972</v>
      </c>
      <c r="V2440" t="s">
        <v>2832</v>
      </c>
    </row>
    <row r="2441" spans="1:22" ht="15.75" thickBot="1" x14ac:dyDescent="0.3">
      <c r="A2441" t="s">
        <v>2836</v>
      </c>
      <c r="B2441" t="s">
        <v>2836</v>
      </c>
      <c r="C2441" t="s">
        <v>2836</v>
      </c>
      <c r="D2441" t="s">
        <v>629</v>
      </c>
      <c r="E2441" s="259" t="s">
        <v>1853</v>
      </c>
      <c r="F2441" t="s">
        <v>620</v>
      </c>
      <c r="G2441" s="89">
        <v>2011</v>
      </c>
      <c r="H2441" s="343" t="s">
        <v>2250</v>
      </c>
      <c r="I2441" s="337" t="str">
        <f t="shared" si="102"/>
        <v>Pesado de Passageiros M3: III : Gasóleo : Geral</v>
      </c>
      <c r="J2441" s="266">
        <v>19</v>
      </c>
      <c r="K2441" s="264">
        <v>2022</v>
      </c>
      <c r="L2441" s="85">
        <v>1938</v>
      </c>
      <c r="M2441" s="85" t="s">
        <v>630</v>
      </c>
      <c r="N2441" s="128">
        <v>13045</v>
      </c>
      <c r="O2441" s="128">
        <f t="shared" si="103"/>
        <v>247855</v>
      </c>
      <c r="P2441" s="89">
        <v>340</v>
      </c>
      <c r="Q2441" t="s">
        <v>47</v>
      </c>
      <c r="R2441" s="220" t="s">
        <v>1888</v>
      </c>
      <c r="S2441" s="220" t="s">
        <v>1861</v>
      </c>
      <c r="T2441" t="s">
        <v>2647</v>
      </c>
      <c r="U2441" t="s">
        <v>1972</v>
      </c>
      <c r="V2441" t="s">
        <v>2832</v>
      </c>
    </row>
    <row r="2442" spans="1:22" ht="15.75" thickBot="1" x14ac:dyDescent="0.3">
      <c r="A2442" t="s">
        <v>2836</v>
      </c>
      <c r="B2442" t="s">
        <v>2836</v>
      </c>
      <c r="C2442" t="s">
        <v>2836</v>
      </c>
      <c r="D2442" t="s">
        <v>629</v>
      </c>
      <c r="E2442" s="259" t="s">
        <v>1853</v>
      </c>
      <c r="F2442" t="s">
        <v>620</v>
      </c>
      <c r="G2442" s="89">
        <v>2012</v>
      </c>
      <c r="H2442" s="343" t="s">
        <v>2250</v>
      </c>
      <c r="I2442" s="337" t="str">
        <f t="shared" si="102"/>
        <v>Pesado de Passageiros M3: III : Gasóleo : Geral</v>
      </c>
      <c r="J2442" s="265">
        <v>50</v>
      </c>
      <c r="K2442" s="264">
        <v>2022</v>
      </c>
      <c r="L2442" s="85">
        <v>18762.900000000001</v>
      </c>
      <c r="M2442" s="85" t="s">
        <v>630</v>
      </c>
      <c r="N2442" s="128">
        <v>51693</v>
      </c>
      <c r="O2442" s="128">
        <f t="shared" si="103"/>
        <v>2584650</v>
      </c>
      <c r="P2442" s="89">
        <v>341</v>
      </c>
      <c r="Q2442" t="s">
        <v>47</v>
      </c>
      <c r="R2442" s="220" t="s">
        <v>1888</v>
      </c>
      <c r="S2442" s="220" t="s">
        <v>1861</v>
      </c>
      <c r="T2442" t="s">
        <v>2647</v>
      </c>
      <c r="U2442" t="s">
        <v>1972</v>
      </c>
      <c r="V2442" t="s">
        <v>2832</v>
      </c>
    </row>
    <row r="2443" spans="1:22" ht="15.75" thickBot="1" x14ac:dyDescent="0.3">
      <c r="A2443" t="s">
        <v>2836</v>
      </c>
      <c r="B2443" t="s">
        <v>2836</v>
      </c>
      <c r="C2443" t="s">
        <v>2836</v>
      </c>
      <c r="D2443" t="s">
        <v>629</v>
      </c>
      <c r="E2443" s="259" t="s">
        <v>1853</v>
      </c>
      <c r="F2443" t="s">
        <v>620</v>
      </c>
      <c r="G2443" s="89">
        <v>2012</v>
      </c>
      <c r="H2443" s="343" t="s">
        <v>2250</v>
      </c>
      <c r="I2443" s="337" t="str">
        <f t="shared" si="102"/>
        <v>Pesado de Passageiros M3: III : Gasóleo : Geral</v>
      </c>
      <c r="J2443" s="265">
        <v>53</v>
      </c>
      <c r="K2443" s="264">
        <v>2022</v>
      </c>
      <c r="L2443" s="85">
        <v>20055.8</v>
      </c>
      <c r="M2443" s="85" t="s">
        <v>630</v>
      </c>
      <c r="N2443" s="128">
        <v>56750</v>
      </c>
      <c r="O2443" s="128">
        <f t="shared" si="103"/>
        <v>3007750</v>
      </c>
      <c r="P2443" s="89">
        <v>342</v>
      </c>
      <c r="Q2443" t="s">
        <v>47</v>
      </c>
      <c r="R2443" s="220" t="s">
        <v>1888</v>
      </c>
      <c r="S2443" s="220" t="s">
        <v>1861</v>
      </c>
      <c r="T2443" t="s">
        <v>2647</v>
      </c>
      <c r="U2443" t="s">
        <v>1972</v>
      </c>
      <c r="V2443" t="s">
        <v>2832</v>
      </c>
    </row>
    <row r="2444" spans="1:22" ht="15.75" thickBot="1" x14ac:dyDescent="0.3">
      <c r="A2444" t="s">
        <v>2836</v>
      </c>
      <c r="B2444" t="s">
        <v>2836</v>
      </c>
      <c r="C2444" t="s">
        <v>2836</v>
      </c>
      <c r="D2444" t="s">
        <v>629</v>
      </c>
      <c r="E2444" s="259" t="s">
        <v>1853</v>
      </c>
      <c r="F2444" t="s">
        <v>620</v>
      </c>
      <c r="G2444" s="89">
        <v>2013</v>
      </c>
      <c r="H2444" s="343" t="s">
        <v>2250</v>
      </c>
      <c r="I2444" s="337" t="str">
        <f t="shared" si="102"/>
        <v>Pesado de Passageiros M3: III : Gasóleo : Geral</v>
      </c>
      <c r="J2444" s="265">
        <v>31</v>
      </c>
      <c r="K2444" s="264">
        <v>2022</v>
      </c>
      <c r="L2444" s="85">
        <v>6180.6</v>
      </c>
      <c r="M2444" s="85" t="s">
        <v>630</v>
      </c>
      <c r="N2444" s="128">
        <v>27645</v>
      </c>
      <c r="O2444" s="128">
        <f t="shared" si="103"/>
        <v>856995</v>
      </c>
      <c r="P2444" s="89">
        <v>343</v>
      </c>
      <c r="Q2444" t="s">
        <v>47</v>
      </c>
      <c r="R2444" s="220" t="s">
        <v>1888</v>
      </c>
      <c r="S2444" s="220" t="s">
        <v>1861</v>
      </c>
      <c r="T2444" t="s">
        <v>2647</v>
      </c>
      <c r="U2444" t="s">
        <v>1972</v>
      </c>
      <c r="V2444" t="s">
        <v>2832</v>
      </c>
    </row>
    <row r="2445" spans="1:22" ht="15.75" thickBot="1" x14ac:dyDescent="0.3">
      <c r="A2445" t="s">
        <v>2836</v>
      </c>
      <c r="B2445" t="s">
        <v>2836</v>
      </c>
      <c r="C2445" t="s">
        <v>2836</v>
      </c>
      <c r="D2445" t="s">
        <v>629</v>
      </c>
      <c r="E2445" s="259" t="s">
        <v>1853</v>
      </c>
      <c r="F2445" t="s">
        <v>620</v>
      </c>
      <c r="G2445" s="89">
        <v>2014</v>
      </c>
      <c r="H2445" s="343" t="s">
        <v>2250</v>
      </c>
      <c r="I2445" s="337" t="str">
        <f t="shared" si="102"/>
        <v>Pesado de Passageiros M3: III : Gasóleo : Geral</v>
      </c>
      <c r="J2445" s="265">
        <v>51</v>
      </c>
      <c r="K2445" s="264">
        <v>2022</v>
      </c>
      <c r="L2445" s="85">
        <v>13937.7</v>
      </c>
      <c r="M2445" s="85" t="s">
        <v>630</v>
      </c>
      <c r="N2445" s="128">
        <v>41164</v>
      </c>
      <c r="O2445" s="128">
        <f t="shared" si="103"/>
        <v>2099364</v>
      </c>
      <c r="P2445" s="89">
        <v>344</v>
      </c>
      <c r="Q2445" t="s">
        <v>47</v>
      </c>
      <c r="R2445" s="220" t="s">
        <v>1888</v>
      </c>
      <c r="S2445" s="220" t="s">
        <v>1861</v>
      </c>
      <c r="T2445" t="s">
        <v>2647</v>
      </c>
      <c r="U2445" t="s">
        <v>1972</v>
      </c>
      <c r="V2445" t="s">
        <v>2832</v>
      </c>
    </row>
    <row r="2446" spans="1:22" ht="15.75" thickBot="1" x14ac:dyDescent="0.3">
      <c r="A2446" t="s">
        <v>2836</v>
      </c>
      <c r="B2446" t="s">
        <v>2836</v>
      </c>
      <c r="C2446" t="s">
        <v>2836</v>
      </c>
      <c r="D2446" t="s">
        <v>629</v>
      </c>
      <c r="E2446" s="259" t="s">
        <v>1853</v>
      </c>
      <c r="F2446" t="s">
        <v>620</v>
      </c>
      <c r="G2446" s="89">
        <v>2008</v>
      </c>
      <c r="H2446" s="343" t="s">
        <v>2250</v>
      </c>
      <c r="I2446" s="337" t="str">
        <f t="shared" si="102"/>
        <v>Pesado de Passageiros M3: III : Gasóleo : Geral</v>
      </c>
      <c r="J2446" s="265">
        <v>49</v>
      </c>
      <c r="K2446" s="264">
        <v>2022</v>
      </c>
      <c r="L2446" s="85">
        <v>15994.1</v>
      </c>
      <c r="M2446" s="85" t="s">
        <v>630</v>
      </c>
      <c r="N2446" s="128">
        <v>51789</v>
      </c>
      <c r="O2446" s="128">
        <f t="shared" si="103"/>
        <v>2537661</v>
      </c>
      <c r="P2446" s="89">
        <v>346</v>
      </c>
      <c r="Q2446" t="s">
        <v>47</v>
      </c>
      <c r="R2446" s="220" t="s">
        <v>1888</v>
      </c>
      <c r="S2446" s="220" t="s">
        <v>1861</v>
      </c>
      <c r="T2446" t="s">
        <v>2647</v>
      </c>
      <c r="U2446" t="s">
        <v>1972</v>
      </c>
      <c r="V2446" t="s">
        <v>2832</v>
      </c>
    </row>
    <row r="2447" spans="1:22" ht="15.75" thickBot="1" x14ac:dyDescent="0.3">
      <c r="A2447" t="s">
        <v>2836</v>
      </c>
      <c r="B2447" t="s">
        <v>2836</v>
      </c>
      <c r="C2447" t="s">
        <v>2836</v>
      </c>
      <c r="D2447" t="s">
        <v>629</v>
      </c>
      <c r="E2447" s="259" t="s">
        <v>1853</v>
      </c>
      <c r="F2447" t="s">
        <v>620</v>
      </c>
      <c r="G2447" s="89">
        <v>2008</v>
      </c>
      <c r="H2447" s="343" t="s">
        <v>2250</v>
      </c>
      <c r="I2447" s="337" t="str">
        <f t="shared" si="102"/>
        <v>Pesado de Passageiros M3: III : Gasóleo : Geral</v>
      </c>
      <c r="J2447" s="265">
        <v>49</v>
      </c>
      <c r="K2447" s="264">
        <v>2022</v>
      </c>
      <c r="L2447" s="85">
        <v>14872.9</v>
      </c>
      <c r="M2447" s="85" t="s">
        <v>630</v>
      </c>
      <c r="N2447" s="128">
        <v>46468</v>
      </c>
      <c r="O2447" s="128">
        <f t="shared" si="103"/>
        <v>2276932</v>
      </c>
      <c r="P2447" s="89">
        <v>348</v>
      </c>
      <c r="Q2447" t="s">
        <v>47</v>
      </c>
      <c r="R2447" s="220" t="s">
        <v>1888</v>
      </c>
      <c r="S2447" s="220" t="s">
        <v>1861</v>
      </c>
      <c r="T2447" t="s">
        <v>2647</v>
      </c>
      <c r="U2447" t="s">
        <v>1972</v>
      </c>
      <c r="V2447" t="s">
        <v>2832</v>
      </c>
    </row>
    <row r="2448" spans="1:22" ht="15.75" thickBot="1" x14ac:dyDescent="0.3">
      <c r="A2448" t="s">
        <v>2836</v>
      </c>
      <c r="B2448" t="s">
        <v>2836</v>
      </c>
      <c r="C2448" t="s">
        <v>2836</v>
      </c>
      <c r="D2448" t="s">
        <v>629</v>
      </c>
      <c r="E2448" s="259" t="s">
        <v>1853</v>
      </c>
      <c r="F2448" t="s">
        <v>620</v>
      </c>
      <c r="G2448" s="89">
        <v>2005</v>
      </c>
      <c r="H2448" s="343" t="s">
        <v>2250</v>
      </c>
      <c r="I2448" s="337" t="str">
        <f t="shared" si="102"/>
        <v>Pesado de Passageiros M3: III : Gasóleo : Geral</v>
      </c>
      <c r="J2448" s="265">
        <v>59</v>
      </c>
      <c r="K2448" s="264">
        <v>2022</v>
      </c>
      <c r="L2448" s="85"/>
      <c r="M2448" s="85" t="s">
        <v>630</v>
      </c>
      <c r="N2448" s="128"/>
      <c r="O2448" s="128">
        <f t="shared" si="103"/>
        <v>0</v>
      </c>
      <c r="P2448" s="89">
        <v>349</v>
      </c>
      <c r="Q2448" t="s">
        <v>47</v>
      </c>
      <c r="R2448" s="220" t="s">
        <v>1888</v>
      </c>
      <c r="S2448" s="220" t="s">
        <v>1861</v>
      </c>
      <c r="T2448" t="s">
        <v>2647</v>
      </c>
      <c r="U2448" t="s">
        <v>1972</v>
      </c>
      <c r="V2448" t="s">
        <v>2832</v>
      </c>
    </row>
    <row r="2449" spans="1:22" ht="15.75" thickBot="1" x14ac:dyDescent="0.3">
      <c r="A2449" t="s">
        <v>2836</v>
      </c>
      <c r="B2449" t="s">
        <v>2836</v>
      </c>
      <c r="C2449" t="s">
        <v>2836</v>
      </c>
      <c r="D2449" t="s">
        <v>629</v>
      </c>
      <c r="E2449" s="259" t="s">
        <v>1853</v>
      </c>
      <c r="F2449" t="s">
        <v>620</v>
      </c>
      <c r="G2449" s="89">
        <v>2011</v>
      </c>
      <c r="H2449" s="343" t="s">
        <v>2250</v>
      </c>
      <c r="I2449" s="337" t="str">
        <f t="shared" si="102"/>
        <v>Pesado de Passageiros M3: III : Gasóleo : Geral</v>
      </c>
      <c r="J2449" s="265">
        <v>53</v>
      </c>
      <c r="K2449" s="264">
        <v>2022</v>
      </c>
      <c r="L2449" s="85">
        <v>22308</v>
      </c>
      <c r="M2449" s="85" t="s">
        <v>630</v>
      </c>
      <c r="N2449" s="128">
        <v>70474</v>
      </c>
      <c r="O2449" s="128">
        <f t="shared" si="103"/>
        <v>3735122</v>
      </c>
      <c r="P2449" s="89">
        <v>350</v>
      </c>
      <c r="Q2449" t="s">
        <v>47</v>
      </c>
      <c r="R2449" s="220" t="s">
        <v>1888</v>
      </c>
      <c r="S2449" s="220" t="s">
        <v>1861</v>
      </c>
      <c r="T2449" t="s">
        <v>2647</v>
      </c>
      <c r="U2449" t="s">
        <v>1972</v>
      </c>
      <c r="V2449" t="s">
        <v>2832</v>
      </c>
    </row>
    <row r="2450" spans="1:22" ht="15.75" thickBot="1" x14ac:dyDescent="0.3">
      <c r="A2450" t="s">
        <v>2836</v>
      </c>
      <c r="B2450" t="s">
        <v>2836</v>
      </c>
      <c r="C2450" t="s">
        <v>2836</v>
      </c>
      <c r="D2450" t="s">
        <v>629</v>
      </c>
      <c r="E2450" s="259" t="s">
        <v>1853</v>
      </c>
      <c r="F2450" t="s">
        <v>620</v>
      </c>
      <c r="G2450" s="89">
        <v>2011</v>
      </c>
      <c r="H2450" s="343" t="s">
        <v>2250</v>
      </c>
      <c r="I2450" s="337" t="str">
        <f t="shared" si="102"/>
        <v>Pesado de Passageiros M3: III : Gasóleo : Geral</v>
      </c>
      <c r="J2450" s="265">
        <v>53</v>
      </c>
      <c r="K2450" s="264">
        <v>2022</v>
      </c>
      <c r="L2450" s="85">
        <v>44172.800000000003</v>
      </c>
      <c r="M2450" s="85" t="s">
        <v>630</v>
      </c>
      <c r="N2450" s="128">
        <v>135438</v>
      </c>
      <c r="O2450" s="128">
        <f t="shared" si="103"/>
        <v>7178214</v>
      </c>
      <c r="P2450" s="89">
        <v>351</v>
      </c>
      <c r="Q2450" t="s">
        <v>47</v>
      </c>
      <c r="R2450" s="220" t="s">
        <v>1888</v>
      </c>
      <c r="S2450" s="220" t="s">
        <v>1861</v>
      </c>
      <c r="T2450" t="s">
        <v>2647</v>
      </c>
      <c r="U2450" t="s">
        <v>1972</v>
      </c>
      <c r="V2450" t="s">
        <v>2832</v>
      </c>
    </row>
    <row r="2451" spans="1:22" ht="15.75" thickBot="1" x14ac:dyDescent="0.3">
      <c r="A2451" t="s">
        <v>2836</v>
      </c>
      <c r="B2451" t="s">
        <v>2836</v>
      </c>
      <c r="C2451" t="s">
        <v>2836</v>
      </c>
      <c r="D2451" t="s">
        <v>629</v>
      </c>
      <c r="E2451" s="259" t="s">
        <v>1853</v>
      </c>
      <c r="F2451" t="s">
        <v>620</v>
      </c>
      <c r="G2451" s="89">
        <v>2015</v>
      </c>
      <c r="H2451" s="343" t="s">
        <v>2250</v>
      </c>
      <c r="I2451" s="337" t="str">
        <f t="shared" si="102"/>
        <v>Pesado de Passageiros M3: III : Gasóleo : Geral</v>
      </c>
      <c r="J2451" s="265">
        <v>53</v>
      </c>
      <c r="K2451" s="264">
        <v>2022</v>
      </c>
      <c r="L2451" s="85">
        <v>12769.6</v>
      </c>
      <c r="M2451" s="85" t="s">
        <v>630</v>
      </c>
      <c r="N2451" s="128">
        <v>43164</v>
      </c>
      <c r="O2451" s="128">
        <f t="shared" si="103"/>
        <v>2287692</v>
      </c>
      <c r="P2451" s="89">
        <v>352</v>
      </c>
      <c r="Q2451" t="s">
        <v>47</v>
      </c>
      <c r="R2451" s="220" t="s">
        <v>1888</v>
      </c>
      <c r="S2451" s="220" t="s">
        <v>1861</v>
      </c>
      <c r="T2451" t="s">
        <v>2647</v>
      </c>
      <c r="U2451" t="s">
        <v>1972</v>
      </c>
      <c r="V2451" t="s">
        <v>2832</v>
      </c>
    </row>
    <row r="2452" spans="1:22" ht="15.75" thickBot="1" x14ac:dyDescent="0.3">
      <c r="A2452" t="s">
        <v>2836</v>
      </c>
      <c r="B2452" t="s">
        <v>2836</v>
      </c>
      <c r="C2452" t="s">
        <v>2836</v>
      </c>
      <c r="D2452" t="s">
        <v>629</v>
      </c>
      <c r="E2452" s="259" t="s">
        <v>1853</v>
      </c>
      <c r="F2452" t="s">
        <v>620</v>
      </c>
      <c r="G2452" s="89">
        <v>2015</v>
      </c>
      <c r="H2452" s="343" t="s">
        <v>2250</v>
      </c>
      <c r="I2452" s="337" t="str">
        <f t="shared" si="102"/>
        <v>Pesado de Passageiros M3: III : Gasóleo : Geral</v>
      </c>
      <c r="J2452" s="265">
        <v>53</v>
      </c>
      <c r="K2452" s="264">
        <v>2022</v>
      </c>
      <c r="L2452" s="85">
        <v>14354.7</v>
      </c>
      <c r="M2452" s="85" t="s">
        <v>630</v>
      </c>
      <c r="N2452" s="128">
        <v>48436</v>
      </c>
      <c r="O2452" s="128">
        <f t="shared" si="103"/>
        <v>2567108</v>
      </c>
      <c r="P2452" s="89">
        <v>353</v>
      </c>
      <c r="Q2452" t="s">
        <v>47</v>
      </c>
      <c r="R2452" s="220" t="s">
        <v>1888</v>
      </c>
      <c r="S2452" s="220" t="s">
        <v>1861</v>
      </c>
      <c r="T2452" t="s">
        <v>2647</v>
      </c>
      <c r="U2452" t="s">
        <v>1972</v>
      </c>
      <c r="V2452" t="s">
        <v>2832</v>
      </c>
    </row>
    <row r="2453" spans="1:22" ht="15.75" thickBot="1" x14ac:dyDescent="0.3">
      <c r="A2453" t="s">
        <v>2836</v>
      </c>
      <c r="B2453" t="s">
        <v>2836</v>
      </c>
      <c r="C2453" t="s">
        <v>2836</v>
      </c>
      <c r="D2453" t="s">
        <v>629</v>
      </c>
      <c r="E2453" s="259" t="s">
        <v>1853</v>
      </c>
      <c r="F2453" t="s">
        <v>620</v>
      </c>
      <c r="G2453" s="89">
        <v>2016</v>
      </c>
      <c r="H2453" s="343" t="s">
        <v>2250</v>
      </c>
      <c r="I2453" s="337" t="str">
        <f t="shared" si="102"/>
        <v>Pesado de Passageiros M3: III : Gasóleo : Geral</v>
      </c>
      <c r="J2453" s="265">
        <v>53</v>
      </c>
      <c r="K2453" s="264">
        <v>2022</v>
      </c>
      <c r="L2453" s="85">
        <v>10850.6</v>
      </c>
      <c r="M2453" s="85" t="s">
        <v>630</v>
      </c>
      <c r="N2453" s="128">
        <v>35515</v>
      </c>
      <c r="O2453" s="128">
        <f t="shared" si="103"/>
        <v>1882295</v>
      </c>
      <c r="P2453" s="89">
        <v>354</v>
      </c>
      <c r="Q2453" t="s">
        <v>47</v>
      </c>
      <c r="R2453" s="220" t="s">
        <v>1888</v>
      </c>
      <c r="S2453" s="220" t="s">
        <v>1861</v>
      </c>
      <c r="T2453" t="s">
        <v>2647</v>
      </c>
      <c r="U2453" t="s">
        <v>1972</v>
      </c>
      <c r="V2453" t="s">
        <v>2832</v>
      </c>
    </row>
    <row r="2454" spans="1:22" ht="15.75" thickBot="1" x14ac:dyDescent="0.3">
      <c r="A2454" t="s">
        <v>2836</v>
      </c>
      <c r="B2454" t="s">
        <v>2836</v>
      </c>
      <c r="C2454" t="s">
        <v>2836</v>
      </c>
      <c r="D2454" t="s">
        <v>629</v>
      </c>
      <c r="E2454" s="259" t="s">
        <v>1853</v>
      </c>
      <c r="F2454" t="s">
        <v>620</v>
      </c>
      <c r="G2454" s="89">
        <v>2016</v>
      </c>
      <c r="H2454" s="343" t="s">
        <v>2250</v>
      </c>
      <c r="I2454" s="337" t="str">
        <f t="shared" si="102"/>
        <v>Pesado de Passageiros M3: III : Gasóleo : Geral</v>
      </c>
      <c r="J2454" s="265">
        <v>53</v>
      </c>
      <c r="K2454" s="264">
        <v>2022</v>
      </c>
      <c r="L2454" s="85">
        <v>14312</v>
      </c>
      <c r="M2454" s="85" t="s">
        <v>630</v>
      </c>
      <c r="N2454" s="128">
        <v>47612</v>
      </c>
      <c r="O2454" s="128">
        <f t="shared" si="103"/>
        <v>2523436</v>
      </c>
      <c r="P2454" s="89">
        <v>355</v>
      </c>
      <c r="Q2454" t="s">
        <v>47</v>
      </c>
      <c r="R2454" s="220" t="s">
        <v>1888</v>
      </c>
      <c r="S2454" s="220" t="s">
        <v>1861</v>
      </c>
      <c r="T2454" t="s">
        <v>2647</v>
      </c>
      <c r="U2454" t="s">
        <v>1972</v>
      </c>
      <c r="V2454" t="s">
        <v>2832</v>
      </c>
    </row>
    <row r="2455" spans="1:22" ht="15.75" thickBot="1" x14ac:dyDescent="0.3">
      <c r="A2455" t="s">
        <v>2836</v>
      </c>
      <c r="B2455" t="s">
        <v>2836</v>
      </c>
      <c r="C2455" t="s">
        <v>2836</v>
      </c>
      <c r="D2455" t="s">
        <v>629</v>
      </c>
      <c r="E2455" s="259" t="s">
        <v>1853</v>
      </c>
      <c r="F2455" t="s">
        <v>620</v>
      </c>
      <c r="G2455" s="89">
        <v>2016</v>
      </c>
      <c r="H2455" s="343" t="s">
        <v>2250</v>
      </c>
      <c r="I2455" s="337" t="str">
        <f t="shared" si="102"/>
        <v>Pesado de Passageiros M3: III : Gasóleo : Geral</v>
      </c>
      <c r="J2455" s="265">
        <v>53</v>
      </c>
      <c r="K2455" s="264">
        <v>2022</v>
      </c>
      <c r="L2455" s="85">
        <v>13041.1</v>
      </c>
      <c r="M2455" s="85" t="s">
        <v>630</v>
      </c>
      <c r="N2455" s="128">
        <v>47865</v>
      </c>
      <c r="O2455" s="128">
        <f t="shared" si="103"/>
        <v>2536845</v>
      </c>
      <c r="P2455" s="89">
        <v>356</v>
      </c>
      <c r="Q2455" t="s">
        <v>47</v>
      </c>
      <c r="R2455" s="220" t="s">
        <v>1888</v>
      </c>
      <c r="S2455" s="220" t="s">
        <v>1861</v>
      </c>
      <c r="T2455" t="s">
        <v>2647</v>
      </c>
      <c r="U2455" t="s">
        <v>1972</v>
      </c>
      <c r="V2455" t="s">
        <v>2832</v>
      </c>
    </row>
    <row r="2456" spans="1:22" ht="15.75" thickBot="1" x14ac:dyDescent="0.3">
      <c r="A2456" t="s">
        <v>2836</v>
      </c>
      <c r="B2456" t="s">
        <v>2836</v>
      </c>
      <c r="C2456" t="s">
        <v>2836</v>
      </c>
      <c r="D2456" t="s">
        <v>629</v>
      </c>
      <c r="E2456" s="259" t="s">
        <v>1853</v>
      </c>
      <c r="F2456" t="s">
        <v>620</v>
      </c>
      <c r="G2456" s="89">
        <v>2016</v>
      </c>
      <c r="H2456" s="343" t="s">
        <v>2250</v>
      </c>
      <c r="I2456" s="337" t="str">
        <f t="shared" si="102"/>
        <v>Pesado de Passageiros M3: III : Gasóleo : Geral</v>
      </c>
      <c r="J2456" s="265">
        <v>53</v>
      </c>
      <c r="K2456" s="264">
        <v>2022</v>
      </c>
      <c r="L2456" s="85">
        <v>12978</v>
      </c>
      <c r="M2456" s="85" t="s">
        <v>630</v>
      </c>
      <c r="N2456" s="128">
        <v>48401</v>
      </c>
      <c r="O2456" s="128">
        <f t="shared" si="103"/>
        <v>2565253</v>
      </c>
      <c r="P2456" s="89">
        <v>357</v>
      </c>
      <c r="Q2456" t="s">
        <v>47</v>
      </c>
      <c r="R2456" s="220" t="s">
        <v>1888</v>
      </c>
      <c r="S2456" s="220" t="s">
        <v>1861</v>
      </c>
      <c r="T2456" t="s">
        <v>2647</v>
      </c>
      <c r="U2456" t="s">
        <v>1972</v>
      </c>
      <c r="V2456" t="s">
        <v>2832</v>
      </c>
    </row>
    <row r="2457" spans="1:22" ht="15.75" thickBot="1" x14ac:dyDescent="0.3">
      <c r="A2457" t="s">
        <v>2836</v>
      </c>
      <c r="B2457" t="s">
        <v>2836</v>
      </c>
      <c r="C2457" t="s">
        <v>2836</v>
      </c>
      <c r="D2457" t="s">
        <v>629</v>
      </c>
      <c r="E2457" s="259" t="s">
        <v>1853</v>
      </c>
      <c r="F2457" t="s">
        <v>620</v>
      </c>
      <c r="G2457" s="89">
        <v>2008</v>
      </c>
      <c r="H2457" s="343" t="s">
        <v>2250</v>
      </c>
      <c r="I2457" s="337" t="str">
        <f t="shared" si="102"/>
        <v>Pesado de Passageiros M3: III : Gasóleo : Geral</v>
      </c>
      <c r="J2457" s="265">
        <v>65</v>
      </c>
      <c r="K2457" s="264">
        <v>2022</v>
      </c>
      <c r="L2457" s="85">
        <v>16646</v>
      </c>
      <c r="M2457" s="85" t="s">
        <v>630</v>
      </c>
      <c r="N2457" s="128">
        <v>43242</v>
      </c>
      <c r="O2457" s="128">
        <f t="shared" si="103"/>
        <v>2810730</v>
      </c>
      <c r="P2457" s="89">
        <v>358</v>
      </c>
      <c r="Q2457" t="s">
        <v>47</v>
      </c>
      <c r="R2457" s="220" t="s">
        <v>1888</v>
      </c>
      <c r="S2457" s="220" t="s">
        <v>1861</v>
      </c>
      <c r="T2457" t="s">
        <v>2647</v>
      </c>
      <c r="U2457" t="s">
        <v>1972</v>
      </c>
      <c r="V2457" t="s">
        <v>2832</v>
      </c>
    </row>
    <row r="2458" spans="1:22" ht="15.75" thickBot="1" x14ac:dyDescent="0.3">
      <c r="A2458" t="s">
        <v>2836</v>
      </c>
      <c r="B2458" t="s">
        <v>2836</v>
      </c>
      <c r="C2458" t="s">
        <v>2836</v>
      </c>
      <c r="D2458" t="s">
        <v>629</v>
      </c>
      <c r="E2458" s="259" t="s">
        <v>1853</v>
      </c>
      <c r="F2458" t="s">
        <v>620</v>
      </c>
      <c r="G2458" s="89">
        <v>2010</v>
      </c>
      <c r="H2458" s="343" t="s">
        <v>2250</v>
      </c>
      <c r="I2458" s="337" t="str">
        <f t="shared" si="102"/>
        <v>Pesado de Passageiros M3: III : Gasóleo : Geral</v>
      </c>
      <c r="J2458" s="265">
        <v>51</v>
      </c>
      <c r="K2458" s="264">
        <v>2022</v>
      </c>
      <c r="L2458" s="85">
        <v>17455.900000000001</v>
      </c>
      <c r="M2458" s="85" t="s">
        <v>630</v>
      </c>
      <c r="N2458" s="128">
        <v>49004</v>
      </c>
      <c r="O2458" s="128">
        <f t="shared" si="103"/>
        <v>2499204</v>
      </c>
      <c r="P2458" s="89">
        <v>359</v>
      </c>
      <c r="Q2458" t="s">
        <v>47</v>
      </c>
      <c r="R2458" s="220" t="s">
        <v>1888</v>
      </c>
      <c r="S2458" s="220" t="s">
        <v>1861</v>
      </c>
      <c r="T2458" t="s">
        <v>2647</v>
      </c>
      <c r="U2458" t="s">
        <v>1972</v>
      </c>
      <c r="V2458" t="s">
        <v>2832</v>
      </c>
    </row>
    <row r="2459" spans="1:22" ht="15.75" thickBot="1" x14ac:dyDescent="0.3">
      <c r="A2459" t="s">
        <v>2836</v>
      </c>
      <c r="B2459" t="s">
        <v>2836</v>
      </c>
      <c r="C2459" t="s">
        <v>2836</v>
      </c>
      <c r="D2459" t="s">
        <v>629</v>
      </c>
      <c r="E2459" s="259" t="s">
        <v>1853</v>
      </c>
      <c r="F2459" t="s">
        <v>620</v>
      </c>
      <c r="G2459" s="89">
        <v>2007</v>
      </c>
      <c r="H2459" s="343" t="s">
        <v>2250</v>
      </c>
      <c r="I2459" s="337" t="str">
        <f t="shared" si="102"/>
        <v>Pesado de Passageiros M3: III : Gasóleo : Geral</v>
      </c>
      <c r="J2459" s="266">
        <v>61</v>
      </c>
      <c r="K2459" s="264">
        <v>2022</v>
      </c>
      <c r="L2459" s="85">
        <v>8247.5</v>
      </c>
      <c r="M2459" s="85" t="s">
        <v>630</v>
      </c>
      <c r="N2459" s="128">
        <v>22721</v>
      </c>
      <c r="O2459" s="128">
        <f t="shared" si="103"/>
        <v>1385981</v>
      </c>
      <c r="P2459" s="89">
        <v>360</v>
      </c>
      <c r="Q2459" t="s">
        <v>47</v>
      </c>
      <c r="R2459" s="220" t="s">
        <v>1888</v>
      </c>
      <c r="S2459" s="220" t="s">
        <v>1861</v>
      </c>
      <c r="T2459" t="s">
        <v>2647</v>
      </c>
      <c r="U2459" t="s">
        <v>1972</v>
      </c>
      <c r="V2459" t="s">
        <v>2832</v>
      </c>
    </row>
    <row r="2460" spans="1:22" ht="15.75" thickBot="1" x14ac:dyDescent="0.3">
      <c r="A2460" t="s">
        <v>2836</v>
      </c>
      <c r="B2460" t="s">
        <v>2836</v>
      </c>
      <c r="C2460" t="s">
        <v>2836</v>
      </c>
      <c r="D2460" t="s">
        <v>629</v>
      </c>
      <c r="E2460" s="259" t="s">
        <v>1853</v>
      </c>
      <c r="F2460" t="s">
        <v>620</v>
      </c>
      <c r="G2460" s="89">
        <v>2006</v>
      </c>
      <c r="H2460" s="343" t="s">
        <v>2250</v>
      </c>
      <c r="I2460" s="337" t="str">
        <f t="shared" si="102"/>
        <v>Pesado de Passageiros M3: III : Gasóleo : Geral</v>
      </c>
      <c r="J2460" s="265">
        <v>55</v>
      </c>
      <c r="K2460" s="264">
        <v>2022</v>
      </c>
      <c r="L2460" s="85"/>
      <c r="M2460" s="85" t="s">
        <v>630</v>
      </c>
      <c r="N2460" s="128"/>
      <c r="O2460" s="128">
        <f t="shared" si="103"/>
        <v>0</v>
      </c>
      <c r="P2460" s="89">
        <v>361</v>
      </c>
      <c r="Q2460" t="s">
        <v>47</v>
      </c>
      <c r="R2460" s="220" t="s">
        <v>1888</v>
      </c>
      <c r="S2460" s="220" t="s">
        <v>1861</v>
      </c>
      <c r="T2460" t="s">
        <v>2647</v>
      </c>
      <c r="U2460" t="s">
        <v>1972</v>
      </c>
      <c r="V2460" t="s">
        <v>2832</v>
      </c>
    </row>
    <row r="2461" spans="1:22" ht="15.75" thickBot="1" x14ac:dyDescent="0.3">
      <c r="A2461" t="s">
        <v>2836</v>
      </c>
      <c r="B2461" t="s">
        <v>2836</v>
      </c>
      <c r="C2461" t="s">
        <v>2836</v>
      </c>
      <c r="D2461" t="s">
        <v>629</v>
      </c>
      <c r="E2461" s="259" t="s">
        <v>1853</v>
      </c>
      <c r="F2461" t="s">
        <v>620</v>
      </c>
      <c r="G2461" s="89">
        <v>2017</v>
      </c>
      <c r="H2461" s="343" t="s">
        <v>2250</v>
      </c>
      <c r="I2461" s="337" t="str">
        <f t="shared" si="102"/>
        <v>Pesado de Passageiros M3: III : Gasóleo : Geral</v>
      </c>
      <c r="J2461" s="265">
        <v>53</v>
      </c>
      <c r="K2461" s="264">
        <v>2022</v>
      </c>
      <c r="L2461" s="85">
        <v>14481.6</v>
      </c>
      <c r="M2461" s="85" t="s">
        <v>630</v>
      </c>
      <c r="N2461" s="128">
        <v>52759</v>
      </c>
      <c r="O2461" s="128">
        <f t="shared" si="103"/>
        <v>2796227</v>
      </c>
      <c r="P2461" s="89">
        <v>362</v>
      </c>
      <c r="Q2461" t="s">
        <v>47</v>
      </c>
      <c r="R2461" s="220" t="s">
        <v>1888</v>
      </c>
      <c r="S2461" s="220" t="s">
        <v>1861</v>
      </c>
      <c r="T2461" t="s">
        <v>2647</v>
      </c>
      <c r="U2461" t="s">
        <v>1972</v>
      </c>
      <c r="V2461" t="s">
        <v>2832</v>
      </c>
    </row>
    <row r="2462" spans="1:22" ht="15.75" thickBot="1" x14ac:dyDescent="0.3">
      <c r="A2462" t="s">
        <v>2836</v>
      </c>
      <c r="B2462" t="s">
        <v>2836</v>
      </c>
      <c r="C2462" t="s">
        <v>2836</v>
      </c>
      <c r="D2462" t="s">
        <v>629</v>
      </c>
      <c r="E2462" s="259" t="s">
        <v>1853</v>
      </c>
      <c r="F2462" t="s">
        <v>620</v>
      </c>
      <c r="G2462" s="89">
        <v>2017</v>
      </c>
      <c r="H2462" s="343" t="s">
        <v>2250</v>
      </c>
      <c r="I2462" s="337" t="str">
        <f t="shared" si="102"/>
        <v>Pesado de Passageiros M3: III : Gasóleo : Geral</v>
      </c>
      <c r="J2462" s="265">
        <v>53</v>
      </c>
      <c r="K2462" s="264">
        <v>2022</v>
      </c>
      <c r="L2462" s="85">
        <v>13429.5</v>
      </c>
      <c r="M2462" s="85" t="s">
        <v>630</v>
      </c>
      <c r="N2462" s="128">
        <v>49148</v>
      </c>
      <c r="O2462" s="128">
        <f t="shared" si="103"/>
        <v>2604844</v>
      </c>
      <c r="P2462" s="89">
        <v>363</v>
      </c>
      <c r="Q2462" t="s">
        <v>47</v>
      </c>
      <c r="R2462" s="220" t="s">
        <v>1888</v>
      </c>
      <c r="S2462" s="220" t="s">
        <v>1861</v>
      </c>
      <c r="T2462" t="s">
        <v>2647</v>
      </c>
      <c r="U2462" t="s">
        <v>1972</v>
      </c>
      <c r="V2462" t="s">
        <v>2832</v>
      </c>
    </row>
    <row r="2463" spans="1:22" ht="15.75" thickBot="1" x14ac:dyDescent="0.3">
      <c r="A2463" t="s">
        <v>2836</v>
      </c>
      <c r="B2463" t="s">
        <v>2836</v>
      </c>
      <c r="C2463" t="s">
        <v>2836</v>
      </c>
      <c r="D2463" t="s">
        <v>629</v>
      </c>
      <c r="E2463" s="259" t="s">
        <v>1853</v>
      </c>
      <c r="F2463" t="s">
        <v>620</v>
      </c>
      <c r="G2463" s="89">
        <v>2006</v>
      </c>
      <c r="H2463" s="343" t="s">
        <v>2250</v>
      </c>
      <c r="I2463" s="337" t="str">
        <f t="shared" si="102"/>
        <v>Pesado de Passageiros M3: III : Gasóleo : Geral</v>
      </c>
      <c r="J2463" s="265">
        <v>55</v>
      </c>
      <c r="K2463" s="264">
        <v>2022</v>
      </c>
      <c r="L2463" s="85">
        <v>9377.1</v>
      </c>
      <c r="M2463" s="85" t="s">
        <v>630</v>
      </c>
      <c r="N2463" s="128">
        <v>26393</v>
      </c>
      <c r="O2463" s="128">
        <f t="shared" si="103"/>
        <v>1451615</v>
      </c>
      <c r="P2463" s="89">
        <v>364</v>
      </c>
      <c r="Q2463" t="s">
        <v>47</v>
      </c>
      <c r="R2463" s="220" t="s">
        <v>1888</v>
      </c>
      <c r="S2463" s="220" t="s">
        <v>1861</v>
      </c>
      <c r="T2463" t="s">
        <v>2647</v>
      </c>
      <c r="U2463" t="s">
        <v>1972</v>
      </c>
      <c r="V2463" t="s">
        <v>2832</v>
      </c>
    </row>
    <row r="2464" spans="1:22" ht="15.75" thickBot="1" x14ac:dyDescent="0.3">
      <c r="A2464" t="s">
        <v>2836</v>
      </c>
      <c r="B2464" t="s">
        <v>2836</v>
      </c>
      <c r="C2464" t="s">
        <v>2836</v>
      </c>
      <c r="D2464" t="s">
        <v>629</v>
      </c>
      <c r="E2464" s="259" t="s">
        <v>1853</v>
      </c>
      <c r="F2464" t="s">
        <v>620</v>
      </c>
      <c r="G2464" s="89">
        <v>2017</v>
      </c>
      <c r="H2464" s="343" t="s">
        <v>2250</v>
      </c>
      <c r="I2464" s="337" t="str">
        <f t="shared" si="102"/>
        <v>Pesado de Passageiros M3: III : Gasóleo : Geral</v>
      </c>
      <c r="J2464" s="265">
        <v>29</v>
      </c>
      <c r="K2464" s="264">
        <v>2022</v>
      </c>
      <c r="L2464" s="85">
        <v>5525.9</v>
      </c>
      <c r="M2464" s="85" t="s">
        <v>630</v>
      </c>
      <c r="N2464" s="128">
        <v>32909</v>
      </c>
      <c r="O2464" s="128">
        <f t="shared" si="103"/>
        <v>954361</v>
      </c>
      <c r="P2464" s="89">
        <v>366</v>
      </c>
      <c r="Q2464" t="s">
        <v>47</v>
      </c>
      <c r="R2464" s="220" t="s">
        <v>1888</v>
      </c>
      <c r="S2464" s="220" t="s">
        <v>1861</v>
      </c>
      <c r="T2464" t="s">
        <v>2647</v>
      </c>
      <c r="U2464" t="s">
        <v>1972</v>
      </c>
      <c r="V2464" t="s">
        <v>2832</v>
      </c>
    </row>
    <row r="2465" spans="1:22" ht="15.75" thickBot="1" x14ac:dyDescent="0.3">
      <c r="A2465" t="s">
        <v>2836</v>
      </c>
      <c r="B2465" t="s">
        <v>2836</v>
      </c>
      <c r="C2465" t="s">
        <v>2836</v>
      </c>
      <c r="D2465" t="s">
        <v>629</v>
      </c>
      <c r="E2465" s="259" t="s">
        <v>1853</v>
      </c>
      <c r="F2465" t="s">
        <v>620</v>
      </c>
      <c r="G2465" s="89">
        <v>2017</v>
      </c>
      <c r="H2465" s="343" t="s">
        <v>2250</v>
      </c>
      <c r="I2465" s="337" t="str">
        <f t="shared" si="102"/>
        <v>Pesado de Passageiros M3: III : Gasóleo : Geral</v>
      </c>
      <c r="J2465" s="265">
        <v>29</v>
      </c>
      <c r="K2465" s="264">
        <v>2022</v>
      </c>
      <c r="L2465" s="85">
        <v>4013.6</v>
      </c>
      <c r="M2465" s="85" t="s">
        <v>630</v>
      </c>
      <c r="N2465" s="128">
        <v>21916</v>
      </c>
      <c r="O2465" s="128">
        <f t="shared" si="103"/>
        <v>635564</v>
      </c>
      <c r="P2465" s="89">
        <v>367</v>
      </c>
      <c r="Q2465" t="s">
        <v>47</v>
      </c>
      <c r="R2465" s="220" t="s">
        <v>1888</v>
      </c>
      <c r="S2465" s="220" t="s">
        <v>1861</v>
      </c>
      <c r="T2465" t="s">
        <v>2647</v>
      </c>
      <c r="U2465" t="s">
        <v>1972</v>
      </c>
      <c r="V2465" t="s">
        <v>2832</v>
      </c>
    </row>
    <row r="2466" spans="1:22" ht="15.75" thickBot="1" x14ac:dyDescent="0.3">
      <c r="A2466" t="s">
        <v>2836</v>
      </c>
      <c r="B2466" t="s">
        <v>2836</v>
      </c>
      <c r="C2466" t="s">
        <v>2836</v>
      </c>
      <c r="D2466" t="s">
        <v>629</v>
      </c>
      <c r="E2466" s="259" t="s">
        <v>1853</v>
      </c>
      <c r="F2466" t="s">
        <v>620</v>
      </c>
      <c r="G2466" s="89">
        <v>2017</v>
      </c>
      <c r="H2466" s="343" t="s">
        <v>2250</v>
      </c>
      <c r="I2466" s="337" t="str">
        <f t="shared" si="102"/>
        <v>Pesado de Passageiros M3: III : Gasóleo : Geral</v>
      </c>
      <c r="J2466" s="265">
        <v>29</v>
      </c>
      <c r="K2466" s="264">
        <v>2022</v>
      </c>
      <c r="L2466" s="85">
        <v>4277.6000000000004</v>
      </c>
      <c r="M2466" s="85" t="s">
        <v>630</v>
      </c>
      <c r="N2466" s="128">
        <v>25742</v>
      </c>
      <c r="O2466" s="128">
        <f t="shared" si="103"/>
        <v>746518</v>
      </c>
      <c r="P2466" s="89">
        <v>368</v>
      </c>
      <c r="Q2466" t="s">
        <v>47</v>
      </c>
      <c r="R2466" s="220" t="s">
        <v>1888</v>
      </c>
      <c r="S2466" s="220" t="s">
        <v>1861</v>
      </c>
      <c r="T2466" t="s">
        <v>2647</v>
      </c>
      <c r="U2466" t="s">
        <v>1972</v>
      </c>
      <c r="V2466" t="s">
        <v>2832</v>
      </c>
    </row>
    <row r="2467" spans="1:22" ht="15.75" thickBot="1" x14ac:dyDescent="0.3">
      <c r="A2467" t="s">
        <v>2836</v>
      </c>
      <c r="B2467" t="s">
        <v>2836</v>
      </c>
      <c r="C2467" t="s">
        <v>2836</v>
      </c>
      <c r="D2467" t="s">
        <v>629</v>
      </c>
      <c r="E2467" s="259" t="s">
        <v>1853</v>
      </c>
      <c r="F2467" t="s">
        <v>620</v>
      </c>
      <c r="G2467" s="89">
        <v>2018</v>
      </c>
      <c r="H2467" s="343" t="s">
        <v>2250</v>
      </c>
      <c r="I2467" s="337" t="str">
        <f t="shared" si="102"/>
        <v>Pesado de Passageiros M3: III : Gasóleo : Geral</v>
      </c>
      <c r="J2467" s="265">
        <v>53</v>
      </c>
      <c r="K2467" s="264">
        <v>2022</v>
      </c>
      <c r="L2467" s="85">
        <v>37931</v>
      </c>
      <c r="M2467" s="85" t="s">
        <v>630</v>
      </c>
      <c r="N2467" s="128">
        <v>148846</v>
      </c>
      <c r="O2467" s="128">
        <f t="shared" si="103"/>
        <v>7888838</v>
      </c>
      <c r="P2467" s="89">
        <v>369</v>
      </c>
      <c r="Q2467" t="s">
        <v>47</v>
      </c>
      <c r="R2467" s="220" t="s">
        <v>1888</v>
      </c>
      <c r="S2467" s="220" t="s">
        <v>1861</v>
      </c>
      <c r="T2467" t="s">
        <v>2647</v>
      </c>
      <c r="U2467" t="s">
        <v>1972</v>
      </c>
      <c r="V2467" t="s">
        <v>2832</v>
      </c>
    </row>
    <row r="2468" spans="1:22" ht="15.75" thickBot="1" x14ac:dyDescent="0.3">
      <c r="A2468" t="s">
        <v>2836</v>
      </c>
      <c r="B2468" t="s">
        <v>2836</v>
      </c>
      <c r="C2468" t="s">
        <v>2836</v>
      </c>
      <c r="D2468" t="s">
        <v>629</v>
      </c>
      <c r="E2468" s="259" t="s">
        <v>1853</v>
      </c>
      <c r="F2468" t="s">
        <v>620</v>
      </c>
      <c r="G2468" s="89">
        <v>2018</v>
      </c>
      <c r="H2468" s="343" t="s">
        <v>2250</v>
      </c>
      <c r="I2468" s="337" t="str">
        <f t="shared" si="102"/>
        <v>Pesado de Passageiros M3: III : Gasóleo : Geral</v>
      </c>
      <c r="J2468" s="265">
        <v>53</v>
      </c>
      <c r="K2468" s="264">
        <v>2022</v>
      </c>
      <c r="L2468" s="85">
        <v>38479</v>
      </c>
      <c r="M2468" s="85" t="s">
        <v>630</v>
      </c>
      <c r="N2468" s="128">
        <v>150163</v>
      </c>
      <c r="O2468" s="128">
        <f t="shared" si="103"/>
        <v>7958639</v>
      </c>
      <c r="P2468" s="89">
        <v>370</v>
      </c>
      <c r="Q2468" t="s">
        <v>47</v>
      </c>
      <c r="R2468" s="220" t="s">
        <v>1888</v>
      </c>
      <c r="S2468" s="220" t="s">
        <v>1861</v>
      </c>
      <c r="T2468" t="s">
        <v>2647</v>
      </c>
      <c r="U2468" t="s">
        <v>1972</v>
      </c>
      <c r="V2468" t="s">
        <v>2832</v>
      </c>
    </row>
    <row r="2469" spans="1:22" ht="15.75" thickBot="1" x14ac:dyDescent="0.3">
      <c r="A2469" t="s">
        <v>2836</v>
      </c>
      <c r="B2469" t="s">
        <v>2836</v>
      </c>
      <c r="C2469" t="s">
        <v>2836</v>
      </c>
      <c r="D2469" t="s">
        <v>629</v>
      </c>
      <c r="E2469" s="259" t="s">
        <v>1853</v>
      </c>
      <c r="F2469" t="s">
        <v>620</v>
      </c>
      <c r="G2469" s="89">
        <v>2014</v>
      </c>
      <c r="H2469" s="343" t="s">
        <v>2250</v>
      </c>
      <c r="I2469" s="337" t="str">
        <f t="shared" si="102"/>
        <v>Pesado de Passageiros M3: III : Gasóleo : Geral</v>
      </c>
      <c r="J2469" s="265">
        <v>53</v>
      </c>
      <c r="K2469" s="264">
        <v>2022</v>
      </c>
      <c r="L2469" s="85">
        <v>17219</v>
      </c>
      <c r="M2469" s="85" t="s">
        <v>630</v>
      </c>
      <c r="N2469" s="128">
        <v>55549</v>
      </c>
      <c r="O2469" s="128">
        <f t="shared" si="103"/>
        <v>2944097</v>
      </c>
      <c r="P2469" s="89">
        <v>375</v>
      </c>
      <c r="Q2469" t="s">
        <v>47</v>
      </c>
      <c r="R2469" s="220" t="s">
        <v>1888</v>
      </c>
      <c r="S2469" s="220" t="s">
        <v>1861</v>
      </c>
      <c r="T2469" t="s">
        <v>2647</v>
      </c>
      <c r="U2469" t="s">
        <v>1972</v>
      </c>
      <c r="V2469" t="s">
        <v>2832</v>
      </c>
    </row>
    <row r="2470" spans="1:22" ht="15.75" thickBot="1" x14ac:dyDescent="0.3">
      <c r="A2470" t="s">
        <v>2836</v>
      </c>
      <c r="B2470" t="s">
        <v>2836</v>
      </c>
      <c r="C2470" t="s">
        <v>2836</v>
      </c>
      <c r="D2470" t="s">
        <v>629</v>
      </c>
      <c r="E2470" s="259" t="s">
        <v>1853</v>
      </c>
      <c r="F2470" t="s">
        <v>620</v>
      </c>
      <c r="G2470" s="89">
        <v>2014</v>
      </c>
      <c r="H2470" s="343" t="s">
        <v>2250</v>
      </c>
      <c r="I2470" s="337" t="str">
        <f t="shared" si="102"/>
        <v>Pesado de Passageiros M3: III : Gasóleo : Geral</v>
      </c>
      <c r="J2470" s="265">
        <v>53</v>
      </c>
      <c r="K2470" s="264">
        <v>2022</v>
      </c>
      <c r="L2470" s="85">
        <v>21724.1</v>
      </c>
      <c r="M2470" s="85" t="s">
        <v>630</v>
      </c>
      <c r="N2470" s="128">
        <v>74304</v>
      </c>
      <c r="O2470" s="128">
        <f t="shared" si="103"/>
        <v>3938112</v>
      </c>
      <c r="P2470" s="89">
        <v>376</v>
      </c>
      <c r="Q2470" t="s">
        <v>47</v>
      </c>
      <c r="R2470" s="220" t="s">
        <v>1888</v>
      </c>
      <c r="S2470" s="220" t="s">
        <v>1861</v>
      </c>
      <c r="T2470" t="s">
        <v>2647</v>
      </c>
      <c r="U2470" t="s">
        <v>1972</v>
      </c>
      <c r="V2470" t="s">
        <v>2832</v>
      </c>
    </row>
    <row r="2471" spans="1:22" ht="15.75" thickBot="1" x14ac:dyDescent="0.3">
      <c r="A2471" t="s">
        <v>2836</v>
      </c>
      <c r="B2471" t="s">
        <v>2836</v>
      </c>
      <c r="C2471" t="s">
        <v>2836</v>
      </c>
      <c r="D2471" t="s">
        <v>629</v>
      </c>
      <c r="E2471" s="259" t="s">
        <v>1853</v>
      </c>
      <c r="F2471" t="s">
        <v>620</v>
      </c>
      <c r="G2471" s="89">
        <v>2020</v>
      </c>
      <c r="H2471" s="343" t="s">
        <v>2250</v>
      </c>
      <c r="I2471" s="337" t="str">
        <f t="shared" si="102"/>
        <v>Pesado de Passageiros M3: III : Gasóleo : Geral</v>
      </c>
      <c r="J2471" s="265">
        <v>53</v>
      </c>
      <c r="K2471" s="264">
        <v>2022</v>
      </c>
      <c r="L2471" s="85">
        <v>12602.8</v>
      </c>
      <c r="M2471" s="85" t="s">
        <v>630</v>
      </c>
      <c r="N2471" s="128">
        <v>48432</v>
      </c>
      <c r="O2471" s="128">
        <f t="shared" si="103"/>
        <v>2566896</v>
      </c>
      <c r="P2471" s="89">
        <v>377</v>
      </c>
      <c r="Q2471" t="s">
        <v>47</v>
      </c>
      <c r="R2471" s="220" t="s">
        <v>1888</v>
      </c>
      <c r="S2471" s="220" t="s">
        <v>1861</v>
      </c>
      <c r="T2471" t="s">
        <v>2647</v>
      </c>
      <c r="U2471" t="s">
        <v>1972</v>
      </c>
      <c r="V2471" t="s">
        <v>2832</v>
      </c>
    </row>
    <row r="2472" spans="1:22" ht="15.75" thickBot="1" x14ac:dyDescent="0.3">
      <c r="A2472" t="s">
        <v>2836</v>
      </c>
      <c r="B2472" t="s">
        <v>2836</v>
      </c>
      <c r="C2472" t="s">
        <v>2836</v>
      </c>
      <c r="D2472" t="s">
        <v>629</v>
      </c>
      <c r="E2472" s="259" t="s">
        <v>1853</v>
      </c>
      <c r="F2472" t="s">
        <v>620</v>
      </c>
      <c r="G2472" s="89">
        <v>2001</v>
      </c>
      <c r="H2472" s="343" t="s">
        <v>2250</v>
      </c>
      <c r="I2472" s="337" t="str">
        <f t="shared" si="102"/>
        <v>Pesado de Passageiros M3: III : Gasóleo : Geral</v>
      </c>
      <c r="J2472" s="265">
        <v>55</v>
      </c>
      <c r="K2472" s="264">
        <v>2022</v>
      </c>
      <c r="L2472" s="85"/>
      <c r="M2472" s="85" t="s">
        <v>630</v>
      </c>
      <c r="N2472" s="128"/>
      <c r="O2472" s="128">
        <f t="shared" si="103"/>
        <v>0</v>
      </c>
      <c r="P2472" s="89">
        <v>459</v>
      </c>
      <c r="Q2472" t="s">
        <v>47</v>
      </c>
      <c r="R2472" s="220" t="s">
        <v>1888</v>
      </c>
      <c r="S2472" s="220" t="s">
        <v>1861</v>
      </c>
      <c r="T2472" t="s">
        <v>2647</v>
      </c>
      <c r="U2472" t="s">
        <v>1972</v>
      </c>
      <c r="V2472" t="s">
        <v>2832</v>
      </c>
    </row>
    <row r="2473" spans="1:22" ht="15.75" thickBot="1" x14ac:dyDescent="0.3">
      <c r="A2473" t="s">
        <v>2836</v>
      </c>
      <c r="B2473" t="s">
        <v>2836</v>
      </c>
      <c r="C2473" t="s">
        <v>2836</v>
      </c>
      <c r="D2473" t="s">
        <v>629</v>
      </c>
      <c r="E2473" s="259" t="s">
        <v>1853</v>
      </c>
      <c r="F2473" t="s">
        <v>620</v>
      </c>
      <c r="G2473" s="89">
        <v>2001</v>
      </c>
      <c r="H2473" s="343" t="s">
        <v>2250</v>
      </c>
      <c r="I2473" s="337" t="str">
        <f t="shared" si="102"/>
        <v>Pesado de Passageiros M3: III : Gasóleo : Geral</v>
      </c>
      <c r="J2473" s="265">
        <v>55</v>
      </c>
      <c r="K2473" s="264">
        <v>2022</v>
      </c>
      <c r="L2473" s="85"/>
      <c r="M2473" s="85" t="s">
        <v>630</v>
      </c>
      <c r="N2473" s="128"/>
      <c r="O2473" s="128">
        <f t="shared" si="103"/>
        <v>0</v>
      </c>
      <c r="P2473" s="89">
        <v>460</v>
      </c>
      <c r="Q2473" t="s">
        <v>47</v>
      </c>
      <c r="R2473" s="220" t="s">
        <v>1888</v>
      </c>
      <c r="S2473" s="220" t="s">
        <v>1861</v>
      </c>
      <c r="T2473" t="s">
        <v>2647</v>
      </c>
      <c r="U2473" t="s">
        <v>1972</v>
      </c>
      <c r="V2473" t="s">
        <v>2832</v>
      </c>
    </row>
    <row r="2474" spans="1:22" ht="15.75" thickBot="1" x14ac:dyDescent="0.3">
      <c r="A2474" t="s">
        <v>2836</v>
      </c>
      <c r="B2474" t="s">
        <v>2836</v>
      </c>
      <c r="C2474" t="s">
        <v>2836</v>
      </c>
      <c r="D2474" t="s">
        <v>629</v>
      </c>
      <c r="E2474" s="259" t="s">
        <v>1853</v>
      </c>
      <c r="F2474" t="s">
        <v>620</v>
      </c>
      <c r="G2474" s="89">
        <v>2004</v>
      </c>
      <c r="H2474" s="343" t="s">
        <v>2250</v>
      </c>
      <c r="I2474" s="337" t="str">
        <f t="shared" si="102"/>
        <v>Pesado de Passageiros M3: III : Gasóleo : Geral</v>
      </c>
      <c r="J2474" s="265">
        <v>53</v>
      </c>
      <c r="K2474" s="264">
        <v>2022</v>
      </c>
      <c r="L2474" s="85"/>
      <c r="M2474" s="85" t="s">
        <v>630</v>
      </c>
      <c r="N2474" s="128"/>
      <c r="O2474" s="128">
        <f t="shared" si="103"/>
        <v>0</v>
      </c>
      <c r="P2474" s="89">
        <v>481</v>
      </c>
      <c r="Q2474" t="s">
        <v>47</v>
      </c>
      <c r="R2474" s="220" t="s">
        <v>1888</v>
      </c>
      <c r="S2474" s="220" t="s">
        <v>1861</v>
      </c>
      <c r="T2474" t="s">
        <v>2647</v>
      </c>
      <c r="U2474" t="s">
        <v>1972</v>
      </c>
      <c r="V2474" t="s">
        <v>2832</v>
      </c>
    </row>
    <row r="2475" spans="1:22" ht="15.75" thickBot="1" x14ac:dyDescent="0.3">
      <c r="A2475" t="s">
        <v>2836</v>
      </c>
      <c r="B2475" t="s">
        <v>2836</v>
      </c>
      <c r="C2475" t="s">
        <v>2836</v>
      </c>
      <c r="D2475" t="s">
        <v>629</v>
      </c>
      <c r="E2475" s="259" t="s">
        <v>1853</v>
      </c>
      <c r="F2475" t="s">
        <v>620</v>
      </c>
      <c r="G2475" s="89">
        <v>2004</v>
      </c>
      <c r="H2475" s="343" t="s">
        <v>2250</v>
      </c>
      <c r="I2475" s="337" t="str">
        <f t="shared" si="102"/>
        <v>Pesado de Passageiros M3: III : Gasóleo : Geral</v>
      </c>
      <c r="J2475" s="265">
        <v>53</v>
      </c>
      <c r="K2475" s="264">
        <v>2022</v>
      </c>
      <c r="L2475" s="85">
        <v>5185.8999999999996</v>
      </c>
      <c r="M2475" s="85" t="s">
        <v>630</v>
      </c>
      <c r="N2475" s="128">
        <v>16900</v>
      </c>
      <c r="O2475" s="128">
        <f t="shared" si="103"/>
        <v>895700</v>
      </c>
      <c r="P2475" s="89">
        <v>482</v>
      </c>
      <c r="Q2475" t="s">
        <v>47</v>
      </c>
      <c r="R2475" s="220" t="s">
        <v>1888</v>
      </c>
      <c r="S2475" s="220" t="s">
        <v>1861</v>
      </c>
      <c r="T2475" t="s">
        <v>2647</v>
      </c>
      <c r="U2475" t="s">
        <v>1972</v>
      </c>
      <c r="V2475" t="s">
        <v>2832</v>
      </c>
    </row>
    <row r="2476" spans="1:22" ht="15.75" thickBot="1" x14ac:dyDescent="0.3">
      <c r="A2476" t="s">
        <v>2836</v>
      </c>
      <c r="B2476" t="s">
        <v>2836</v>
      </c>
      <c r="C2476" t="s">
        <v>2836</v>
      </c>
      <c r="D2476" t="s">
        <v>629</v>
      </c>
      <c r="E2476" s="259" t="s">
        <v>1853</v>
      </c>
      <c r="F2476" t="s">
        <v>620</v>
      </c>
      <c r="G2476" s="89">
        <v>2004</v>
      </c>
      <c r="H2476" s="343" t="s">
        <v>2250</v>
      </c>
      <c r="I2476" s="337" t="str">
        <f t="shared" si="102"/>
        <v>Pesado de Passageiros M3: III : Gasóleo : Geral</v>
      </c>
      <c r="J2476" s="265">
        <v>53</v>
      </c>
      <c r="K2476" s="264">
        <v>2022</v>
      </c>
      <c r="L2476" s="85">
        <v>12309</v>
      </c>
      <c r="M2476" s="85" t="s">
        <v>630</v>
      </c>
      <c r="N2476" s="128">
        <v>37012</v>
      </c>
      <c r="O2476" s="128">
        <f t="shared" si="103"/>
        <v>1961636</v>
      </c>
      <c r="P2476" s="89">
        <v>484</v>
      </c>
      <c r="Q2476" t="s">
        <v>47</v>
      </c>
      <c r="R2476" s="220" t="s">
        <v>1888</v>
      </c>
      <c r="S2476" s="220" t="s">
        <v>1861</v>
      </c>
      <c r="T2476" t="s">
        <v>2647</v>
      </c>
      <c r="U2476" t="s">
        <v>1972</v>
      </c>
      <c r="V2476" t="s">
        <v>2832</v>
      </c>
    </row>
    <row r="2477" spans="1:22" ht="15.75" thickBot="1" x14ac:dyDescent="0.3">
      <c r="A2477" t="s">
        <v>2836</v>
      </c>
      <c r="B2477" t="s">
        <v>2836</v>
      </c>
      <c r="C2477" t="s">
        <v>2836</v>
      </c>
      <c r="D2477" t="s">
        <v>629</v>
      </c>
      <c r="E2477" s="259" t="s">
        <v>1853</v>
      </c>
      <c r="F2477" t="s">
        <v>620</v>
      </c>
      <c r="G2477" s="89">
        <v>2004</v>
      </c>
      <c r="H2477" s="343" t="s">
        <v>2250</v>
      </c>
      <c r="I2477" s="337" t="str">
        <f t="shared" si="102"/>
        <v>Pesado de Passageiros M3: III : Gasóleo : Geral</v>
      </c>
      <c r="J2477" s="265">
        <v>53</v>
      </c>
      <c r="K2477" s="264">
        <v>2022</v>
      </c>
      <c r="L2477" s="85">
        <v>12498.6</v>
      </c>
      <c r="M2477" s="85" t="s">
        <v>630</v>
      </c>
      <c r="N2477" s="128">
        <v>36159</v>
      </c>
      <c r="O2477" s="128">
        <f t="shared" si="103"/>
        <v>1916427</v>
      </c>
      <c r="P2477" s="89">
        <v>608</v>
      </c>
      <c r="Q2477" t="s">
        <v>47</v>
      </c>
      <c r="R2477" s="220" t="s">
        <v>1888</v>
      </c>
      <c r="S2477" s="220" t="s">
        <v>1861</v>
      </c>
      <c r="T2477" t="s">
        <v>2647</v>
      </c>
      <c r="U2477" t="s">
        <v>1972</v>
      </c>
      <c r="V2477" t="s">
        <v>2832</v>
      </c>
    </row>
    <row r="2478" spans="1:22" ht="15.75" thickBot="1" x14ac:dyDescent="0.3">
      <c r="A2478" t="s">
        <v>2836</v>
      </c>
      <c r="B2478" t="s">
        <v>2836</v>
      </c>
      <c r="C2478" t="s">
        <v>2836</v>
      </c>
      <c r="D2478" t="s">
        <v>629</v>
      </c>
      <c r="E2478" s="259" t="s">
        <v>1853</v>
      </c>
      <c r="F2478" t="s">
        <v>620</v>
      </c>
      <c r="G2478" s="89">
        <v>2000</v>
      </c>
      <c r="H2478" s="343" t="s">
        <v>2250</v>
      </c>
      <c r="I2478" s="337" t="str">
        <f t="shared" si="102"/>
        <v>Pesado de Passageiros M3: III : Gasóleo : Geral</v>
      </c>
      <c r="J2478" s="265">
        <v>51</v>
      </c>
      <c r="K2478" s="264">
        <v>2022</v>
      </c>
      <c r="L2478" s="85"/>
      <c r="M2478" s="85" t="s">
        <v>630</v>
      </c>
      <c r="N2478" s="128"/>
      <c r="O2478" s="128">
        <f t="shared" si="103"/>
        <v>0</v>
      </c>
      <c r="P2478" s="89">
        <v>615</v>
      </c>
      <c r="Q2478" t="s">
        <v>47</v>
      </c>
      <c r="R2478" s="220" t="s">
        <v>1888</v>
      </c>
      <c r="S2478" s="220" t="s">
        <v>1861</v>
      </c>
      <c r="T2478" t="s">
        <v>2647</v>
      </c>
      <c r="U2478" t="s">
        <v>1972</v>
      </c>
      <c r="V2478" t="s">
        <v>2832</v>
      </c>
    </row>
    <row r="2479" spans="1:22" ht="15.75" thickBot="1" x14ac:dyDescent="0.3">
      <c r="A2479" t="s">
        <v>2836</v>
      </c>
      <c r="B2479" t="s">
        <v>2836</v>
      </c>
      <c r="C2479" t="s">
        <v>2836</v>
      </c>
      <c r="D2479" t="s">
        <v>629</v>
      </c>
      <c r="E2479" s="259" t="s">
        <v>1853</v>
      </c>
      <c r="F2479" t="s">
        <v>620</v>
      </c>
      <c r="G2479" s="89">
        <v>2009</v>
      </c>
      <c r="H2479" s="343" t="s">
        <v>2250</v>
      </c>
      <c r="I2479" s="337" t="str">
        <f t="shared" si="102"/>
        <v>Pesado de Passageiros M3: III : Gasóleo : Geral</v>
      </c>
      <c r="J2479" s="265">
        <v>27</v>
      </c>
      <c r="K2479" s="264">
        <v>2022</v>
      </c>
      <c r="L2479" s="85">
        <v>2027.3</v>
      </c>
      <c r="M2479" s="85" t="s">
        <v>630</v>
      </c>
      <c r="N2479" s="128">
        <v>8674</v>
      </c>
      <c r="O2479" s="128">
        <f t="shared" si="103"/>
        <v>234198</v>
      </c>
      <c r="P2479" s="89">
        <v>618</v>
      </c>
      <c r="Q2479" t="s">
        <v>47</v>
      </c>
      <c r="R2479" s="220" t="s">
        <v>1888</v>
      </c>
      <c r="S2479" s="220" t="s">
        <v>1861</v>
      </c>
      <c r="T2479" t="s">
        <v>2647</v>
      </c>
      <c r="U2479" t="s">
        <v>1972</v>
      </c>
      <c r="V2479" t="s">
        <v>2832</v>
      </c>
    </row>
    <row r="2480" spans="1:22" ht="15.75" thickBot="1" x14ac:dyDescent="0.3">
      <c r="A2480" t="s">
        <v>2836</v>
      </c>
      <c r="B2480" t="s">
        <v>2836</v>
      </c>
      <c r="C2480" t="s">
        <v>2836</v>
      </c>
      <c r="D2480" t="s">
        <v>629</v>
      </c>
      <c r="E2480" s="259" t="s">
        <v>1853</v>
      </c>
      <c r="F2480" t="s">
        <v>620</v>
      </c>
      <c r="G2480" s="89">
        <v>2009</v>
      </c>
      <c r="H2480" s="343" t="s">
        <v>2250</v>
      </c>
      <c r="I2480" s="337" t="str">
        <f t="shared" si="102"/>
        <v>Pesado de Passageiros M3: III : Gasóleo : Geral</v>
      </c>
      <c r="J2480" s="265">
        <v>37</v>
      </c>
      <c r="K2480" s="264">
        <v>2022</v>
      </c>
      <c r="L2480" s="85">
        <v>2332.1</v>
      </c>
      <c r="M2480" s="85" t="s">
        <v>630</v>
      </c>
      <c r="N2480" s="128">
        <v>6782</v>
      </c>
      <c r="O2480" s="128">
        <f t="shared" si="103"/>
        <v>250934</v>
      </c>
      <c r="P2480" s="89">
        <v>620</v>
      </c>
      <c r="Q2480" t="s">
        <v>47</v>
      </c>
      <c r="R2480" s="220" t="s">
        <v>1888</v>
      </c>
      <c r="S2480" s="220" t="s">
        <v>1861</v>
      </c>
      <c r="T2480" t="s">
        <v>2647</v>
      </c>
      <c r="U2480" t="s">
        <v>1972</v>
      </c>
      <c r="V2480" t="s">
        <v>2832</v>
      </c>
    </row>
    <row r="2481" spans="1:22" ht="15.75" thickBot="1" x14ac:dyDescent="0.3">
      <c r="A2481" t="s">
        <v>2836</v>
      </c>
      <c r="B2481" t="s">
        <v>2836</v>
      </c>
      <c r="C2481" t="s">
        <v>2836</v>
      </c>
      <c r="D2481" t="s">
        <v>629</v>
      </c>
      <c r="E2481" s="259" t="s">
        <v>1853</v>
      </c>
      <c r="F2481" t="s">
        <v>620</v>
      </c>
      <c r="G2481" s="89">
        <v>2008</v>
      </c>
      <c r="H2481" s="343" t="s">
        <v>2250</v>
      </c>
      <c r="I2481" s="337" t="str">
        <f t="shared" si="102"/>
        <v>Pesado de Passageiros M3: III : Gasóleo : Geral</v>
      </c>
      <c r="J2481" s="265">
        <v>55</v>
      </c>
      <c r="K2481" s="264">
        <v>2022</v>
      </c>
      <c r="L2481" s="85">
        <v>20158.5</v>
      </c>
      <c r="M2481" s="85" t="s">
        <v>630</v>
      </c>
      <c r="N2481" s="128">
        <v>65717</v>
      </c>
      <c r="O2481" s="128">
        <f t="shared" si="103"/>
        <v>3614435</v>
      </c>
      <c r="P2481" s="89">
        <v>632</v>
      </c>
      <c r="Q2481" t="s">
        <v>47</v>
      </c>
      <c r="R2481" s="220" t="s">
        <v>1888</v>
      </c>
      <c r="S2481" s="220" t="s">
        <v>1861</v>
      </c>
      <c r="T2481" t="s">
        <v>2647</v>
      </c>
      <c r="U2481" t="s">
        <v>1972</v>
      </c>
      <c r="V2481" t="s">
        <v>2832</v>
      </c>
    </row>
    <row r="2482" spans="1:22" ht="15.75" thickBot="1" x14ac:dyDescent="0.3">
      <c r="A2482" t="s">
        <v>2836</v>
      </c>
      <c r="B2482" t="s">
        <v>2836</v>
      </c>
      <c r="C2482" t="s">
        <v>2836</v>
      </c>
      <c r="D2482" t="s">
        <v>629</v>
      </c>
      <c r="E2482" s="259" t="s">
        <v>1853</v>
      </c>
      <c r="F2482" t="s">
        <v>620</v>
      </c>
      <c r="G2482" s="89">
        <v>2008</v>
      </c>
      <c r="H2482" s="343" t="s">
        <v>2250</v>
      </c>
      <c r="I2482" s="337" t="str">
        <f t="shared" si="102"/>
        <v>Pesado de Passageiros M3: III : Gasóleo : Geral</v>
      </c>
      <c r="J2482" s="265">
        <v>55</v>
      </c>
      <c r="K2482" s="264">
        <v>2022</v>
      </c>
      <c r="L2482" s="85">
        <v>16650.5</v>
      </c>
      <c r="M2482" s="85" t="s">
        <v>630</v>
      </c>
      <c r="N2482" s="128">
        <v>54816</v>
      </c>
      <c r="O2482" s="128">
        <f t="shared" si="103"/>
        <v>3014880</v>
      </c>
      <c r="P2482" s="89">
        <v>633</v>
      </c>
      <c r="Q2482" t="s">
        <v>47</v>
      </c>
      <c r="R2482" s="220" t="s">
        <v>1888</v>
      </c>
      <c r="S2482" s="220" t="s">
        <v>1861</v>
      </c>
      <c r="T2482" t="s">
        <v>2647</v>
      </c>
      <c r="U2482" t="s">
        <v>1972</v>
      </c>
      <c r="V2482" t="s">
        <v>2832</v>
      </c>
    </row>
    <row r="2483" spans="1:22" ht="15.75" thickBot="1" x14ac:dyDescent="0.3">
      <c r="A2483" t="s">
        <v>2836</v>
      </c>
      <c r="B2483" t="s">
        <v>2836</v>
      </c>
      <c r="C2483" t="s">
        <v>2836</v>
      </c>
      <c r="D2483" t="s">
        <v>629</v>
      </c>
      <c r="E2483" s="259" t="s">
        <v>1853</v>
      </c>
      <c r="F2483" t="s">
        <v>620</v>
      </c>
      <c r="G2483" s="89">
        <v>2008</v>
      </c>
      <c r="H2483" s="343" t="s">
        <v>2250</v>
      </c>
      <c r="I2483" s="337" t="str">
        <f t="shared" si="102"/>
        <v>Pesado de Passageiros M3: III : Gasóleo : Geral</v>
      </c>
      <c r="J2483" s="265">
        <v>55</v>
      </c>
      <c r="K2483" s="264">
        <v>2022</v>
      </c>
      <c r="L2483" s="85">
        <v>19607.3</v>
      </c>
      <c r="M2483" s="85" t="s">
        <v>630</v>
      </c>
      <c r="N2483" s="128">
        <v>53785</v>
      </c>
      <c r="O2483" s="128">
        <f t="shared" si="103"/>
        <v>2958175</v>
      </c>
      <c r="P2483" s="89">
        <v>635</v>
      </c>
      <c r="Q2483" t="s">
        <v>47</v>
      </c>
      <c r="R2483" s="220" t="s">
        <v>1888</v>
      </c>
      <c r="S2483" s="220" t="s">
        <v>1861</v>
      </c>
      <c r="T2483" t="s">
        <v>2647</v>
      </c>
      <c r="U2483" t="s">
        <v>1972</v>
      </c>
      <c r="V2483" t="s">
        <v>2832</v>
      </c>
    </row>
    <row r="2484" spans="1:22" ht="15.75" thickBot="1" x14ac:dyDescent="0.3">
      <c r="A2484" t="s">
        <v>2836</v>
      </c>
      <c r="B2484" t="s">
        <v>2836</v>
      </c>
      <c r="C2484" t="s">
        <v>2836</v>
      </c>
      <c r="D2484" t="s">
        <v>629</v>
      </c>
      <c r="E2484" s="259" t="s">
        <v>1853</v>
      </c>
      <c r="F2484" t="s">
        <v>620</v>
      </c>
      <c r="G2484" s="89">
        <v>2008</v>
      </c>
      <c r="H2484" s="343" t="s">
        <v>2250</v>
      </c>
      <c r="I2484" s="337" t="str">
        <f t="shared" si="102"/>
        <v>Pesado de Passageiros M3: III : Gasóleo : Geral</v>
      </c>
      <c r="J2484" s="265">
        <v>55</v>
      </c>
      <c r="K2484" s="264">
        <v>2022</v>
      </c>
      <c r="L2484" s="85">
        <v>13857.7</v>
      </c>
      <c r="M2484" s="85" t="s">
        <v>630</v>
      </c>
      <c r="N2484" s="128">
        <v>40251</v>
      </c>
      <c r="O2484" s="128">
        <f t="shared" si="103"/>
        <v>2213805</v>
      </c>
      <c r="P2484" s="89">
        <v>636</v>
      </c>
      <c r="Q2484" t="s">
        <v>47</v>
      </c>
      <c r="R2484" s="220" t="s">
        <v>1888</v>
      </c>
      <c r="S2484" s="220" t="s">
        <v>1861</v>
      </c>
      <c r="T2484" t="s">
        <v>2647</v>
      </c>
      <c r="U2484" t="s">
        <v>1972</v>
      </c>
      <c r="V2484" t="s">
        <v>2832</v>
      </c>
    </row>
    <row r="2485" spans="1:22" ht="15.75" thickBot="1" x14ac:dyDescent="0.3">
      <c r="A2485" t="s">
        <v>2836</v>
      </c>
      <c r="B2485" t="s">
        <v>2836</v>
      </c>
      <c r="C2485" t="s">
        <v>2836</v>
      </c>
      <c r="D2485" t="s">
        <v>629</v>
      </c>
      <c r="E2485" s="259" t="s">
        <v>1853</v>
      </c>
      <c r="F2485" t="s">
        <v>620</v>
      </c>
      <c r="G2485" s="89">
        <v>2007</v>
      </c>
      <c r="H2485" s="343" t="s">
        <v>2250</v>
      </c>
      <c r="I2485" s="337" t="str">
        <f t="shared" si="102"/>
        <v>Pesado de Passageiros M3: III : Gasóleo : Geral</v>
      </c>
      <c r="J2485" s="265">
        <v>53</v>
      </c>
      <c r="K2485" s="264">
        <v>2022</v>
      </c>
      <c r="L2485" s="85">
        <v>16226.9</v>
      </c>
      <c r="M2485" s="85" t="s">
        <v>630</v>
      </c>
      <c r="N2485" s="128">
        <v>43166</v>
      </c>
      <c r="O2485" s="128">
        <f t="shared" si="103"/>
        <v>2287798</v>
      </c>
      <c r="P2485" s="89">
        <v>637</v>
      </c>
      <c r="Q2485" t="s">
        <v>47</v>
      </c>
      <c r="R2485" s="220" t="s">
        <v>1888</v>
      </c>
      <c r="S2485" s="220" t="s">
        <v>1861</v>
      </c>
      <c r="T2485" t="s">
        <v>2647</v>
      </c>
      <c r="U2485" t="s">
        <v>1972</v>
      </c>
      <c r="V2485" t="s">
        <v>2832</v>
      </c>
    </row>
    <row r="2486" spans="1:22" ht="15.75" thickBot="1" x14ac:dyDescent="0.3">
      <c r="A2486" t="s">
        <v>4696</v>
      </c>
      <c r="B2486" t="s">
        <v>4696</v>
      </c>
      <c r="C2486" t="s">
        <v>4696</v>
      </c>
      <c r="D2486" t="s">
        <v>629</v>
      </c>
      <c r="E2486" s="259" t="s">
        <v>1853</v>
      </c>
      <c r="F2486" t="s">
        <v>620</v>
      </c>
      <c r="G2486" s="89" t="s">
        <v>2221</v>
      </c>
      <c r="H2486" s="344" t="s">
        <v>733</v>
      </c>
      <c r="I2486" s="337" t="str">
        <f t="shared" si="102"/>
        <v>Pesado de Passageiros M3: III : Gasóleo : E6</v>
      </c>
      <c r="J2486" s="247">
        <v>53</v>
      </c>
      <c r="K2486" s="264">
        <v>2022</v>
      </c>
      <c r="L2486" s="85">
        <v>8324.86</v>
      </c>
      <c r="M2486" s="85" t="s">
        <v>630</v>
      </c>
      <c r="N2486" s="85">
        <v>31324</v>
      </c>
      <c r="O2486" s="128">
        <f t="shared" si="103"/>
        <v>1660172</v>
      </c>
      <c r="P2486" s="89" t="s">
        <v>2648</v>
      </c>
      <c r="Q2486" t="s">
        <v>47</v>
      </c>
      <c r="R2486" s="220" t="s">
        <v>1888</v>
      </c>
      <c r="S2486" s="220" t="s">
        <v>1861</v>
      </c>
      <c r="U2486" t="s">
        <v>1972</v>
      </c>
      <c r="V2486" t="s">
        <v>2832</v>
      </c>
    </row>
    <row r="2487" spans="1:22" ht="15.75" thickBot="1" x14ac:dyDescent="0.3">
      <c r="A2487" t="s">
        <v>4696</v>
      </c>
      <c r="B2487" t="s">
        <v>4696</v>
      </c>
      <c r="C2487" t="s">
        <v>4696</v>
      </c>
      <c r="D2487" t="s">
        <v>629</v>
      </c>
      <c r="E2487" s="259" t="s">
        <v>1853</v>
      </c>
      <c r="F2487" t="s">
        <v>620</v>
      </c>
      <c r="G2487" s="89" t="s">
        <v>2222</v>
      </c>
      <c r="H2487" s="344" t="s">
        <v>733</v>
      </c>
      <c r="I2487" s="337" t="str">
        <f t="shared" si="102"/>
        <v>Pesado de Passageiros M3: III : Gasóleo : E6</v>
      </c>
      <c r="J2487" s="247">
        <v>53</v>
      </c>
      <c r="K2487" s="264">
        <v>2022</v>
      </c>
      <c r="L2487" s="85">
        <v>26755.23</v>
      </c>
      <c r="M2487" s="85" t="s">
        <v>630</v>
      </c>
      <c r="N2487" s="85">
        <v>93900</v>
      </c>
      <c r="O2487" s="128">
        <f t="shared" si="103"/>
        <v>4976700</v>
      </c>
      <c r="P2487" s="89" t="s">
        <v>2649</v>
      </c>
      <c r="Q2487" t="s">
        <v>47</v>
      </c>
      <c r="R2487" s="220" t="s">
        <v>1888</v>
      </c>
      <c r="S2487" s="220" t="s">
        <v>1861</v>
      </c>
      <c r="U2487" t="s">
        <v>1972</v>
      </c>
      <c r="V2487" t="s">
        <v>2832</v>
      </c>
    </row>
    <row r="2488" spans="1:22" ht="15.75" thickBot="1" x14ac:dyDescent="0.3">
      <c r="A2488" t="s">
        <v>4696</v>
      </c>
      <c r="B2488" t="s">
        <v>4696</v>
      </c>
      <c r="C2488" t="s">
        <v>4696</v>
      </c>
      <c r="D2488" t="s">
        <v>629</v>
      </c>
      <c r="E2488" s="259" t="s">
        <v>1853</v>
      </c>
      <c r="F2488" t="s">
        <v>620</v>
      </c>
      <c r="G2488" s="89" t="s">
        <v>1973</v>
      </c>
      <c r="H2488" s="344" t="s">
        <v>735</v>
      </c>
      <c r="I2488" s="337" t="str">
        <f t="shared" si="102"/>
        <v>Pesado de Passageiros M3: III : Gasóleo : E2</v>
      </c>
      <c r="J2488" s="247">
        <v>51</v>
      </c>
      <c r="K2488" s="264">
        <v>2022</v>
      </c>
      <c r="L2488" s="85">
        <v>14682.25</v>
      </c>
      <c r="M2488" s="85" t="s">
        <v>630</v>
      </c>
      <c r="N2488" s="85">
        <v>41892</v>
      </c>
      <c r="O2488" s="128">
        <f t="shared" si="103"/>
        <v>2136492</v>
      </c>
      <c r="P2488" s="89" t="s">
        <v>2650</v>
      </c>
      <c r="Q2488" t="s">
        <v>47</v>
      </c>
      <c r="R2488" s="220" t="s">
        <v>1888</v>
      </c>
      <c r="S2488" s="220" t="s">
        <v>1861</v>
      </c>
      <c r="U2488" t="s">
        <v>1972</v>
      </c>
      <c r="V2488" t="s">
        <v>2832</v>
      </c>
    </row>
    <row r="2489" spans="1:22" ht="15.75" thickBot="1" x14ac:dyDescent="0.3">
      <c r="A2489" t="s">
        <v>4696</v>
      </c>
      <c r="B2489" t="s">
        <v>4696</v>
      </c>
      <c r="C2489" t="s">
        <v>4696</v>
      </c>
      <c r="D2489" t="s">
        <v>629</v>
      </c>
      <c r="E2489" s="259" t="s">
        <v>1853</v>
      </c>
      <c r="F2489" t="s">
        <v>620</v>
      </c>
      <c r="G2489" s="89" t="s">
        <v>2223</v>
      </c>
      <c r="H2489" s="344" t="s">
        <v>731</v>
      </c>
      <c r="I2489" s="337" t="str">
        <f t="shared" si="102"/>
        <v>Pesado de Passageiros M3: III : Gasóleo : E4</v>
      </c>
      <c r="J2489" s="247">
        <v>53</v>
      </c>
      <c r="K2489" s="264">
        <v>2022</v>
      </c>
      <c r="L2489" s="85">
        <v>12033.18</v>
      </c>
      <c r="M2489" s="85" t="s">
        <v>630</v>
      </c>
      <c r="N2489" s="85">
        <v>39685</v>
      </c>
      <c r="O2489" s="128">
        <f t="shared" si="103"/>
        <v>2103305</v>
      </c>
      <c r="P2489" s="89" t="s">
        <v>2651</v>
      </c>
      <c r="Q2489" t="s">
        <v>47</v>
      </c>
      <c r="R2489" s="220" t="s">
        <v>1888</v>
      </c>
      <c r="S2489" s="220" t="s">
        <v>1861</v>
      </c>
      <c r="U2489" t="s">
        <v>1972</v>
      </c>
      <c r="V2489" t="s">
        <v>2832</v>
      </c>
    </row>
    <row r="2490" spans="1:22" ht="15.75" thickBot="1" x14ac:dyDescent="0.3">
      <c r="A2490" t="s">
        <v>4696</v>
      </c>
      <c r="B2490" t="s">
        <v>4696</v>
      </c>
      <c r="C2490" t="s">
        <v>4696</v>
      </c>
      <c r="D2490" t="s">
        <v>629</v>
      </c>
      <c r="E2490" s="259" t="s">
        <v>1853</v>
      </c>
      <c r="F2490" t="s">
        <v>620</v>
      </c>
      <c r="G2490" s="89" t="s">
        <v>2224</v>
      </c>
      <c r="H2490" s="344" t="s">
        <v>731</v>
      </c>
      <c r="I2490" s="337" t="str">
        <f t="shared" si="102"/>
        <v>Pesado de Passageiros M3: III : Gasóleo : E4</v>
      </c>
      <c r="J2490" s="247">
        <v>59</v>
      </c>
      <c r="K2490" s="264">
        <v>2022</v>
      </c>
      <c r="L2490" s="85">
        <v>23664.31</v>
      </c>
      <c r="M2490" s="85" t="s">
        <v>630</v>
      </c>
      <c r="N2490" s="85">
        <v>74113</v>
      </c>
      <c r="O2490" s="128">
        <f t="shared" si="103"/>
        <v>4372667</v>
      </c>
      <c r="P2490" s="89" t="s">
        <v>2652</v>
      </c>
      <c r="Q2490" t="s">
        <v>47</v>
      </c>
      <c r="R2490" s="220" t="s">
        <v>1888</v>
      </c>
      <c r="S2490" s="220" t="s">
        <v>1861</v>
      </c>
      <c r="U2490" t="s">
        <v>1972</v>
      </c>
      <c r="V2490" t="s">
        <v>2832</v>
      </c>
    </row>
    <row r="2491" spans="1:22" ht="15.75" thickBot="1" x14ac:dyDescent="0.3">
      <c r="A2491" t="s">
        <v>4696</v>
      </c>
      <c r="B2491" t="s">
        <v>4696</v>
      </c>
      <c r="C2491" t="s">
        <v>4696</v>
      </c>
      <c r="D2491" t="s">
        <v>629</v>
      </c>
      <c r="E2491" s="259" t="s">
        <v>1853</v>
      </c>
      <c r="F2491" t="s">
        <v>620</v>
      </c>
      <c r="G2491" s="89" t="s">
        <v>2225</v>
      </c>
      <c r="H2491" s="344" t="s">
        <v>735</v>
      </c>
      <c r="I2491" s="337" t="str">
        <f t="shared" si="102"/>
        <v>Pesado de Passageiros M3: III : Gasóleo : E2</v>
      </c>
      <c r="J2491" s="247">
        <v>55</v>
      </c>
      <c r="K2491" s="264">
        <v>2022</v>
      </c>
      <c r="L2491" s="85">
        <v>8860.3700000000008</v>
      </c>
      <c r="M2491" s="85" t="s">
        <v>630</v>
      </c>
      <c r="N2491" s="85">
        <v>27474</v>
      </c>
      <c r="O2491" s="128">
        <f t="shared" si="103"/>
        <v>1511070</v>
      </c>
      <c r="P2491" s="89" t="s">
        <v>2653</v>
      </c>
      <c r="Q2491" t="s">
        <v>47</v>
      </c>
      <c r="R2491" s="220" t="s">
        <v>1888</v>
      </c>
      <c r="S2491" s="220" t="s">
        <v>1861</v>
      </c>
      <c r="U2491" t="s">
        <v>1972</v>
      </c>
      <c r="V2491" t="s">
        <v>2832</v>
      </c>
    </row>
    <row r="2492" spans="1:22" ht="15.75" thickBot="1" x14ac:dyDescent="0.3">
      <c r="A2492" t="s">
        <v>4696</v>
      </c>
      <c r="B2492" t="s">
        <v>4696</v>
      </c>
      <c r="C2492" t="s">
        <v>4696</v>
      </c>
      <c r="D2492" t="s">
        <v>629</v>
      </c>
      <c r="E2492" s="259" t="s">
        <v>1853</v>
      </c>
      <c r="F2492" t="s">
        <v>620</v>
      </c>
      <c r="G2492" s="89" t="s">
        <v>1973</v>
      </c>
      <c r="H2492" s="344" t="s">
        <v>735</v>
      </c>
      <c r="I2492" s="337" t="str">
        <f t="shared" si="102"/>
        <v>Pesado de Passageiros M3: III : Gasóleo : E2</v>
      </c>
      <c r="J2492" s="247">
        <v>51</v>
      </c>
      <c r="K2492" s="264">
        <v>2022</v>
      </c>
      <c r="L2492" s="85">
        <v>9036.2999999999993</v>
      </c>
      <c r="M2492" s="85" t="s">
        <v>630</v>
      </c>
      <c r="N2492" s="85">
        <v>25386</v>
      </c>
      <c r="O2492" s="128">
        <f t="shared" si="103"/>
        <v>1294686</v>
      </c>
      <c r="P2492" s="89" t="s">
        <v>2654</v>
      </c>
      <c r="Q2492" t="s">
        <v>47</v>
      </c>
      <c r="R2492" s="220" t="s">
        <v>1888</v>
      </c>
      <c r="S2492" s="220" t="s">
        <v>1861</v>
      </c>
      <c r="U2492" t="s">
        <v>1972</v>
      </c>
      <c r="V2492" t="s">
        <v>2832</v>
      </c>
    </row>
    <row r="2493" spans="1:22" ht="15.75" thickBot="1" x14ac:dyDescent="0.3">
      <c r="A2493" t="s">
        <v>4696</v>
      </c>
      <c r="B2493" t="s">
        <v>4696</v>
      </c>
      <c r="C2493" t="s">
        <v>4696</v>
      </c>
      <c r="D2493" t="s">
        <v>629</v>
      </c>
      <c r="E2493" s="259" t="s">
        <v>1853</v>
      </c>
      <c r="F2493" t="s">
        <v>620</v>
      </c>
      <c r="G2493" s="89" t="s">
        <v>2226</v>
      </c>
      <c r="H2493" s="344" t="s">
        <v>735</v>
      </c>
      <c r="I2493" s="337" t="str">
        <f t="shared" si="102"/>
        <v>Pesado de Passageiros M3: III : Gasóleo : E2</v>
      </c>
      <c r="J2493" s="247">
        <v>81</v>
      </c>
      <c r="K2493" s="264">
        <v>2022</v>
      </c>
      <c r="L2493" s="85">
        <v>9375.35</v>
      </c>
      <c r="M2493" s="85" t="s">
        <v>630</v>
      </c>
      <c r="N2493" s="85">
        <v>24818</v>
      </c>
      <c r="O2493" s="128">
        <f t="shared" si="103"/>
        <v>2010258</v>
      </c>
      <c r="P2493" s="89" t="s">
        <v>2655</v>
      </c>
      <c r="Q2493" t="s">
        <v>47</v>
      </c>
      <c r="R2493" s="220" t="s">
        <v>1888</v>
      </c>
      <c r="S2493" s="220" t="s">
        <v>1861</v>
      </c>
      <c r="U2493" t="s">
        <v>1972</v>
      </c>
      <c r="V2493" t="s">
        <v>2832</v>
      </c>
    </row>
    <row r="2494" spans="1:22" ht="15.75" thickBot="1" x14ac:dyDescent="0.3">
      <c r="A2494" t="s">
        <v>4696</v>
      </c>
      <c r="B2494" t="s">
        <v>4696</v>
      </c>
      <c r="C2494" t="s">
        <v>4696</v>
      </c>
      <c r="D2494" t="s">
        <v>629</v>
      </c>
      <c r="E2494" s="259" t="s">
        <v>1853</v>
      </c>
      <c r="F2494" t="s">
        <v>620</v>
      </c>
      <c r="G2494" s="89" t="s">
        <v>2225</v>
      </c>
      <c r="H2494" s="344" t="s">
        <v>735</v>
      </c>
      <c r="I2494" s="337" t="str">
        <f t="shared" si="102"/>
        <v>Pesado de Passageiros M3: III : Gasóleo : E2</v>
      </c>
      <c r="J2494" s="247">
        <v>55</v>
      </c>
      <c r="K2494" s="264">
        <v>2022</v>
      </c>
      <c r="L2494" s="85">
        <v>12305.74</v>
      </c>
      <c r="M2494" s="85" t="s">
        <v>630</v>
      </c>
      <c r="N2494" s="85">
        <v>35885</v>
      </c>
      <c r="O2494" s="128">
        <f t="shared" si="103"/>
        <v>1973675</v>
      </c>
      <c r="P2494" s="89" t="s">
        <v>2656</v>
      </c>
      <c r="Q2494" t="s">
        <v>47</v>
      </c>
      <c r="R2494" s="220" t="s">
        <v>1888</v>
      </c>
      <c r="S2494" s="220" t="s">
        <v>1861</v>
      </c>
      <c r="U2494" t="s">
        <v>1972</v>
      </c>
      <c r="V2494" t="s">
        <v>2832</v>
      </c>
    </row>
    <row r="2495" spans="1:22" ht="15.75" thickBot="1" x14ac:dyDescent="0.3">
      <c r="A2495" t="s">
        <v>4696</v>
      </c>
      <c r="B2495" t="s">
        <v>4696</v>
      </c>
      <c r="C2495" t="s">
        <v>4696</v>
      </c>
      <c r="D2495" t="s">
        <v>629</v>
      </c>
      <c r="E2495" s="259" t="s">
        <v>1853</v>
      </c>
      <c r="F2495" t="s">
        <v>620</v>
      </c>
      <c r="G2495" s="89" t="s">
        <v>2224</v>
      </c>
      <c r="H2495" s="344" t="s">
        <v>731</v>
      </c>
      <c r="I2495" s="337" t="str">
        <f t="shared" si="102"/>
        <v>Pesado de Passageiros M3: III : Gasóleo : E4</v>
      </c>
      <c r="J2495" s="247">
        <v>55</v>
      </c>
      <c r="K2495" s="264">
        <v>2022</v>
      </c>
      <c r="L2495" s="85">
        <v>20273.91</v>
      </c>
      <c r="M2495" s="85" t="s">
        <v>630</v>
      </c>
      <c r="N2495" s="85">
        <v>61170</v>
      </c>
      <c r="O2495" s="128">
        <f t="shared" si="103"/>
        <v>3364350</v>
      </c>
      <c r="P2495" s="89" t="s">
        <v>2657</v>
      </c>
      <c r="Q2495" t="s">
        <v>47</v>
      </c>
      <c r="R2495" s="220" t="s">
        <v>1888</v>
      </c>
      <c r="S2495" s="220" t="s">
        <v>1861</v>
      </c>
      <c r="U2495" t="s">
        <v>1972</v>
      </c>
      <c r="V2495" t="s">
        <v>2832</v>
      </c>
    </row>
    <row r="2496" spans="1:22" ht="15.75" thickBot="1" x14ac:dyDescent="0.3">
      <c r="A2496" t="s">
        <v>4696</v>
      </c>
      <c r="B2496" t="s">
        <v>4696</v>
      </c>
      <c r="C2496" t="s">
        <v>4696</v>
      </c>
      <c r="D2496" t="s">
        <v>629</v>
      </c>
      <c r="E2496" s="259" t="s">
        <v>1853</v>
      </c>
      <c r="F2496" t="s">
        <v>620</v>
      </c>
      <c r="G2496" s="89" t="s">
        <v>2224</v>
      </c>
      <c r="H2496" s="344" t="s">
        <v>731</v>
      </c>
      <c r="I2496" s="337" t="str">
        <f t="shared" si="102"/>
        <v>Pesado de Passageiros M3: III : Gasóleo : E4</v>
      </c>
      <c r="J2496" s="247">
        <v>55</v>
      </c>
      <c r="K2496" s="264">
        <v>2022</v>
      </c>
      <c r="L2496" s="85">
        <v>22212.23</v>
      </c>
      <c r="M2496" s="85" t="s">
        <v>630</v>
      </c>
      <c r="N2496" s="85">
        <v>69829</v>
      </c>
      <c r="O2496" s="128">
        <f t="shared" si="103"/>
        <v>3840595</v>
      </c>
      <c r="P2496" s="89" t="s">
        <v>2658</v>
      </c>
      <c r="Q2496" t="s">
        <v>47</v>
      </c>
      <c r="R2496" s="220" t="s">
        <v>1888</v>
      </c>
      <c r="S2496" s="220" t="s">
        <v>1861</v>
      </c>
      <c r="U2496" t="s">
        <v>1972</v>
      </c>
      <c r="V2496" t="s">
        <v>2832</v>
      </c>
    </row>
    <row r="2497" spans="1:22" ht="15.75" thickBot="1" x14ac:dyDescent="0.3">
      <c r="A2497" t="s">
        <v>4696</v>
      </c>
      <c r="B2497" t="s">
        <v>4696</v>
      </c>
      <c r="C2497" t="s">
        <v>4696</v>
      </c>
      <c r="D2497" t="s">
        <v>629</v>
      </c>
      <c r="E2497" s="259" t="s">
        <v>1853</v>
      </c>
      <c r="F2497" t="s">
        <v>620</v>
      </c>
      <c r="G2497" s="89" t="s">
        <v>2227</v>
      </c>
      <c r="H2497" s="344" t="s">
        <v>736</v>
      </c>
      <c r="I2497" s="337" t="str">
        <f t="shared" si="102"/>
        <v>Pesado de Passageiros M3: III : Gasóleo : E1</v>
      </c>
      <c r="J2497" s="247">
        <v>83</v>
      </c>
      <c r="K2497" s="264">
        <v>2022</v>
      </c>
      <c r="L2497" s="85">
        <v>8904.7199999999993</v>
      </c>
      <c r="M2497" s="85" t="s">
        <v>630</v>
      </c>
      <c r="N2497" s="85">
        <v>28221</v>
      </c>
      <c r="O2497" s="128">
        <f t="shared" si="103"/>
        <v>2342343</v>
      </c>
      <c r="P2497" s="89" t="s">
        <v>2659</v>
      </c>
      <c r="Q2497" t="s">
        <v>47</v>
      </c>
      <c r="R2497" s="220" t="s">
        <v>1888</v>
      </c>
      <c r="S2497" s="220" t="s">
        <v>1861</v>
      </c>
      <c r="U2497" t="s">
        <v>1972</v>
      </c>
      <c r="V2497" t="s">
        <v>2832</v>
      </c>
    </row>
    <row r="2498" spans="1:22" ht="15.75" thickBot="1" x14ac:dyDescent="0.3">
      <c r="A2498" t="s">
        <v>4696</v>
      </c>
      <c r="B2498" t="s">
        <v>4696</v>
      </c>
      <c r="C2498" t="s">
        <v>4696</v>
      </c>
      <c r="D2498" t="s">
        <v>629</v>
      </c>
      <c r="E2498" s="259" t="s">
        <v>1853</v>
      </c>
      <c r="F2498" t="s">
        <v>620</v>
      </c>
      <c r="G2498" s="89" t="s">
        <v>2227</v>
      </c>
      <c r="H2498" s="344" t="s">
        <v>736</v>
      </c>
      <c r="I2498" s="337" t="str">
        <f t="shared" si="102"/>
        <v>Pesado de Passageiros M3: III : Gasóleo : E1</v>
      </c>
      <c r="J2498" s="247">
        <v>83</v>
      </c>
      <c r="K2498" s="264">
        <v>2022</v>
      </c>
      <c r="L2498" s="85">
        <v>16676.12</v>
      </c>
      <c r="M2498" s="85" t="s">
        <v>630</v>
      </c>
      <c r="N2498" s="85">
        <v>54585</v>
      </c>
      <c r="O2498" s="128">
        <f t="shared" si="103"/>
        <v>4530555</v>
      </c>
      <c r="P2498" s="89" t="s">
        <v>2660</v>
      </c>
      <c r="Q2498" t="s">
        <v>47</v>
      </c>
      <c r="R2498" s="220" t="s">
        <v>1888</v>
      </c>
      <c r="S2498" s="220" t="s">
        <v>1861</v>
      </c>
      <c r="U2498" t="s">
        <v>1972</v>
      </c>
      <c r="V2498" t="s">
        <v>2832</v>
      </c>
    </row>
    <row r="2499" spans="1:22" ht="15.75" thickBot="1" x14ac:dyDescent="0.3">
      <c r="A2499" t="s">
        <v>4696</v>
      </c>
      <c r="B2499" t="s">
        <v>4696</v>
      </c>
      <c r="C2499" t="s">
        <v>4696</v>
      </c>
      <c r="D2499" t="s">
        <v>629</v>
      </c>
      <c r="E2499" s="259" t="s">
        <v>1853</v>
      </c>
      <c r="F2499" t="s">
        <v>620</v>
      </c>
      <c r="G2499" s="89" t="s">
        <v>2227</v>
      </c>
      <c r="H2499" s="344" t="s">
        <v>735</v>
      </c>
      <c r="I2499" s="337" t="str">
        <f t="shared" si="102"/>
        <v>Pesado de Passageiros M3: III : Gasóleo : E2</v>
      </c>
      <c r="J2499" s="247">
        <v>83</v>
      </c>
      <c r="K2499" s="264">
        <v>2022</v>
      </c>
      <c r="L2499" s="85">
        <v>10094.75</v>
      </c>
      <c r="M2499" s="85" t="s">
        <v>630</v>
      </c>
      <c r="N2499" s="85">
        <v>29676</v>
      </c>
      <c r="O2499" s="128">
        <f t="shared" si="103"/>
        <v>2463108</v>
      </c>
      <c r="P2499" s="89" t="s">
        <v>2661</v>
      </c>
      <c r="Q2499" t="s">
        <v>47</v>
      </c>
      <c r="R2499" s="220" t="s">
        <v>1888</v>
      </c>
      <c r="S2499" s="220" t="s">
        <v>1861</v>
      </c>
      <c r="U2499" t="s">
        <v>1972</v>
      </c>
      <c r="V2499" t="s">
        <v>2832</v>
      </c>
    </row>
    <row r="2500" spans="1:22" ht="15.75" thickBot="1" x14ac:dyDescent="0.3">
      <c r="A2500" t="s">
        <v>4696</v>
      </c>
      <c r="B2500" t="s">
        <v>4696</v>
      </c>
      <c r="C2500" t="s">
        <v>4696</v>
      </c>
      <c r="D2500" t="s">
        <v>629</v>
      </c>
      <c r="E2500" s="259" t="s">
        <v>1853</v>
      </c>
      <c r="F2500" t="s">
        <v>620</v>
      </c>
      <c r="G2500" s="89" t="s">
        <v>2227</v>
      </c>
      <c r="H2500" s="344" t="s">
        <v>736</v>
      </c>
      <c r="I2500" s="337" t="str">
        <f t="shared" ref="I2500:I2563" si="104">D2500&amp;": "&amp;E2500&amp;" : "&amp;F2500&amp;" : "&amp;H2500</f>
        <v>Pesado de Passageiros M3: III : Gasóleo : E1</v>
      </c>
      <c r="J2500" s="247">
        <v>83</v>
      </c>
      <c r="K2500" s="264">
        <v>2022</v>
      </c>
      <c r="L2500" s="85">
        <v>7718.2</v>
      </c>
      <c r="M2500" s="85" t="s">
        <v>630</v>
      </c>
      <c r="N2500" s="85">
        <v>23639</v>
      </c>
      <c r="O2500" s="128">
        <f t="shared" ref="O2500:O2563" si="105">N2500*J2500</f>
        <v>1962037</v>
      </c>
      <c r="P2500" s="89" t="s">
        <v>2662</v>
      </c>
      <c r="Q2500" t="s">
        <v>47</v>
      </c>
      <c r="R2500" s="220" t="s">
        <v>1888</v>
      </c>
      <c r="S2500" s="220" t="s">
        <v>1861</v>
      </c>
      <c r="U2500" t="s">
        <v>1972</v>
      </c>
      <c r="V2500" t="s">
        <v>2832</v>
      </c>
    </row>
    <row r="2501" spans="1:22" ht="15.75" thickBot="1" x14ac:dyDescent="0.3">
      <c r="A2501" t="s">
        <v>4696</v>
      </c>
      <c r="B2501" t="s">
        <v>4696</v>
      </c>
      <c r="C2501" t="s">
        <v>4696</v>
      </c>
      <c r="D2501" t="s">
        <v>629</v>
      </c>
      <c r="E2501" s="259" t="s">
        <v>1853</v>
      </c>
      <c r="F2501" t="s">
        <v>620</v>
      </c>
      <c r="G2501" s="89" t="s">
        <v>2225</v>
      </c>
      <c r="H2501" s="344" t="s">
        <v>735</v>
      </c>
      <c r="I2501" s="337" t="str">
        <f t="shared" si="104"/>
        <v>Pesado de Passageiros M3: III : Gasóleo : E2</v>
      </c>
      <c r="J2501" s="247">
        <v>80</v>
      </c>
      <c r="K2501" s="264">
        <v>2022</v>
      </c>
      <c r="L2501" s="85">
        <v>10437.49</v>
      </c>
      <c r="M2501" s="85" t="s">
        <v>630</v>
      </c>
      <c r="N2501" s="85">
        <v>32468</v>
      </c>
      <c r="O2501" s="128">
        <f t="shared" si="105"/>
        <v>2597440</v>
      </c>
      <c r="P2501" s="89" t="s">
        <v>2663</v>
      </c>
      <c r="Q2501" t="s">
        <v>47</v>
      </c>
      <c r="R2501" s="220" t="s">
        <v>1888</v>
      </c>
      <c r="S2501" s="220" t="s">
        <v>1861</v>
      </c>
      <c r="U2501" t="s">
        <v>1972</v>
      </c>
      <c r="V2501" t="s">
        <v>2832</v>
      </c>
    </row>
    <row r="2502" spans="1:22" ht="15.75" thickBot="1" x14ac:dyDescent="0.3">
      <c r="A2502" t="s">
        <v>4696</v>
      </c>
      <c r="B2502" t="s">
        <v>4696</v>
      </c>
      <c r="C2502" t="s">
        <v>4696</v>
      </c>
      <c r="D2502" t="s">
        <v>629</v>
      </c>
      <c r="E2502" s="259" t="s">
        <v>1853</v>
      </c>
      <c r="F2502" t="s">
        <v>620</v>
      </c>
      <c r="G2502" s="89" t="s">
        <v>2227</v>
      </c>
      <c r="H2502" s="344" t="s">
        <v>735</v>
      </c>
      <c r="I2502" s="337" t="str">
        <f t="shared" si="104"/>
        <v>Pesado de Passageiros M3: III : Gasóleo : E2</v>
      </c>
      <c r="J2502" s="247">
        <v>83</v>
      </c>
      <c r="K2502" s="264">
        <v>2022</v>
      </c>
      <c r="L2502" s="85">
        <v>6363.45</v>
      </c>
      <c r="M2502" s="85" t="s">
        <v>630</v>
      </c>
      <c r="N2502" s="85">
        <v>17704</v>
      </c>
      <c r="O2502" s="128">
        <f t="shared" si="105"/>
        <v>1469432</v>
      </c>
      <c r="P2502" s="89" t="s">
        <v>2664</v>
      </c>
      <c r="Q2502" t="s">
        <v>47</v>
      </c>
      <c r="R2502" s="220" t="s">
        <v>1888</v>
      </c>
      <c r="S2502" s="220" t="s">
        <v>1861</v>
      </c>
      <c r="U2502" t="s">
        <v>1972</v>
      </c>
      <c r="V2502" t="s">
        <v>2832</v>
      </c>
    </row>
    <row r="2503" spans="1:22" ht="15.75" thickBot="1" x14ac:dyDescent="0.3">
      <c r="A2503" t="s">
        <v>4696</v>
      </c>
      <c r="B2503" t="s">
        <v>4696</v>
      </c>
      <c r="C2503" t="s">
        <v>4696</v>
      </c>
      <c r="D2503" t="s">
        <v>629</v>
      </c>
      <c r="E2503" s="259" t="s">
        <v>1853</v>
      </c>
      <c r="F2503" t="s">
        <v>620</v>
      </c>
      <c r="G2503" s="89" t="s">
        <v>2225</v>
      </c>
      <c r="H2503" s="344" t="s">
        <v>735</v>
      </c>
      <c r="I2503" s="337" t="str">
        <f t="shared" si="104"/>
        <v>Pesado de Passageiros M3: III : Gasóleo : E2</v>
      </c>
      <c r="J2503" s="247">
        <v>80</v>
      </c>
      <c r="K2503" s="264">
        <v>2022</v>
      </c>
      <c r="L2503" s="85">
        <v>7249.12</v>
      </c>
      <c r="M2503" s="85" t="s">
        <v>630</v>
      </c>
      <c r="N2503" s="85">
        <v>22789</v>
      </c>
      <c r="O2503" s="128">
        <f t="shared" si="105"/>
        <v>1823120</v>
      </c>
      <c r="P2503" s="89" t="s">
        <v>2665</v>
      </c>
      <c r="Q2503" t="s">
        <v>47</v>
      </c>
      <c r="R2503" s="220" t="s">
        <v>1888</v>
      </c>
      <c r="S2503" s="220" t="s">
        <v>1861</v>
      </c>
      <c r="U2503" t="s">
        <v>1972</v>
      </c>
      <c r="V2503" t="s">
        <v>2832</v>
      </c>
    </row>
    <row r="2504" spans="1:22" ht="15.75" thickBot="1" x14ac:dyDescent="0.3">
      <c r="A2504" t="s">
        <v>4696</v>
      </c>
      <c r="B2504" t="s">
        <v>4696</v>
      </c>
      <c r="C2504" t="s">
        <v>4696</v>
      </c>
      <c r="D2504" t="s">
        <v>629</v>
      </c>
      <c r="E2504" s="259" t="s">
        <v>1853</v>
      </c>
      <c r="F2504" t="s">
        <v>620</v>
      </c>
      <c r="G2504" s="89" t="s">
        <v>2225</v>
      </c>
      <c r="H2504" s="344" t="s">
        <v>735</v>
      </c>
      <c r="I2504" s="337" t="str">
        <f t="shared" si="104"/>
        <v>Pesado de Passageiros M3: III : Gasóleo : E2</v>
      </c>
      <c r="J2504" s="247">
        <v>80</v>
      </c>
      <c r="K2504" s="264">
        <v>2022</v>
      </c>
      <c r="L2504" s="85">
        <v>6272.35</v>
      </c>
      <c r="M2504" s="85" t="s">
        <v>630</v>
      </c>
      <c r="N2504" s="85">
        <v>17474</v>
      </c>
      <c r="O2504" s="128">
        <f t="shared" si="105"/>
        <v>1397920</v>
      </c>
      <c r="P2504" s="89" t="s">
        <v>2666</v>
      </c>
      <c r="Q2504" t="s">
        <v>47</v>
      </c>
      <c r="R2504" s="220" t="s">
        <v>1888</v>
      </c>
      <c r="S2504" s="220" t="s">
        <v>1861</v>
      </c>
      <c r="U2504" t="s">
        <v>1972</v>
      </c>
      <c r="V2504" t="s">
        <v>2832</v>
      </c>
    </row>
    <row r="2505" spans="1:22" ht="15.75" thickBot="1" x14ac:dyDescent="0.3">
      <c r="A2505" t="s">
        <v>4696</v>
      </c>
      <c r="B2505" t="s">
        <v>4696</v>
      </c>
      <c r="C2505" t="s">
        <v>4696</v>
      </c>
      <c r="D2505" t="s">
        <v>629</v>
      </c>
      <c r="E2505" s="259" t="s">
        <v>1853</v>
      </c>
      <c r="F2505" t="s">
        <v>620</v>
      </c>
      <c r="G2505" s="89" t="s">
        <v>2228</v>
      </c>
      <c r="H2505" s="344" t="s">
        <v>736</v>
      </c>
      <c r="I2505" s="337" t="str">
        <f t="shared" si="104"/>
        <v>Pesado de Passageiros M3: III : Gasóleo : E1</v>
      </c>
      <c r="J2505" s="247">
        <v>74</v>
      </c>
      <c r="K2505" s="264">
        <v>2022</v>
      </c>
      <c r="L2505" s="85">
        <v>5494.39</v>
      </c>
      <c r="M2505" s="85" t="s">
        <v>630</v>
      </c>
      <c r="N2505" s="85">
        <v>14138</v>
      </c>
      <c r="O2505" s="128">
        <f t="shared" si="105"/>
        <v>1046212</v>
      </c>
      <c r="P2505" s="89" t="s">
        <v>2667</v>
      </c>
      <c r="Q2505" t="s">
        <v>47</v>
      </c>
      <c r="R2505" s="220" t="s">
        <v>1888</v>
      </c>
      <c r="S2505" s="220" t="s">
        <v>1861</v>
      </c>
      <c r="U2505" t="s">
        <v>1972</v>
      </c>
      <c r="V2505" t="s">
        <v>2832</v>
      </c>
    </row>
    <row r="2506" spans="1:22" ht="15.75" thickBot="1" x14ac:dyDescent="0.3">
      <c r="A2506" t="s">
        <v>4696</v>
      </c>
      <c r="B2506" t="s">
        <v>4696</v>
      </c>
      <c r="C2506" t="s">
        <v>4696</v>
      </c>
      <c r="D2506" t="s">
        <v>629</v>
      </c>
      <c r="E2506" s="259" t="s">
        <v>1853</v>
      </c>
      <c r="F2506" t="s">
        <v>620</v>
      </c>
      <c r="G2506" s="89" t="s">
        <v>2225</v>
      </c>
      <c r="H2506" s="344" t="s">
        <v>735</v>
      </c>
      <c r="I2506" s="337" t="str">
        <f t="shared" si="104"/>
        <v>Pesado de Passageiros M3: III : Gasóleo : E2</v>
      </c>
      <c r="J2506" s="247">
        <v>80</v>
      </c>
      <c r="K2506" s="264">
        <v>2022</v>
      </c>
      <c r="L2506" s="85">
        <v>11061.19</v>
      </c>
      <c r="M2506" s="85" t="s">
        <v>630</v>
      </c>
      <c r="N2506" s="85">
        <v>32431</v>
      </c>
      <c r="O2506" s="128">
        <f t="shared" si="105"/>
        <v>2594480</v>
      </c>
      <c r="P2506" s="89" t="s">
        <v>2668</v>
      </c>
      <c r="Q2506" t="s">
        <v>47</v>
      </c>
      <c r="R2506" s="220" t="s">
        <v>1888</v>
      </c>
      <c r="S2506" s="220" t="s">
        <v>1861</v>
      </c>
      <c r="U2506" t="s">
        <v>1972</v>
      </c>
      <c r="V2506" t="s">
        <v>2832</v>
      </c>
    </row>
    <row r="2507" spans="1:22" ht="15.75" thickBot="1" x14ac:dyDescent="0.3">
      <c r="A2507" t="s">
        <v>4696</v>
      </c>
      <c r="B2507" t="s">
        <v>4696</v>
      </c>
      <c r="C2507" t="s">
        <v>4696</v>
      </c>
      <c r="D2507" t="s">
        <v>629</v>
      </c>
      <c r="E2507" s="259" t="s">
        <v>1853</v>
      </c>
      <c r="F2507" t="s">
        <v>620</v>
      </c>
      <c r="G2507" s="89" t="s">
        <v>2228</v>
      </c>
      <c r="H2507" s="344" t="s">
        <v>736</v>
      </c>
      <c r="I2507" s="337" t="str">
        <f t="shared" si="104"/>
        <v>Pesado de Passageiros M3: III : Gasóleo : E1</v>
      </c>
      <c r="J2507" s="247">
        <v>74</v>
      </c>
      <c r="K2507" s="264">
        <v>2022</v>
      </c>
      <c r="L2507" s="85">
        <v>10637.56</v>
      </c>
      <c r="M2507" s="85" t="s">
        <v>630</v>
      </c>
      <c r="N2507" s="85">
        <v>34709</v>
      </c>
      <c r="O2507" s="128">
        <f t="shared" si="105"/>
        <v>2568466</v>
      </c>
      <c r="P2507" s="89" t="s">
        <v>2669</v>
      </c>
      <c r="Q2507" t="s">
        <v>47</v>
      </c>
      <c r="R2507" s="220" t="s">
        <v>1888</v>
      </c>
      <c r="S2507" s="220" t="s">
        <v>1861</v>
      </c>
      <c r="U2507" t="s">
        <v>1972</v>
      </c>
      <c r="V2507" t="s">
        <v>2832</v>
      </c>
    </row>
    <row r="2508" spans="1:22" ht="15.75" thickBot="1" x14ac:dyDescent="0.3">
      <c r="A2508" t="s">
        <v>4696</v>
      </c>
      <c r="B2508" t="s">
        <v>4696</v>
      </c>
      <c r="C2508" t="s">
        <v>4696</v>
      </c>
      <c r="D2508" t="s">
        <v>629</v>
      </c>
      <c r="E2508" s="259" t="s">
        <v>1853</v>
      </c>
      <c r="F2508" t="s">
        <v>620</v>
      </c>
      <c r="G2508" s="89" t="s">
        <v>2229</v>
      </c>
      <c r="H2508" s="344" t="s">
        <v>735</v>
      </c>
      <c r="I2508" s="337" t="str">
        <f t="shared" si="104"/>
        <v>Pesado de Passageiros M3: III : Gasóleo : E2</v>
      </c>
      <c r="J2508" s="247">
        <v>80</v>
      </c>
      <c r="K2508" s="264">
        <v>2022</v>
      </c>
      <c r="L2508" s="85">
        <v>11514.8</v>
      </c>
      <c r="M2508" s="85" t="s">
        <v>630</v>
      </c>
      <c r="N2508" s="85">
        <v>38253</v>
      </c>
      <c r="O2508" s="128">
        <f t="shared" si="105"/>
        <v>3060240</v>
      </c>
      <c r="P2508" s="89" t="s">
        <v>2670</v>
      </c>
      <c r="Q2508" t="s">
        <v>47</v>
      </c>
      <c r="R2508" s="220" t="s">
        <v>1888</v>
      </c>
      <c r="S2508" s="220" t="s">
        <v>1861</v>
      </c>
      <c r="U2508" t="s">
        <v>1972</v>
      </c>
      <c r="V2508" t="s">
        <v>2832</v>
      </c>
    </row>
    <row r="2509" spans="1:22" ht="15.75" thickBot="1" x14ac:dyDescent="0.3">
      <c r="A2509" t="s">
        <v>4696</v>
      </c>
      <c r="B2509" t="s">
        <v>4696</v>
      </c>
      <c r="C2509" t="s">
        <v>4696</v>
      </c>
      <c r="D2509" t="s">
        <v>629</v>
      </c>
      <c r="E2509" s="259" t="s">
        <v>1853</v>
      </c>
      <c r="F2509" t="s">
        <v>620</v>
      </c>
      <c r="G2509" s="89" t="s">
        <v>2229</v>
      </c>
      <c r="H2509" s="344" t="s">
        <v>735</v>
      </c>
      <c r="I2509" s="337" t="str">
        <f t="shared" si="104"/>
        <v>Pesado de Passageiros M3: III : Gasóleo : E2</v>
      </c>
      <c r="J2509" s="247">
        <v>80</v>
      </c>
      <c r="K2509" s="264">
        <v>2022</v>
      </c>
      <c r="L2509" s="85">
        <v>14528.6</v>
      </c>
      <c r="M2509" s="85" t="s">
        <v>630</v>
      </c>
      <c r="N2509" s="85">
        <v>48821</v>
      </c>
      <c r="O2509" s="128">
        <f t="shared" si="105"/>
        <v>3905680</v>
      </c>
      <c r="P2509" s="89" t="s">
        <v>2671</v>
      </c>
      <c r="Q2509" t="s">
        <v>47</v>
      </c>
      <c r="R2509" s="220" t="s">
        <v>1888</v>
      </c>
      <c r="S2509" s="220" t="s">
        <v>1861</v>
      </c>
      <c r="U2509" t="s">
        <v>1972</v>
      </c>
      <c r="V2509" t="s">
        <v>2832</v>
      </c>
    </row>
    <row r="2510" spans="1:22" ht="15.75" thickBot="1" x14ac:dyDescent="0.3">
      <c r="A2510" t="s">
        <v>4696</v>
      </c>
      <c r="B2510" t="s">
        <v>4696</v>
      </c>
      <c r="C2510" t="s">
        <v>4696</v>
      </c>
      <c r="D2510" t="s">
        <v>629</v>
      </c>
      <c r="E2510" s="259" t="s">
        <v>1853</v>
      </c>
      <c r="F2510" t="s">
        <v>620</v>
      </c>
      <c r="G2510" s="89" t="s">
        <v>2227</v>
      </c>
      <c r="H2510" s="344" t="s">
        <v>735</v>
      </c>
      <c r="I2510" s="337" t="str">
        <f t="shared" si="104"/>
        <v>Pesado de Passageiros M3: III : Gasóleo : E2</v>
      </c>
      <c r="J2510" s="247">
        <v>72</v>
      </c>
      <c r="K2510" s="264">
        <v>2022</v>
      </c>
      <c r="L2510" s="85">
        <v>7548.29</v>
      </c>
      <c r="M2510" s="85" t="s">
        <v>630</v>
      </c>
      <c r="N2510" s="85">
        <v>20024</v>
      </c>
      <c r="O2510" s="128">
        <f t="shared" si="105"/>
        <v>1441728</v>
      </c>
      <c r="P2510" s="89" t="s">
        <v>2672</v>
      </c>
      <c r="Q2510" t="s">
        <v>47</v>
      </c>
      <c r="R2510" s="220" t="s">
        <v>1888</v>
      </c>
      <c r="S2510" s="220" t="s">
        <v>1861</v>
      </c>
      <c r="U2510" t="s">
        <v>1972</v>
      </c>
      <c r="V2510" t="s">
        <v>2832</v>
      </c>
    </row>
    <row r="2511" spans="1:22" ht="15.75" thickBot="1" x14ac:dyDescent="0.3">
      <c r="A2511" t="s">
        <v>4696</v>
      </c>
      <c r="B2511" t="s">
        <v>4696</v>
      </c>
      <c r="C2511" t="s">
        <v>4696</v>
      </c>
      <c r="D2511" t="s">
        <v>629</v>
      </c>
      <c r="E2511" s="259" t="s">
        <v>1853</v>
      </c>
      <c r="F2511" t="s">
        <v>620</v>
      </c>
      <c r="G2511" s="89" t="s">
        <v>2230</v>
      </c>
      <c r="H2511" s="344" t="s">
        <v>731</v>
      </c>
      <c r="I2511" s="337" t="str">
        <f t="shared" si="104"/>
        <v>Pesado de Passageiros M3: III : Gasóleo : E4</v>
      </c>
      <c r="J2511" s="247">
        <v>26</v>
      </c>
      <c r="K2511" s="264">
        <v>2022</v>
      </c>
      <c r="L2511" s="85">
        <v>3348.5</v>
      </c>
      <c r="M2511" s="85" t="s">
        <v>630</v>
      </c>
      <c r="N2511" s="85">
        <v>21136</v>
      </c>
      <c r="O2511" s="128">
        <f t="shared" si="105"/>
        <v>549536</v>
      </c>
      <c r="P2511" s="89" t="s">
        <v>2673</v>
      </c>
      <c r="Q2511" t="s">
        <v>47</v>
      </c>
      <c r="R2511" s="220" t="s">
        <v>1888</v>
      </c>
      <c r="S2511" s="220" t="s">
        <v>1861</v>
      </c>
      <c r="U2511" t="s">
        <v>1972</v>
      </c>
      <c r="V2511" t="s">
        <v>2832</v>
      </c>
    </row>
    <row r="2512" spans="1:22" ht="15.75" thickBot="1" x14ac:dyDescent="0.3">
      <c r="A2512" t="s">
        <v>4696</v>
      </c>
      <c r="B2512" t="s">
        <v>4696</v>
      </c>
      <c r="C2512" t="s">
        <v>4696</v>
      </c>
      <c r="D2512" t="s">
        <v>629</v>
      </c>
      <c r="E2512" s="259" t="s">
        <v>1853</v>
      </c>
      <c r="F2512" t="s">
        <v>620</v>
      </c>
      <c r="G2512" s="89" t="s">
        <v>2223</v>
      </c>
      <c r="H2512" s="344" t="s">
        <v>731</v>
      </c>
      <c r="I2512" s="337" t="str">
        <f t="shared" si="104"/>
        <v>Pesado de Passageiros M3: III : Gasóleo : E4</v>
      </c>
      <c r="J2512" s="247">
        <v>30</v>
      </c>
      <c r="K2512" s="264">
        <v>2022</v>
      </c>
      <c r="L2512" s="85">
        <v>3938.65</v>
      </c>
      <c r="M2512" s="85" t="s">
        <v>630</v>
      </c>
      <c r="N2512" s="85">
        <v>23128</v>
      </c>
      <c r="O2512" s="128">
        <f t="shared" si="105"/>
        <v>693840</v>
      </c>
      <c r="P2512" s="89" t="s">
        <v>2674</v>
      </c>
      <c r="Q2512" t="s">
        <v>47</v>
      </c>
      <c r="R2512" s="220" t="s">
        <v>1888</v>
      </c>
      <c r="S2512" s="220" t="s">
        <v>1861</v>
      </c>
      <c r="U2512" t="s">
        <v>1972</v>
      </c>
      <c r="V2512" t="s">
        <v>2832</v>
      </c>
    </row>
    <row r="2513" spans="1:22" ht="15.75" thickBot="1" x14ac:dyDescent="0.3">
      <c r="A2513" t="s">
        <v>4696</v>
      </c>
      <c r="B2513" t="s">
        <v>4696</v>
      </c>
      <c r="C2513" t="s">
        <v>4696</v>
      </c>
      <c r="D2513" t="s">
        <v>629</v>
      </c>
      <c r="E2513" s="259" t="s">
        <v>1853</v>
      </c>
      <c r="F2513" t="s">
        <v>620</v>
      </c>
      <c r="G2513" s="89" t="s">
        <v>2224</v>
      </c>
      <c r="H2513" s="344" t="s">
        <v>731</v>
      </c>
      <c r="I2513" s="337" t="str">
        <f t="shared" si="104"/>
        <v>Pesado de Passageiros M3: III : Gasóleo : E4</v>
      </c>
      <c r="J2513" s="247">
        <v>30</v>
      </c>
      <c r="K2513" s="264">
        <v>2022</v>
      </c>
      <c r="L2513" s="85">
        <v>6594.02</v>
      </c>
      <c r="M2513" s="85" t="s">
        <v>630</v>
      </c>
      <c r="N2513" s="85">
        <v>40722</v>
      </c>
      <c r="O2513" s="128">
        <f t="shared" si="105"/>
        <v>1221660</v>
      </c>
      <c r="P2513" s="89" t="s">
        <v>2675</v>
      </c>
      <c r="Q2513" t="s">
        <v>47</v>
      </c>
      <c r="R2513" s="220" t="s">
        <v>1888</v>
      </c>
      <c r="S2513" s="220" t="s">
        <v>1861</v>
      </c>
      <c r="U2513" t="s">
        <v>1972</v>
      </c>
      <c r="V2513" t="s">
        <v>2832</v>
      </c>
    </row>
    <row r="2514" spans="1:22" ht="15.75" thickBot="1" x14ac:dyDescent="0.3">
      <c r="A2514" t="s">
        <v>4696</v>
      </c>
      <c r="B2514" t="s">
        <v>4696</v>
      </c>
      <c r="C2514" t="s">
        <v>4696</v>
      </c>
      <c r="D2514" t="s">
        <v>629</v>
      </c>
      <c r="E2514" s="259" t="s">
        <v>1853</v>
      </c>
      <c r="F2514" t="s">
        <v>620</v>
      </c>
      <c r="G2514" s="89" t="s">
        <v>2231</v>
      </c>
      <c r="H2514" s="344" t="s">
        <v>734</v>
      </c>
      <c r="I2514" s="337" t="str">
        <f t="shared" si="104"/>
        <v>Pesado de Passageiros M3: III : Gasóleo : E5</v>
      </c>
      <c r="J2514" s="247">
        <v>25</v>
      </c>
      <c r="K2514" s="264">
        <v>2022</v>
      </c>
      <c r="L2514" s="85">
        <v>5062.4399999999996</v>
      </c>
      <c r="M2514" s="85" t="s">
        <v>630</v>
      </c>
      <c r="N2514" s="85">
        <v>27332</v>
      </c>
      <c r="O2514" s="128">
        <f t="shared" si="105"/>
        <v>683300</v>
      </c>
      <c r="P2514" s="89" t="s">
        <v>2676</v>
      </c>
      <c r="Q2514" t="s">
        <v>47</v>
      </c>
      <c r="R2514" s="220" t="s">
        <v>1888</v>
      </c>
      <c r="S2514" s="220" t="s">
        <v>1861</v>
      </c>
      <c r="U2514" t="s">
        <v>1972</v>
      </c>
      <c r="V2514" t="s">
        <v>2832</v>
      </c>
    </row>
    <row r="2515" spans="1:22" ht="15.75" thickBot="1" x14ac:dyDescent="0.3">
      <c r="A2515" t="s">
        <v>4696</v>
      </c>
      <c r="B2515" t="s">
        <v>4696</v>
      </c>
      <c r="C2515" t="s">
        <v>4696</v>
      </c>
      <c r="D2515" t="s">
        <v>629</v>
      </c>
      <c r="E2515" s="259" t="s">
        <v>1853</v>
      </c>
      <c r="F2515" t="s">
        <v>620</v>
      </c>
      <c r="G2515" s="89" t="s">
        <v>2232</v>
      </c>
      <c r="H2515" s="344" t="s">
        <v>734</v>
      </c>
      <c r="I2515" s="337" t="str">
        <f t="shared" si="104"/>
        <v>Pesado de Passageiros M3: III : Gasóleo : E5</v>
      </c>
      <c r="J2515" s="247">
        <v>53</v>
      </c>
      <c r="K2515" s="264">
        <v>2022</v>
      </c>
      <c r="L2515" s="85">
        <v>40228.53</v>
      </c>
      <c r="M2515" s="85" t="s">
        <v>630</v>
      </c>
      <c r="N2515" s="85">
        <v>133088</v>
      </c>
      <c r="O2515" s="128">
        <f t="shared" si="105"/>
        <v>7053664</v>
      </c>
      <c r="P2515" s="89" t="s">
        <v>2677</v>
      </c>
      <c r="Q2515" t="s">
        <v>47</v>
      </c>
      <c r="R2515" s="220" t="s">
        <v>1888</v>
      </c>
      <c r="S2515" s="220" t="s">
        <v>1861</v>
      </c>
      <c r="U2515" t="s">
        <v>1972</v>
      </c>
      <c r="V2515" t="s">
        <v>2832</v>
      </c>
    </row>
    <row r="2516" spans="1:22" ht="15.75" thickBot="1" x14ac:dyDescent="0.3">
      <c r="A2516" t="s">
        <v>4696</v>
      </c>
      <c r="B2516" t="s">
        <v>4696</v>
      </c>
      <c r="C2516" t="s">
        <v>4696</v>
      </c>
      <c r="D2516" t="s">
        <v>629</v>
      </c>
      <c r="E2516" s="259" t="s">
        <v>1853</v>
      </c>
      <c r="F2516" t="s">
        <v>620</v>
      </c>
      <c r="G2516" s="89" t="s">
        <v>2233</v>
      </c>
      <c r="H2516" s="344" t="s">
        <v>733</v>
      </c>
      <c r="I2516" s="337" t="str">
        <f t="shared" si="104"/>
        <v>Pesado de Passageiros M3: III : Gasóleo : E6</v>
      </c>
      <c r="J2516" s="247">
        <v>53</v>
      </c>
      <c r="K2516" s="264">
        <v>2022</v>
      </c>
      <c r="L2516" s="85">
        <v>34966.449999999997</v>
      </c>
      <c r="M2516" s="85" t="s">
        <v>630</v>
      </c>
      <c r="N2516" s="85">
        <v>121609</v>
      </c>
      <c r="O2516" s="128">
        <f t="shared" si="105"/>
        <v>6445277</v>
      </c>
      <c r="P2516" s="89" t="s">
        <v>2678</v>
      </c>
      <c r="Q2516" t="s">
        <v>47</v>
      </c>
      <c r="R2516" s="220" t="s">
        <v>1888</v>
      </c>
      <c r="S2516" s="220" t="s">
        <v>1861</v>
      </c>
      <c r="U2516" t="s">
        <v>1972</v>
      </c>
      <c r="V2516" t="s">
        <v>2832</v>
      </c>
    </row>
    <row r="2517" spans="1:22" ht="15.75" thickBot="1" x14ac:dyDescent="0.3">
      <c r="A2517" t="s">
        <v>4696</v>
      </c>
      <c r="B2517" t="s">
        <v>4696</v>
      </c>
      <c r="C2517" t="s">
        <v>4696</v>
      </c>
      <c r="D2517" t="s">
        <v>629</v>
      </c>
      <c r="E2517" s="259" t="s">
        <v>1853</v>
      </c>
      <c r="F2517" t="s">
        <v>620</v>
      </c>
      <c r="G2517" s="89" t="s">
        <v>2234</v>
      </c>
      <c r="H2517" s="344" t="s">
        <v>735</v>
      </c>
      <c r="I2517" s="337" t="str">
        <f t="shared" si="104"/>
        <v>Pesado de Passageiros M3: III : Gasóleo : E2</v>
      </c>
      <c r="J2517" s="247">
        <v>80</v>
      </c>
      <c r="K2517" s="264">
        <v>2022</v>
      </c>
      <c r="L2517" s="85">
        <v>10833.35</v>
      </c>
      <c r="M2517" s="85" t="s">
        <v>630</v>
      </c>
      <c r="N2517" s="85">
        <v>31466</v>
      </c>
      <c r="O2517" s="128">
        <f t="shared" si="105"/>
        <v>2517280</v>
      </c>
      <c r="P2517" s="89" t="s">
        <v>2679</v>
      </c>
      <c r="Q2517" t="s">
        <v>47</v>
      </c>
      <c r="R2517" s="220" t="s">
        <v>1888</v>
      </c>
      <c r="S2517" s="220" t="s">
        <v>1861</v>
      </c>
      <c r="U2517" t="s">
        <v>1972</v>
      </c>
      <c r="V2517" t="s">
        <v>2832</v>
      </c>
    </row>
    <row r="2518" spans="1:22" ht="15.75" thickBot="1" x14ac:dyDescent="0.3">
      <c r="A2518" t="s">
        <v>4696</v>
      </c>
      <c r="B2518" t="s">
        <v>4696</v>
      </c>
      <c r="C2518" t="s">
        <v>4696</v>
      </c>
      <c r="D2518" t="s">
        <v>629</v>
      </c>
      <c r="E2518" s="259" t="s">
        <v>1853</v>
      </c>
      <c r="F2518" t="s">
        <v>620</v>
      </c>
      <c r="G2518" s="89" t="s">
        <v>2225</v>
      </c>
      <c r="H2518" s="344" t="s">
        <v>735</v>
      </c>
      <c r="I2518" s="337" t="str">
        <f t="shared" si="104"/>
        <v>Pesado de Passageiros M3: III : Gasóleo : E2</v>
      </c>
      <c r="J2518" s="247">
        <v>80</v>
      </c>
      <c r="K2518" s="264">
        <v>2022</v>
      </c>
      <c r="L2518" s="85">
        <v>11212.26</v>
      </c>
      <c r="M2518" s="85" t="s">
        <v>630</v>
      </c>
      <c r="N2518" s="85">
        <v>33447</v>
      </c>
      <c r="O2518" s="128">
        <f t="shared" si="105"/>
        <v>2675760</v>
      </c>
      <c r="P2518" s="89" t="s">
        <v>2680</v>
      </c>
      <c r="Q2518" t="s">
        <v>47</v>
      </c>
      <c r="R2518" s="220" t="s">
        <v>1888</v>
      </c>
      <c r="S2518" s="220" t="s">
        <v>1861</v>
      </c>
      <c r="U2518" t="s">
        <v>1972</v>
      </c>
      <c r="V2518" t="s">
        <v>2832</v>
      </c>
    </row>
    <row r="2519" spans="1:22" ht="15.75" thickBot="1" x14ac:dyDescent="0.3">
      <c r="A2519" t="s">
        <v>4696</v>
      </c>
      <c r="B2519" t="s">
        <v>4696</v>
      </c>
      <c r="C2519" t="s">
        <v>4696</v>
      </c>
      <c r="D2519" t="s">
        <v>629</v>
      </c>
      <c r="E2519" s="259" t="s">
        <v>1853</v>
      </c>
      <c r="F2519" t="s">
        <v>620</v>
      </c>
      <c r="G2519" s="89" t="s">
        <v>1973</v>
      </c>
      <c r="H2519" s="344" t="s">
        <v>735</v>
      </c>
      <c r="I2519" s="337" t="str">
        <f t="shared" si="104"/>
        <v>Pesado de Passageiros M3: III : Gasóleo : E2</v>
      </c>
      <c r="J2519" s="247">
        <v>82</v>
      </c>
      <c r="K2519" s="264">
        <v>2022</v>
      </c>
      <c r="L2519" s="85">
        <v>13200.3</v>
      </c>
      <c r="M2519" s="85" t="s">
        <v>630</v>
      </c>
      <c r="N2519" s="85">
        <v>42641</v>
      </c>
      <c r="O2519" s="128">
        <f t="shared" si="105"/>
        <v>3496562</v>
      </c>
      <c r="P2519" s="89" t="s">
        <v>2681</v>
      </c>
      <c r="Q2519" t="s">
        <v>47</v>
      </c>
      <c r="R2519" s="220" t="s">
        <v>1888</v>
      </c>
      <c r="S2519" s="220" t="s">
        <v>1861</v>
      </c>
      <c r="U2519" t="s">
        <v>1972</v>
      </c>
      <c r="V2519" t="s">
        <v>2832</v>
      </c>
    </row>
    <row r="2520" spans="1:22" ht="15.75" thickBot="1" x14ac:dyDescent="0.3">
      <c r="A2520" t="s">
        <v>4696</v>
      </c>
      <c r="B2520" t="s">
        <v>4696</v>
      </c>
      <c r="C2520" t="s">
        <v>4696</v>
      </c>
      <c r="D2520" t="s">
        <v>629</v>
      </c>
      <c r="E2520" s="259" t="s">
        <v>1853</v>
      </c>
      <c r="F2520" t="s">
        <v>620</v>
      </c>
      <c r="G2520" s="89" t="s">
        <v>1973</v>
      </c>
      <c r="H2520" s="344" t="s">
        <v>735</v>
      </c>
      <c r="I2520" s="337" t="str">
        <f t="shared" si="104"/>
        <v>Pesado de Passageiros M3: III : Gasóleo : E2</v>
      </c>
      <c r="J2520" s="247">
        <v>82</v>
      </c>
      <c r="K2520" s="264">
        <v>2022</v>
      </c>
      <c r="L2520" s="85">
        <v>10714.67</v>
      </c>
      <c r="M2520" s="85" t="s">
        <v>630</v>
      </c>
      <c r="N2520" s="85">
        <v>31588</v>
      </c>
      <c r="O2520" s="128">
        <f t="shared" si="105"/>
        <v>2590216</v>
      </c>
      <c r="P2520" s="89" t="s">
        <v>2682</v>
      </c>
      <c r="Q2520" t="s">
        <v>47</v>
      </c>
      <c r="R2520" s="220" t="s">
        <v>1888</v>
      </c>
      <c r="S2520" s="220" t="s">
        <v>1861</v>
      </c>
      <c r="U2520" t="s">
        <v>1972</v>
      </c>
      <c r="V2520" t="s">
        <v>2832</v>
      </c>
    </row>
    <row r="2521" spans="1:22" ht="15.75" thickBot="1" x14ac:dyDescent="0.3">
      <c r="A2521" t="s">
        <v>4696</v>
      </c>
      <c r="B2521" t="s">
        <v>4696</v>
      </c>
      <c r="C2521" t="s">
        <v>4696</v>
      </c>
      <c r="D2521" t="s">
        <v>629</v>
      </c>
      <c r="E2521" s="259" t="s">
        <v>1853</v>
      </c>
      <c r="F2521" t="s">
        <v>620</v>
      </c>
      <c r="G2521" s="89" t="s">
        <v>2225</v>
      </c>
      <c r="H2521" s="344" t="s">
        <v>735</v>
      </c>
      <c r="I2521" s="337" t="str">
        <f t="shared" si="104"/>
        <v>Pesado de Passageiros M3: III : Gasóleo : E2</v>
      </c>
      <c r="J2521" s="247">
        <v>55</v>
      </c>
      <c r="K2521" s="264">
        <v>2022</v>
      </c>
      <c r="L2521" s="85">
        <v>10573.69</v>
      </c>
      <c r="M2521" s="85" t="s">
        <v>630</v>
      </c>
      <c r="N2521" s="85">
        <v>32107</v>
      </c>
      <c r="O2521" s="128">
        <f t="shared" si="105"/>
        <v>1765885</v>
      </c>
      <c r="P2521" s="89" t="s">
        <v>2683</v>
      </c>
      <c r="Q2521" t="s">
        <v>47</v>
      </c>
      <c r="R2521" s="220" t="s">
        <v>1888</v>
      </c>
      <c r="S2521" s="220" t="s">
        <v>1861</v>
      </c>
      <c r="U2521" t="s">
        <v>1972</v>
      </c>
      <c r="V2521" t="s">
        <v>2832</v>
      </c>
    </row>
    <row r="2522" spans="1:22" ht="15.75" thickBot="1" x14ac:dyDescent="0.3">
      <c r="A2522" t="s">
        <v>4696</v>
      </c>
      <c r="B2522" t="s">
        <v>4696</v>
      </c>
      <c r="C2522" t="s">
        <v>4696</v>
      </c>
      <c r="D2522" t="s">
        <v>629</v>
      </c>
      <c r="E2522" s="259" t="s">
        <v>1853</v>
      </c>
      <c r="F2522" t="s">
        <v>620</v>
      </c>
      <c r="G2522" s="89" t="s">
        <v>1973</v>
      </c>
      <c r="H2522" s="344" t="s">
        <v>735</v>
      </c>
      <c r="I2522" s="337" t="str">
        <f t="shared" si="104"/>
        <v>Pesado de Passageiros M3: III : Gasóleo : E2</v>
      </c>
      <c r="J2522" s="247">
        <v>55</v>
      </c>
      <c r="K2522" s="264">
        <v>2022</v>
      </c>
      <c r="L2522" s="85">
        <v>5401.41</v>
      </c>
      <c r="M2522" s="85" t="s">
        <v>630</v>
      </c>
      <c r="N2522" s="85">
        <v>16385</v>
      </c>
      <c r="O2522" s="128">
        <f t="shared" si="105"/>
        <v>901175</v>
      </c>
      <c r="P2522" s="89" t="s">
        <v>2684</v>
      </c>
      <c r="Q2522" t="s">
        <v>47</v>
      </c>
      <c r="R2522" s="220" t="s">
        <v>1888</v>
      </c>
      <c r="S2522" s="220" t="s">
        <v>1861</v>
      </c>
      <c r="U2522" t="s">
        <v>1972</v>
      </c>
      <c r="V2522" t="s">
        <v>2832</v>
      </c>
    </row>
    <row r="2523" spans="1:22" ht="15.75" thickBot="1" x14ac:dyDescent="0.3">
      <c r="A2523" t="s">
        <v>4696</v>
      </c>
      <c r="B2523" t="s">
        <v>4696</v>
      </c>
      <c r="C2523" t="s">
        <v>4696</v>
      </c>
      <c r="D2523" t="s">
        <v>629</v>
      </c>
      <c r="E2523" s="259" t="s">
        <v>1853</v>
      </c>
      <c r="F2523" t="s">
        <v>620</v>
      </c>
      <c r="G2523" s="89" t="s">
        <v>2235</v>
      </c>
      <c r="H2523" s="344" t="s">
        <v>2249</v>
      </c>
      <c r="I2523" s="337" t="str">
        <f t="shared" si="104"/>
        <v>Pesado de Passageiros M3: III : Gasóleo : E0</v>
      </c>
      <c r="J2523" s="247">
        <v>72</v>
      </c>
      <c r="K2523" s="264">
        <v>2022</v>
      </c>
      <c r="L2523" s="85">
        <v>6701.72</v>
      </c>
      <c r="M2523" s="85" t="s">
        <v>630</v>
      </c>
      <c r="N2523" s="85">
        <v>21190</v>
      </c>
      <c r="O2523" s="128">
        <f t="shared" si="105"/>
        <v>1525680</v>
      </c>
      <c r="P2523" s="89" t="s">
        <v>2685</v>
      </c>
      <c r="Q2523" t="s">
        <v>47</v>
      </c>
      <c r="R2523" s="220" t="s">
        <v>1888</v>
      </c>
      <c r="S2523" s="220" t="s">
        <v>1861</v>
      </c>
      <c r="U2523" t="s">
        <v>1972</v>
      </c>
      <c r="V2523" t="s">
        <v>2832</v>
      </c>
    </row>
    <row r="2524" spans="1:22" ht="15.75" thickBot="1" x14ac:dyDescent="0.3">
      <c r="A2524" t="s">
        <v>4696</v>
      </c>
      <c r="B2524" t="s">
        <v>4696</v>
      </c>
      <c r="C2524" t="s">
        <v>4696</v>
      </c>
      <c r="D2524" t="s">
        <v>629</v>
      </c>
      <c r="E2524" s="259" t="s">
        <v>1853</v>
      </c>
      <c r="F2524" t="s">
        <v>620</v>
      </c>
      <c r="G2524" s="89" t="s">
        <v>2235</v>
      </c>
      <c r="H2524" s="344" t="s">
        <v>2249</v>
      </c>
      <c r="I2524" s="337" t="str">
        <f t="shared" si="104"/>
        <v>Pesado de Passageiros M3: III : Gasóleo : E0</v>
      </c>
      <c r="J2524" s="247">
        <v>72</v>
      </c>
      <c r="K2524" s="264">
        <v>2022</v>
      </c>
      <c r="L2524" s="85">
        <v>10036.92</v>
      </c>
      <c r="M2524" s="85" t="s">
        <v>630</v>
      </c>
      <c r="N2524" s="85">
        <v>28098</v>
      </c>
      <c r="O2524" s="128">
        <f t="shared" si="105"/>
        <v>2023056</v>
      </c>
      <c r="P2524" s="89" t="s">
        <v>2686</v>
      </c>
      <c r="Q2524" t="s">
        <v>47</v>
      </c>
      <c r="R2524" s="220" t="s">
        <v>1888</v>
      </c>
      <c r="S2524" s="220" t="s">
        <v>1861</v>
      </c>
      <c r="U2524" t="s">
        <v>1972</v>
      </c>
      <c r="V2524" t="s">
        <v>2832</v>
      </c>
    </row>
    <row r="2525" spans="1:22" ht="15.75" thickBot="1" x14ac:dyDescent="0.3">
      <c r="A2525" t="s">
        <v>4696</v>
      </c>
      <c r="B2525" t="s">
        <v>4696</v>
      </c>
      <c r="C2525" t="s">
        <v>4696</v>
      </c>
      <c r="D2525" t="s">
        <v>629</v>
      </c>
      <c r="E2525" s="259" t="s">
        <v>1853</v>
      </c>
      <c r="F2525" t="s">
        <v>620</v>
      </c>
      <c r="G2525" s="89" t="s">
        <v>2236</v>
      </c>
      <c r="H2525" s="344" t="s">
        <v>736</v>
      </c>
      <c r="I2525" s="337" t="str">
        <f t="shared" si="104"/>
        <v>Pesado de Passageiros M3: III : Gasóleo : E1</v>
      </c>
      <c r="J2525" s="247">
        <v>87</v>
      </c>
      <c r="K2525" s="264">
        <v>2022</v>
      </c>
      <c r="L2525" s="85">
        <v>14671.63</v>
      </c>
      <c r="M2525" s="85" t="s">
        <v>630</v>
      </c>
      <c r="N2525" s="85">
        <v>45927</v>
      </c>
      <c r="O2525" s="128">
        <f t="shared" si="105"/>
        <v>3995649</v>
      </c>
      <c r="P2525" s="89" t="s">
        <v>2687</v>
      </c>
      <c r="Q2525" t="s">
        <v>47</v>
      </c>
      <c r="R2525" s="220" t="s">
        <v>1888</v>
      </c>
      <c r="S2525" s="220" t="s">
        <v>1861</v>
      </c>
      <c r="U2525" t="s">
        <v>1972</v>
      </c>
      <c r="V2525" t="s">
        <v>2832</v>
      </c>
    </row>
    <row r="2526" spans="1:22" ht="15.75" thickBot="1" x14ac:dyDescent="0.3">
      <c r="A2526" t="s">
        <v>4696</v>
      </c>
      <c r="B2526" t="s">
        <v>4696</v>
      </c>
      <c r="C2526" t="s">
        <v>4696</v>
      </c>
      <c r="D2526" t="s">
        <v>629</v>
      </c>
      <c r="E2526" s="259" t="s">
        <v>1853</v>
      </c>
      <c r="F2526" t="s">
        <v>620</v>
      </c>
      <c r="G2526" s="89" t="s">
        <v>2237</v>
      </c>
      <c r="H2526" s="344" t="s">
        <v>2249</v>
      </c>
      <c r="I2526" s="337" t="str">
        <f t="shared" si="104"/>
        <v>Pesado de Passageiros M3: III : Gasóleo : E0</v>
      </c>
      <c r="J2526" s="247">
        <v>74</v>
      </c>
      <c r="K2526" s="264">
        <v>2022</v>
      </c>
      <c r="L2526" s="85">
        <v>12465.62</v>
      </c>
      <c r="M2526" s="85" t="s">
        <v>630</v>
      </c>
      <c r="N2526" s="85">
        <v>41838</v>
      </c>
      <c r="O2526" s="128">
        <f t="shared" si="105"/>
        <v>3096012</v>
      </c>
      <c r="P2526" s="89" t="s">
        <v>2688</v>
      </c>
      <c r="Q2526" t="s">
        <v>47</v>
      </c>
      <c r="R2526" s="220" t="s">
        <v>1888</v>
      </c>
      <c r="S2526" s="220" t="s">
        <v>1861</v>
      </c>
      <c r="U2526" t="s">
        <v>1972</v>
      </c>
      <c r="V2526" t="s">
        <v>2832</v>
      </c>
    </row>
    <row r="2527" spans="1:22" ht="15.75" thickBot="1" x14ac:dyDescent="0.3">
      <c r="A2527" t="s">
        <v>4696</v>
      </c>
      <c r="B2527" t="s">
        <v>4696</v>
      </c>
      <c r="C2527" t="s">
        <v>4696</v>
      </c>
      <c r="D2527" t="s">
        <v>629</v>
      </c>
      <c r="E2527" s="259" t="s">
        <v>1853</v>
      </c>
      <c r="F2527" t="s">
        <v>620</v>
      </c>
      <c r="G2527" s="89" t="s">
        <v>2237</v>
      </c>
      <c r="H2527" s="344" t="s">
        <v>736</v>
      </c>
      <c r="I2527" s="337" t="str">
        <f t="shared" si="104"/>
        <v>Pesado de Passageiros M3: III : Gasóleo : E1</v>
      </c>
      <c r="J2527" s="247">
        <v>74</v>
      </c>
      <c r="K2527" s="264">
        <v>2022</v>
      </c>
      <c r="L2527" s="85">
        <v>11268.05</v>
      </c>
      <c r="M2527" s="85" t="s">
        <v>630</v>
      </c>
      <c r="N2527" s="85">
        <v>33404</v>
      </c>
      <c r="O2527" s="128">
        <f t="shared" si="105"/>
        <v>2471896</v>
      </c>
      <c r="P2527" s="89" t="s">
        <v>2689</v>
      </c>
      <c r="Q2527" t="s">
        <v>47</v>
      </c>
      <c r="R2527" s="220" t="s">
        <v>1888</v>
      </c>
      <c r="S2527" s="220" t="s">
        <v>1861</v>
      </c>
      <c r="U2527" t="s">
        <v>1972</v>
      </c>
      <c r="V2527" t="s">
        <v>2832</v>
      </c>
    </row>
    <row r="2528" spans="1:22" ht="15.75" thickBot="1" x14ac:dyDescent="0.3">
      <c r="A2528" t="s">
        <v>4696</v>
      </c>
      <c r="B2528" t="s">
        <v>4696</v>
      </c>
      <c r="C2528" t="s">
        <v>4696</v>
      </c>
      <c r="D2528" t="s">
        <v>629</v>
      </c>
      <c r="E2528" s="259" t="s">
        <v>1853</v>
      </c>
      <c r="F2528" t="s">
        <v>620</v>
      </c>
      <c r="G2528" s="89" t="s">
        <v>2236</v>
      </c>
      <c r="H2528" s="344" t="s">
        <v>736</v>
      </c>
      <c r="I2528" s="337" t="str">
        <f t="shared" si="104"/>
        <v>Pesado de Passageiros M3: III : Gasóleo : E1</v>
      </c>
      <c r="J2528" s="247">
        <v>74</v>
      </c>
      <c r="K2528" s="264">
        <v>2022</v>
      </c>
      <c r="L2528" s="85">
        <v>10714.19</v>
      </c>
      <c r="M2528" s="85" t="s">
        <v>630</v>
      </c>
      <c r="N2528" s="85">
        <v>35744</v>
      </c>
      <c r="O2528" s="128">
        <f t="shared" si="105"/>
        <v>2645056</v>
      </c>
      <c r="P2528" s="89" t="s">
        <v>2690</v>
      </c>
      <c r="Q2528" t="s">
        <v>47</v>
      </c>
      <c r="R2528" s="220" t="s">
        <v>1888</v>
      </c>
      <c r="S2528" s="220" t="s">
        <v>1861</v>
      </c>
      <c r="U2528" t="s">
        <v>1972</v>
      </c>
      <c r="V2528" t="s">
        <v>2832</v>
      </c>
    </row>
    <row r="2529" spans="1:22" ht="15.75" thickBot="1" x14ac:dyDescent="0.3">
      <c r="A2529" t="s">
        <v>4696</v>
      </c>
      <c r="B2529" t="s">
        <v>4696</v>
      </c>
      <c r="C2529" t="s">
        <v>4696</v>
      </c>
      <c r="D2529" t="s">
        <v>629</v>
      </c>
      <c r="E2529" s="259" t="s">
        <v>1853</v>
      </c>
      <c r="F2529" t="s">
        <v>620</v>
      </c>
      <c r="G2529" s="89" t="s">
        <v>2228</v>
      </c>
      <c r="H2529" s="344" t="s">
        <v>736</v>
      </c>
      <c r="I2529" s="337" t="str">
        <f t="shared" si="104"/>
        <v>Pesado de Passageiros M3: III : Gasóleo : E1</v>
      </c>
      <c r="J2529" s="247">
        <v>83</v>
      </c>
      <c r="K2529" s="264">
        <v>2022</v>
      </c>
      <c r="L2529" s="85">
        <v>11335.78</v>
      </c>
      <c r="M2529" s="85" t="s">
        <v>630</v>
      </c>
      <c r="N2529" s="85">
        <v>37382</v>
      </c>
      <c r="O2529" s="128">
        <f t="shared" si="105"/>
        <v>3102706</v>
      </c>
      <c r="P2529" s="89" t="s">
        <v>2691</v>
      </c>
      <c r="Q2529" t="s">
        <v>47</v>
      </c>
      <c r="R2529" s="220" t="s">
        <v>1888</v>
      </c>
      <c r="S2529" s="220" t="s">
        <v>1861</v>
      </c>
      <c r="U2529" t="s">
        <v>1972</v>
      </c>
      <c r="V2529" t="s">
        <v>2832</v>
      </c>
    </row>
    <row r="2530" spans="1:22" ht="15.75" thickBot="1" x14ac:dyDescent="0.3">
      <c r="A2530" t="s">
        <v>4696</v>
      </c>
      <c r="B2530" t="s">
        <v>4696</v>
      </c>
      <c r="C2530" t="s">
        <v>4696</v>
      </c>
      <c r="D2530" t="s">
        <v>629</v>
      </c>
      <c r="E2530" s="259" t="s">
        <v>1853</v>
      </c>
      <c r="F2530" t="s">
        <v>620</v>
      </c>
      <c r="G2530" s="89" t="s">
        <v>2228</v>
      </c>
      <c r="H2530" s="344" t="s">
        <v>736</v>
      </c>
      <c r="I2530" s="337" t="str">
        <f t="shared" si="104"/>
        <v>Pesado de Passageiros M3: III : Gasóleo : E1</v>
      </c>
      <c r="J2530" s="247">
        <v>83</v>
      </c>
      <c r="K2530" s="264">
        <v>2022</v>
      </c>
      <c r="L2530" s="85">
        <v>11356.87</v>
      </c>
      <c r="M2530" s="85" t="s">
        <v>630</v>
      </c>
      <c r="N2530" s="85">
        <v>32912</v>
      </c>
      <c r="O2530" s="128">
        <f t="shared" si="105"/>
        <v>2731696</v>
      </c>
      <c r="P2530" s="89" t="s">
        <v>2692</v>
      </c>
      <c r="Q2530" t="s">
        <v>47</v>
      </c>
      <c r="R2530" s="220" t="s">
        <v>1888</v>
      </c>
      <c r="S2530" s="220" t="s">
        <v>1861</v>
      </c>
      <c r="U2530" t="s">
        <v>1972</v>
      </c>
      <c r="V2530" t="s">
        <v>2832</v>
      </c>
    </row>
    <row r="2531" spans="1:22" ht="15.75" thickBot="1" x14ac:dyDescent="0.3">
      <c r="A2531" t="s">
        <v>4696</v>
      </c>
      <c r="B2531" t="s">
        <v>4696</v>
      </c>
      <c r="C2531" t="s">
        <v>4696</v>
      </c>
      <c r="D2531" t="s">
        <v>629</v>
      </c>
      <c r="E2531" s="259" t="s">
        <v>1853</v>
      </c>
      <c r="F2531" t="s">
        <v>620</v>
      </c>
      <c r="G2531" s="89" t="s">
        <v>2228</v>
      </c>
      <c r="H2531" s="344" t="s">
        <v>736</v>
      </c>
      <c r="I2531" s="337" t="str">
        <f t="shared" si="104"/>
        <v>Pesado de Passageiros M3: III : Gasóleo : E1</v>
      </c>
      <c r="J2531" s="247">
        <v>83</v>
      </c>
      <c r="K2531" s="264">
        <v>2022</v>
      </c>
      <c r="L2531" s="85">
        <v>11260.12</v>
      </c>
      <c r="M2531" s="85" t="s">
        <v>630</v>
      </c>
      <c r="N2531" s="85">
        <v>30690</v>
      </c>
      <c r="O2531" s="128">
        <f t="shared" si="105"/>
        <v>2547270</v>
      </c>
      <c r="P2531" s="89" t="s">
        <v>2693</v>
      </c>
      <c r="Q2531" t="s">
        <v>47</v>
      </c>
      <c r="R2531" s="220" t="s">
        <v>1888</v>
      </c>
      <c r="S2531" s="220" t="s">
        <v>1861</v>
      </c>
      <c r="U2531" t="s">
        <v>1972</v>
      </c>
      <c r="V2531" t="s">
        <v>2832</v>
      </c>
    </row>
    <row r="2532" spans="1:22" ht="15.75" thickBot="1" x14ac:dyDescent="0.3">
      <c r="A2532" t="s">
        <v>4696</v>
      </c>
      <c r="B2532" t="s">
        <v>4696</v>
      </c>
      <c r="C2532" t="s">
        <v>4696</v>
      </c>
      <c r="D2532" t="s">
        <v>629</v>
      </c>
      <c r="E2532" s="259" t="s">
        <v>1853</v>
      </c>
      <c r="F2532" t="s">
        <v>620</v>
      </c>
      <c r="G2532" s="89" t="s">
        <v>2228</v>
      </c>
      <c r="H2532" s="344" t="s">
        <v>736</v>
      </c>
      <c r="I2532" s="337" t="str">
        <f t="shared" si="104"/>
        <v>Pesado de Passageiros M3: III : Gasóleo : E1</v>
      </c>
      <c r="J2532" s="247">
        <v>83</v>
      </c>
      <c r="K2532" s="264">
        <v>2022</v>
      </c>
      <c r="L2532" s="85">
        <v>10416.200000000001</v>
      </c>
      <c r="M2532" s="85" t="s">
        <v>630</v>
      </c>
      <c r="N2532" s="85">
        <v>30226</v>
      </c>
      <c r="O2532" s="128">
        <f t="shared" si="105"/>
        <v>2508758</v>
      </c>
      <c r="P2532" s="89" t="s">
        <v>2694</v>
      </c>
      <c r="Q2532" t="s">
        <v>47</v>
      </c>
      <c r="R2532" s="220" t="s">
        <v>1888</v>
      </c>
      <c r="S2532" s="220" t="s">
        <v>1861</v>
      </c>
      <c r="U2532" t="s">
        <v>1972</v>
      </c>
      <c r="V2532" t="s">
        <v>2832</v>
      </c>
    </row>
    <row r="2533" spans="1:22" ht="15.75" thickBot="1" x14ac:dyDescent="0.3">
      <c r="A2533" t="s">
        <v>4696</v>
      </c>
      <c r="B2533" t="s">
        <v>4696</v>
      </c>
      <c r="C2533" t="s">
        <v>4696</v>
      </c>
      <c r="D2533" t="s">
        <v>629</v>
      </c>
      <c r="E2533" s="259" t="s">
        <v>1853</v>
      </c>
      <c r="F2533" t="s">
        <v>620</v>
      </c>
      <c r="G2533" s="89" t="s">
        <v>2237</v>
      </c>
      <c r="H2533" s="344" t="s">
        <v>2249</v>
      </c>
      <c r="I2533" s="337" t="str">
        <f t="shared" si="104"/>
        <v>Pesado de Passageiros M3: III : Gasóleo : E0</v>
      </c>
      <c r="J2533" s="247">
        <v>70</v>
      </c>
      <c r="K2533" s="264">
        <v>2022</v>
      </c>
      <c r="L2533" s="85">
        <v>2619.39</v>
      </c>
      <c r="M2533" s="85" t="s">
        <v>630</v>
      </c>
      <c r="N2533" s="85">
        <v>7928</v>
      </c>
      <c r="O2533" s="128">
        <f t="shared" si="105"/>
        <v>554960</v>
      </c>
      <c r="P2533" s="89" t="s">
        <v>2695</v>
      </c>
      <c r="Q2533" t="s">
        <v>47</v>
      </c>
      <c r="R2533" s="220" t="s">
        <v>1888</v>
      </c>
      <c r="S2533" s="220" t="s">
        <v>1861</v>
      </c>
      <c r="U2533" t="s">
        <v>1972</v>
      </c>
      <c r="V2533" t="s">
        <v>2832</v>
      </c>
    </row>
    <row r="2534" spans="1:22" ht="15.75" thickBot="1" x14ac:dyDescent="0.3">
      <c r="A2534" t="s">
        <v>4696</v>
      </c>
      <c r="B2534" t="s">
        <v>4696</v>
      </c>
      <c r="C2534" t="s">
        <v>4696</v>
      </c>
      <c r="D2534" t="s">
        <v>629</v>
      </c>
      <c r="E2534" s="259" t="s">
        <v>1853</v>
      </c>
      <c r="F2534" t="s">
        <v>620</v>
      </c>
      <c r="G2534" s="89" t="s">
        <v>2223</v>
      </c>
      <c r="H2534" s="344" t="s">
        <v>731</v>
      </c>
      <c r="I2534" s="337" t="str">
        <f t="shared" si="104"/>
        <v>Pesado de Passageiros M3: III : Gasóleo : E4</v>
      </c>
      <c r="J2534" s="247">
        <v>55</v>
      </c>
      <c r="K2534" s="264">
        <v>2022</v>
      </c>
      <c r="L2534" s="85">
        <v>20221.47</v>
      </c>
      <c r="M2534" s="85" t="s">
        <v>630</v>
      </c>
      <c r="N2534" s="85">
        <v>62821</v>
      </c>
      <c r="O2534" s="128">
        <f t="shared" si="105"/>
        <v>3455155</v>
      </c>
      <c r="P2534" s="89" t="s">
        <v>2696</v>
      </c>
      <c r="Q2534" t="s">
        <v>47</v>
      </c>
      <c r="R2534" s="220" t="s">
        <v>1888</v>
      </c>
      <c r="S2534" s="220" t="s">
        <v>1861</v>
      </c>
      <c r="U2534" t="s">
        <v>1972</v>
      </c>
      <c r="V2534" t="s">
        <v>2832</v>
      </c>
    </row>
    <row r="2535" spans="1:22" ht="15.75" thickBot="1" x14ac:dyDescent="0.3">
      <c r="A2535" t="s">
        <v>4696</v>
      </c>
      <c r="B2535" t="s">
        <v>4696</v>
      </c>
      <c r="C2535" t="s">
        <v>4696</v>
      </c>
      <c r="D2535" t="s">
        <v>629</v>
      </c>
      <c r="E2535" s="259" t="s">
        <v>1853</v>
      </c>
      <c r="F2535" t="s">
        <v>620</v>
      </c>
      <c r="G2535" s="89" t="s">
        <v>2225</v>
      </c>
      <c r="H2535" s="344" t="s">
        <v>735</v>
      </c>
      <c r="I2535" s="337" t="str">
        <f t="shared" si="104"/>
        <v>Pesado de Passageiros M3: III : Gasóleo : E2</v>
      </c>
      <c r="J2535" s="247">
        <v>69</v>
      </c>
      <c r="K2535" s="264">
        <v>2022</v>
      </c>
      <c r="L2535" s="85">
        <v>9548.91</v>
      </c>
      <c r="M2535" s="85" t="s">
        <v>630</v>
      </c>
      <c r="N2535" s="85">
        <v>25963</v>
      </c>
      <c r="O2535" s="128">
        <f t="shared" si="105"/>
        <v>1791447</v>
      </c>
      <c r="P2535" s="89" t="s">
        <v>2697</v>
      </c>
      <c r="Q2535" t="s">
        <v>47</v>
      </c>
      <c r="R2535" s="220" t="s">
        <v>1888</v>
      </c>
      <c r="S2535" s="220" t="s">
        <v>1861</v>
      </c>
      <c r="U2535" t="s">
        <v>1972</v>
      </c>
      <c r="V2535" t="s">
        <v>2832</v>
      </c>
    </row>
    <row r="2536" spans="1:22" ht="15.75" thickBot="1" x14ac:dyDescent="0.3">
      <c r="A2536" t="s">
        <v>4696</v>
      </c>
      <c r="B2536" t="s">
        <v>4696</v>
      </c>
      <c r="C2536" t="s">
        <v>4696</v>
      </c>
      <c r="D2536" t="s">
        <v>629</v>
      </c>
      <c r="E2536" s="259" t="s">
        <v>1853</v>
      </c>
      <c r="F2536" t="s">
        <v>620</v>
      </c>
      <c r="G2536" s="89" t="s">
        <v>2238</v>
      </c>
      <c r="H2536" s="344" t="s">
        <v>732</v>
      </c>
      <c r="I2536" s="337" t="str">
        <f t="shared" si="104"/>
        <v>Pesado de Passageiros M3: III : Gasóleo : E3</v>
      </c>
      <c r="J2536" s="247">
        <v>83</v>
      </c>
      <c r="K2536" s="264">
        <v>2022</v>
      </c>
      <c r="L2536" s="85">
        <v>11784.75</v>
      </c>
      <c r="M2536" s="85" t="s">
        <v>630</v>
      </c>
      <c r="N2536" s="85">
        <v>33150</v>
      </c>
      <c r="O2536" s="128">
        <f t="shared" si="105"/>
        <v>2751450</v>
      </c>
      <c r="P2536" s="89" t="s">
        <v>2698</v>
      </c>
      <c r="Q2536" t="s">
        <v>47</v>
      </c>
      <c r="R2536" s="220" t="s">
        <v>1888</v>
      </c>
      <c r="S2536" s="220" t="s">
        <v>1861</v>
      </c>
      <c r="U2536" t="s">
        <v>1972</v>
      </c>
      <c r="V2536" t="s">
        <v>2832</v>
      </c>
    </row>
    <row r="2537" spans="1:22" ht="15.75" thickBot="1" x14ac:dyDescent="0.3">
      <c r="A2537" t="s">
        <v>4696</v>
      </c>
      <c r="B2537" t="s">
        <v>4696</v>
      </c>
      <c r="C2537" t="s">
        <v>4696</v>
      </c>
      <c r="D2537" t="s">
        <v>629</v>
      </c>
      <c r="E2537" s="259" t="s">
        <v>1853</v>
      </c>
      <c r="F2537" t="s">
        <v>620</v>
      </c>
      <c r="G2537" s="89" t="s">
        <v>2239</v>
      </c>
      <c r="H2537" s="344" t="s">
        <v>732</v>
      </c>
      <c r="I2537" s="337" t="str">
        <f t="shared" si="104"/>
        <v>Pesado de Passageiros M3: III : Gasóleo : E3</v>
      </c>
      <c r="J2537" s="247">
        <v>63</v>
      </c>
      <c r="K2537" s="264">
        <v>2022</v>
      </c>
      <c r="L2537" s="85">
        <v>15360.45</v>
      </c>
      <c r="M2537" s="85" t="s">
        <v>630</v>
      </c>
      <c r="N2537" s="85">
        <v>43475</v>
      </c>
      <c r="O2537" s="128">
        <f t="shared" si="105"/>
        <v>2738925</v>
      </c>
      <c r="P2537" s="89" t="s">
        <v>2699</v>
      </c>
      <c r="Q2537" t="s">
        <v>47</v>
      </c>
      <c r="R2537" s="220" t="s">
        <v>1888</v>
      </c>
      <c r="S2537" s="220" t="s">
        <v>1861</v>
      </c>
      <c r="U2537" t="s">
        <v>1972</v>
      </c>
      <c r="V2537" t="s">
        <v>2832</v>
      </c>
    </row>
    <row r="2538" spans="1:22" ht="15.75" thickBot="1" x14ac:dyDescent="0.3">
      <c r="A2538" t="s">
        <v>4696</v>
      </c>
      <c r="B2538" t="s">
        <v>4696</v>
      </c>
      <c r="C2538" t="s">
        <v>4696</v>
      </c>
      <c r="D2538" t="s">
        <v>629</v>
      </c>
      <c r="E2538" s="259" t="s">
        <v>1853</v>
      </c>
      <c r="F2538" t="s">
        <v>620</v>
      </c>
      <c r="G2538" s="89" t="s">
        <v>2239</v>
      </c>
      <c r="H2538" s="344" t="s">
        <v>732</v>
      </c>
      <c r="I2538" s="337" t="str">
        <f t="shared" si="104"/>
        <v>Pesado de Passageiros M3: III : Gasóleo : E3</v>
      </c>
      <c r="J2538" s="247">
        <v>78</v>
      </c>
      <c r="K2538" s="264">
        <v>2022</v>
      </c>
      <c r="L2538" s="85">
        <v>13680.19</v>
      </c>
      <c r="M2538" s="85" t="s">
        <v>630</v>
      </c>
      <c r="N2538" s="85">
        <v>35958</v>
      </c>
      <c r="O2538" s="128">
        <f t="shared" si="105"/>
        <v>2804724</v>
      </c>
      <c r="P2538" s="89" t="s">
        <v>2700</v>
      </c>
      <c r="Q2538" t="s">
        <v>47</v>
      </c>
      <c r="R2538" s="220" t="s">
        <v>1888</v>
      </c>
      <c r="S2538" s="220" t="s">
        <v>1861</v>
      </c>
      <c r="U2538" t="s">
        <v>1972</v>
      </c>
      <c r="V2538" t="s">
        <v>2832</v>
      </c>
    </row>
    <row r="2539" spans="1:22" ht="15.75" thickBot="1" x14ac:dyDescent="0.3">
      <c r="A2539" t="s">
        <v>4696</v>
      </c>
      <c r="B2539" t="s">
        <v>4696</v>
      </c>
      <c r="C2539" t="s">
        <v>4696</v>
      </c>
      <c r="D2539" t="s">
        <v>629</v>
      </c>
      <c r="E2539" s="259" t="s">
        <v>1853</v>
      </c>
      <c r="F2539" t="s">
        <v>620</v>
      </c>
      <c r="G2539" s="89" t="s">
        <v>2234</v>
      </c>
      <c r="H2539" s="344" t="s">
        <v>735</v>
      </c>
      <c r="I2539" s="337" t="str">
        <f t="shared" si="104"/>
        <v>Pesado de Passageiros M3: III : Gasóleo : E2</v>
      </c>
      <c r="J2539" s="247">
        <v>51</v>
      </c>
      <c r="K2539" s="264">
        <v>2022</v>
      </c>
      <c r="L2539" s="85">
        <v>3259.1</v>
      </c>
      <c r="M2539" s="85" t="s">
        <v>630</v>
      </c>
      <c r="N2539" s="85">
        <v>9602</v>
      </c>
      <c r="O2539" s="128">
        <f t="shared" si="105"/>
        <v>489702</v>
      </c>
      <c r="P2539" s="89" t="s">
        <v>2701</v>
      </c>
      <c r="Q2539" t="s">
        <v>47</v>
      </c>
      <c r="R2539" s="220" t="s">
        <v>1888</v>
      </c>
      <c r="S2539" s="220" t="s">
        <v>1861</v>
      </c>
      <c r="U2539" t="s">
        <v>1972</v>
      </c>
      <c r="V2539" t="s">
        <v>2832</v>
      </c>
    </row>
    <row r="2540" spans="1:22" ht="15.75" thickBot="1" x14ac:dyDescent="0.3">
      <c r="A2540" t="s">
        <v>4696</v>
      </c>
      <c r="B2540" t="s">
        <v>4696</v>
      </c>
      <c r="C2540" t="s">
        <v>4696</v>
      </c>
      <c r="D2540" t="s">
        <v>629</v>
      </c>
      <c r="E2540" s="259" t="s">
        <v>1853</v>
      </c>
      <c r="F2540" t="s">
        <v>620</v>
      </c>
      <c r="G2540" s="89" t="s">
        <v>2233</v>
      </c>
      <c r="H2540" s="344" t="s">
        <v>734</v>
      </c>
      <c r="I2540" s="337" t="str">
        <f t="shared" si="104"/>
        <v>Pesado de Passageiros M3: III : Gasóleo : E5</v>
      </c>
      <c r="J2540" s="247">
        <v>63</v>
      </c>
      <c r="K2540" s="264">
        <v>2022</v>
      </c>
      <c r="L2540" s="85">
        <v>16453.759999999998</v>
      </c>
      <c r="M2540" s="85" t="s">
        <v>630</v>
      </c>
      <c r="N2540" s="85">
        <v>49442</v>
      </c>
      <c r="O2540" s="128">
        <f t="shared" si="105"/>
        <v>3114846</v>
      </c>
      <c r="P2540" s="89" t="s">
        <v>2702</v>
      </c>
      <c r="Q2540" t="s">
        <v>47</v>
      </c>
      <c r="R2540" s="220" t="s">
        <v>1888</v>
      </c>
      <c r="S2540" s="220" t="s">
        <v>1861</v>
      </c>
      <c r="U2540" t="s">
        <v>1972</v>
      </c>
      <c r="V2540" t="s">
        <v>2832</v>
      </c>
    </row>
    <row r="2541" spans="1:22" ht="15.75" thickBot="1" x14ac:dyDescent="0.3">
      <c r="A2541" t="s">
        <v>4696</v>
      </c>
      <c r="B2541" t="s">
        <v>4696</v>
      </c>
      <c r="C2541" t="s">
        <v>4696</v>
      </c>
      <c r="D2541" t="s">
        <v>629</v>
      </c>
      <c r="E2541" s="259" t="s">
        <v>1853</v>
      </c>
      <c r="F2541" t="s">
        <v>620</v>
      </c>
      <c r="G2541" s="89" t="s">
        <v>2226</v>
      </c>
      <c r="H2541" s="344" t="s">
        <v>735</v>
      </c>
      <c r="I2541" s="337" t="str">
        <f t="shared" si="104"/>
        <v>Pesado de Passageiros M3: III : Gasóleo : E2</v>
      </c>
      <c r="J2541" s="247">
        <v>51</v>
      </c>
      <c r="K2541" s="264">
        <v>2022</v>
      </c>
      <c r="L2541" s="85">
        <v>12361.26</v>
      </c>
      <c r="M2541" s="85" t="s">
        <v>630</v>
      </c>
      <c r="N2541" s="85">
        <v>35860</v>
      </c>
      <c r="O2541" s="128">
        <f t="shared" si="105"/>
        <v>1828860</v>
      </c>
      <c r="P2541" s="89" t="s">
        <v>2703</v>
      </c>
      <c r="Q2541" t="s">
        <v>47</v>
      </c>
      <c r="R2541" s="220" t="s">
        <v>1888</v>
      </c>
      <c r="S2541" s="220" t="s">
        <v>1861</v>
      </c>
      <c r="U2541" t="s">
        <v>1972</v>
      </c>
      <c r="V2541" t="s">
        <v>2832</v>
      </c>
    </row>
    <row r="2542" spans="1:22" ht="15.75" thickBot="1" x14ac:dyDescent="0.3">
      <c r="A2542" t="s">
        <v>4696</v>
      </c>
      <c r="B2542" t="s">
        <v>4696</v>
      </c>
      <c r="C2542" t="s">
        <v>4696</v>
      </c>
      <c r="D2542" t="s">
        <v>629</v>
      </c>
      <c r="E2542" s="259" t="s">
        <v>1853</v>
      </c>
      <c r="F2542" t="s">
        <v>620</v>
      </c>
      <c r="G2542" s="89" t="s">
        <v>2233</v>
      </c>
      <c r="H2542" s="344" t="s">
        <v>733</v>
      </c>
      <c r="I2542" s="337" t="str">
        <f t="shared" si="104"/>
        <v>Pesado de Passageiros M3: III : Gasóleo : E6</v>
      </c>
      <c r="J2542" s="247">
        <v>53</v>
      </c>
      <c r="K2542" s="264">
        <v>2022</v>
      </c>
      <c r="L2542" s="85">
        <v>38853.57</v>
      </c>
      <c r="M2542" s="85" t="s">
        <v>630</v>
      </c>
      <c r="N2542" s="85">
        <v>126725</v>
      </c>
      <c r="O2542" s="128">
        <f t="shared" si="105"/>
        <v>6716425</v>
      </c>
      <c r="P2542" s="89" t="s">
        <v>2704</v>
      </c>
      <c r="Q2542" t="s">
        <v>47</v>
      </c>
      <c r="R2542" s="220" t="s">
        <v>1888</v>
      </c>
      <c r="S2542" s="220" t="s">
        <v>1861</v>
      </c>
      <c r="U2542" t="s">
        <v>1972</v>
      </c>
      <c r="V2542" t="s">
        <v>2832</v>
      </c>
    </row>
    <row r="2543" spans="1:22" ht="15.75" thickBot="1" x14ac:dyDescent="0.3">
      <c r="A2543" t="s">
        <v>4696</v>
      </c>
      <c r="B2543" t="s">
        <v>4696</v>
      </c>
      <c r="C2543" t="s">
        <v>4696</v>
      </c>
      <c r="D2543" t="s">
        <v>629</v>
      </c>
      <c r="E2543" s="259" t="s">
        <v>1853</v>
      </c>
      <c r="F2543" t="s">
        <v>620</v>
      </c>
      <c r="G2543" s="89" t="s">
        <v>2230</v>
      </c>
      <c r="H2543" s="344" t="s">
        <v>732</v>
      </c>
      <c r="I2543" s="337" t="str">
        <f t="shared" si="104"/>
        <v>Pesado de Passageiros M3: III : Gasóleo : E3</v>
      </c>
      <c r="J2543" s="247">
        <v>50</v>
      </c>
      <c r="K2543" s="264">
        <v>2022</v>
      </c>
      <c r="L2543" s="85">
        <v>7558.05</v>
      </c>
      <c r="M2543" s="85" t="s">
        <v>630</v>
      </c>
      <c r="N2543" s="85">
        <v>22030</v>
      </c>
      <c r="O2543" s="128">
        <f t="shared" si="105"/>
        <v>1101500</v>
      </c>
      <c r="P2543" s="89" t="s">
        <v>2705</v>
      </c>
      <c r="Q2543" t="s">
        <v>47</v>
      </c>
      <c r="R2543" s="220" t="s">
        <v>1888</v>
      </c>
      <c r="S2543" s="220" t="s">
        <v>1861</v>
      </c>
      <c r="U2543" t="s">
        <v>1972</v>
      </c>
      <c r="V2543" t="s">
        <v>2832</v>
      </c>
    </row>
    <row r="2544" spans="1:22" ht="15.75" thickBot="1" x14ac:dyDescent="0.3">
      <c r="A2544" t="s">
        <v>4696</v>
      </c>
      <c r="B2544" t="s">
        <v>4696</v>
      </c>
      <c r="C2544" t="s">
        <v>4696</v>
      </c>
      <c r="D2544" t="s">
        <v>629</v>
      </c>
      <c r="E2544" s="259" t="s">
        <v>1853</v>
      </c>
      <c r="F2544" t="s">
        <v>620</v>
      </c>
      <c r="G2544" s="89" t="s">
        <v>2240</v>
      </c>
      <c r="H2544" s="344" t="s">
        <v>734</v>
      </c>
      <c r="I2544" s="337" t="str">
        <f t="shared" si="104"/>
        <v>Pesado de Passageiros M3: III : Gasóleo : E5</v>
      </c>
      <c r="J2544" s="247">
        <v>53</v>
      </c>
      <c r="K2544" s="264">
        <v>2022</v>
      </c>
      <c r="L2544" s="85">
        <v>45015.66</v>
      </c>
      <c r="M2544" s="85" t="s">
        <v>630</v>
      </c>
      <c r="N2544" s="85">
        <v>144026</v>
      </c>
      <c r="O2544" s="128">
        <f t="shared" si="105"/>
        <v>7633378</v>
      </c>
      <c r="P2544" s="89" t="s">
        <v>2706</v>
      </c>
      <c r="Q2544" t="s">
        <v>47</v>
      </c>
      <c r="R2544" s="220" t="s">
        <v>1888</v>
      </c>
      <c r="S2544" s="220" t="s">
        <v>1861</v>
      </c>
      <c r="U2544" t="s">
        <v>1972</v>
      </c>
      <c r="V2544" t="s">
        <v>2832</v>
      </c>
    </row>
    <row r="2545" spans="1:22" ht="15.75" thickBot="1" x14ac:dyDescent="0.3">
      <c r="A2545" t="s">
        <v>4696</v>
      </c>
      <c r="B2545" t="s">
        <v>4696</v>
      </c>
      <c r="C2545" t="s">
        <v>4696</v>
      </c>
      <c r="D2545" t="s">
        <v>629</v>
      </c>
      <c r="E2545" s="259" t="s">
        <v>1853</v>
      </c>
      <c r="F2545" t="s">
        <v>620</v>
      </c>
      <c r="G2545" s="89" t="s">
        <v>2230</v>
      </c>
      <c r="H2545" s="344" t="s">
        <v>734</v>
      </c>
      <c r="I2545" s="337" t="str">
        <f t="shared" si="104"/>
        <v>Pesado de Passageiros M3: III : Gasóleo : E5</v>
      </c>
      <c r="J2545" s="247">
        <v>83</v>
      </c>
      <c r="K2545" s="264">
        <v>2022</v>
      </c>
      <c r="L2545" s="85">
        <v>11656.98</v>
      </c>
      <c r="M2545" s="85" t="s">
        <v>630</v>
      </c>
      <c r="N2545" s="85">
        <v>38226</v>
      </c>
      <c r="O2545" s="128">
        <f t="shared" si="105"/>
        <v>3172758</v>
      </c>
      <c r="P2545" s="89" t="s">
        <v>2707</v>
      </c>
      <c r="Q2545" t="s">
        <v>47</v>
      </c>
      <c r="R2545" s="220" t="s">
        <v>1888</v>
      </c>
      <c r="S2545" s="220" t="s">
        <v>1861</v>
      </c>
      <c r="U2545" t="s">
        <v>1972</v>
      </c>
      <c r="V2545" t="s">
        <v>2832</v>
      </c>
    </row>
    <row r="2546" spans="1:22" ht="15.75" thickBot="1" x14ac:dyDescent="0.3">
      <c r="A2546" t="s">
        <v>4696</v>
      </c>
      <c r="B2546" t="s">
        <v>4696</v>
      </c>
      <c r="C2546" t="s">
        <v>4696</v>
      </c>
      <c r="D2546" t="s">
        <v>629</v>
      </c>
      <c r="E2546" s="259" t="s">
        <v>1853</v>
      </c>
      <c r="F2546" t="s">
        <v>620</v>
      </c>
      <c r="G2546" s="89" t="s">
        <v>2230</v>
      </c>
      <c r="H2546" s="344" t="s">
        <v>734</v>
      </c>
      <c r="I2546" s="337" t="str">
        <f t="shared" si="104"/>
        <v>Pesado de Passageiros M3: III : Gasóleo : E5</v>
      </c>
      <c r="J2546" s="247">
        <v>83</v>
      </c>
      <c r="K2546" s="264">
        <v>2022</v>
      </c>
      <c r="L2546" s="85">
        <v>12457.53</v>
      </c>
      <c r="M2546" s="85" t="s">
        <v>630</v>
      </c>
      <c r="N2546" s="85">
        <v>40922</v>
      </c>
      <c r="O2546" s="128">
        <f t="shared" si="105"/>
        <v>3396526</v>
      </c>
      <c r="P2546" s="89" t="s">
        <v>2708</v>
      </c>
      <c r="Q2546" t="s">
        <v>47</v>
      </c>
      <c r="R2546" s="220" t="s">
        <v>1888</v>
      </c>
      <c r="S2546" s="220" t="s">
        <v>1861</v>
      </c>
      <c r="U2546" t="s">
        <v>1972</v>
      </c>
      <c r="V2546" t="s">
        <v>2832</v>
      </c>
    </row>
    <row r="2547" spans="1:22" ht="15.75" thickBot="1" x14ac:dyDescent="0.3">
      <c r="A2547" t="s">
        <v>4696</v>
      </c>
      <c r="B2547" t="s">
        <v>4696</v>
      </c>
      <c r="C2547" t="s">
        <v>4696</v>
      </c>
      <c r="D2547" t="s">
        <v>629</v>
      </c>
      <c r="E2547" s="259" t="s">
        <v>1853</v>
      </c>
      <c r="F2547" t="s">
        <v>620</v>
      </c>
      <c r="G2547" s="89" t="s">
        <v>2230</v>
      </c>
      <c r="H2547" s="344" t="s">
        <v>734</v>
      </c>
      <c r="I2547" s="337" t="str">
        <f t="shared" si="104"/>
        <v>Pesado de Passageiros M3: III : Gasóleo : E5</v>
      </c>
      <c r="J2547" s="247">
        <v>83</v>
      </c>
      <c r="K2547" s="264">
        <v>2022</v>
      </c>
      <c r="L2547" s="85">
        <v>8198.86</v>
      </c>
      <c r="M2547" s="85" t="s">
        <v>630</v>
      </c>
      <c r="N2547" s="85">
        <v>25629</v>
      </c>
      <c r="O2547" s="128">
        <f t="shared" si="105"/>
        <v>2127207</v>
      </c>
      <c r="P2547" s="89" t="s">
        <v>2709</v>
      </c>
      <c r="Q2547" t="s">
        <v>47</v>
      </c>
      <c r="R2547" s="220" t="s">
        <v>1888</v>
      </c>
      <c r="S2547" s="220" t="s">
        <v>1861</v>
      </c>
      <c r="U2547" t="s">
        <v>1972</v>
      </c>
      <c r="V2547" t="s">
        <v>2832</v>
      </c>
    </row>
    <row r="2548" spans="1:22" ht="15.75" thickBot="1" x14ac:dyDescent="0.3">
      <c r="A2548" t="s">
        <v>4696</v>
      </c>
      <c r="B2548" t="s">
        <v>4696</v>
      </c>
      <c r="C2548" t="s">
        <v>4696</v>
      </c>
      <c r="D2548" t="s">
        <v>629</v>
      </c>
      <c r="E2548" s="259" t="s">
        <v>1853</v>
      </c>
      <c r="F2548" t="s">
        <v>620</v>
      </c>
      <c r="G2548" s="89" t="s">
        <v>2230</v>
      </c>
      <c r="H2548" s="344" t="s">
        <v>734</v>
      </c>
      <c r="I2548" s="337" t="str">
        <f t="shared" si="104"/>
        <v>Pesado de Passageiros M3: III : Gasóleo : E5</v>
      </c>
      <c r="J2548" s="247">
        <v>83</v>
      </c>
      <c r="K2548" s="264">
        <v>2022</v>
      </c>
      <c r="L2548" s="85">
        <v>10423.48</v>
      </c>
      <c r="M2548" s="85" t="s">
        <v>630</v>
      </c>
      <c r="N2548" s="85">
        <v>36591</v>
      </c>
      <c r="O2548" s="128">
        <f t="shared" si="105"/>
        <v>3037053</v>
      </c>
      <c r="P2548" s="89" t="s">
        <v>2710</v>
      </c>
      <c r="Q2548" t="s">
        <v>47</v>
      </c>
      <c r="R2548" s="220" t="s">
        <v>1888</v>
      </c>
      <c r="S2548" s="220" t="s">
        <v>1861</v>
      </c>
      <c r="U2548" t="s">
        <v>1972</v>
      </c>
      <c r="V2548" t="s">
        <v>2832</v>
      </c>
    </row>
    <row r="2549" spans="1:22" ht="15.75" thickBot="1" x14ac:dyDescent="0.3">
      <c r="A2549" t="s">
        <v>4696</v>
      </c>
      <c r="B2549" t="s">
        <v>4696</v>
      </c>
      <c r="C2549" t="s">
        <v>4696</v>
      </c>
      <c r="D2549" t="s">
        <v>629</v>
      </c>
      <c r="E2549" s="259" t="s">
        <v>1853</v>
      </c>
      <c r="F2549" t="s">
        <v>620</v>
      </c>
      <c r="G2549" s="89" t="s">
        <v>2230</v>
      </c>
      <c r="H2549" s="344" t="s">
        <v>734</v>
      </c>
      <c r="I2549" s="337" t="str">
        <f t="shared" si="104"/>
        <v>Pesado de Passageiros M3: III : Gasóleo : E5</v>
      </c>
      <c r="J2549" s="247">
        <v>83</v>
      </c>
      <c r="K2549" s="264">
        <v>2022</v>
      </c>
      <c r="L2549" s="85">
        <v>14463.2</v>
      </c>
      <c r="M2549" s="85" t="s">
        <v>630</v>
      </c>
      <c r="N2549" s="85">
        <v>47219</v>
      </c>
      <c r="O2549" s="128">
        <f t="shared" si="105"/>
        <v>3919177</v>
      </c>
      <c r="P2549" s="89" t="s">
        <v>2711</v>
      </c>
      <c r="Q2549" t="s">
        <v>47</v>
      </c>
      <c r="R2549" s="220" t="s">
        <v>1888</v>
      </c>
      <c r="S2549" s="220" t="s">
        <v>1861</v>
      </c>
      <c r="U2549" t="s">
        <v>1972</v>
      </c>
      <c r="V2549" t="s">
        <v>2832</v>
      </c>
    </row>
    <row r="2550" spans="1:22" ht="15.75" thickBot="1" x14ac:dyDescent="0.3">
      <c r="A2550" t="s">
        <v>4696</v>
      </c>
      <c r="B2550" t="s">
        <v>4696</v>
      </c>
      <c r="C2550" t="s">
        <v>4696</v>
      </c>
      <c r="D2550" t="s">
        <v>629</v>
      </c>
      <c r="E2550" s="259" t="s">
        <v>1853</v>
      </c>
      <c r="F2550" t="s">
        <v>620</v>
      </c>
      <c r="G2550" s="89" t="s">
        <v>2230</v>
      </c>
      <c r="H2550" s="344" t="s">
        <v>731</v>
      </c>
      <c r="I2550" s="337" t="str">
        <f t="shared" si="104"/>
        <v>Pesado de Passageiros M3: III : Gasóleo : E4</v>
      </c>
      <c r="J2550" s="247">
        <v>71</v>
      </c>
      <c r="K2550" s="264">
        <v>2022</v>
      </c>
      <c r="L2550" s="85">
        <v>13070.71</v>
      </c>
      <c r="M2550" s="85" t="s">
        <v>630</v>
      </c>
      <c r="N2550" s="85">
        <v>39755</v>
      </c>
      <c r="O2550" s="128">
        <f t="shared" si="105"/>
        <v>2822605</v>
      </c>
      <c r="P2550" s="89" t="s">
        <v>2712</v>
      </c>
      <c r="Q2550" t="s">
        <v>47</v>
      </c>
      <c r="R2550" s="220" t="s">
        <v>1888</v>
      </c>
      <c r="S2550" s="220" t="s">
        <v>1861</v>
      </c>
      <c r="U2550" t="s">
        <v>1972</v>
      </c>
      <c r="V2550" t="s">
        <v>2832</v>
      </c>
    </row>
    <row r="2551" spans="1:22" ht="15.75" thickBot="1" x14ac:dyDescent="0.3">
      <c r="A2551" t="s">
        <v>4696</v>
      </c>
      <c r="B2551" t="s">
        <v>4696</v>
      </c>
      <c r="C2551" t="s">
        <v>4696</v>
      </c>
      <c r="D2551" t="s">
        <v>629</v>
      </c>
      <c r="E2551" s="259" t="s">
        <v>1853</v>
      </c>
      <c r="F2551" t="s">
        <v>620</v>
      </c>
      <c r="G2551" s="89" t="s">
        <v>2233</v>
      </c>
      <c r="H2551" s="344" t="s">
        <v>733</v>
      </c>
      <c r="I2551" s="337" t="str">
        <f t="shared" si="104"/>
        <v>Pesado de Passageiros M3: III : Gasóleo : E6</v>
      </c>
      <c r="J2551" s="247">
        <v>23</v>
      </c>
      <c r="K2551" s="264">
        <v>2022</v>
      </c>
      <c r="L2551" s="85">
        <v>5792.76</v>
      </c>
      <c r="M2551" s="85" t="s">
        <v>630</v>
      </c>
      <c r="N2551" s="85">
        <v>39663</v>
      </c>
      <c r="O2551" s="128">
        <f t="shared" si="105"/>
        <v>912249</v>
      </c>
      <c r="P2551" s="89" t="s">
        <v>2713</v>
      </c>
      <c r="Q2551" t="s">
        <v>47</v>
      </c>
      <c r="R2551" s="220" t="s">
        <v>1888</v>
      </c>
      <c r="S2551" s="220" t="s">
        <v>1861</v>
      </c>
      <c r="U2551" t="s">
        <v>1972</v>
      </c>
      <c r="V2551" t="s">
        <v>2832</v>
      </c>
    </row>
    <row r="2552" spans="1:22" ht="15.75" thickBot="1" x14ac:dyDescent="0.3">
      <c r="A2552" t="s">
        <v>4696</v>
      </c>
      <c r="B2552" t="s">
        <v>4696</v>
      </c>
      <c r="C2552" t="s">
        <v>4696</v>
      </c>
      <c r="D2552" t="s">
        <v>629</v>
      </c>
      <c r="E2552" s="259" t="s">
        <v>1853</v>
      </c>
      <c r="F2552" t="s">
        <v>620</v>
      </c>
      <c r="G2552" s="89" t="s">
        <v>2233</v>
      </c>
      <c r="H2552" s="344" t="s">
        <v>733</v>
      </c>
      <c r="I2552" s="337" t="str">
        <f t="shared" si="104"/>
        <v>Pesado de Passageiros M3: III : Gasóleo : E6</v>
      </c>
      <c r="J2552" s="247">
        <v>23</v>
      </c>
      <c r="K2552" s="264">
        <v>2022</v>
      </c>
      <c r="L2552" s="85">
        <v>6382.43</v>
      </c>
      <c r="M2552" s="85" t="s">
        <v>630</v>
      </c>
      <c r="N2552" s="85">
        <v>35005</v>
      </c>
      <c r="O2552" s="128">
        <f t="shared" si="105"/>
        <v>805115</v>
      </c>
      <c r="P2552" s="89" t="s">
        <v>2714</v>
      </c>
      <c r="Q2552" t="s">
        <v>47</v>
      </c>
      <c r="R2552" s="220" t="s">
        <v>1888</v>
      </c>
      <c r="S2552" s="220" t="s">
        <v>1861</v>
      </c>
      <c r="U2552" t="s">
        <v>1972</v>
      </c>
      <c r="V2552" t="s">
        <v>2832</v>
      </c>
    </row>
    <row r="2553" spans="1:22" ht="15.75" thickBot="1" x14ac:dyDescent="0.3">
      <c r="A2553" t="s">
        <v>4696</v>
      </c>
      <c r="B2553" t="s">
        <v>4696</v>
      </c>
      <c r="C2553" t="s">
        <v>4696</v>
      </c>
      <c r="D2553" t="s">
        <v>629</v>
      </c>
      <c r="E2553" s="259" t="s">
        <v>1853</v>
      </c>
      <c r="F2553" t="s">
        <v>620</v>
      </c>
      <c r="G2553" s="89" t="s">
        <v>2222</v>
      </c>
      <c r="H2553" s="344" t="s">
        <v>733</v>
      </c>
      <c r="I2553" s="337" t="str">
        <f t="shared" si="104"/>
        <v>Pesado de Passageiros M3: III : Gasóleo : E6</v>
      </c>
      <c r="J2553" s="247">
        <v>39</v>
      </c>
      <c r="K2553" s="264">
        <v>2022</v>
      </c>
      <c r="L2553" s="85">
        <v>12334.31</v>
      </c>
      <c r="M2553" s="85" t="s">
        <v>630</v>
      </c>
      <c r="N2553" s="85">
        <v>40204</v>
      </c>
      <c r="O2553" s="128">
        <f t="shared" si="105"/>
        <v>1567956</v>
      </c>
      <c r="P2553" s="89" t="s">
        <v>2715</v>
      </c>
      <c r="Q2553" t="s">
        <v>47</v>
      </c>
      <c r="R2553" s="220" t="s">
        <v>1888</v>
      </c>
      <c r="S2553" s="220" t="s">
        <v>1861</v>
      </c>
      <c r="U2553" t="s">
        <v>1972</v>
      </c>
      <c r="V2553" t="s">
        <v>2832</v>
      </c>
    </row>
    <row r="2554" spans="1:22" ht="15.75" thickBot="1" x14ac:dyDescent="0.3">
      <c r="A2554" t="s">
        <v>4696</v>
      </c>
      <c r="B2554" t="s">
        <v>4696</v>
      </c>
      <c r="C2554" t="s">
        <v>4696</v>
      </c>
      <c r="D2554" t="s">
        <v>629</v>
      </c>
      <c r="E2554" s="259" t="s">
        <v>1853</v>
      </c>
      <c r="F2554" t="s">
        <v>620</v>
      </c>
      <c r="G2554" s="89" t="s">
        <v>2222</v>
      </c>
      <c r="H2554" s="344" t="s">
        <v>733</v>
      </c>
      <c r="I2554" s="337" t="str">
        <f t="shared" si="104"/>
        <v>Pesado de Passageiros M3: III : Gasóleo : E6</v>
      </c>
      <c r="J2554" s="247">
        <v>53</v>
      </c>
      <c r="K2554" s="264">
        <v>2022</v>
      </c>
      <c r="L2554" s="85">
        <v>34229.67</v>
      </c>
      <c r="M2554" s="85" t="s">
        <v>630</v>
      </c>
      <c r="N2554" s="85">
        <v>111192</v>
      </c>
      <c r="O2554" s="128">
        <f t="shared" si="105"/>
        <v>5893176</v>
      </c>
      <c r="P2554" s="89" t="s">
        <v>2716</v>
      </c>
      <c r="Q2554" t="s">
        <v>47</v>
      </c>
      <c r="R2554" s="220" t="s">
        <v>1888</v>
      </c>
      <c r="S2554" s="220" t="s">
        <v>1861</v>
      </c>
      <c r="U2554" t="s">
        <v>1972</v>
      </c>
      <c r="V2554" t="s">
        <v>2832</v>
      </c>
    </row>
    <row r="2555" spans="1:22" ht="15.75" thickBot="1" x14ac:dyDescent="0.3">
      <c r="A2555" t="s">
        <v>4696</v>
      </c>
      <c r="B2555" t="s">
        <v>4696</v>
      </c>
      <c r="C2555" t="s">
        <v>4696</v>
      </c>
      <c r="D2555" t="s">
        <v>629</v>
      </c>
      <c r="E2555" s="259" t="s">
        <v>1853</v>
      </c>
      <c r="F2555" t="s">
        <v>620</v>
      </c>
      <c r="G2555" s="89" t="s">
        <v>2222</v>
      </c>
      <c r="H2555" s="344" t="s">
        <v>733</v>
      </c>
      <c r="I2555" s="337" t="str">
        <f t="shared" si="104"/>
        <v>Pesado de Passageiros M3: III : Gasóleo : E6</v>
      </c>
      <c r="J2555" s="247">
        <v>53</v>
      </c>
      <c r="K2555" s="264">
        <v>2022</v>
      </c>
      <c r="L2555" s="85">
        <v>19195.18</v>
      </c>
      <c r="M2555" s="85" t="s">
        <v>630</v>
      </c>
      <c r="N2555" s="85">
        <v>66187</v>
      </c>
      <c r="O2555" s="128">
        <f t="shared" si="105"/>
        <v>3507911</v>
      </c>
      <c r="P2555" s="89" t="s">
        <v>2717</v>
      </c>
      <c r="Q2555" t="s">
        <v>47</v>
      </c>
      <c r="R2555" s="220" t="s">
        <v>1888</v>
      </c>
      <c r="S2555" s="220" t="s">
        <v>1861</v>
      </c>
      <c r="U2555" t="s">
        <v>1972</v>
      </c>
      <c r="V2555" t="s">
        <v>2832</v>
      </c>
    </row>
    <row r="2556" spans="1:22" ht="15.75" thickBot="1" x14ac:dyDescent="0.3">
      <c r="A2556" t="s">
        <v>4696</v>
      </c>
      <c r="B2556" t="s">
        <v>4696</v>
      </c>
      <c r="C2556" t="s">
        <v>4696</v>
      </c>
      <c r="D2556" t="s">
        <v>629</v>
      </c>
      <c r="E2556" s="259" t="s">
        <v>1853</v>
      </c>
      <c r="F2556" t="s">
        <v>620</v>
      </c>
      <c r="G2556" s="89" t="s">
        <v>2224</v>
      </c>
      <c r="H2556" s="344" t="s">
        <v>734</v>
      </c>
      <c r="I2556" s="337" t="str">
        <f t="shared" si="104"/>
        <v>Pesado de Passageiros M3: III : Gasóleo : E5</v>
      </c>
      <c r="J2556" s="247">
        <v>83</v>
      </c>
      <c r="K2556" s="264">
        <v>2022</v>
      </c>
      <c r="L2556" s="85">
        <v>13981.66</v>
      </c>
      <c r="M2556" s="85" t="s">
        <v>630</v>
      </c>
      <c r="N2556" s="85">
        <v>44744</v>
      </c>
      <c r="O2556" s="128">
        <f t="shared" si="105"/>
        <v>3713752</v>
      </c>
      <c r="P2556" s="89" t="s">
        <v>2718</v>
      </c>
      <c r="Q2556" t="s">
        <v>47</v>
      </c>
      <c r="R2556" s="220" t="s">
        <v>1888</v>
      </c>
      <c r="S2556" s="220" t="s">
        <v>1861</v>
      </c>
      <c r="U2556" t="s">
        <v>1972</v>
      </c>
      <c r="V2556" t="s">
        <v>2832</v>
      </c>
    </row>
    <row r="2557" spans="1:22" ht="15.75" thickBot="1" x14ac:dyDescent="0.3">
      <c r="A2557" t="s">
        <v>4696</v>
      </c>
      <c r="B2557" t="s">
        <v>4696</v>
      </c>
      <c r="C2557" t="s">
        <v>4696</v>
      </c>
      <c r="D2557" t="s">
        <v>629</v>
      </c>
      <c r="E2557" s="259" t="s">
        <v>1853</v>
      </c>
      <c r="F2557" t="s">
        <v>620</v>
      </c>
      <c r="G2557" s="89" t="s">
        <v>2231</v>
      </c>
      <c r="H2557" s="344" t="s">
        <v>734</v>
      </c>
      <c r="I2557" s="337" t="str">
        <f t="shared" si="104"/>
        <v>Pesado de Passageiros M3: III : Gasóleo : E5</v>
      </c>
      <c r="J2557" s="247">
        <v>85</v>
      </c>
      <c r="K2557" s="264">
        <v>2022</v>
      </c>
      <c r="L2557" s="85">
        <v>13113.69</v>
      </c>
      <c r="M2557" s="85" t="s">
        <v>630</v>
      </c>
      <c r="N2557" s="85">
        <v>42194</v>
      </c>
      <c r="O2557" s="128">
        <f t="shared" si="105"/>
        <v>3586490</v>
      </c>
      <c r="P2557" s="89" t="s">
        <v>2719</v>
      </c>
      <c r="Q2557" t="s">
        <v>47</v>
      </c>
      <c r="R2557" s="220" t="s">
        <v>1888</v>
      </c>
      <c r="S2557" s="220" t="s">
        <v>1861</v>
      </c>
      <c r="U2557" t="s">
        <v>1972</v>
      </c>
      <c r="V2557" t="s">
        <v>2832</v>
      </c>
    </row>
    <row r="2558" spans="1:22" ht="15.75" thickBot="1" x14ac:dyDescent="0.3">
      <c r="A2558" t="s">
        <v>4696</v>
      </c>
      <c r="B2558" t="s">
        <v>4696</v>
      </c>
      <c r="C2558" t="s">
        <v>4696</v>
      </c>
      <c r="D2558" t="s">
        <v>629</v>
      </c>
      <c r="E2558" s="259" t="s">
        <v>1853</v>
      </c>
      <c r="F2558" t="s">
        <v>620</v>
      </c>
      <c r="G2558" s="89" t="s">
        <v>2222</v>
      </c>
      <c r="H2558" s="344" t="s">
        <v>733</v>
      </c>
      <c r="I2558" s="337" t="str">
        <f t="shared" si="104"/>
        <v>Pesado de Passageiros M3: III : Gasóleo : E6</v>
      </c>
      <c r="J2558" s="247">
        <v>25</v>
      </c>
      <c r="K2558" s="264">
        <v>2022</v>
      </c>
      <c r="L2558" s="85">
        <v>7972.7</v>
      </c>
      <c r="M2558" s="85" t="s">
        <v>630</v>
      </c>
      <c r="N2558" s="85">
        <v>42324</v>
      </c>
      <c r="O2558" s="128">
        <f t="shared" si="105"/>
        <v>1058100</v>
      </c>
      <c r="P2558" s="89" t="s">
        <v>2720</v>
      </c>
      <c r="Q2558" t="s">
        <v>47</v>
      </c>
      <c r="R2558" s="220" t="s">
        <v>1888</v>
      </c>
      <c r="S2558" s="220" t="s">
        <v>1861</v>
      </c>
      <c r="U2558" t="s">
        <v>1972</v>
      </c>
      <c r="V2558" t="s">
        <v>2832</v>
      </c>
    </row>
    <row r="2559" spans="1:22" ht="15.75" thickBot="1" x14ac:dyDescent="0.3">
      <c r="A2559" t="s">
        <v>4696</v>
      </c>
      <c r="B2559" t="s">
        <v>4696</v>
      </c>
      <c r="C2559" t="s">
        <v>4696</v>
      </c>
      <c r="D2559" t="s">
        <v>629</v>
      </c>
      <c r="E2559" s="259" t="s">
        <v>1853</v>
      </c>
      <c r="F2559" t="s">
        <v>620</v>
      </c>
      <c r="G2559" s="89" t="s">
        <v>2223</v>
      </c>
      <c r="H2559" s="344" t="s">
        <v>734</v>
      </c>
      <c r="I2559" s="337" t="str">
        <f t="shared" si="104"/>
        <v>Pesado de Passageiros M3: III : Gasóleo : E5</v>
      </c>
      <c r="J2559" s="247">
        <v>71</v>
      </c>
      <c r="K2559" s="264">
        <v>2022</v>
      </c>
      <c r="L2559" s="85">
        <v>10982.94</v>
      </c>
      <c r="M2559" s="85" t="s">
        <v>630</v>
      </c>
      <c r="N2559" s="85">
        <v>35923</v>
      </c>
      <c r="O2559" s="128">
        <f t="shared" si="105"/>
        <v>2550533</v>
      </c>
      <c r="P2559" s="89" t="s">
        <v>2721</v>
      </c>
      <c r="Q2559" t="s">
        <v>47</v>
      </c>
      <c r="R2559" s="220" t="s">
        <v>1888</v>
      </c>
      <c r="S2559" s="220" t="s">
        <v>1861</v>
      </c>
      <c r="U2559" t="s">
        <v>1972</v>
      </c>
      <c r="V2559" t="s">
        <v>2832</v>
      </c>
    </row>
    <row r="2560" spans="1:22" ht="15.75" thickBot="1" x14ac:dyDescent="0.3">
      <c r="A2560" t="s">
        <v>4696</v>
      </c>
      <c r="B2560" t="s">
        <v>4696</v>
      </c>
      <c r="C2560" t="s">
        <v>4696</v>
      </c>
      <c r="D2560" t="s">
        <v>629</v>
      </c>
      <c r="E2560" s="259" t="s">
        <v>1853</v>
      </c>
      <c r="F2560" t="s">
        <v>620</v>
      </c>
      <c r="G2560" s="89" t="s">
        <v>2222</v>
      </c>
      <c r="H2560" s="344" t="s">
        <v>733</v>
      </c>
      <c r="I2560" s="337" t="str">
        <f t="shared" si="104"/>
        <v>Pesado de Passageiros M3: III : Gasóleo : E6</v>
      </c>
      <c r="J2560" s="247">
        <v>57</v>
      </c>
      <c r="K2560" s="264">
        <v>2022</v>
      </c>
      <c r="L2560" s="85">
        <v>14912.31</v>
      </c>
      <c r="M2560" s="85" t="s">
        <v>630</v>
      </c>
      <c r="N2560" s="85">
        <v>41550</v>
      </c>
      <c r="O2560" s="128">
        <f t="shared" si="105"/>
        <v>2368350</v>
      </c>
      <c r="P2560" s="89" t="s">
        <v>2722</v>
      </c>
      <c r="Q2560" t="s">
        <v>47</v>
      </c>
      <c r="R2560" s="220" t="s">
        <v>1888</v>
      </c>
      <c r="S2560" s="220" t="s">
        <v>1861</v>
      </c>
      <c r="U2560" t="s">
        <v>1972</v>
      </c>
      <c r="V2560" t="s">
        <v>2832</v>
      </c>
    </row>
    <row r="2561" spans="1:22" ht="15.75" thickBot="1" x14ac:dyDescent="0.3">
      <c r="A2561" t="s">
        <v>4696</v>
      </c>
      <c r="B2561" t="s">
        <v>4696</v>
      </c>
      <c r="C2561" t="s">
        <v>4696</v>
      </c>
      <c r="D2561" t="s">
        <v>629</v>
      </c>
      <c r="E2561" s="259" t="s">
        <v>1853</v>
      </c>
      <c r="F2561" t="s">
        <v>620</v>
      </c>
      <c r="G2561" s="89" t="s">
        <v>2222</v>
      </c>
      <c r="H2561" s="344" t="s">
        <v>733</v>
      </c>
      <c r="I2561" s="337" t="str">
        <f t="shared" si="104"/>
        <v>Pesado de Passageiros M3: III : Gasóleo : E6</v>
      </c>
      <c r="J2561" s="247">
        <v>57</v>
      </c>
      <c r="K2561" s="264">
        <v>2022</v>
      </c>
      <c r="L2561" s="85">
        <v>13666.54</v>
      </c>
      <c r="M2561" s="85" t="s">
        <v>630</v>
      </c>
      <c r="N2561" s="85">
        <v>38407</v>
      </c>
      <c r="O2561" s="128">
        <f t="shared" si="105"/>
        <v>2189199</v>
      </c>
      <c r="P2561" s="89" t="s">
        <v>2723</v>
      </c>
      <c r="Q2561" t="s">
        <v>47</v>
      </c>
      <c r="R2561" s="220" t="s">
        <v>1888</v>
      </c>
      <c r="S2561" s="220" t="s">
        <v>1861</v>
      </c>
      <c r="U2561" t="s">
        <v>1972</v>
      </c>
      <c r="V2561" t="s">
        <v>2832</v>
      </c>
    </row>
    <row r="2562" spans="1:22" ht="15.75" thickBot="1" x14ac:dyDescent="0.3">
      <c r="A2562" t="s">
        <v>4696</v>
      </c>
      <c r="B2562" t="s">
        <v>4696</v>
      </c>
      <c r="C2562" t="s">
        <v>4696</v>
      </c>
      <c r="D2562" t="s">
        <v>629</v>
      </c>
      <c r="E2562" s="259" t="s">
        <v>1853</v>
      </c>
      <c r="F2562" t="s">
        <v>620</v>
      </c>
      <c r="G2562" s="89" t="s">
        <v>2241</v>
      </c>
      <c r="H2562" s="344" t="s">
        <v>735</v>
      </c>
      <c r="I2562" s="337" t="str">
        <f t="shared" si="104"/>
        <v>Pesado de Passageiros M3: III : Gasóleo : E2</v>
      </c>
      <c r="J2562" s="247">
        <v>97</v>
      </c>
      <c r="K2562" s="264">
        <v>2022</v>
      </c>
      <c r="L2562" s="85">
        <v>17932.02</v>
      </c>
      <c r="M2562" s="85" t="s">
        <v>630</v>
      </c>
      <c r="N2562" s="85">
        <v>33529</v>
      </c>
      <c r="O2562" s="128">
        <f t="shared" si="105"/>
        <v>3252313</v>
      </c>
      <c r="P2562" s="89" t="s">
        <v>2724</v>
      </c>
      <c r="Q2562" t="s">
        <v>47</v>
      </c>
      <c r="R2562" s="220" t="s">
        <v>1888</v>
      </c>
      <c r="S2562" s="220" t="s">
        <v>1861</v>
      </c>
      <c r="U2562" t="s">
        <v>1972</v>
      </c>
      <c r="V2562" t="s">
        <v>2832</v>
      </c>
    </row>
    <row r="2563" spans="1:22" ht="15.75" thickBot="1" x14ac:dyDescent="0.3">
      <c r="A2563" t="s">
        <v>4696</v>
      </c>
      <c r="B2563" t="s">
        <v>4696</v>
      </c>
      <c r="C2563" t="s">
        <v>4696</v>
      </c>
      <c r="D2563" t="s">
        <v>629</v>
      </c>
      <c r="E2563" s="259" t="s">
        <v>1853</v>
      </c>
      <c r="F2563" t="s">
        <v>620</v>
      </c>
      <c r="G2563" s="89" t="s">
        <v>2239</v>
      </c>
      <c r="H2563" s="344" t="s">
        <v>732</v>
      </c>
      <c r="I2563" s="337" t="str">
        <f t="shared" si="104"/>
        <v>Pesado de Passageiros M3: III : Gasóleo : E3</v>
      </c>
      <c r="J2563" s="247">
        <v>74</v>
      </c>
      <c r="K2563" s="264">
        <v>2022</v>
      </c>
      <c r="L2563" s="85">
        <v>20015.009999999998</v>
      </c>
      <c r="M2563" s="85" t="s">
        <v>630</v>
      </c>
      <c r="N2563" s="85">
        <v>41461</v>
      </c>
      <c r="O2563" s="128">
        <f t="shared" si="105"/>
        <v>3068114</v>
      </c>
      <c r="P2563" s="89" t="s">
        <v>2725</v>
      </c>
      <c r="Q2563" t="s">
        <v>47</v>
      </c>
      <c r="R2563" s="220" t="s">
        <v>1888</v>
      </c>
      <c r="S2563" s="220" t="s">
        <v>1861</v>
      </c>
      <c r="U2563" t="s">
        <v>1972</v>
      </c>
      <c r="V2563" t="s">
        <v>2832</v>
      </c>
    </row>
    <row r="2564" spans="1:22" ht="15.75" thickBot="1" x14ac:dyDescent="0.3">
      <c r="A2564" t="s">
        <v>4696</v>
      </c>
      <c r="B2564" t="s">
        <v>4696</v>
      </c>
      <c r="C2564" t="s">
        <v>4696</v>
      </c>
      <c r="D2564" t="s">
        <v>629</v>
      </c>
      <c r="E2564" s="259" t="s">
        <v>1853</v>
      </c>
      <c r="F2564" t="s">
        <v>620</v>
      </c>
      <c r="G2564" s="89" t="s">
        <v>2230</v>
      </c>
      <c r="H2564" s="344" t="s">
        <v>731</v>
      </c>
      <c r="I2564" s="337" t="str">
        <f t="shared" ref="I2564:I2627" si="106">D2564&amp;": "&amp;E2564&amp;" : "&amp;F2564&amp;" : "&amp;H2564</f>
        <v>Pesado de Passageiros M3: III : Gasóleo : E4</v>
      </c>
      <c r="J2564" s="247">
        <v>62</v>
      </c>
      <c r="K2564" s="264">
        <v>2022</v>
      </c>
      <c r="L2564" s="85">
        <v>16168.04</v>
      </c>
      <c r="M2564" s="85" t="s">
        <v>630</v>
      </c>
      <c r="N2564" s="85">
        <v>40361</v>
      </c>
      <c r="O2564" s="128">
        <f t="shared" ref="O2564:O2627" si="107">N2564*J2564</f>
        <v>2502382</v>
      </c>
      <c r="P2564" s="89" t="s">
        <v>2726</v>
      </c>
      <c r="Q2564" t="s">
        <v>47</v>
      </c>
      <c r="R2564" s="220" t="s">
        <v>1888</v>
      </c>
      <c r="S2564" s="220" t="s">
        <v>1861</v>
      </c>
      <c r="U2564" t="s">
        <v>1972</v>
      </c>
      <c r="V2564" t="s">
        <v>2832</v>
      </c>
    </row>
    <row r="2565" spans="1:22" ht="15.75" thickBot="1" x14ac:dyDescent="0.3">
      <c r="A2565" t="s">
        <v>4696</v>
      </c>
      <c r="B2565" t="s">
        <v>4696</v>
      </c>
      <c r="C2565" t="s">
        <v>4696</v>
      </c>
      <c r="D2565" t="s">
        <v>629</v>
      </c>
      <c r="E2565" s="259" t="s">
        <v>1853</v>
      </c>
      <c r="F2565" t="s">
        <v>620</v>
      </c>
      <c r="G2565" s="89" t="s">
        <v>2230</v>
      </c>
      <c r="H2565" s="344" t="s">
        <v>731</v>
      </c>
      <c r="I2565" s="337" t="str">
        <f t="shared" si="106"/>
        <v>Pesado de Passageiros M3: III : Gasóleo : E4</v>
      </c>
      <c r="J2565" s="247">
        <v>62</v>
      </c>
      <c r="K2565" s="264">
        <v>2022</v>
      </c>
      <c r="L2565" s="85">
        <v>19209.560000000001</v>
      </c>
      <c r="M2565" s="85" t="s">
        <v>630</v>
      </c>
      <c r="N2565" s="85">
        <v>48976</v>
      </c>
      <c r="O2565" s="128">
        <f t="shared" si="107"/>
        <v>3036512</v>
      </c>
      <c r="P2565" s="89" t="s">
        <v>2727</v>
      </c>
      <c r="Q2565" t="s">
        <v>47</v>
      </c>
      <c r="R2565" s="220" t="s">
        <v>1888</v>
      </c>
      <c r="S2565" s="220" t="s">
        <v>1861</v>
      </c>
      <c r="U2565" t="s">
        <v>1972</v>
      </c>
      <c r="V2565" t="s">
        <v>2832</v>
      </c>
    </row>
    <row r="2566" spans="1:22" ht="15.75" thickBot="1" x14ac:dyDescent="0.3">
      <c r="A2566" t="s">
        <v>4696</v>
      </c>
      <c r="B2566" t="s">
        <v>4696</v>
      </c>
      <c r="C2566" t="s">
        <v>4696</v>
      </c>
      <c r="D2566" t="s">
        <v>629</v>
      </c>
      <c r="E2566" s="259" t="s">
        <v>1853</v>
      </c>
      <c r="F2566" t="s">
        <v>620</v>
      </c>
      <c r="G2566" s="89" t="s">
        <v>2230</v>
      </c>
      <c r="H2566" s="344" t="s">
        <v>731</v>
      </c>
      <c r="I2566" s="337" t="str">
        <f t="shared" si="106"/>
        <v>Pesado de Passageiros M3: III : Gasóleo : E4</v>
      </c>
      <c r="J2566" s="247">
        <v>52</v>
      </c>
      <c r="K2566" s="264">
        <v>2022</v>
      </c>
      <c r="L2566" s="85">
        <v>16468.400000000001</v>
      </c>
      <c r="M2566" s="85" t="s">
        <v>630</v>
      </c>
      <c r="N2566" s="85">
        <v>42612</v>
      </c>
      <c r="O2566" s="128">
        <f t="shared" si="107"/>
        <v>2215824</v>
      </c>
      <c r="P2566" s="89" t="s">
        <v>2728</v>
      </c>
      <c r="Q2566" t="s">
        <v>47</v>
      </c>
      <c r="R2566" s="220" t="s">
        <v>1888</v>
      </c>
      <c r="S2566" s="220" t="s">
        <v>1861</v>
      </c>
      <c r="U2566" t="s">
        <v>1972</v>
      </c>
      <c r="V2566" t="s">
        <v>2832</v>
      </c>
    </row>
    <row r="2567" spans="1:22" ht="15.75" thickBot="1" x14ac:dyDescent="0.3">
      <c r="A2567" t="s">
        <v>4696</v>
      </c>
      <c r="B2567" t="s">
        <v>4696</v>
      </c>
      <c r="C2567" t="s">
        <v>4696</v>
      </c>
      <c r="D2567" t="s">
        <v>629</v>
      </c>
      <c r="E2567" s="259" t="s">
        <v>1853</v>
      </c>
      <c r="F2567" t="s">
        <v>620</v>
      </c>
      <c r="G2567" s="89" t="s">
        <v>2242</v>
      </c>
      <c r="H2567" s="344" t="s">
        <v>734</v>
      </c>
      <c r="I2567" s="337" t="str">
        <f t="shared" si="106"/>
        <v>Pesado de Passageiros M3: III : Gasóleo : E5</v>
      </c>
      <c r="J2567" s="247">
        <v>75</v>
      </c>
      <c r="K2567" s="264">
        <v>2022</v>
      </c>
      <c r="L2567" s="85">
        <v>11470.78</v>
      </c>
      <c r="M2567" s="85" t="s">
        <v>630</v>
      </c>
      <c r="N2567" s="85">
        <v>38893</v>
      </c>
      <c r="O2567" s="128">
        <f t="shared" si="107"/>
        <v>2916975</v>
      </c>
      <c r="P2567" s="89" t="s">
        <v>2729</v>
      </c>
      <c r="Q2567" t="s">
        <v>47</v>
      </c>
      <c r="R2567" s="220" t="s">
        <v>1888</v>
      </c>
      <c r="S2567" s="220" t="s">
        <v>1861</v>
      </c>
      <c r="U2567" t="s">
        <v>1972</v>
      </c>
      <c r="V2567" t="s">
        <v>2832</v>
      </c>
    </row>
    <row r="2568" spans="1:22" ht="15.75" thickBot="1" x14ac:dyDescent="0.3">
      <c r="A2568" t="s">
        <v>4696</v>
      </c>
      <c r="B2568" t="s">
        <v>4696</v>
      </c>
      <c r="C2568" t="s">
        <v>4696</v>
      </c>
      <c r="D2568" t="s">
        <v>629</v>
      </c>
      <c r="E2568" s="259" t="s">
        <v>1853</v>
      </c>
      <c r="F2568" t="s">
        <v>620</v>
      </c>
      <c r="G2568" s="89" t="s">
        <v>2242</v>
      </c>
      <c r="H2568" s="344" t="s">
        <v>734</v>
      </c>
      <c r="I2568" s="337" t="str">
        <f t="shared" si="106"/>
        <v>Pesado de Passageiros M3: III : Gasóleo : E5</v>
      </c>
      <c r="J2568" s="247">
        <v>75</v>
      </c>
      <c r="K2568" s="264">
        <v>2022</v>
      </c>
      <c r="L2568" s="85">
        <v>10918.46</v>
      </c>
      <c r="M2568" s="85" t="s">
        <v>630</v>
      </c>
      <c r="N2568" s="85">
        <v>29256</v>
      </c>
      <c r="O2568" s="128">
        <f t="shared" si="107"/>
        <v>2194200</v>
      </c>
      <c r="P2568" s="89" t="s">
        <v>2730</v>
      </c>
      <c r="Q2568" t="s">
        <v>47</v>
      </c>
      <c r="R2568" s="220" t="s">
        <v>1888</v>
      </c>
      <c r="S2568" s="220" t="s">
        <v>1861</v>
      </c>
      <c r="U2568" t="s">
        <v>1972</v>
      </c>
      <c r="V2568" t="s">
        <v>2832</v>
      </c>
    </row>
    <row r="2569" spans="1:22" ht="15.75" thickBot="1" x14ac:dyDescent="0.3">
      <c r="A2569" t="s">
        <v>4696</v>
      </c>
      <c r="B2569" t="s">
        <v>4696</v>
      </c>
      <c r="C2569" t="s">
        <v>4696</v>
      </c>
      <c r="D2569" t="s">
        <v>629</v>
      </c>
      <c r="E2569" s="259" t="s">
        <v>1853</v>
      </c>
      <c r="F2569" t="s">
        <v>620</v>
      </c>
      <c r="G2569" s="89" t="s">
        <v>2242</v>
      </c>
      <c r="H2569" s="344" t="s">
        <v>734</v>
      </c>
      <c r="I2569" s="337" t="str">
        <f t="shared" si="106"/>
        <v>Pesado de Passageiros M3: III : Gasóleo : E5</v>
      </c>
      <c r="J2569" s="247">
        <v>75</v>
      </c>
      <c r="K2569" s="264">
        <v>2022</v>
      </c>
      <c r="L2569" s="85">
        <v>13039.54</v>
      </c>
      <c r="M2569" s="85" t="s">
        <v>630</v>
      </c>
      <c r="N2569" s="85">
        <v>40069</v>
      </c>
      <c r="O2569" s="128">
        <f t="shared" si="107"/>
        <v>3005175</v>
      </c>
      <c r="P2569" s="89" t="s">
        <v>2731</v>
      </c>
      <c r="Q2569" t="s">
        <v>47</v>
      </c>
      <c r="R2569" s="220" t="s">
        <v>1888</v>
      </c>
      <c r="S2569" s="220" t="s">
        <v>1861</v>
      </c>
      <c r="U2569" t="s">
        <v>1972</v>
      </c>
      <c r="V2569" t="s">
        <v>2832</v>
      </c>
    </row>
    <row r="2570" spans="1:22" ht="15.75" thickBot="1" x14ac:dyDescent="0.3">
      <c r="A2570" t="s">
        <v>4696</v>
      </c>
      <c r="B2570" t="s">
        <v>4696</v>
      </c>
      <c r="C2570" t="s">
        <v>4696</v>
      </c>
      <c r="D2570" t="s">
        <v>629</v>
      </c>
      <c r="E2570" s="259" t="s">
        <v>1853</v>
      </c>
      <c r="F2570" t="s">
        <v>620</v>
      </c>
      <c r="G2570" s="89" t="s">
        <v>2229</v>
      </c>
      <c r="H2570" s="344" t="s">
        <v>735</v>
      </c>
      <c r="I2570" s="337" t="str">
        <f t="shared" si="106"/>
        <v>Pesado de Passageiros M3: III : Gasóleo : E2</v>
      </c>
      <c r="J2570" s="247">
        <v>74</v>
      </c>
      <c r="K2570" s="264">
        <v>2022</v>
      </c>
      <c r="L2570" s="85">
        <v>14934.99</v>
      </c>
      <c r="M2570" s="85" t="s">
        <v>630</v>
      </c>
      <c r="N2570" s="85">
        <v>43021</v>
      </c>
      <c r="O2570" s="128">
        <f t="shared" si="107"/>
        <v>3183554</v>
      </c>
      <c r="P2570" s="89" t="s">
        <v>2732</v>
      </c>
      <c r="Q2570" t="s">
        <v>47</v>
      </c>
      <c r="R2570" s="220" t="s">
        <v>1888</v>
      </c>
      <c r="S2570" s="220" t="s">
        <v>1861</v>
      </c>
      <c r="U2570" t="s">
        <v>1972</v>
      </c>
      <c r="V2570" t="s">
        <v>2832</v>
      </c>
    </row>
    <row r="2571" spans="1:22" ht="15.75" thickBot="1" x14ac:dyDescent="0.3">
      <c r="A2571" t="s">
        <v>4696</v>
      </c>
      <c r="B2571" t="s">
        <v>4696</v>
      </c>
      <c r="C2571" t="s">
        <v>4696</v>
      </c>
      <c r="D2571" t="s">
        <v>629</v>
      </c>
      <c r="E2571" s="259" t="s">
        <v>1853</v>
      </c>
      <c r="F2571" t="s">
        <v>620</v>
      </c>
      <c r="G2571" s="89" t="s">
        <v>2226</v>
      </c>
      <c r="H2571" s="344" t="s">
        <v>735</v>
      </c>
      <c r="I2571" s="337" t="str">
        <f t="shared" si="106"/>
        <v>Pesado de Passageiros M3: III : Gasóleo : E2</v>
      </c>
      <c r="J2571" s="247">
        <v>74</v>
      </c>
      <c r="K2571" s="264">
        <v>2022</v>
      </c>
      <c r="L2571" s="85">
        <v>12134.96</v>
      </c>
      <c r="M2571" s="85" t="s">
        <v>630</v>
      </c>
      <c r="N2571" s="85">
        <v>36882</v>
      </c>
      <c r="O2571" s="128">
        <f t="shared" si="107"/>
        <v>2729268</v>
      </c>
      <c r="P2571" s="89" t="s">
        <v>2733</v>
      </c>
      <c r="Q2571" t="s">
        <v>47</v>
      </c>
      <c r="R2571" s="220" t="s">
        <v>1888</v>
      </c>
      <c r="S2571" s="220" t="s">
        <v>1861</v>
      </c>
      <c r="U2571" t="s">
        <v>1972</v>
      </c>
      <c r="V2571" t="s">
        <v>2832</v>
      </c>
    </row>
    <row r="2572" spans="1:22" ht="15.75" thickBot="1" x14ac:dyDescent="0.3">
      <c r="A2572" t="s">
        <v>4696</v>
      </c>
      <c r="B2572" t="s">
        <v>4696</v>
      </c>
      <c r="C2572" t="s">
        <v>4696</v>
      </c>
      <c r="D2572" t="s">
        <v>629</v>
      </c>
      <c r="E2572" s="259" t="s">
        <v>1853</v>
      </c>
      <c r="F2572" t="s">
        <v>620</v>
      </c>
      <c r="G2572" s="89" t="s">
        <v>2221</v>
      </c>
      <c r="H2572" s="344" t="s">
        <v>733</v>
      </c>
      <c r="I2572" s="337" t="str">
        <f t="shared" si="106"/>
        <v>Pesado de Passageiros M3: III : Gasóleo : E6</v>
      </c>
      <c r="J2572" s="247">
        <v>19</v>
      </c>
      <c r="K2572" s="264">
        <v>2022</v>
      </c>
      <c r="L2572" s="85">
        <v>0</v>
      </c>
      <c r="M2572" s="85" t="s">
        <v>630</v>
      </c>
      <c r="N2572" s="85">
        <v>0</v>
      </c>
      <c r="O2572" s="128">
        <f t="shared" si="107"/>
        <v>0</v>
      </c>
      <c r="P2572" s="89" t="s">
        <v>2734</v>
      </c>
      <c r="Q2572" t="s">
        <v>47</v>
      </c>
      <c r="R2572" s="220" t="s">
        <v>1888</v>
      </c>
      <c r="S2572" s="220" t="s">
        <v>1861</v>
      </c>
      <c r="U2572" t="s">
        <v>1972</v>
      </c>
      <c r="V2572" t="s">
        <v>2832</v>
      </c>
    </row>
    <row r="2573" spans="1:22" ht="15.75" thickBot="1" x14ac:dyDescent="0.3">
      <c r="A2573" t="s">
        <v>4696</v>
      </c>
      <c r="B2573" t="s">
        <v>4696</v>
      </c>
      <c r="C2573" t="s">
        <v>4696</v>
      </c>
      <c r="D2573" t="s">
        <v>629</v>
      </c>
      <c r="E2573" s="259" t="s">
        <v>1853</v>
      </c>
      <c r="F2573" t="s">
        <v>620</v>
      </c>
      <c r="G2573" s="89" t="s">
        <v>2239</v>
      </c>
      <c r="H2573" s="344" t="s">
        <v>732</v>
      </c>
      <c r="I2573" s="337" t="str">
        <f t="shared" si="106"/>
        <v>Pesado de Passageiros M3: III : Gasóleo : E3</v>
      </c>
      <c r="J2573" s="247">
        <v>55</v>
      </c>
      <c r="K2573" s="264">
        <v>2022</v>
      </c>
      <c r="L2573" s="85">
        <v>11458.75</v>
      </c>
      <c r="M2573" s="85" t="s">
        <v>630</v>
      </c>
      <c r="N2573" s="85">
        <v>27925</v>
      </c>
      <c r="O2573" s="128">
        <f t="shared" si="107"/>
        <v>1535875</v>
      </c>
      <c r="P2573" s="89" t="s">
        <v>2735</v>
      </c>
      <c r="Q2573" t="s">
        <v>47</v>
      </c>
      <c r="R2573" s="220" t="s">
        <v>1888</v>
      </c>
      <c r="S2573" s="220" t="s">
        <v>1861</v>
      </c>
      <c r="U2573" t="s">
        <v>1972</v>
      </c>
      <c r="V2573" t="s">
        <v>2832</v>
      </c>
    </row>
    <row r="2574" spans="1:22" ht="15.75" thickBot="1" x14ac:dyDescent="0.3">
      <c r="A2574" t="s">
        <v>4696</v>
      </c>
      <c r="B2574" t="s">
        <v>4696</v>
      </c>
      <c r="C2574" t="s">
        <v>4696</v>
      </c>
      <c r="D2574" t="s">
        <v>629</v>
      </c>
      <c r="E2574" s="259" t="s">
        <v>1853</v>
      </c>
      <c r="F2574" t="s">
        <v>620</v>
      </c>
      <c r="G2574" s="89" t="s">
        <v>2243</v>
      </c>
      <c r="H2574" s="344" t="s">
        <v>732</v>
      </c>
      <c r="I2574" s="337" t="str">
        <f t="shared" si="106"/>
        <v>Pesado de Passageiros M3: III : Gasóleo : E3</v>
      </c>
      <c r="J2574" s="247">
        <v>52</v>
      </c>
      <c r="K2574" s="264">
        <v>2022</v>
      </c>
      <c r="L2574" s="85">
        <v>2722.45</v>
      </c>
      <c r="M2574" s="85" t="s">
        <v>630</v>
      </c>
      <c r="N2574" s="85">
        <v>8392</v>
      </c>
      <c r="O2574" s="128">
        <f t="shared" si="107"/>
        <v>436384</v>
      </c>
      <c r="P2574" s="89" t="s">
        <v>2736</v>
      </c>
      <c r="Q2574" t="s">
        <v>47</v>
      </c>
      <c r="R2574" s="220" t="s">
        <v>1888</v>
      </c>
      <c r="S2574" s="220" t="s">
        <v>1861</v>
      </c>
      <c r="U2574" t="s">
        <v>1972</v>
      </c>
      <c r="V2574" t="s">
        <v>2832</v>
      </c>
    </row>
    <row r="2575" spans="1:22" ht="15.75" thickBot="1" x14ac:dyDescent="0.3">
      <c r="A2575" t="s">
        <v>4696</v>
      </c>
      <c r="B2575" t="s">
        <v>4696</v>
      </c>
      <c r="C2575" t="s">
        <v>4696</v>
      </c>
      <c r="D2575" t="s">
        <v>629</v>
      </c>
      <c r="E2575" s="259" t="s">
        <v>1853</v>
      </c>
      <c r="F2575" t="s">
        <v>620</v>
      </c>
      <c r="G2575" s="89" t="s">
        <v>2226</v>
      </c>
      <c r="H2575" s="344" t="s">
        <v>735</v>
      </c>
      <c r="I2575" s="337" t="str">
        <f t="shared" si="106"/>
        <v>Pesado de Passageiros M3: III : Gasóleo : E2</v>
      </c>
      <c r="J2575" s="247">
        <v>49</v>
      </c>
      <c r="K2575" s="264">
        <v>2022</v>
      </c>
      <c r="L2575" s="85">
        <v>4561.8900000000003</v>
      </c>
      <c r="M2575" s="85" t="s">
        <v>630</v>
      </c>
      <c r="N2575" s="85">
        <v>12773</v>
      </c>
      <c r="O2575" s="128">
        <f t="shared" si="107"/>
        <v>625877</v>
      </c>
      <c r="P2575" s="89" t="s">
        <v>2737</v>
      </c>
      <c r="Q2575" t="s">
        <v>47</v>
      </c>
      <c r="R2575" s="220" t="s">
        <v>1888</v>
      </c>
      <c r="S2575" s="220" t="s">
        <v>1861</v>
      </c>
      <c r="U2575" t="s">
        <v>1972</v>
      </c>
      <c r="V2575" t="s">
        <v>2832</v>
      </c>
    </row>
    <row r="2576" spans="1:22" ht="15.75" thickBot="1" x14ac:dyDescent="0.3">
      <c r="A2576" t="s">
        <v>4696</v>
      </c>
      <c r="B2576" t="s">
        <v>4696</v>
      </c>
      <c r="C2576" t="s">
        <v>4696</v>
      </c>
      <c r="D2576" t="s">
        <v>629</v>
      </c>
      <c r="E2576" s="259" t="s">
        <v>1853</v>
      </c>
      <c r="F2576" t="s">
        <v>620</v>
      </c>
      <c r="G2576" s="89" t="s">
        <v>2230</v>
      </c>
      <c r="H2576" s="344" t="s">
        <v>732</v>
      </c>
      <c r="I2576" s="337" t="str">
        <f t="shared" si="106"/>
        <v>Pesado de Passageiros M3: III : Gasóleo : E3</v>
      </c>
      <c r="J2576" s="247">
        <v>59</v>
      </c>
      <c r="K2576" s="264">
        <v>2022</v>
      </c>
      <c r="L2576" s="85">
        <v>15025.38</v>
      </c>
      <c r="M2576" s="85" t="s">
        <v>630</v>
      </c>
      <c r="N2576" s="85">
        <v>44467</v>
      </c>
      <c r="O2576" s="128">
        <f t="shared" si="107"/>
        <v>2623553</v>
      </c>
      <c r="P2576" s="89" t="s">
        <v>2738</v>
      </c>
      <c r="Q2576" t="s">
        <v>47</v>
      </c>
      <c r="R2576" s="220" t="s">
        <v>1888</v>
      </c>
      <c r="S2576" s="220" t="s">
        <v>1861</v>
      </c>
      <c r="U2576" t="s">
        <v>1972</v>
      </c>
      <c r="V2576" t="s">
        <v>2832</v>
      </c>
    </row>
    <row r="2577" spans="1:22" ht="15.75" thickBot="1" x14ac:dyDescent="0.3">
      <c r="A2577" t="s">
        <v>4696</v>
      </c>
      <c r="B2577" t="s">
        <v>4696</v>
      </c>
      <c r="C2577" t="s">
        <v>4696</v>
      </c>
      <c r="D2577" t="s">
        <v>629</v>
      </c>
      <c r="E2577" s="259" t="s">
        <v>1853</v>
      </c>
      <c r="F2577" t="s">
        <v>620</v>
      </c>
      <c r="G2577" s="89" t="s">
        <v>2230</v>
      </c>
      <c r="H2577" s="344" t="s">
        <v>732</v>
      </c>
      <c r="I2577" s="337" t="str">
        <f t="shared" si="106"/>
        <v>Pesado de Passageiros M3: III : Gasóleo : E3</v>
      </c>
      <c r="J2577" s="247">
        <v>59</v>
      </c>
      <c r="K2577" s="264">
        <v>2022</v>
      </c>
      <c r="L2577" s="85">
        <v>11753.39</v>
      </c>
      <c r="M2577" s="85" t="s">
        <v>630</v>
      </c>
      <c r="N2577" s="85">
        <v>36661</v>
      </c>
      <c r="O2577" s="128">
        <f t="shared" si="107"/>
        <v>2162999</v>
      </c>
      <c r="P2577" s="89" t="s">
        <v>2739</v>
      </c>
      <c r="Q2577" t="s">
        <v>47</v>
      </c>
      <c r="R2577" s="220" t="s">
        <v>1888</v>
      </c>
      <c r="S2577" s="220" t="s">
        <v>1861</v>
      </c>
      <c r="U2577" t="s">
        <v>1972</v>
      </c>
      <c r="V2577" t="s">
        <v>2832</v>
      </c>
    </row>
    <row r="2578" spans="1:22" ht="15.75" thickBot="1" x14ac:dyDescent="0.3">
      <c r="A2578" t="s">
        <v>4696</v>
      </c>
      <c r="B2578" t="s">
        <v>4696</v>
      </c>
      <c r="C2578" t="s">
        <v>4696</v>
      </c>
      <c r="D2578" t="s">
        <v>629</v>
      </c>
      <c r="E2578" s="259" t="s">
        <v>1853</v>
      </c>
      <c r="F2578" t="s">
        <v>620</v>
      </c>
      <c r="G2578" s="89" t="s">
        <v>2230</v>
      </c>
      <c r="H2578" s="344" t="s">
        <v>732</v>
      </c>
      <c r="I2578" s="337" t="str">
        <f t="shared" si="106"/>
        <v>Pesado de Passageiros M3: III : Gasóleo : E3</v>
      </c>
      <c r="J2578" s="247">
        <v>59</v>
      </c>
      <c r="K2578" s="264">
        <v>2022</v>
      </c>
      <c r="L2578" s="85">
        <v>13134.13</v>
      </c>
      <c r="M2578" s="85" t="s">
        <v>630</v>
      </c>
      <c r="N2578" s="85">
        <v>39692</v>
      </c>
      <c r="O2578" s="128">
        <f t="shared" si="107"/>
        <v>2341828</v>
      </c>
      <c r="P2578" s="89" t="s">
        <v>2740</v>
      </c>
      <c r="Q2578" t="s">
        <v>47</v>
      </c>
      <c r="R2578" s="220" t="s">
        <v>1888</v>
      </c>
      <c r="S2578" s="220" t="s">
        <v>1861</v>
      </c>
      <c r="U2578" t="s">
        <v>1972</v>
      </c>
      <c r="V2578" t="s">
        <v>2832</v>
      </c>
    </row>
    <row r="2579" spans="1:22" ht="15.75" thickBot="1" x14ac:dyDescent="0.3">
      <c r="A2579" t="s">
        <v>4696</v>
      </c>
      <c r="B2579" t="s">
        <v>4696</v>
      </c>
      <c r="C2579" t="s">
        <v>4696</v>
      </c>
      <c r="D2579" t="s">
        <v>629</v>
      </c>
      <c r="E2579" s="259" t="s">
        <v>1853</v>
      </c>
      <c r="F2579" t="s">
        <v>620</v>
      </c>
      <c r="G2579" s="89" t="s">
        <v>2230</v>
      </c>
      <c r="H2579" s="344" t="s">
        <v>732</v>
      </c>
      <c r="I2579" s="337" t="str">
        <f t="shared" si="106"/>
        <v>Pesado de Passageiros M3: III : Gasóleo : E3</v>
      </c>
      <c r="J2579" s="247">
        <v>59</v>
      </c>
      <c r="K2579" s="264">
        <v>2022</v>
      </c>
      <c r="L2579" s="85">
        <v>7859.01</v>
      </c>
      <c r="M2579" s="85" t="s">
        <v>630</v>
      </c>
      <c r="N2579" s="85">
        <v>23129</v>
      </c>
      <c r="O2579" s="128">
        <f t="shared" si="107"/>
        <v>1364611</v>
      </c>
      <c r="P2579" s="89" t="s">
        <v>2741</v>
      </c>
      <c r="Q2579" t="s">
        <v>47</v>
      </c>
      <c r="R2579" s="220" t="s">
        <v>1888</v>
      </c>
      <c r="S2579" s="220" t="s">
        <v>1861</v>
      </c>
      <c r="U2579" t="s">
        <v>1972</v>
      </c>
      <c r="V2579" t="s">
        <v>2832</v>
      </c>
    </row>
    <row r="2580" spans="1:22" ht="15.75" thickBot="1" x14ac:dyDescent="0.3">
      <c r="A2580" t="s">
        <v>4696</v>
      </c>
      <c r="B2580" t="s">
        <v>4696</v>
      </c>
      <c r="C2580" t="s">
        <v>4696</v>
      </c>
      <c r="D2580" t="s">
        <v>629</v>
      </c>
      <c r="E2580" s="259" t="s">
        <v>1853</v>
      </c>
      <c r="F2580" t="s">
        <v>620</v>
      </c>
      <c r="G2580" s="89" t="s">
        <v>2231</v>
      </c>
      <c r="H2580" s="344" t="s">
        <v>734</v>
      </c>
      <c r="I2580" s="337" t="str">
        <f t="shared" si="106"/>
        <v>Pesado de Passageiros M3: III : Gasóleo : E5</v>
      </c>
      <c r="J2580" s="247">
        <v>71</v>
      </c>
      <c r="K2580" s="264">
        <v>2022</v>
      </c>
      <c r="L2580" s="85">
        <v>14749.9</v>
      </c>
      <c r="M2580" s="85" t="s">
        <v>630</v>
      </c>
      <c r="N2580" s="85">
        <v>41160</v>
      </c>
      <c r="O2580" s="128">
        <f t="shared" si="107"/>
        <v>2922360</v>
      </c>
      <c r="P2580" s="89" t="s">
        <v>2742</v>
      </c>
      <c r="Q2580" t="s">
        <v>47</v>
      </c>
      <c r="R2580" s="220" t="s">
        <v>1888</v>
      </c>
      <c r="S2580" s="220" t="s">
        <v>1861</v>
      </c>
      <c r="U2580" t="s">
        <v>1972</v>
      </c>
      <c r="V2580" t="s">
        <v>2832</v>
      </c>
    </row>
    <row r="2581" spans="1:22" ht="15.75" thickBot="1" x14ac:dyDescent="0.3">
      <c r="A2581" t="s">
        <v>4696</v>
      </c>
      <c r="B2581" t="s">
        <v>4696</v>
      </c>
      <c r="C2581" t="s">
        <v>4696</v>
      </c>
      <c r="D2581" t="s">
        <v>629</v>
      </c>
      <c r="E2581" s="259" t="s">
        <v>1853</v>
      </c>
      <c r="F2581" t="s">
        <v>620</v>
      </c>
      <c r="G2581" s="89" t="s">
        <v>2231</v>
      </c>
      <c r="H2581" s="344" t="s">
        <v>734</v>
      </c>
      <c r="I2581" s="337" t="str">
        <f t="shared" si="106"/>
        <v>Pesado de Passageiros M3: III : Gasóleo : E5</v>
      </c>
      <c r="J2581" s="247">
        <v>71</v>
      </c>
      <c r="K2581" s="264">
        <v>2022</v>
      </c>
      <c r="L2581" s="85">
        <v>12929.16</v>
      </c>
      <c r="M2581" s="85" t="s">
        <v>630</v>
      </c>
      <c r="N2581" s="85">
        <v>41864</v>
      </c>
      <c r="O2581" s="128">
        <f t="shared" si="107"/>
        <v>2972344</v>
      </c>
      <c r="P2581" s="89" t="s">
        <v>2743</v>
      </c>
      <c r="Q2581" t="s">
        <v>47</v>
      </c>
      <c r="R2581" s="220" t="s">
        <v>1888</v>
      </c>
      <c r="S2581" s="220" t="s">
        <v>1861</v>
      </c>
      <c r="U2581" t="s">
        <v>1972</v>
      </c>
      <c r="V2581" t="s">
        <v>2832</v>
      </c>
    </row>
    <row r="2582" spans="1:22" ht="15.75" thickBot="1" x14ac:dyDescent="0.3">
      <c r="A2582" t="s">
        <v>4696</v>
      </c>
      <c r="B2582" t="s">
        <v>4696</v>
      </c>
      <c r="C2582" t="s">
        <v>4696</v>
      </c>
      <c r="D2582" t="s">
        <v>629</v>
      </c>
      <c r="E2582" s="259" t="s">
        <v>1853</v>
      </c>
      <c r="F2582" t="s">
        <v>620</v>
      </c>
      <c r="G2582" s="89" t="s">
        <v>2231</v>
      </c>
      <c r="H2582" s="344" t="s">
        <v>734</v>
      </c>
      <c r="I2582" s="337" t="str">
        <f t="shared" si="106"/>
        <v>Pesado de Passageiros M3: III : Gasóleo : E5</v>
      </c>
      <c r="J2582" s="247">
        <v>71</v>
      </c>
      <c r="K2582" s="264">
        <v>2022</v>
      </c>
      <c r="L2582" s="85">
        <v>7896.92</v>
      </c>
      <c r="M2582" s="85" t="s">
        <v>630</v>
      </c>
      <c r="N2582" s="85">
        <v>23585</v>
      </c>
      <c r="O2582" s="128">
        <f t="shared" si="107"/>
        <v>1674535</v>
      </c>
      <c r="P2582" s="89" t="s">
        <v>2744</v>
      </c>
      <c r="Q2582" t="s">
        <v>47</v>
      </c>
      <c r="R2582" s="220" t="s">
        <v>1888</v>
      </c>
      <c r="S2582" s="220" t="s">
        <v>1861</v>
      </c>
      <c r="U2582" t="s">
        <v>1972</v>
      </c>
      <c r="V2582" t="s">
        <v>2832</v>
      </c>
    </row>
    <row r="2583" spans="1:22" ht="15.75" thickBot="1" x14ac:dyDescent="0.3">
      <c r="A2583" t="s">
        <v>4696</v>
      </c>
      <c r="B2583" t="s">
        <v>4696</v>
      </c>
      <c r="C2583" t="s">
        <v>4696</v>
      </c>
      <c r="D2583" t="s">
        <v>629</v>
      </c>
      <c r="E2583" s="259" t="s">
        <v>1853</v>
      </c>
      <c r="F2583" t="s">
        <v>620</v>
      </c>
      <c r="G2583" s="89" t="s">
        <v>2226</v>
      </c>
      <c r="H2583" s="344" t="s">
        <v>735</v>
      </c>
      <c r="I2583" s="337" t="str">
        <f t="shared" si="106"/>
        <v>Pesado de Passageiros M3: III : Gasóleo : E2</v>
      </c>
      <c r="J2583" s="247">
        <v>66</v>
      </c>
      <c r="K2583" s="264">
        <v>2022</v>
      </c>
      <c r="L2583" s="85">
        <v>15554.99</v>
      </c>
      <c r="M2583" s="85" t="s">
        <v>630</v>
      </c>
      <c r="N2583" s="85">
        <v>44536</v>
      </c>
      <c r="O2583" s="128">
        <f t="shared" si="107"/>
        <v>2939376</v>
      </c>
      <c r="P2583" s="89" t="s">
        <v>2745</v>
      </c>
      <c r="Q2583" t="s">
        <v>47</v>
      </c>
      <c r="R2583" s="220" t="s">
        <v>1888</v>
      </c>
      <c r="S2583" s="220" t="s">
        <v>1861</v>
      </c>
      <c r="U2583" t="s">
        <v>1972</v>
      </c>
      <c r="V2583" t="s">
        <v>2832</v>
      </c>
    </row>
    <row r="2584" spans="1:22" ht="15.75" thickBot="1" x14ac:dyDescent="0.3">
      <c r="A2584" t="s">
        <v>4696</v>
      </c>
      <c r="B2584" t="s">
        <v>4696</v>
      </c>
      <c r="C2584" t="s">
        <v>4696</v>
      </c>
      <c r="D2584" t="s">
        <v>629</v>
      </c>
      <c r="E2584" s="259" t="s">
        <v>1853</v>
      </c>
      <c r="F2584" t="s">
        <v>620</v>
      </c>
      <c r="G2584" s="89" t="s">
        <v>2230</v>
      </c>
      <c r="H2584" s="344" t="s">
        <v>731</v>
      </c>
      <c r="I2584" s="337" t="str">
        <f t="shared" si="106"/>
        <v>Pesado de Passageiros M3: III : Gasóleo : E4</v>
      </c>
      <c r="J2584" s="247">
        <v>59</v>
      </c>
      <c r="K2584" s="264">
        <v>2022</v>
      </c>
      <c r="L2584" s="85">
        <v>14705.52</v>
      </c>
      <c r="M2584" s="85" t="s">
        <v>630</v>
      </c>
      <c r="N2584" s="85">
        <v>39146</v>
      </c>
      <c r="O2584" s="128">
        <f t="shared" si="107"/>
        <v>2309614</v>
      </c>
      <c r="P2584" s="89" t="s">
        <v>2746</v>
      </c>
      <c r="Q2584" t="s">
        <v>47</v>
      </c>
      <c r="R2584" s="220" t="s">
        <v>1888</v>
      </c>
      <c r="S2584" s="220" t="s">
        <v>1861</v>
      </c>
      <c r="U2584" t="s">
        <v>1972</v>
      </c>
      <c r="V2584" t="s">
        <v>2832</v>
      </c>
    </row>
    <row r="2585" spans="1:22" ht="15.75" thickBot="1" x14ac:dyDescent="0.3">
      <c r="A2585" t="s">
        <v>4696</v>
      </c>
      <c r="B2585" t="s">
        <v>4696</v>
      </c>
      <c r="C2585" t="s">
        <v>4696</v>
      </c>
      <c r="D2585" t="s">
        <v>629</v>
      </c>
      <c r="E2585" s="259" t="s">
        <v>1853</v>
      </c>
      <c r="F2585" t="s">
        <v>620</v>
      </c>
      <c r="G2585" s="89" t="s">
        <v>2230</v>
      </c>
      <c r="H2585" s="344" t="s">
        <v>731</v>
      </c>
      <c r="I2585" s="337" t="str">
        <f t="shared" si="106"/>
        <v>Pesado de Passageiros M3: III : Gasóleo : E4</v>
      </c>
      <c r="J2585" s="247">
        <v>55</v>
      </c>
      <c r="K2585" s="264">
        <v>2022</v>
      </c>
      <c r="L2585" s="85">
        <v>18804.66</v>
      </c>
      <c r="M2585" s="85" t="s">
        <v>630</v>
      </c>
      <c r="N2585" s="85">
        <v>53145</v>
      </c>
      <c r="O2585" s="128">
        <f t="shared" si="107"/>
        <v>2922975</v>
      </c>
      <c r="P2585" s="89" t="s">
        <v>2747</v>
      </c>
      <c r="Q2585" t="s">
        <v>47</v>
      </c>
      <c r="R2585" s="220" t="s">
        <v>1888</v>
      </c>
      <c r="S2585" s="220" t="s">
        <v>1861</v>
      </c>
      <c r="U2585" t="s">
        <v>1972</v>
      </c>
      <c r="V2585" t="s">
        <v>2832</v>
      </c>
    </row>
    <row r="2586" spans="1:22" ht="15.75" thickBot="1" x14ac:dyDescent="0.3">
      <c r="A2586" t="s">
        <v>4696</v>
      </c>
      <c r="B2586" t="s">
        <v>4696</v>
      </c>
      <c r="C2586" t="s">
        <v>4696</v>
      </c>
      <c r="D2586" t="s">
        <v>629</v>
      </c>
      <c r="E2586" s="259" t="s">
        <v>1853</v>
      </c>
      <c r="F2586" t="s">
        <v>620</v>
      </c>
      <c r="G2586" s="89" t="s">
        <v>2224</v>
      </c>
      <c r="H2586" s="344" t="s">
        <v>731</v>
      </c>
      <c r="I2586" s="337" t="str">
        <f t="shared" si="106"/>
        <v>Pesado de Passageiros M3: III : Gasóleo : E4</v>
      </c>
      <c r="J2586" s="247">
        <v>55</v>
      </c>
      <c r="K2586" s="264">
        <v>2022</v>
      </c>
      <c r="L2586" s="85">
        <v>15904.08</v>
      </c>
      <c r="M2586" s="85" t="s">
        <v>630</v>
      </c>
      <c r="N2586" s="85">
        <v>48575</v>
      </c>
      <c r="O2586" s="128">
        <f t="shared" si="107"/>
        <v>2671625</v>
      </c>
      <c r="P2586" s="89" t="s">
        <v>2748</v>
      </c>
      <c r="Q2586" t="s">
        <v>47</v>
      </c>
      <c r="R2586" s="220" t="s">
        <v>1888</v>
      </c>
      <c r="S2586" s="220" t="s">
        <v>1861</v>
      </c>
      <c r="U2586" t="s">
        <v>1972</v>
      </c>
      <c r="V2586" t="s">
        <v>2832</v>
      </c>
    </row>
    <row r="2587" spans="1:22" ht="15.75" thickBot="1" x14ac:dyDescent="0.3">
      <c r="A2587" t="s">
        <v>4696</v>
      </c>
      <c r="B2587" t="s">
        <v>4696</v>
      </c>
      <c r="C2587" t="s">
        <v>4696</v>
      </c>
      <c r="D2587" t="s">
        <v>629</v>
      </c>
      <c r="E2587" s="259" t="s">
        <v>1853</v>
      </c>
      <c r="F2587" t="s">
        <v>620</v>
      </c>
      <c r="G2587" s="89" t="s">
        <v>2244</v>
      </c>
      <c r="H2587" s="344" t="s">
        <v>734</v>
      </c>
      <c r="I2587" s="337" t="str">
        <f t="shared" si="106"/>
        <v>Pesado de Passageiros M3: III : Gasóleo : E5</v>
      </c>
      <c r="J2587" s="247">
        <v>71</v>
      </c>
      <c r="K2587" s="264">
        <v>2022</v>
      </c>
      <c r="L2587" s="85">
        <v>15112.17</v>
      </c>
      <c r="M2587" s="85" t="s">
        <v>630</v>
      </c>
      <c r="N2587" s="85">
        <v>46463</v>
      </c>
      <c r="O2587" s="128">
        <f t="shared" si="107"/>
        <v>3298873</v>
      </c>
      <c r="P2587" s="89" t="s">
        <v>2749</v>
      </c>
      <c r="Q2587" t="s">
        <v>47</v>
      </c>
      <c r="R2587" s="220" t="s">
        <v>1888</v>
      </c>
      <c r="S2587" s="220" t="s">
        <v>1861</v>
      </c>
      <c r="U2587" t="s">
        <v>1972</v>
      </c>
      <c r="V2587" t="s">
        <v>2832</v>
      </c>
    </row>
    <row r="2588" spans="1:22" ht="15.75" thickBot="1" x14ac:dyDescent="0.3">
      <c r="A2588" t="s">
        <v>4696</v>
      </c>
      <c r="B2588" t="s">
        <v>4696</v>
      </c>
      <c r="C2588" t="s">
        <v>4696</v>
      </c>
      <c r="D2588" t="s">
        <v>629</v>
      </c>
      <c r="E2588" s="259" t="s">
        <v>1853</v>
      </c>
      <c r="F2588" t="s">
        <v>620</v>
      </c>
      <c r="G2588" s="89" t="s">
        <v>2242</v>
      </c>
      <c r="H2588" s="344" t="s">
        <v>734</v>
      </c>
      <c r="I2588" s="337" t="str">
        <f t="shared" si="106"/>
        <v>Pesado de Passageiros M3: III : Gasóleo : E5</v>
      </c>
      <c r="J2588" s="247">
        <v>82</v>
      </c>
      <c r="K2588" s="264">
        <v>2022</v>
      </c>
      <c r="L2588" s="85">
        <v>15683.85</v>
      </c>
      <c r="M2588" s="85" t="s">
        <v>630</v>
      </c>
      <c r="N2588" s="85">
        <v>49263</v>
      </c>
      <c r="O2588" s="128">
        <f t="shared" si="107"/>
        <v>4039566</v>
      </c>
      <c r="P2588" s="89" t="s">
        <v>2750</v>
      </c>
      <c r="Q2588" t="s">
        <v>47</v>
      </c>
      <c r="R2588" s="220" t="s">
        <v>1888</v>
      </c>
      <c r="S2588" s="220" t="s">
        <v>1861</v>
      </c>
      <c r="U2588" t="s">
        <v>1972</v>
      </c>
      <c r="V2588" t="s">
        <v>2832</v>
      </c>
    </row>
    <row r="2589" spans="1:22" ht="15.75" thickBot="1" x14ac:dyDescent="0.3">
      <c r="A2589" t="s">
        <v>4696</v>
      </c>
      <c r="B2589" t="s">
        <v>4696</v>
      </c>
      <c r="C2589" t="s">
        <v>4696</v>
      </c>
      <c r="D2589" t="s">
        <v>629</v>
      </c>
      <c r="E2589" s="259" t="s">
        <v>1853</v>
      </c>
      <c r="F2589" t="s">
        <v>620</v>
      </c>
      <c r="G2589" s="89" t="s">
        <v>2242</v>
      </c>
      <c r="H2589" s="344" t="s">
        <v>734</v>
      </c>
      <c r="I2589" s="337" t="str">
        <f t="shared" si="106"/>
        <v>Pesado de Passageiros M3: III : Gasóleo : E5</v>
      </c>
      <c r="J2589" s="247">
        <v>82</v>
      </c>
      <c r="K2589" s="264">
        <v>2022</v>
      </c>
      <c r="L2589" s="85">
        <v>26510.3</v>
      </c>
      <c r="M2589" s="85" t="s">
        <v>630</v>
      </c>
      <c r="N2589" s="85">
        <v>83012</v>
      </c>
      <c r="O2589" s="128">
        <f t="shared" si="107"/>
        <v>6806984</v>
      </c>
      <c r="P2589" s="89" t="s">
        <v>2751</v>
      </c>
      <c r="Q2589" t="s">
        <v>47</v>
      </c>
      <c r="R2589" s="220" t="s">
        <v>1888</v>
      </c>
      <c r="S2589" s="220" t="s">
        <v>1861</v>
      </c>
      <c r="U2589" t="s">
        <v>1972</v>
      </c>
      <c r="V2589" t="s">
        <v>2832</v>
      </c>
    </row>
    <row r="2590" spans="1:22" ht="15.75" thickBot="1" x14ac:dyDescent="0.3">
      <c r="A2590" t="s">
        <v>4696</v>
      </c>
      <c r="B2590" t="s">
        <v>4696</v>
      </c>
      <c r="C2590" t="s">
        <v>4696</v>
      </c>
      <c r="D2590" t="s">
        <v>629</v>
      </c>
      <c r="E2590" s="259" t="s">
        <v>1853</v>
      </c>
      <c r="F2590" t="s">
        <v>620</v>
      </c>
      <c r="G2590" s="89" t="s">
        <v>2241</v>
      </c>
      <c r="H2590" s="344" t="s">
        <v>732</v>
      </c>
      <c r="I2590" s="337" t="str">
        <f t="shared" si="106"/>
        <v>Pesado de Passageiros M3: III : Gasóleo : E3</v>
      </c>
      <c r="J2590" s="247">
        <v>55</v>
      </c>
      <c r="K2590" s="264">
        <v>2022</v>
      </c>
      <c r="L2590" s="85">
        <v>12542</v>
      </c>
      <c r="M2590" s="85" t="s">
        <v>630</v>
      </c>
      <c r="N2590" s="85">
        <v>32239</v>
      </c>
      <c r="O2590" s="128">
        <f t="shared" si="107"/>
        <v>1773145</v>
      </c>
      <c r="P2590" s="89" t="s">
        <v>2752</v>
      </c>
      <c r="Q2590" t="s">
        <v>47</v>
      </c>
      <c r="R2590" s="220" t="s">
        <v>1888</v>
      </c>
      <c r="S2590" s="220" t="s">
        <v>1861</v>
      </c>
      <c r="U2590" t="s">
        <v>1972</v>
      </c>
      <c r="V2590" t="s">
        <v>2832</v>
      </c>
    </row>
    <row r="2591" spans="1:22" ht="15.75" thickBot="1" x14ac:dyDescent="0.3">
      <c r="A2591" t="s">
        <v>4696</v>
      </c>
      <c r="B2591" t="s">
        <v>4696</v>
      </c>
      <c r="C2591" t="s">
        <v>4696</v>
      </c>
      <c r="D2591" t="s">
        <v>629</v>
      </c>
      <c r="E2591" s="259" t="s">
        <v>1853</v>
      </c>
      <c r="F2591" t="s">
        <v>620</v>
      </c>
      <c r="G2591" s="89" t="s">
        <v>2242</v>
      </c>
      <c r="H2591" s="344" t="s">
        <v>734</v>
      </c>
      <c r="I2591" s="337" t="str">
        <f t="shared" si="106"/>
        <v>Pesado de Passageiros M3: III : Gasóleo : E5</v>
      </c>
      <c r="J2591" s="247">
        <v>54</v>
      </c>
      <c r="K2591" s="264">
        <v>2022</v>
      </c>
      <c r="L2591" s="85">
        <v>9617.1299999999992</v>
      </c>
      <c r="M2591" s="85" t="s">
        <v>630</v>
      </c>
      <c r="N2591" s="85">
        <v>28477</v>
      </c>
      <c r="O2591" s="128">
        <f t="shared" si="107"/>
        <v>1537758</v>
      </c>
      <c r="P2591" s="89" t="s">
        <v>2753</v>
      </c>
      <c r="Q2591" t="s">
        <v>47</v>
      </c>
      <c r="R2591" s="220" t="s">
        <v>1888</v>
      </c>
      <c r="S2591" s="220" t="s">
        <v>1861</v>
      </c>
      <c r="U2591" t="s">
        <v>1972</v>
      </c>
      <c r="V2591" t="s">
        <v>2832</v>
      </c>
    </row>
    <row r="2592" spans="1:22" ht="15.75" thickBot="1" x14ac:dyDescent="0.3">
      <c r="A2592" t="s">
        <v>4696</v>
      </c>
      <c r="B2592" t="s">
        <v>4696</v>
      </c>
      <c r="C2592" t="s">
        <v>4696</v>
      </c>
      <c r="D2592" t="s">
        <v>629</v>
      </c>
      <c r="E2592" s="259" t="s">
        <v>1853</v>
      </c>
      <c r="F2592" t="s">
        <v>620</v>
      </c>
      <c r="G2592" s="89" t="s">
        <v>2230</v>
      </c>
      <c r="H2592" s="344" t="s">
        <v>731</v>
      </c>
      <c r="I2592" s="337" t="str">
        <f t="shared" si="106"/>
        <v>Pesado de Passageiros M3: III : Gasóleo : E4</v>
      </c>
      <c r="J2592" s="247">
        <v>50</v>
      </c>
      <c r="K2592" s="264">
        <v>2022</v>
      </c>
      <c r="L2592" s="85">
        <v>16539.849999999999</v>
      </c>
      <c r="M2592" s="85" t="s">
        <v>630</v>
      </c>
      <c r="N2592" s="85">
        <v>53651</v>
      </c>
      <c r="O2592" s="128">
        <f t="shared" si="107"/>
        <v>2682550</v>
      </c>
      <c r="P2592" s="89" t="s">
        <v>2754</v>
      </c>
      <c r="Q2592" t="s">
        <v>47</v>
      </c>
      <c r="R2592" s="220" t="s">
        <v>1888</v>
      </c>
      <c r="S2592" s="220" t="s">
        <v>1861</v>
      </c>
      <c r="U2592" t="s">
        <v>1972</v>
      </c>
      <c r="V2592" t="s">
        <v>2832</v>
      </c>
    </row>
    <row r="2593" spans="1:22" ht="15.75" thickBot="1" x14ac:dyDescent="0.3">
      <c r="A2593" t="s">
        <v>4696</v>
      </c>
      <c r="B2593" t="s">
        <v>4696</v>
      </c>
      <c r="C2593" t="s">
        <v>4696</v>
      </c>
      <c r="D2593" t="s">
        <v>629</v>
      </c>
      <c r="E2593" s="259" t="s">
        <v>1853</v>
      </c>
      <c r="F2593" t="s">
        <v>620</v>
      </c>
      <c r="G2593" s="89" t="s">
        <v>2224</v>
      </c>
      <c r="H2593" s="344" t="s">
        <v>734</v>
      </c>
      <c r="I2593" s="337" t="str">
        <f t="shared" si="106"/>
        <v>Pesado de Passageiros M3: III : Gasóleo : E5</v>
      </c>
      <c r="J2593" s="247">
        <v>88</v>
      </c>
      <c r="K2593" s="264">
        <v>2022</v>
      </c>
      <c r="L2593" s="85">
        <v>13057.85</v>
      </c>
      <c r="M2593" s="85" t="s">
        <v>630</v>
      </c>
      <c r="N2593" s="85">
        <v>38419</v>
      </c>
      <c r="O2593" s="128">
        <f t="shared" si="107"/>
        <v>3380872</v>
      </c>
      <c r="P2593" s="89" t="s">
        <v>2755</v>
      </c>
      <c r="Q2593" t="s">
        <v>47</v>
      </c>
      <c r="R2593" s="220" t="s">
        <v>1888</v>
      </c>
      <c r="S2593" s="220" t="s">
        <v>1861</v>
      </c>
      <c r="U2593" t="s">
        <v>1972</v>
      </c>
      <c r="V2593" t="s">
        <v>2832</v>
      </c>
    </row>
    <row r="2594" spans="1:22" ht="15.75" thickBot="1" x14ac:dyDescent="0.3">
      <c r="A2594" t="s">
        <v>4696</v>
      </c>
      <c r="B2594" t="s">
        <v>4696</v>
      </c>
      <c r="C2594" t="s">
        <v>4696</v>
      </c>
      <c r="D2594" t="s">
        <v>629</v>
      </c>
      <c r="E2594" s="259" t="s">
        <v>1853</v>
      </c>
      <c r="F2594" t="s">
        <v>620</v>
      </c>
      <c r="G2594" s="89" t="s">
        <v>2224</v>
      </c>
      <c r="H2594" s="344" t="s">
        <v>734</v>
      </c>
      <c r="I2594" s="337" t="str">
        <f t="shared" si="106"/>
        <v>Pesado de Passageiros M3: III : Gasóleo : E5</v>
      </c>
      <c r="J2594" s="247">
        <v>81</v>
      </c>
      <c r="K2594" s="264">
        <v>2022</v>
      </c>
      <c r="L2594" s="85">
        <v>18763.37</v>
      </c>
      <c r="M2594" s="85" t="s">
        <v>630</v>
      </c>
      <c r="N2594" s="85">
        <v>57183</v>
      </c>
      <c r="O2594" s="128">
        <f t="shared" si="107"/>
        <v>4631823</v>
      </c>
      <c r="P2594" s="89" t="s">
        <v>2756</v>
      </c>
      <c r="Q2594" t="s">
        <v>47</v>
      </c>
      <c r="R2594" s="220" t="s">
        <v>1888</v>
      </c>
      <c r="S2594" s="220" t="s">
        <v>1861</v>
      </c>
      <c r="U2594" t="s">
        <v>1972</v>
      </c>
      <c r="V2594" t="s">
        <v>2832</v>
      </c>
    </row>
    <row r="2595" spans="1:22" ht="15.75" thickBot="1" x14ac:dyDescent="0.3">
      <c r="A2595" t="s">
        <v>4696</v>
      </c>
      <c r="B2595" t="s">
        <v>4696</v>
      </c>
      <c r="C2595" t="s">
        <v>4696</v>
      </c>
      <c r="D2595" t="s">
        <v>629</v>
      </c>
      <c r="E2595" s="259" t="s">
        <v>1853</v>
      </c>
      <c r="F2595" t="s">
        <v>620</v>
      </c>
      <c r="G2595" s="89" t="s">
        <v>2224</v>
      </c>
      <c r="H2595" s="344" t="s">
        <v>734</v>
      </c>
      <c r="I2595" s="337" t="str">
        <f t="shared" si="106"/>
        <v>Pesado de Passageiros M3: III : Gasóleo : E5</v>
      </c>
      <c r="J2595" s="247">
        <v>81</v>
      </c>
      <c r="K2595" s="264">
        <v>2022</v>
      </c>
      <c r="L2595" s="85">
        <v>12388.69</v>
      </c>
      <c r="M2595" s="85" t="s">
        <v>630</v>
      </c>
      <c r="N2595" s="85">
        <v>44357</v>
      </c>
      <c r="O2595" s="128">
        <f t="shared" si="107"/>
        <v>3592917</v>
      </c>
      <c r="P2595" s="89" t="s">
        <v>2757</v>
      </c>
      <c r="Q2595" t="s">
        <v>47</v>
      </c>
      <c r="R2595" s="220" t="s">
        <v>1888</v>
      </c>
      <c r="S2595" s="220" t="s">
        <v>1861</v>
      </c>
      <c r="U2595" t="s">
        <v>1972</v>
      </c>
      <c r="V2595" t="s">
        <v>2832</v>
      </c>
    </row>
    <row r="2596" spans="1:22" ht="15.75" thickBot="1" x14ac:dyDescent="0.3">
      <c r="A2596" t="s">
        <v>4696</v>
      </c>
      <c r="B2596" t="s">
        <v>4696</v>
      </c>
      <c r="C2596" t="s">
        <v>4696</v>
      </c>
      <c r="D2596" t="s">
        <v>629</v>
      </c>
      <c r="E2596" s="259" t="s">
        <v>1853</v>
      </c>
      <c r="F2596" t="s">
        <v>620</v>
      </c>
      <c r="G2596" s="89" t="s">
        <v>2224</v>
      </c>
      <c r="H2596" s="344" t="s">
        <v>731</v>
      </c>
      <c r="I2596" s="337" t="str">
        <f t="shared" si="106"/>
        <v>Pesado de Passageiros M3: III : Gasóleo : E4</v>
      </c>
      <c r="J2596" s="247">
        <v>55</v>
      </c>
      <c r="K2596" s="264">
        <v>2022</v>
      </c>
      <c r="L2596" s="85">
        <v>19612.490000000002</v>
      </c>
      <c r="M2596" s="85" t="s">
        <v>630</v>
      </c>
      <c r="N2596" s="85">
        <v>59463</v>
      </c>
      <c r="O2596" s="128">
        <f t="shared" si="107"/>
        <v>3270465</v>
      </c>
      <c r="P2596" s="89" t="s">
        <v>2758</v>
      </c>
      <c r="Q2596" t="s">
        <v>47</v>
      </c>
      <c r="R2596" s="220" t="s">
        <v>1888</v>
      </c>
      <c r="S2596" s="220" t="s">
        <v>1861</v>
      </c>
      <c r="U2596" t="s">
        <v>1972</v>
      </c>
      <c r="V2596" t="s">
        <v>2832</v>
      </c>
    </row>
    <row r="2597" spans="1:22" ht="15.75" thickBot="1" x14ac:dyDescent="0.3">
      <c r="A2597" t="s">
        <v>4696</v>
      </c>
      <c r="B2597" t="s">
        <v>4696</v>
      </c>
      <c r="C2597" t="s">
        <v>4696</v>
      </c>
      <c r="D2597" t="s">
        <v>629</v>
      </c>
      <c r="E2597" s="259" t="s">
        <v>1853</v>
      </c>
      <c r="F2597" t="s">
        <v>620</v>
      </c>
      <c r="G2597" s="89" t="s">
        <v>2242</v>
      </c>
      <c r="H2597" s="344" t="s">
        <v>734</v>
      </c>
      <c r="I2597" s="337" t="str">
        <f t="shared" si="106"/>
        <v>Pesado de Passageiros M3: III : Gasóleo : E5</v>
      </c>
      <c r="J2597" s="247">
        <v>55</v>
      </c>
      <c r="K2597" s="264">
        <v>2022</v>
      </c>
      <c r="L2597" s="85">
        <v>24332.44</v>
      </c>
      <c r="M2597" s="85" t="s">
        <v>630</v>
      </c>
      <c r="N2597" s="85">
        <v>76765</v>
      </c>
      <c r="O2597" s="128">
        <f t="shared" si="107"/>
        <v>4222075</v>
      </c>
      <c r="P2597" s="89" t="s">
        <v>2759</v>
      </c>
      <c r="Q2597" t="s">
        <v>47</v>
      </c>
      <c r="R2597" s="220" t="s">
        <v>1888</v>
      </c>
      <c r="S2597" s="220" t="s">
        <v>1861</v>
      </c>
      <c r="U2597" t="s">
        <v>1972</v>
      </c>
      <c r="V2597" t="s">
        <v>2832</v>
      </c>
    </row>
    <row r="2598" spans="1:22" ht="15.75" thickBot="1" x14ac:dyDescent="0.3">
      <c r="A2598" t="s">
        <v>4696</v>
      </c>
      <c r="B2598" t="s">
        <v>4696</v>
      </c>
      <c r="C2598" t="s">
        <v>4696</v>
      </c>
      <c r="D2598" t="s">
        <v>629</v>
      </c>
      <c r="E2598" s="259" t="s">
        <v>1853</v>
      </c>
      <c r="F2598" t="s">
        <v>620</v>
      </c>
      <c r="G2598" s="89" t="s">
        <v>2240</v>
      </c>
      <c r="H2598" s="344" t="s">
        <v>734</v>
      </c>
      <c r="I2598" s="337" t="str">
        <f t="shared" si="106"/>
        <v>Pesado de Passageiros M3: III : Gasóleo : E5</v>
      </c>
      <c r="J2598" s="247">
        <v>53</v>
      </c>
      <c r="K2598" s="264">
        <v>2022</v>
      </c>
      <c r="L2598" s="85">
        <v>36934.15</v>
      </c>
      <c r="M2598" s="85" t="s">
        <v>630</v>
      </c>
      <c r="N2598" s="85">
        <v>118703</v>
      </c>
      <c r="O2598" s="128">
        <f t="shared" si="107"/>
        <v>6291259</v>
      </c>
      <c r="P2598" s="89" t="s">
        <v>2760</v>
      </c>
      <c r="Q2598" t="s">
        <v>47</v>
      </c>
      <c r="R2598" s="220" t="s">
        <v>1888</v>
      </c>
      <c r="S2598" s="220" t="s">
        <v>1861</v>
      </c>
      <c r="U2598" t="s">
        <v>1972</v>
      </c>
      <c r="V2598" t="s">
        <v>2832</v>
      </c>
    </row>
    <row r="2599" spans="1:22" ht="15.75" thickBot="1" x14ac:dyDescent="0.3">
      <c r="A2599" t="s">
        <v>4696</v>
      </c>
      <c r="B2599" t="s">
        <v>4696</v>
      </c>
      <c r="C2599" t="s">
        <v>4696</v>
      </c>
      <c r="D2599" t="s">
        <v>629</v>
      </c>
      <c r="E2599" s="259" t="s">
        <v>1853</v>
      </c>
      <c r="F2599" t="s">
        <v>620</v>
      </c>
      <c r="G2599" s="89" t="s">
        <v>2240</v>
      </c>
      <c r="H2599" s="344" t="s">
        <v>734</v>
      </c>
      <c r="I2599" s="337" t="str">
        <f t="shared" si="106"/>
        <v>Pesado de Passageiros M3: III : Gasóleo : E5</v>
      </c>
      <c r="J2599" s="247">
        <v>53</v>
      </c>
      <c r="K2599" s="264">
        <v>2022</v>
      </c>
      <c r="L2599" s="85">
        <v>45025.59</v>
      </c>
      <c r="M2599" s="85" t="s">
        <v>630</v>
      </c>
      <c r="N2599" s="85">
        <v>145532</v>
      </c>
      <c r="O2599" s="128">
        <f t="shared" si="107"/>
        <v>7713196</v>
      </c>
      <c r="P2599" s="89" t="s">
        <v>2761</v>
      </c>
      <c r="Q2599" t="s">
        <v>47</v>
      </c>
      <c r="R2599" s="220" t="s">
        <v>1888</v>
      </c>
      <c r="S2599" s="220" t="s">
        <v>1861</v>
      </c>
      <c r="U2599" t="s">
        <v>1972</v>
      </c>
      <c r="V2599" t="s">
        <v>2832</v>
      </c>
    </row>
    <row r="2600" spans="1:22" ht="15.75" thickBot="1" x14ac:dyDescent="0.3">
      <c r="A2600" t="s">
        <v>4696</v>
      </c>
      <c r="B2600" t="s">
        <v>4696</v>
      </c>
      <c r="C2600" t="s">
        <v>4696</v>
      </c>
      <c r="D2600" t="s">
        <v>629</v>
      </c>
      <c r="E2600" s="259" t="s">
        <v>1853</v>
      </c>
      <c r="F2600" t="s">
        <v>620</v>
      </c>
      <c r="G2600" s="89" t="s">
        <v>2240</v>
      </c>
      <c r="H2600" s="344" t="s">
        <v>734</v>
      </c>
      <c r="I2600" s="337" t="str">
        <f t="shared" si="106"/>
        <v>Pesado de Passageiros M3: III : Gasóleo : E5</v>
      </c>
      <c r="J2600" s="247">
        <v>53</v>
      </c>
      <c r="K2600" s="264">
        <v>2022</v>
      </c>
      <c r="L2600" s="85">
        <v>43340.18</v>
      </c>
      <c r="M2600" s="85" t="s">
        <v>630</v>
      </c>
      <c r="N2600" s="85">
        <v>144320</v>
      </c>
      <c r="O2600" s="128">
        <f t="shared" si="107"/>
        <v>7648960</v>
      </c>
      <c r="P2600" s="89" t="s">
        <v>2762</v>
      </c>
      <c r="Q2600" t="s">
        <v>47</v>
      </c>
      <c r="R2600" s="220" t="s">
        <v>1888</v>
      </c>
      <c r="S2600" s="220" t="s">
        <v>1861</v>
      </c>
      <c r="U2600" t="s">
        <v>1972</v>
      </c>
      <c r="V2600" t="s">
        <v>2832</v>
      </c>
    </row>
    <row r="2601" spans="1:22" ht="15.75" thickBot="1" x14ac:dyDescent="0.3">
      <c r="A2601" t="s">
        <v>4696</v>
      </c>
      <c r="B2601" t="s">
        <v>4696</v>
      </c>
      <c r="C2601" t="s">
        <v>4696</v>
      </c>
      <c r="D2601" t="s">
        <v>629</v>
      </c>
      <c r="E2601" s="259" t="s">
        <v>1853</v>
      </c>
      <c r="F2601" t="s">
        <v>620</v>
      </c>
      <c r="G2601" s="89" t="s">
        <v>2221</v>
      </c>
      <c r="H2601" s="344" t="s">
        <v>733</v>
      </c>
      <c r="I2601" s="337" t="str">
        <f t="shared" si="106"/>
        <v>Pesado de Passageiros M3: III : Gasóleo : E6</v>
      </c>
      <c r="J2601" s="247">
        <v>53</v>
      </c>
      <c r="K2601" s="264">
        <v>2022</v>
      </c>
      <c r="L2601" s="85">
        <v>45818.55</v>
      </c>
      <c r="M2601" s="85" t="s">
        <v>630</v>
      </c>
      <c r="N2601" s="85">
        <v>170649</v>
      </c>
      <c r="O2601" s="128">
        <f t="shared" si="107"/>
        <v>9044397</v>
      </c>
      <c r="P2601" s="89" t="s">
        <v>2763</v>
      </c>
      <c r="Q2601" t="s">
        <v>47</v>
      </c>
      <c r="R2601" s="220" t="s">
        <v>1888</v>
      </c>
      <c r="S2601" s="220" t="s">
        <v>1861</v>
      </c>
      <c r="U2601" t="s">
        <v>1972</v>
      </c>
      <c r="V2601" t="s">
        <v>2832</v>
      </c>
    </row>
    <row r="2602" spans="1:22" ht="15.75" thickBot="1" x14ac:dyDescent="0.3">
      <c r="A2602" t="s">
        <v>4696</v>
      </c>
      <c r="B2602" t="s">
        <v>4696</v>
      </c>
      <c r="C2602" t="s">
        <v>4696</v>
      </c>
      <c r="D2602" t="s">
        <v>629</v>
      </c>
      <c r="E2602" s="259" t="s">
        <v>1853</v>
      </c>
      <c r="F2602" t="s">
        <v>620</v>
      </c>
      <c r="G2602" s="89" t="s">
        <v>2221</v>
      </c>
      <c r="H2602" s="344" t="s">
        <v>733</v>
      </c>
      <c r="I2602" s="337" t="str">
        <f t="shared" si="106"/>
        <v>Pesado de Passageiros M3: III : Gasóleo : E6</v>
      </c>
      <c r="J2602" s="247">
        <v>53</v>
      </c>
      <c r="K2602" s="264">
        <v>2022</v>
      </c>
      <c r="L2602" s="85">
        <v>44607.15</v>
      </c>
      <c r="M2602" s="85" t="s">
        <v>630</v>
      </c>
      <c r="N2602" s="85">
        <v>163886</v>
      </c>
      <c r="O2602" s="128">
        <f t="shared" si="107"/>
        <v>8685958</v>
      </c>
      <c r="P2602" s="89" t="s">
        <v>2764</v>
      </c>
      <c r="Q2602" t="s">
        <v>47</v>
      </c>
      <c r="R2602" s="220" t="s">
        <v>1888</v>
      </c>
      <c r="S2602" s="220" t="s">
        <v>1861</v>
      </c>
      <c r="U2602" t="s">
        <v>1972</v>
      </c>
      <c r="V2602" t="s">
        <v>2832</v>
      </c>
    </row>
    <row r="2603" spans="1:22" ht="15.75" thickBot="1" x14ac:dyDescent="0.3">
      <c r="A2603" t="s">
        <v>4696</v>
      </c>
      <c r="B2603" t="s">
        <v>4696</v>
      </c>
      <c r="C2603" t="s">
        <v>4696</v>
      </c>
      <c r="D2603" t="s">
        <v>629</v>
      </c>
      <c r="E2603" s="259" t="s">
        <v>1853</v>
      </c>
      <c r="F2603" t="s">
        <v>620</v>
      </c>
      <c r="G2603" s="89" t="s">
        <v>2221</v>
      </c>
      <c r="H2603" s="344" t="s">
        <v>733</v>
      </c>
      <c r="I2603" s="337" t="str">
        <f t="shared" si="106"/>
        <v>Pesado de Passageiros M3: III : Gasóleo : E6</v>
      </c>
      <c r="J2603" s="247">
        <v>53</v>
      </c>
      <c r="K2603" s="264">
        <v>2022</v>
      </c>
      <c r="L2603" s="85">
        <v>46524.98</v>
      </c>
      <c r="M2603" s="85" t="s">
        <v>630</v>
      </c>
      <c r="N2603" s="85">
        <v>172319</v>
      </c>
      <c r="O2603" s="128">
        <f t="shared" si="107"/>
        <v>9132907</v>
      </c>
      <c r="P2603" s="89" t="s">
        <v>2765</v>
      </c>
      <c r="Q2603" t="s">
        <v>47</v>
      </c>
      <c r="R2603" s="220" t="s">
        <v>1888</v>
      </c>
      <c r="S2603" s="220" t="s">
        <v>1861</v>
      </c>
      <c r="U2603" t="s">
        <v>1972</v>
      </c>
      <c r="V2603" t="s">
        <v>2832</v>
      </c>
    </row>
    <row r="2604" spans="1:22" ht="15.75" thickBot="1" x14ac:dyDescent="0.3">
      <c r="A2604" t="s">
        <v>4696</v>
      </c>
      <c r="B2604" t="s">
        <v>4696</v>
      </c>
      <c r="C2604" t="s">
        <v>4696</v>
      </c>
      <c r="D2604" t="s">
        <v>629</v>
      </c>
      <c r="E2604" s="259" t="s">
        <v>1853</v>
      </c>
      <c r="F2604" t="s">
        <v>620</v>
      </c>
      <c r="G2604" s="89" t="s">
        <v>2221</v>
      </c>
      <c r="H2604" s="344" t="s">
        <v>733</v>
      </c>
      <c r="I2604" s="337" t="str">
        <f t="shared" si="106"/>
        <v>Pesado de Passageiros M3: III : Gasóleo : E6</v>
      </c>
      <c r="J2604" s="247">
        <v>53</v>
      </c>
      <c r="K2604" s="264">
        <v>2022</v>
      </c>
      <c r="L2604" s="85">
        <v>13618.35</v>
      </c>
      <c r="M2604" s="85" t="s">
        <v>630</v>
      </c>
      <c r="N2604" s="85">
        <v>46457</v>
      </c>
      <c r="O2604" s="128">
        <f t="shared" si="107"/>
        <v>2462221</v>
      </c>
      <c r="P2604" s="89" t="s">
        <v>2766</v>
      </c>
      <c r="Q2604" t="s">
        <v>47</v>
      </c>
      <c r="R2604" s="220" t="s">
        <v>1888</v>
      </c>
      <c r="S2604" s="220" t="s">
        <v>1861</v>
      </c>
      <c r="U2604" t="s">
        <v>1972</v>
      </c>
      <c r="V2604" t="s">
        <v>2832</v>
      </c>
    </row>
    <row r="2605" spans="1:22" ht="15.75" thickBot="1" x14ac:dyDescent="0.3">
      <c r="A2605" t="s">
        <v>4696</v>
      </c>
      <c r="B2605" t="s">
        <v>4696</v>
      </c>
      <c r="C2605" t="s">
        <v>4696</v>
      </c>
      <c r="D2605" t="s">
        <v>629</v>
      </c>
      <c r="E2605" s="259" t="s">
        <v>1853</v>
      </c>
      <c r="F2605" t="s">
        <v>620</v>
      </c>
      <c r="G2605" s="89" t="s">
        <v>2223</v>
      </c>
      <c r="H2605" s="344" t="s">
        <v>731</v>
      </c>
      <c r="I2605" s="337" t="str">
        <f t="shared" si="106"/>
        <v>Pesado de Passageiros M3: III : Gasóleo : E4</v>
      </c>
      <c r="J2605" s="247">
        <v>73</v>
      </c>
      <c r="K2605" s="264">
        <v>2022</v>
      </c>
      <c r="L2605" s="85">
        <v>9429.7099999999991</v>
      </c>
      <c r="M2605" s="85" t="s">
        <v>630</v>
      </c>
      <c r="N2605" s="85">
        <v>22012</v>
      </c>
      <c r="O2605" s="128">
        <f t="shared" si="107"/>
        <v>1606876</v>
      </c>
      <c r="P2605" s="89" t="s">
        <v>2767</v>
      </c>
      <c r="Q2605" t="s">
        <v>47</v>
      </c>
      <c r="R2605" s="220" t="s">
        <v>1888</v>
      </c>
      <c r="S2605" s="220" t="s">
        <v>1861</v>
      </c>
      <c r="U2605" t="s">
        <v>1972</v>
      </c>
      <c r="V2605" t="s">
        <v>2832</v>
      </c>
    </row>
    <row r="2606" spans="1:22" ht="15.75" thickBot="1" x14ac:dyDescent="0.3">
      <c r="A2606" t="s">
        <v>4696</v>
      </c>
      <c r="B2606" t="s">
        <v>4696</v>
      </c>
      <c r="C2606" t="s">
        <v>4696</v>
      </c>
      <c r="D2606" t="s">
        <v>629</v>
      </c>
      <c r="E2606" s="259" t="s">
        <v>1853</v>
      </c>
      <c r="F2606" t="s">
        <v>620</v>
      </c>
      <c r="G2606" s="89" t="s">
        <v>2223</v>
      </c>
      <c r="H2606" s="344" t="s">
        <v>731</v>
      </c>
      <c r="I2606" s="337" t="str">
        <f t="shared" si="106"/>
        <v>Pesado de Passageiros M3: III : Gasóleo : E4</v>
      </c>
      <c r="J2606" s="247">
        <v>73</v>
      </c>
      <c r="K2606" s="264">
        <v>2022</v>
      </c>
      <c r="L2606" s="85">
        <v>16708.86</v>
      </c>
      <c r="M2606" s="85" t="s">
        <v>630</v>
      </c>
      <c r="N2606" s="85">
        <v>40872</v>
      </c>
      <c r="O2606" s="128">
        <f t="shared" si="107"/>
        <v>2983656</v>
      </c>
      <c r="P2606" s="89" t="s">
        <v>2768</v>
      </c>
      <c r="Q2606" t="s">
        <v>47</v>
      </c>
      <c r="R2606" s="220" t="s">
        <v>1888</v>
      </c>
      <c r="S2606" s="220" t="s">
        <v>1861</v>
      </c>
      <c r="U2606" t="s">
        <v>1972</v>
      </c>
      <c r="V2606" t="s">
        <v>2832</v>
      </c>
    </row>
    <row r="2607" spans="1:22" ht="15.75" thickBot="1" x14ac:dyDescent="0.3">
      <c r="A2607" t="s">
        <v>4696</v>
      </c>
      <c r="B2607" t="s">
        <v>4696</v>
      </c>
      <c r="C2607" t="s">
        <v>4696</v>
      </c>
      <c r="D2607" t="s">
        <v>629</v>
      </c>
      <c r="E2607" s="259" t="s">
        <v>1853</v>
      </c>
      <c r="F2607" t="s">
        <v>620</v>
      </c>
      <c r="G2607" s="89" t="s">
        <v>2224</v>
      </c>
      <c r="H2607" s="344" t="s">
        <v>734</v>
      </c>
      <c r="I2607" s="337" t="str">
        <f t="shared" si="106"/>
        <v>Pesado de Passageiros M3: III : Gasóleo : E5</v>
      </c>
      <c r="J2607" s="247">
        <v>90</v>
      </c>
      <c r="K2607" s="264">
        <v>2022</v>
      </c>
      <c r="L2607" s="85">
        <v>10293.65</v>
      </c>
      <c r="M2607" s="85" t="s">
        <v>630</v>
      </c>
      <c r="N2607" s="85">
        <v>33773</v>
      </c>
      <c r="O2607" s="128">
        <f t="shared" si="107"/>
        <v>3039570</v>
      </c>
      <c r="P2607" s="89" t="s">
        <v>2769</v>
      </c>
      <c r="Q2607" t="s">
        <v>47</v>
      </c>
      <c r="R2607" s="220" t="s">
        <v>1888</v>
      </c>
      <c r="S2607" s="220" t="s">
        <v>1861</v>
      </c>
      <c r="U2607" t="s">
        <v>1972</v>
      </c>
      <c r="V2607" t="s">
        <v>2832</v>
      </c>
    </row>
    <row r="2608" spans="1:22" ht="15.75" thickBot="1" x14ac:dyDescent="0.3">
      <c r="A2608" t="s">
        <v>4696</v>
      </c>
      <c r="B2608" t="s">
        <v>4696</v>
      </c>
      <c r="C2608" t="s">
        <v>4696</v>
      </c>
      <c r="D2608" t="s">
        <v>629</v>
      </c>
      <c r="E2608" s="259" t="s">
        <v>1853</v>
      </c>
      <c r="F2608" t="s">
        <v>620</v>
      </c>
      <c r="G2608" s="89" t="s">
        <v>2230</v>
      </c>
      <c r="H2608" s="344" t="s">
        <v>731</v>
      </c>
      <c r="I2608" s="337" t="str">
        <f t="shared" si="106"/>
        <v>Pesado de Passageiros M3: III : Gasóleo : E4</v>
      </c>
      <c r="J2608" s="247">
        <v>73</v>
      </c>
      <c r="K2608" s="264">
        <v>2022</v>
      </c>
      <c r="L2608" s="85">
        <v>22390.25</v>
      </c>
      <c r="M2608" s="85" t="s">
        <v>630</v>
      </c>
      <c r="N2608" s="85">
        <v>57198</v>
      </c>
      <c r="O2608" s="128">
        <f t="shared" si="107"/>
        <v>4175454</v>
      </c>
      <c r="P2608" s="89" t="s">
        <v>2770</v>
      </c>
      <c r="Q2608" t="s">
        <v>47</v>
      </c>
      <c r="R2608" s="220" t="s">
        <v>1888</v>
      </c>
      <c r="S2608" s="220" t="s">
        <v>1861</v>
      </c>
      <c r="U2608" t="s">
        <v>1972</v>
      </c>
      <c r="V2608" t="s">
        <v>2832</v>
      </c>
    </row>
    <row r="2609" spans="1:22" ht="15.75" thickBot="1" x14ac:dyDescent="0.3">
      <c r="A2609" t="s">
        <v>4696</v>
      </c>
      <c r="B2609" t="s">
        <v>4696</v>
      </c>
      <c r="C2609" t="s">
        <v>4696</v>
      </c>
      <c r="D2609" t="s">
        <v>629</v>
      </c>
      <c r="E2609" s="259" t="s">
        <v>1853</v>
      </c>
      <c r="F2609" t="s">
        <v>620</v>
      </c>
      <c r="G2609" s="89" t="s">
        <v>2223</v>
      </c>
      <c r="H2609" s="344" t="s">
        <v>731</v>
      </c>
      <c r="I2609" s="337" t="str">
        <f t="shared" si="106"/>
        <v>Pesado de Passageiros M3: III : Gasóleo : E4</v>
      </c>
      <c r="J2609" s="247">
        <v>73</v>
      </c>
      <c r="K2609" s="264">
        <v>2022</v>
      </c>
      <c r="L2609" s="85">
        <v>10541.08</v>
      </c>
      <c r="M2609" s="85" t="s">
        <v>630</v>
      </c>
      <c r="N2609" s="85">
        <v>26097</v>
      </c>
      <c r="O2609" s="128">
        <f t="shared" si="107"/>
        <v>1905081</v>
      </c>
      <c r="P2609" s="89" t="s">
        <v>2771</v>
      </c>
      <c r="Q2609" t="s">
        <v>47</v>
      </c>
      <c r="R2609" s="220" t="s">
        <v>1888</v>
      </c>
      <c r="S2609" s="220" t="s">
        <v>1861</v>
      </c>
      <c r="U2609" t="s">
        <v>1972</v>
      </c>
      <c r="V2609" t="s">
        <v>2832</v>
      </c>
    </row>
    <row r="2610" spans="1:22" ht="15.75" thickBot="1" x14ac:dyDescent="0.3">
      <c r="A2610" t="s">
        <v>4696</v>
      </c>
      <c r="B2610" t="s">
        <v>4696</v>
      </c>
      <c r="C2610" t="s">
        <v>4696</v>
      </c>
      <c r="D2610" t="s">
        <v>629</v>
      </c>
      <c r="E2610" s="259" t="s">
        <v>1853</v>
      </c>
      <c r="F2610" t="s">
        <v>620</v>
      </c>
      <c r="G2610" s="89" t="s">
        <v>2231</v>
      </c>
      <c r="H2610" s="344" t="s">
        <v>734</v>
      </c>
      <c r="I2610" s="337" t="str">
        <f t="shared" si="106"/>
        <v>Pesado de Passageiros M3: III : Gasóleo : E5</v>
      </c>
      <c r="J2610" s="247">
        <v>83</v>
      </c>
      <c r="K2610" s="264">
        <v>2022</v>
      </c>
      <c r="L2610" s="85">
        <v>10971.19</v>
      </c>
      <c r="M2610" s="85" t="s">
        <v>630</v>
      </c>
      <c r="N2610" s="85">
        <v>34365</v>
      </c>
      <c r="O2610" s="128">
        <f t="shared" si="107"/>
        <v>2852295</v>
      </c>
      <c r="P2610" s="89" t="s">
        <v>2772</v>
      </c>
      <c r="Q2610" t="s">
        <v>47</v>
      </c>
      <c r="R2610" s="220" t="s">
        <v>1888</v>
      </c>
      <c r="S2610" s="220" t="s">
        <v>1861</v>
      </c>
      <c r="U2610" t="s">
        <v>1972</v>
      </c>
      <c r="V2610" t="s">
        <v>2832</v>
      </c>
    </row>
    <row r="2611" spans="1:22" ht="15.75" thickBot="1" x14ac:dyDescent="0.3">
      <c r="A2611" t="s">
        <v>4696</v>
      </c>
      <c r="B2611" t="s">
        <v>4696</v>
      </c>
      <c r="C2611" t="s">
        <v>4696</v>
      </c>
      <c r="D2611" t="s">
        <v>629</v>
      </c>
      <c r="E2611" s="259" t="s">
        <v>1853</v>
      </c>
      <c r="F2611" t="s">
        <v>620</v>
      </c>
      <c r="G2611" s="89" t="s">
        <v>2231</v>
      </c>
      <c r="H2611" s="344" t="s">
        <v>734</v>
      </c>
      <c r="I2611" s="337" t="str">
        <f t="shared" si="106"/>
        <v>Pesado de Passageiros M3: III : Gasóleo : E5</v>
      </c>
      <c r="J2611" s="247">
        <v>74</v>
      </c>
      <c r="K2611" s="264">
        <v>2022</v>
      </c>
      <c r="L2611" s="85">
        <v>15812.18</v>
      </c>
      <c r="M2611" s="85" t="s">
        <v>630</v>
      </c>
      <c r="N2611" s="85">
        <v>47418</v>
      </c>
      <c r="O2611" s="128">
        <f t="shared" si="107"/>
        <v>3508932</v>
      </c>
      <c r="P2611" s="89" t="s">
        <v>2773</v>
      </c>
      <c r="Q2611" t="s">
        <v>47</v>
      </c>
      <c r="R2611" s="220" t="s">
        <v>1888</v>
      </c>
      <c r="S2611" s="220" t="s">
        <v>1861</v>
      </c>
      <c r="U2611" t="s">
        <v>1972</v>
      </c>
      <c r="V2611" t="s">
        <v>2832</v>
      </c>
    </row>
    <row r="2612" spans="1:22" ht="15.75" thickBot="1" x14ac:dyDescent="0.3">
      <c r="A2612" t="s">
        <v>4696</v>
      </c>
      <c r="B2612" t="s">
        <v>4696</v>
      </c>
      <c r="C2612" t="s">
        <v>4696</v>
      </c>
      <c r="D2612" t="s">
        <v>629</v>
      </c>
      <c r="E2612" s="259" t="s">
        <v>1853</v>
      </c>
      <c r="F2612" t="s">
        <v>620</v>
      </c>
      <c r="G2612" s="89" t="s">
        <v>2245</v>
      </c>
      <c r="H2612" s="344" t="s">
        <v>733</v>
      </c>
      <c r="I2612" s="337" t="str">
        <f t="shared" si="106"/>
        <v>Pesado de Passageiros M3: III : Gasóleo : E6</v>
      </c>
      <c r="J2612" s="247">
        <v>53</v>
      </c>
      <c r="K2612" s="264">
        <v>2022</v>
      </c>
      <c r="L2612" s="85">
        <v>24888.86</v>
      </c>
      <c r="M2612" s="85" t="s">
        <v>630</v>
      </c>
      <c r="N2612" s="85">
        <v>92003</v>
      </c>
      <c r="O2612" s="128">
        <f t="shared" si="107"/>
        <v>4876159</v>
      </c>
      <c r="P2612" s="89" t="s">
        <v>2774</v>
      </c>
      <c r="Q2612" t="s">
        <v>47</v>
      </c>
      <c r="R2612" s="220" t="s">
        <v>1888</v>
      </c>
      <c r="S2612" s="220" t="s">
        <v>1861</v>
      </c>
      <c r="U2612" t="s">
        <v>1972</v>
      </c>
      <c r="V2612" t="s">
        <v>2832</v>
      </c>
    </row>
    <row r="2613" spans="1:22" ht="15.75" thickBot="1" x14ac:dyDescent="0.3">
      <c r="A2613" t="s">
        <v>4696</v>
      </c>
      <c r="B2613" t="s">
        <v>4696</v>
      </c>
      <c r="C2613" t="s">
        <v>4696</v>
      </c>
      <c r="D2613" t="s">
        <v>629</v>
      </c>
      <c r="E2613" s="259" t="s">
        <v>1853</v>
      </c>
      <c r="F2613" t="s">
        <v>620</v>
      </c>
      <c r="G2613" s="89" t="s">
        <v>2245</v>
      </c>
      <c r="H2613" s="344" t="s">
        <v>733</v>
      </c>
      <c r="I2613" s="337" t="str">
        <f t="shared" si="106"/>
        <v>Pesado de Passageiros M3: III : Gasóleo : E6</v>
      </c>
      <c r="J2613" s="247">
        <v>53</v>
      </c>
      <c r="K2613" s="264">
        <v>2022</v>
      </c>
      <c r="L2613" s="85">
        <v>26175.53</v>
      </c>
      <c r="M2613" s="85" t="s">
        <v>630</v>
      </c>
      <c r="N2613" s="85">
        <v>97410</v>
      </c>
      <c r="O2613" s="128">
        <f t="shared" si="107"/>
        <v>5162730</v>
      </c>
      <c r="P2613" s="89" t="s">
        <v>2775</v>
      </c>
      <c r="Q2613" t="s">
        <v>47</v>
      </c>
      <c r="R2613" s="220" t="s">
        <v>1888</v>
      </c>
      <c r="S2613" s="220" t="s">
        <v>1861</v>
      </c>
      <c r="U2613" t="s">
        <v>1972</v>
      </c>
      <c r="V2613" t="s">
        <v>2832</v>
      </c>
    </row>
    <row r="2614" spans="1:22" ht="15.75" thickBot="1" x14ac:dyDescent="0.3">
      <c r="A2614" t="s">
        <v>4696</v>
      </c>
      <c r="B2614" t="s">
        <v>4696</v>
      </c>
      <c r="C2614" t="s">
        <v>4696</v>
      </c>
      <c r="D2614" t="s">
        <v>629</v>
      </c>
      <c r="E2614" s="259" t="s">
        <v>1853</v>
      </c>
      <c r="F2614" t="s">
        <v>620</v>
      </c>
      <c r="G2614" s="89" t="s">
        <v>2223</v>
      </c>
      <c r="H2614" s="344" t="s">
        <v>734</v>
      </c>
      <c r="I2614" s="337" t="str">
        <f t="shared" si="106"/>
        <v>Pesado de Passageiros M3: III : Gasóleo : E5</v>
      </c>
      <c r="J2614" s="247">
        <v>80</v>
      </c>
      <c r="K2614" s="264">
        <v>2022</v>
      </c>
      <c r="L2614" s="85">
        <v>12585.75</v>
      </c>
      <c r="M2614" s="85" t="s">
        <v>630</v>
      </c>
      <c r="N2614" s="85">
        <v>42571</v>
      </c>
      <c r="O2614" s="128">
        <f t="shared" si="107"/>
        <v>3405680</v>
      </c>
      <c r="P2614" s="89" t="s">
        <v>2776</v>
      </c>
      <c r="Q2614" t="s">
        <v>47</v>
      </c>
      <c r="R2614" s="220" t="s">
        <v>1888</v>
      </c>
      <c r="S2614" s="220" t="s">
        <v>1861</v>
      </c>
      <c r="U2614" t="s">
        <v>1972</v>
      </c>
      <c r="V2614" t="s">
        <v>2832</v>
      </c>
    </row>
    <row r="2615" spans="1:22" ht="15.75" thickBot="1" x14ac:dyDescent="0.3">
      <c r="A2615" t="s">
        <v>4696</v>
      </c>
      <c r="B2615" t="s">
        <v>4696</v>
      </c>
      <c r="C2615" t="s">
        <v>4696</v>
      </c>
      <c r="D2615" t="s">
        <v>629</v>
      </c>
      <c r="E2615" s="259" t="s">
        <v>1853</v>
      </c>
      <c r="F2615" t="s">
        <v>620</v>
      </c>
      <c r="G2615" s="89" t="s">
        <v>2223</v>
      </c>
      <c r="H2615" s="344" t="s">
        <v>734</v>
      </c>
      <c r="I2615" s="337" t="str">
        <f t="shared" si="106"/>
        <v>Pesado de Passageiros M3: III : Gasóleo : E5</v>
      </c>
      <c r="J2615" s="247">
        <v>82</v>
      </c>
      <c r="K2615" s="264">
        <v>2022</v>
      </c>
      <c r="L2615" s="85">
        <v>10002.06</v>
      </c>
      <c r="M2615" s="85" t="s">
        <v>630</v>
      </c>
      <c r="N2615" s="85">
        <v>31446</v>
      </c>
      <c r="O2615" s="128">
        <f t="shared" si="107"/>
        <v>2578572</v>
      </c>
      <c r="P2615" s="89" t="s">
        <v>2777</v>
      </c>
      <c r="Q2615" t="s">
        <v>47</v>
      </c>
      <c r="R2615" s="220" t="s">
        <v>1888</v>
      </c>
      <c r="S2615" s="220" t="s">
        <v>1861</v>
      </c>
      <c r="U2615" t="s">
        <v>1972</v>
      </c>
      <c r="V2615" t="s">
        <v>2832</v>
      </c>
    </row>
    <row r="2616" spans="1:22" ht="15.75" thickBot="1" x14ac:dyDescent="0.3">
      <c r="A2616" t="s">
        <v>4696</v>
      </c>
      <c r="B2616" t="s">
        <v>4696</v>
      </c>
      <c r="C2616" t="s">
        <v>4696</v>
      </c>
      <c r="D2616" t="s">
        <v>629</v>
      </c>
      <c r="E2616" s="259" t="s">
        <v>1853</v>
      </c>
      <c r="F2616" t="s">
        <v>620</v>
      </c>
      <c r="G2616" s="89" t="s">
        <v>2246</v>
      </c>
      <c r="H2616" s="344" t="s">
        <v>733</v>
      </c>
      <c r="I2616" s="337" t="str">
        <f t="shared" si="106"/>
        <v>Pesado de Passageiros M3: III : Gasóleo : E6</v>
      </c>
      <c r="J2616" s="247">
        <v>53</v>
      </c>
      <c r="K2616" s="264">
        <v>2022</v>
      </c>
      <c r="L2616" s="85">
        <v>43597.45</v>
      </c>
      <c r="M2616" s="85" t="s">
        <v>630</v>
      </c>
      <c r="N2616" s="85">
        <v>172731</v>
      </c>
      <c r="O2616" s="128">
        <f t="shared" si="107"/>
        <v>9154743</v>
      </c>
      <c r="P2616" s="89" t="s">
        <v>2778</v>
      </c>
      <c r="Q2616" t="s">
        <v>47</v>
      </c>
      <c r="R2616" s="220" t="s">
        <v>1888</v>
      </c>
      <c r="S2616" s="220" t="s">
        <v>1861</v>
      </c>
      <c r="U2616" t="s">
        <v>1972</v>
      </c>
      <c r="V2616" t="s">
        <v>2832</v>
      </c>
    </row>
    <row r="2617" spans="1:22" ht="15.75" thickBot="1" x14ac:dyDescent="0.3">
      <c r="A2617" t="s">
        <v>4696</v>
      </c>
      <c r="B2617" t="s">
        <v>4696</v>
      </c>
      <c r="C2617" t="s">
        <v>4696</v>
      </c>
      <c r="D2617" t="s">
        <v>629</v>
      </c>
      <c r="E2617" s="259" t="s">
        <v>1853</v>
      </c>
      <c r="F2617" t="s">
        <v>620</v>
      </c>
      <c r="G2617" s="89" t="s">
        <v>2234</v>
      </c>
      <c r="H2617" s="344" t="s">
        <v>735</v>
      </c>
      <c r="I2617" s="337" t="str">
        <f t="shared" si="106"/>
        <v>Pesado de Passageiros M3: III : Gasóleo : E2</v>
      </c>
      <c r="J2617" s="247">
        <v>72</v>
      </c>
      <c r="K2617" s="264">
        <v>2022</v>
      </c>
      <c r="L2617" s="85">
        <v>5996.71</v>
      </c>
      <c r="M2617" s="85" t="s">
        <v>630</v>
      </c>
      <c r="N2617" s="85">
        <v>16388</v>
      </c>
      <c r="O2617" s="128">
        <f t="shared" si="107"/>
        <v>1179936</v>
      </c>
      <c r="P2617" s="89" t="s">
        <v>2779</v>
      </c>
      <c r="Q2617" t="s">
        <v>47</v>
      </c>
      <c r="R2617" s="220" t="s">
        <v>1888</v>
      </c>
      <c r="S2617" s="220" t="s">
        <v>1861</v>
      </c>
      <c r="U2617" t="s">
        <v>1972</v>
      </c>
      <c r="V2617" t="s">
        <v>2832</v>
      </c>
    </row>
    <row r="2618" spans="1:22" ht="15.75" thickBot="1" x14ac:dyDescent="0.3">
      <c r="A2618" t="s">
        <v>4696</v>
      </c>
      <c r="B2618" t="s">
        <v>4696</v>
      </c>
      <c r="C2618" t="s">
        <v>4696</v>
      </c>
      <c r="D2618" t="s">
        <v>629</v>
      </c>
      <c r="E2618" s="259" t="s">
        <v>1853</v>
      </c>
      <c r="F2618" t="s">
        <v>620</v>
      </c>
      <c r="G2618" s="89" t="s">
        <v>2239</v>
      </c>
      <c r="H2618" s="344" t="s">
        <v>732</v>
      </c>
      <c r="I2618" s="337" t="str">
        <f t="shared" si="106"/>
        <v>Pesado de Passageiros M3: III : Gasóleo : E3</v>
      </c>
      <c r="J2618" s="247">
        <v>78</v>
      </c>
      <c r="K2618" s="264">
        <v>2022</v>
      </c>
      <c r="L2618" s="85">
        <v>6323.28</v>
      </c>
      <c r="M2618" s="85" t="s">
        <v>630</v>
      </c>
      <c r="N2618" s="85">
        <v>18571</v>
      </c>
      <c r="O2618" s="128">
        <f t="shared" si="107"/>
        <v>1448538</v>
      </c>
      <c r="P2618" s="89" t="s">
        <v>2780</v>
      </c>
      <c r="Q2618" t="s">
        <v>47</v>
      </c>
      <c r="R2618" s="220" t="s">
        <v>1888</v>
      </c>
      <c r="S2618" s="220" t="s">
        <v>1861</v>
      </c>
      <c r="U2618" t="s">
        <v>1972</v>
      </c>
      <c r="V2618" t="s">
        <v>2832</v>
      </c>
    </row>
    <row r="2619" spans="1:22" ht="15.75" thickBot="1" x14ac:dyDescent="0.3">
      <c r="A2619" t="s">
        <v>4696</v>
      </c>
      <c r="B2619" t="s">
        <v>4696</v>
      </c>
      <c r="C2619" t="s">
        <v>4696</v>
      </c>
      <c r="D2619" t="s">
        <v>629</v>
      </c>
      <c r="E2619" s="259" t="s">
        <v>1853</v>
      </c>
      <c r="F2619" t="s">
        <v>620</v>
      </c>
      <c r="G2619" s="89" t="s">
        <v>2230</v>
      </c>
      <c r="H2619" s="344" t="s">
        <v>731</v>
      </c>
      <c r="I2619" s="337" t="str">
        <f t="shared" si="106"/>
        <v>Pesado de Passageiros M3: III : Gasóleo : E4</v>
      </c>
      <c r="J2619" s="247">
        <v>78</v>
      </c>
      <c r="K2619" s="264">
        <v>2022</v>
      </c>
      <c r="L2619" s="85">
        <v>10464.48</v>
      </c>
      <c r="M2619" s="85" t="s">
        <v>630</v>
      </c>
      <c r="N2619" s="85">
        <v>29307</v>
      </c>
      <c r="O2619" s="128">
        <f t="shared" si="107"/>
        <v>2285946</v>
      </c>
      <c r="P2619" s="89" t="s">
        <v>2781</v>
      </c>
      <c r="Q2619" t="s">
        <v>47</v>
      </c>
      <c r="R2619" s="220" t="s">
        <v>1888</v>
      </c>
      <c r="S2619" s="220" t="s">
        <v>1861</v>
      </c>
      <c r="U2619" t="s">
        <v>1972</v>
      </c>
      <c r="V2619" t="s">
        <v>2832</v>
      </c>
    </row>
    <row r="2620" spans="1:22" ht="15.75" thickBot="1" x14ac:dyDescent="0.3">
      <c r="A2620" t="s">
        <v>4696</v>
      </c>
      <c r="B2620" t="s">
        <v>4696</v>
      </c>
      <c r="C2620" t="s">
        <v>4696</v>
      </c>
      <c r="D2620" t="s">
        <v>629</v>
      </c>
      <c r="E2620" s="259" t="s">
        <v>1853</v>
      </c>
      <c r="F2620" t="s">
        <v>620</v>
      </c>
      <c r="G2620" s="89" t="s">
        <v>2239</v>
      </c>
      <c r="H2620" s="344" t="s">
        <v>732</v>
      </c>
      <c r="I2620" s="337" t="str">
        <f t="shared" si="106"/>
        <v>Pesado de Passageiros M3: III : Gasóleo : E3</v>
      </c>
      <c r="J2620" s="247">
        <v>63</v>
      </c>
      <c r="K2620" s="264">
        <v>2022</v>
      </c>
      <c r="L2620" s="85">
        <v>12917.33</v>
      </c>
      <c r="M2620" s="85" t="s">
        <v>630</v>
      </c>
      <c r="N2620" s="85">
        <v>31949</v>
      </c>
      <c r="O2620" s="128">
        <f t="shared" si="107"/>
        <v>2012787</v>
      </c>
      <c r="P2620" s="89" t="s">
        <v>2782</v>
      </c>
      <c r="Q2620" t="s">
        <v>47</v>
      </c>
      <c r="R2620" s="220" t="s">
        <v>1888</v>
      </c>
      <c r="S2620" s="220" t="s">
        <v>1861</v>
      </c>
      <c r="U2620" t="s">
        <v>1972</v>
      </c>
      <c r="V2620" t="s">
        <v>2832</v>
      </c>
    </row>
    <row r="2621" spans="1:22" ht="15.75" thickBot="1" x14ac:dyDescent="0.3">
      <c r="A2621" t="s">
        <v>4696</v>
      </c>
      <c r="B2621" t="s">
        <v>4696</v>
      </c>
      <c r="C2621" t="s">
        <v>4696</v>
      </c>
      <c r="D2621" t="s">
        <v>629</v>
      </c>
      <c r="E2621" s="259" t="s">
        <v>1853</v>
      </c>
      <c r="F2621" t="s">
        <v>620</v>
      </c>
      <c r="G2621" s="89" t="s">
        <v>2223</v>
      </c>
      <c r="H2621" s="344" t="s">
        <v>734</v>
      </c>
      <c r="I2621" s="337" t="str">
        <f t="shared" si="106"/>
        <v>Pesado de Passageiros M3: III : Gasóleo : E5</v>
      </c>
      <c r="J2621" s="247">
        <v>74</v>
      </c>
      <c r="K2621" s="264">
        <v>2022</v>
      </c>
      <c r="L2621" s="85">
        <v>9393.6299999999992</v>
      </c>
      <c r="M2621" s="85" t="s">
        <v>630</v>
      </c>
      <c r="N2621" s="85">
        <v>29562</v>
      </c>
      <c r="O2621" s="128">
        <f t="shared" si="107"/>
        <v>2187588</v>
      </c>
      <c r="P2621" s="89" t="s">
        <v>2783</v>
      </c>
      <c r="Q2621" t="s">
        <v>47</v>
      </c>
      <c r="R2621" s="220" t="s">
        <v>1888</v>
      </c>
      <c r="S2621" s="220" t="s">
        <v>1861</v>
      </c>
      <c r="U2621" t="s">
        <v>1972</v>
      </c>
      <c r="V2621" t="s">
        <v>2832</v>
      </c>
    </row>
    <row r="2622" spans="1:22" ht="15.75" thickBot="1" x14ac:dyDescent="0.3">
      <c r="A2622" t="s">
        <v>4696</v>
      </c>
      <c r="B2622" t="s">
        <v>4696</v>
      </c>
      <c r="C2622" t="s">
        <v>4696</v>
      </c>
      <c r="D2622" t="s">
        <v>629</v>
      </c>
      <c r="E2622" s="259" t="s">
        <v>1853</v>
      </c>
      <c r="F2622" t="s">
        <v>620</v>
      </c>
      <c r="G2622" s="89" t="s">
        <v>2223</v>
      </c>
      <c r="H2622" s="344" t="s">
        <v>734</v>
      </c>
      <c r="I2622" s="337" t="str">
        <f t="shared" si="106"/>
        <v>Pesado de Passageiros M3: III : Gasóleo : E5</v>
      </c>
      <c r="J2622" s="247">
        <v>83</v>
      </c>
      <c r="K2622" s="264">
        <v>2022</v>
      </c>
      <c r="L2622" s="85">
        <v>13346.75</v>
      </c>
      <c r="M2622" s="85" t="s">
        <v>630</v>
      </c>
      <c r="N2622" s="85">
        <v>43158</v>
      </c>
      <c r="O2622" s="128">
        <f t="shared" si="107"/>
        <v>3582114</v>
      </c>
      <c r="P2622" s="89" t="s">
        <v>2784</v>
      </c>
      <c r="Q2622" t="s">
        <v>47</v>
      </c>
      <c r="R2622" s="220" t="s">
        <v>1888</v>
      </c>
      <c r="S2622" s="220" t="s">
        <v>1861</v>
      </c>
      <c r="U2622" t="s">
        <v>1972</v>
      </c>
      <c r="V2622" t="s">
        <v>2832</v>
      </c>
    </row>
    <row r="2623" spans="1:22" ht="15.75" thickBot="1" x14ac:dyDescent="0.3">
      <c r="A2623" t="s">
        <v>4696</v>
      </c>
      <c r="B2623" t="s">
        <v>4696</v>
      </c>
      <c r="C2623" t="s">
        <v>4696</v>
      </c>
      <c r="D2623" t="s">
        <v>629</v>
      </c>
      <c r="E2623" s="259" t="s">
        <v>1853</v>
      </c>
      <c r="F2623" t="s">
        <v>620</v>
      </c>
      <c r="G2623" s="89" t="s">
        <v>2246</v>
      </c>
      <c r="H2623" s="344" t="s">
        <v>733</v>
      </c>
      <c r="I2623" s="337" t="str">
        <f t="shared" si="106"/>
        <v>Pesado de Passageiros M3: III : Gasóleo : E6</v>
      </c>
      <c r="J2623" s="247">
        <v>26</v>
      </c>
      <c r="K2623" s="264">
        <v>2022</v>
      </c>
      <c r="L2623" s="85">
        <v>11509.49</v>
      </c>
      <c r="M2623" s="85" t="s">
        <v>630</v>
      </c>
      <c r="N2623" s="85">
        <v>62737</v>
      </c>
      <c r="O2623" s="128">
        <f t="shared" si="107"/>
        <v>1631162</v>
      </c>
      <c r="P2623" s="89" t="s">
        <v>2785</v>
      </c>
      <c r="Q2623" t="s">
        <v>47</v>
      </c>
      <c r="R2623" s="220" t="s">
        <v>1888</v>
      </c>
      <c r="S2623" s="220" t="s">
        <v>1861</v>
      </c>
      <c r="U2623" t="s">
        <v>1972</v>
      </c>
      <c r="V2623" t="s">
        <v>2832</v>
      </c>
    </row>
    <row r="2624" spans="1:22" ht="15.75" thickBot="1" x14ac:dyDescent="0.3">
      <c r="A2624" t="s">
        <v>4696</v>
      </c>
      <c r="B2624" t="s">
        <v>4696</v>
      </c>
      <c r="C2624" t="s">
        <v>4696</v>
      </c>
      <c r="D2624" t="s">
        <v>629</v>
      </c>
      <c r="E2624" s="259" t="s">
        <v>1853</v>
      </c>
      <c r="F2624" t="s">
        <v>620</v>
      </c>
      <c r="G2624" s="89" t="s">
        <v>2222</v>
      </c>
      <c r="H2624" s="344" t="s">
        <v>733</v>
      </c>
      <c r="I2624" s="337" t="str">
        <f t="shared" si="106"/>
        <v>Pesado de Passageiros M3: III : Gasóleo : E6</v>
      </c>
      <c r="J2624" s="247">
        <v>63</v>
      </c>
      <c r="K2624" s="264">
        <v>2022</v>
      </c>
      <c r="L2624" s="85">
        <v>17532.009999999998</v>
      </c>
      <c r="M2624" s="85" t="s">
        <v>630</v>
      </c>
      <c r="N2624" s="85">
        <v>47136</v>
      </c>
      <c r="O2624" s="128">
        <f t="shared" si="107"/>
        <v>2969568</v>
      </c>
      <c r="P2624" s="89" t="s">
        <v>2786</v>
      </c>
      <c r="Q2624" t="s">
        <v>47</v>
      </c>
      <c r="R2624" s="220" t="s">
        <v>1888</v>
      </c>
      <c r="S2624" s="220" t="s">
        <v>1861</v>
      </c>
      <c r="U2624" t="s">
        <v>1972</v>
      </c>
      <c r="V2624" t="s">
        <v>2832</v>
      </c>
    </row>
    <row r="2625" spans="1:22" ht="15.75" thickBot="1" x14ac:dyDescent="0.3">
      <c r="A2625" t="s">
        <v>4696</v>
      </c>
      <c r="B2625" t="s">
        <v>4696</v>
      </c>
      <c r="C2625" t="s">
        <v>4696</v>
      </c>
      <c r="D2625" t="s">
        <v>629</v>
      </c>
      <c r="E2625" s="259" t="s">
        <v>1853</v>
      </c>
      <c r="F2625" t="s">
        <v>620</v>
      </c>
      <c r="G2625" s="89" t="s">
        <v>2234</v>
      </c>
      <c r="H2625" s="344" t="s">
        <v>735</v>
      </c>
      <c r="I2625" s="337" t="str">
        <f t="shared" si="106"/>
        <v>Pesado de Passageiros M3: III : Gasóleo : E2</v>
      </c>
      <c r="J2625" s="247">
        <v>66</v>
      </c>
      <c r="K2625" s="264">
        <v>2022</v>
      </c>
      <c r="L2625" s="85">
        <v>8278.36</v>
      </c>
      <c r="M2625" s="85" t="s">
        <v>630</v>
      </c>
      <c r="N2625" s="85">
        <v>22262</v>
      </c>
      <c r="O2625" s="128">
        <f t="shared" si="107"/>
        <v>1469292</v>
      </c>
      <c r="P2625" s="89" t="s">
        <v>2787</v>
      </c>
      <c r="Q2625" t="s">
        <v>47</v>
      </c>
      <c r="R2625" s="220" t="s">
        <v>1888</v>
      </c>
      <c r="S2625" s="220" t="s">
        <v>1861</v>
      </c>
      <c r="U2625" t="s">
        <v>1972</v>
      </c>
      <c r="V2625" t="s">
        <v>2832</v>
      </c>
    </row>
    <row r="2626" spans="1:22" ht="15.75" thickBot="1" x14ac:dyDescent="0.3">
      <c r="A2626" t="s">
        <v>4696</v>
      </c>
      <c r="B2626" t="s">
        <v>4696</v>
      </c>
      <c r="C2626" t="s">
        <v>4696</v>
      </c>
      <c r="D2626" t="s">
        <v>629</v>
      </c>
      <c r="E2626" s="259" t="s">
        <v>1853</v>
      </c>
      <c r="F2626" t="s">
        <v>620</v>
      </c>
      <c r="G2626" s="89" t="s">
        <v>2232</v>
      </c>
      <c r="H2626" s="344" t="s">
        <v>734</v>
      </c>
      <c r="I2626" s="337" t="str">
        <f t="shared" si="106"/>
        <v>Pesado de Passageiros M3: III : Gasóleo : E5</v>
      </c>
      <c r="J2626" s="247">
        <v>66</v>
      </c>
      <c r="K2626" s="264">
        <v>2022</v>
      </c>
      <c r="L2626" s="85">
        <v>14896.6</v>
      </c>
      <c r="M2626" s="85" t="s">
        <v>630</v>
      </c>
      <c r="N2626" s="85">
        <v>44126</v>
      </c>
      <c r="O2626" s="128">
        <f t="shared" si="107"/>
        <v>2912316</v>
      </c>
      <c r="P2626" s="89" t="s">
        <v>2788</v>
      </c>
      <c r="Q2626" t="s">
        <v>47</v>
      </c>
      <c r="R2626" s="220" t="s">
        <v>1888</v>
      </c>
      <c r="S2626" s="220" t="s">
        <v>1861</v>
      </c>
      <c r="U2626" t="s">
        <v>1972</v>
      </c>
      <c r="V2626" t="s">
        <v>2832</v>
      </c>
    </row>
    <row r="2627" spans="1:22" ht="15.75" thickBot="1" x14ac:dyDescent="0.3">
      <c r="A2627" t="s">
        <v>4696</v>
      </c>
      <c r="B2627" t="s">
        <v>4696</v>
      </c>
      <c r="C2627" t="s">
        <v>4696</v>
      </c>
      <c r="D2627" t="s">
        <v>629</v>
      </c>
      <c r="E2627" s="259" t="s">
        <v>1853</v>
      </c>
      <c r="F2627" t="s">
        <v>620</v>
      </c>
      <c r="G2627" s="89" t="s">
        <v>2239</v>
      </c>
      <c r="H2627" s="344" t="s">
        <v>732</v>
      </c>
      <c r="I2627" s="337" t="str">
        <f t="shared" si="106"/>
        <v>Pesado de Passageiros M3: III : Gasóleo : E3</v>
      </c>
      <c r="J2627" s="247">
        <v>63</v>
      </c>
      <c r="K2627" s="264">
        <v>2022</v>
      </c>
      <c r="L2627" s="85">
        <v>10719.98</v>
      </c>
      <c r="M2627" s="85" t="s">
        <v>630</v>
      </c>
      <c r="N2627" s="85">
        <v>31779</v>
      </c>
      <c r="O2627" s="128">
        <f t="shared" si="107"/>
        <v>2002077</v>
      </c>
      <c r="P2627" s="89" t="s">
        <v>2789</v>
      </c>
      <c r="Q2627" t="s">
        <v>47</v>
      </c>
      <c r="R2627" s="220" t="s">
        <v>1888</v>
      </c>
      <c r="S2627" s="220" t="s">
        <v>1861</v>
      </c>
      <c r="U2627" t="s">
        <v>1972</v>
      </c>
      <c r="V2627" t="s">
        <v>2832</v>
      </c>
    </row>
    <row r="2628" spans="1:22" ht="15.75" thickBot="1" x14ac:dyDescent="0.3">
      <c r="A2628" t="s">
        <v>4696</v>
      </c>
      <c r="B2628" t="s">
        <v>4696</v>
      </c>
      <c r="C2628" t="s">
        <v>4696</v>
      </c>
      <c r="D2628" t="s">
        <v>629</v>
      </c>
      <c r="E2628" s="259" t="s">
        <v>1853</v>
      </c>
      <c r="F2628" t="s">
        <v>620</v>
      </c>
      <c r="G2628" s="89" t="s">
        <v>2230</v>
      </c>
      <c r="H2628" s="344" t="s">
        <v>731</v>
      </c>
      <c r="I2628" s="337" t="str">
        <f t="shared" ref="I2628:I2672" si="108">D2628&amp;": "&amp;E2628&amp;" : "&amp;F2628&amp;" : "&amp;H2628</f>
        <v>Pesado de Passageiros M3: III : Gasóleo : E4</v>
      </c>
      <c r="J2628" s="247">
        <v>78</v>
      </c>
      <c r="K2628" s="264">
        <v>2022</v>
      </c>
      <c r="L2628" s="85">
        <v>6865.87</v>
      </c>
      <c r="M2628" s="85" t="s">
        <v>630</v>
      </c>
      <c r="N2628" s="85">
        <v>19107</v>
      </c>
      <c r="O2628" s="128">
        <f t="shared" ref="O2628:O2672" si="109">N2628*J2628</f>
        <v>1490346</v>
      </c>
      <c r="P2628" s="89" t="s">
        <v>2790</v>
      </c>
      <c r="Q2628" t="s">
        <v>47</v>
      </c>
      <c r="R2628" s="220" t="s">
        <v>1888</v>
      </c>
      <c r="S2628" s="220" t="s">
        <v>1861</v>
      </c>
      <c r="U2628" t="s">
        <v>1972</v>
      </c>
      <c r="V2628" t="s">
        <v>2832</v>
      </c>
    </row>
    <row r="2629" spans="1:22" ht="15.75" thickBot="1" x14ac:dyDescent="0.3">
      <c r="A2629" t="s">
        <v>4696</v>
      </c>
      <c r="B2629" t="s">
        <v>4696</v>
      </c>
      <c r="C2629" t="s">
        <v>4696</v>
      </c>
      <c r="D2629" t="s">
        <v>629</v>
      </c>
      <c r="E2629" s="259" t="s">
        <v>1853</v>
      </c>
      <c r="F2629" t="s">
        <v>620</v>
      </c>
      <c r="G2629" s="89" t="s">
        <v>2239</v>
      </c>
      <c r="H2629" s="344" t="s">
        <v>732</v>
      </c>
      <c r="I2629" s="337" t="str">
        <f t="shared" si="108"/>
        <v>Pesado de Passageiros M3: III : Gasóleo : E3</v>
      </c>
      <c r="J2629" s="247">
        <v>63</v>
      </c>
      <c r="K2629" s="264">
        <v>2022</v>
      </c>
      <c r="L2629" s="85">
        <v>9917.82</v>
      </c>
      <c r="M2629" s="85" t="s">
        <v>630</v>
      </c>
      <c r="N2629" s="85">
        <v>29276</v>
      </c>
      <c r="O2629" s="128">
        <f t="shared" si="109"/>
        <v>1844388</v>
      </c>
      <c r="P2629" s="89" t="s">
        <v>2791</v>
      </c>
      <c r="Q2629" t="s">
        <v>47</v>
      </c>
      <c r="R2629" s="220" t="s">
        <v>1888</v>
      </c>
      <c r="S2629" s="220" t="s">
        <v>1861</v>
      </c>
      <c r="U2629" t="s">
        <v>1972</v>
      </c>
      <c r="V2629" t="s">
        <v>2832</v>
      </c>
    </row>
    <row r="2630" spans="1:22" ht="15.75" thickBot="1" x14ac:dyDescent="0.3">
      <c r="A2630" t="s">
        <v>4696</v>
      </c>
      <c r="B2630" t="s">
        <v>4696</v>
      </c>
      <c r="C2630" t="s">
        <v>4696</v>
      </c>
      <c r="D2630" t="s">
        <v>629</v>
      </c>
      <c r="E2630" s="259" t="s">
        <v>1853</v>
      </c>
      <c r="F2630" t="s">
        <v>620</v>
      </c>
      <c r="G2630" s="89" t="s">
        <v>2247</v>
      </c>
      <c r="H2630" s="344" t="s">
        <v>732</v>
      </c>
      <c r="I2630" s="337" t="str">
        <f t="shared" si="108"/>
        <v>Pesado de Passageiros M3: III : Gasóleo : E3</v>
      </c>
      <c r="J2630" s="247">
        <v>62</v>
      </c>
      <c r="K2630" s="264">
        <v>2022</v>
      </c>
      <c r="L2630" s="85">
        <v>8371.59</v>
      </c>
      <c r="M2630" s="85" t="s">
        <v>630</v>
      </c>
      <c r="N2630" s="85">
        <v>20713</v>
      </c>
      <c r="O2630" s="128">
        <f t="shared" si="109"/>
        <v>1284206</v>
      </c>
      <c r="P2630" s="89" t="s">
        <v>2792</v>
      </c>
      <c r="Q2630" t="s">
        <v>47</v>
      </c>
      <c r="R2630" s="220" t="s">
        <v>1888</v>
      </c>
      <c r="S2630" s="220" t="s">
        <v>1861</v>
      </c>
      <c r="U2630" t="s">
        <v>1972</v>
      </c>
      <c r="V2630" t="s">
        <v>2832</v>
      </c>
    </row>
    <row r="2631" spans="1:22" ht="15.75" thickBot="1" x14ac:dyDescent="0.3">
      <c r="A2631" t="s">
        <v>4696</v>
      </c>
      <c r="B2631" t="s">
        <v>4696</v>
      </c>
      <c r="C2631" t="s">
        <v>4696</v>
      </c>
      <c r="D2631" t="s">
        <v>629</v>
      </c>
      <c r="E2631" s="259" t="s">
        <v>1853</v>
      </c>
      <c r="F2631" t="s">
        <v>620</v>
      </c>
      <c r="G2631" s="89" t="s">
        <v>2247</v>
      </c>
      <c r="H2631" s="344" t="s">
        <v>732</v>
      </c>
      <c r="I2631" s="337" t="str">
        <f t="shared" si="108"/>
        <v>Pesado de Passageiros M3: III : Gasóleo : E3</v>
      </c>
      <c r="J2631" s="247">
        <v>62</v>
      </c>
      <c r="K2631" s="264">
        <v>2022</v>
      </c>
      <c r="L2631" s="85">
        <v>15153.48</v>
      </c>
      <c r="M2631" s="85" t="s">
        <v>630</v>
      </c>
      <c r="N2631" s="85">
        <v>42199</v>
      </c>
      <c r="O2631" s="128">
        <f t="shared" si="109"/>
        <v>2616338</v>
      </c>
      <c r="P2631" s="89" t="s">
        <v>2793</v>
      </c>
      <c r="Q2631" t="s">
        <v>47</v>
      </c>
      <c r="R2631" s="220" t="s">
        <v>1888</v>
      </c>
      <c r="S2631" s="220" t="s">
        <v>1861</v>
      </c>
      <c r="U2631" t="s">
        <v>1972</v>
      </c>
      <c r="V2631" t="s">
        <v>2832</v>
      </c>
    </row>
    <row r="2632" spans="1:22" ht="15.75" thickBot="1" x14ac:dyDescent="0.3">
      <c r="A2632" t="s">
        <v>4696</v>
      </c>
      <c r="B2632" t="s">
        <v>4696</v>
      </c>
      <c r="C2632" t="s">
        <v>4696</v>
      </c>
      <c r="D2632" t="s">
        <v>629</v>
      </c>
      <c r="E2632" s="259" t="s">
        <v>1853</v>
      </c>
      <c r="F2632" t="s">
        <v>620</v>
      </c>
      <c r="G2632" s="89" t="s">
        <v>2231</v>
      </c>
      <c r="H2632" s="344" t="s">
        <v>734</v>
      </c>
      <c r="I2632" s="337" t="str">
        <f t="shared" si="108"/>
        <v>Pesado de Passageiros M3: III : Gasóleo : E5</v>
      </c>
      <c r="J2632" s="247">
        <v>71</v>
      </c>
      <c r="K2632" s="264">
        <v>2022</v>
      </c>
      <c r="L2632" s="85">
        <v>6891.92</v>
      </c>
      <c r="M2632" s="85" t="s">
        <v>630</v>
      </c>
      <c r="N2632" s="85">
        <v>23392</v>
      </c>
      <c r="O2632" s="128">
        <f t="shared" si="109"/>
        <v>1660832</v>
      </c>
      <c r="P2632" s="89" t="s">
        <v>2794</v>
      </c>
      <c r="Q2632" t="s">
        <v>47</v>
      </c>
      <c r="R2632" s="220" t="s">
        <v>1888</v>
      </c>
      <c r="S2632" s="220" t="s">
        <v>1861</v>
      </c>
      <c r="U2632" t="s">
        <v>1972</v>
      </c>
      <c r="V2632" t="s">
        <v>2832</v>
      </c>
    </row>
    <row r="2633" spans="1:22" ht="15.75" thickBot="1" x14ac:dyDescent="0.3">
      <c r="A2633" t="s">
        <v>4696</v>
      </c>
      <c r="B2633" t="s">
        <v>4696</v>
      </c>
      <c r="C2633" t="s">
        <v>4696</v>
      </c>
      <c r="D2633" t="s">
        <v>629</v>
      </c>
      <c r="E2633" s="259" t="s">
        <v>1853</v>
      </c>
      <c r="F2633" t="s">
        <v>620</v>
      </c>
      <c r="G2633" s="89" t="s">
        <v>2231</v>
      </c>
      <c r="H2633" s="344" t="s">
        <v>734</v>
      </c>
      <c r="I2633" s="337" t="str">
        <f t="shared" si="108"/>
        <v>Pesado de Passageiros M3: III : Gasóleo : E5</v>
      </c>
      <c r="J2633" s="247">
        <v>71</v>
      </c>
      <c r="K2633" s="264">
        <v>2022</v>
      </c>
      <c r="L2633" s="85">
        <v>9786.57</v>
      </c>
      <c r="M2633" s="85" t="s">
        <v>630</v>
      </c>
      <c r="N2633" s="85">
        <v>32406</v>
      </c>
      <c r="O2633" s="128">
        <f t="shared" si="109"/>
        <v>2300826</v>
      </c>
      <c r="P2633" s="89" t="s">
        <v>2795</v>
      </c>
      <c r="Q2633" t="s">
        <v>47</v>
      </c>
      <c r="R2633" s="220" t="s">
        <v>1888</v>
      </c>
      <c r="S2633" s="220" t="s">
        <v>1861</v>
      </c>
      <c r="U2633" t="s">
        <v>1972</v>
      </c>
      <c r="V2633" t="s">
        <v>2832</v>
      </c>
    </row>
    <row r="2634" spans="1:22" ht="15.75" thickBot="1" x14ac:dyDescent="0.3">
      <c r="A2634" t="s">
        <v>4696</v>
      </c>
      <c r="B2634" t="s">
        <v>4696</v>
      </c>
      <c r="C2634" t="s">
        <v>4696</v>
      </c>
      <c r="D2634" t="s">
        <v>629</v>
      </c>
      <c r="E2634" s="259" t="s">
        <v>1853</v>
      </c>
      <c r="F2634" t="s">
        <v>620</v>
      </c>
      <c r="G2634" s="89" t="s">
        <v>2231</v>
      </c>
      <c r="H2634" s="344" t="s">
        <v>734</v>
      </c>
      <c r="I2634" s="337" t="str">
        <f t="shared" si="108"/>
        <v>Pesado de Passageiros M3: III : Gasóleo : E5</v>
      </c>
      <c r="J2634" s="247">
        <v>71</v>
      </c>
      <c r="K2634" s="264">
        <v>2022</v>
      </c>
      <c r="L2634" s="85">
        <v>9468.8799999999992</v>
      </c>
      <c r="M2634" s="85" t="s">
        <v>630</v>
      </c>
      <c r="N2634" s="85">
        <v>32163</v>
      </c>
      <c r="O2634" s="128">
        <f t="shared" si="109"/>
        <v>2283573</v>
      </c>
      <c r="P2634" s="89" t="s">
        <v>2796</v>
      </c>
      <c r="Q2634" t="s">
        <v>47</v>
      </c>
      <c r="R2634" s="220" t="s">
        <v>1888</v>
      </c>
      <c r="S2634" s="220" t="s">
        <v>1861</v>
      </c>
      <c r="U2634" t="s">
        <v>1972</v>
      </c>
      <c r="V2634" t="s">
        <v>2832</v>
      </c>
    </row>
    <row r="2635" spans="1:22" ht="15.75" thickBot="1" x14ac:dyDescent="0.3">
      <c r="A2635" t="s">
        <v>4696</v>
      </c>
      <c r="B2635" t="s">
        <v>4696</v>
      </c>
      <c r="C2635" t="s">
        <v>4696</v>
      </c>
      <c r="D2635" t="s">
        <v>629</v>
      </c>
      <c r="E2635" s="259" t="s">
        <v>1853</v>
      </c>
      <c r="F2635" t="s">
        <v>620</v>
      </c>
      <c r="G2635" s="89" t="s">
        <v>2224</v>
      </c>
      <c r="H2635" s="344" t="s">
        <v>731</v>
      </c>
      <c r="I2635" s="337" t="str">
        <f t="shared" si="108"/>
        <v>Pesado de Passageiros M3: III : Gasóleo : E4</v>
      </c>
      <c r="J2635" s="247">
        <v>77</v>
      </c>
      <c r="K2635" s="264">
        <v>2022</v>
      </c>
      <c r="L2635" s="85">
        <v>7748.46</v>
      </c>
      <c r="M2635" s="85" t="s">
        <v>630</v>
      </c>
      <c r="N2635" s="85">
        <v>21496</v>
      </c>
      <c r="O2635" s="128">
        <f t="shared" si="109"/>
        <v>1655192</v>
      </c>
      <c r="P2635" s="89" t="s">
        <v>2797</v>
      </c>
      <c r="Q2635" t="s">
        <v>47</v>
      </c>
      <c r="R2635" s="220" t="s">
        <v>1888</v>
      </c>
      <c r="S2635" s="220" t="s">
        <v>1861</v>
      </c>
      <c r="U2635" t="s">
        <v>1972</v>
      </c>
      <c r="V2635" t="s">
        <v>2832</v>
      </c>
    </row>
    <row r="2636" spans="1:22" ht="15.75" thickBot="1" x14ac:dyDescent="0.3">
      <c r="A2636" t="s">
        <v>4696</v>
      </c>
      <c r="B2636" t="s">
        <v>4696</v>
      </c>
      <c r="C2636" t="s">
        <v>4696</v>
      </c>
      <c r="D2636" t="s">
        <v>629</v>
      </c>
      <c r="E2636" s="259" t="s">
        <v>1853</v>
      </c>
      <c r="F2636" t="s">
        <v>620</v>
      </c>
      <c r="G2636" s="89" t="s">
        <v>2238</v>
      </c>
      <c r="H2636" s="344" t="s">
        <v>732</v>
      </c>
      <c r="I2636" s="337" t="str">
        <f t="shared" si="108"/>
        <v>Pesado de Passageiros M3: III : Gasóleo : E3</v>
      </c>
      <c r="J2636" s="247">
        <v>76</v>
      </c>
      <c r="K2636" s="264">
        <v>2022</v>
      </c>
      <c r="L2636" s="85">
        <v>4035.07</v>
      </c>
      <c r="M2636" s="85" t="s">
        <v>630</v>
      </c>
      <c r="N2636" s="85">
        <v>10260</v>
      </c>
      <c r="O2636" s="128">
        <f t="shared" si="109"/>
        <v>779760</v>
      </c>
      <c r="P2636" s="89" t="s">
        <v>2798</v>
      </c>
      <c r="Q2636" t="s">
        <v>47</v>
      </c>
      <c r="R2636" s="220" t="s">
        <v>1888</v>
      </c>
      <c r="S2636" s="220" t="s">
        <v>1861</v>
      </c>
      <c r="U2636" t="s">
        <v>1972</v>
      </c>
      <c r="V2636" t="s">
        <v>2832</v>
      </c>
    </row>
    <row r="2637" spans="1:22" ht="15.75" thickBot="1" x14ac:dyDescent="0.3">
      <c r="A2637" t="s">
        <v>4696</v>
      </c>
      <c r="B2637" t="s">
        <v>4696</v>
      </c>
      <c r="C2637" t="s">
        <v>4696</v>
      </c>
      <c r="D2637" t="s">
        <v>629</v>
      </c>
      <c r="E2637" s="259" t="s">
        <v>1853</v>
      </c>
      <c r="F2637" t="s">
        <v>620</v>
      </c>
      <c r="G2637" s="89" t="s">
        <v>2238</v>
      </c>
      <c r="H2637" s="344" t="s">
        <v>732</v>
      </c>
      <c r="I2637" s="337" t="str">
        <f t="shared" si="108"/>
        <v>Pesado de Passageiros M3: III : Gasóleo : E3</v>
      </c>
      <c r="J2637" s="247">
        <v>76</v>
      </c>
      <c r="K2637" s="264">
        <v>2022</v>
      </c>
      <c r="L2637" s="85">
        <v>2525.34</v>
      </c>
      <c r="M2637" s="85" t="s">
        <v>630</v>
      </c>
      <c r="N2637" s="85">
        <v>6706</v>
      </c>
      <c r="O2637" s="128">
        <f t="shared" si="109"/>
        <v>509656</v>
      </c>
      <c r="P2637" s="89" t="s">
        <v>2799</v>
      </c>
      <c r="Q2637" t="s">
        <v>47</v>
      </c>
      <c r="R2637" s="220" t="s">
        <v>1888</v>
      </c>
      <c r="S2637" s="220" t="s">
        <v>1861</v>
      </c>
      <c r="U2637" t="s">
        <v>1972</v>
      </c>
      <c r="V2637" t="s">
        <v>2832</v>
      </c>
    </row>
    <row r="2638" spans="1:22" ht="15.75" thickBot="1" x14ac:dyDescent="0.3">
      <c r="A2638" t="s">
        <v>4696</v>
      </c>
      <c r="B2638" t="s">
        <v>4696</v>
      </c>
      <c r="C2638" t="s">
        <v>4696</v>
      </c>
      <c r="D2638" t="s">
        <v>629</v>
      </c>
      <c r="E2638" s="259" t="s">
        <v>1853</v>
      </c>
      <c r="F2638" t="s">
        <v>620</v>
      </c>
      <c r="G2638" s="89" t="s">
        <v>2230</v>
      </c>
      <c r="H2638" s="344" t="s">
        <v>731</v>
      </c>
      <c r="I2638" s="337" t="str">
        <f t="shared" si="108"/>
        <v>Pesado de Passageiros M3: III : Gasóleo : E4</v>
      </c>
      <c r="J2638" s="247">
        <v>78</v>
      </c>
      <c r="K2638" s="264">
        <v>2022</v>
      </c>
      <c r="L2638" s="85">
        <v>14770.56</v>
      </c>
      <c r="M2638" s="85" t="s">
        <v>630</v>
      </c>
      <c r="N2638" s="85">
        <v>44661</v>
      </c>
      <c r="O2638" s="128">
        <f t="shared" si="109"/>
        <v>3483558</v>
      </c>
      <c r="P2638" s="89" t="s">
        <v>2800</v>
      </c>
      <c r="Q2638" t="s">
        <v>47</v>
      </c>
      <c r="R2638" s="220" t="s">
        <v>1888</v>
      </c>
      <c r="S2638" s="220" t="s">
        <v>1861</v>
      </c>
      <c r="U2638" t="s">
        <v>1972</v>
      </c>
      <c r="V2638" t="s">
        <v>2832</v>
      </c>
    </row>
    <row r="2639" spans="1:22" ht="15.75" thickBot="1" x14ac:dyDescent="0.3">
      <c r="A2639" t="s">
        <v>4696</v>
      </c>
      <c r="B2639" t="s">
        <v>4696</v>
      </c>
      <c r="C2639" t="s">
        <v>4696</v>
      </c>
      <c r="D2639" t="s">
        <v>629</v>
      </c>
      <c r="E2639" s="259" t="s">
        <v>1853</v>
      </c>
      <c r="F2639" t="s">
        <v>620</v>
      </c>
      <c r="G2639" s="89" t="s">
        <v>2223</v>
      </c>
      <c r="H2639" s="344" t="s">
        <v>731</v>
      </c>
      <c r="I2639" s="337" t="str">
        <f t="shared" si="108"/>
        <v>Pesado de Passageiros M3: III : Gasóleo : E4</v>
      </c>
      <c r="J2639" s="247">
        <v>77</v>
      </c>
      <c r="K2639" s="264">
        <v>2022</v>
      </c>
      <c r="L2639" s="85">
        <v>6973.92</v>
      </c>
      <c r="M2639" s="85" t="s">
        <v>630</v>
      </c>
      <c r="N2639" s="85">
        <v>17713</v>
      </c>
      <c r="O2639" s="128">
        <f t="shared" si="109"/>
        <v>1363901</v>
      </c>
      <c r="P2639" s="89" t="s">
        <v>2801</v>
      </c>
      <c r="Q2639" t="s">
        <v>47</v>
      </c>
      <c r="R2639" s="220" t="s">
        <v>1888</v>
      </c>
      <c r="S2639" s="220" t="s">
        <v>1861</v>
      </c>
      <c r="U2639" t="s">
        <v>1972</v>
      </c>
      <c r="V2639" t="s">
        <v>2832</v>
      </c>
    </row>
    <row r="2640" spans="1:22" ht="15.75" thickBot="1" x14ac:dyDescent="0.3">
      <c r="A2640" t="s">
        <v>4696</v>
      </c>
      <c r="B2640" t="s">
        <v>4696</v>
      </c>
      <c r="C2640" t="s">
        <v>4696</v>
      </c>
      <c r="D2640" t="s">
        <v>629</v>
      </c>
      <c r="E2640" s="259" t="s">
        <v>1853</v>
      </c>
      <c r="F2640" t="s">
        <v>620</v>
      </c>
      <c r="G2640" s="89" t="s">
        <v>2247</v>
      </c>
      <c r="H2640" s="344" t="s">
        <v>732</v>
      </c>
      <c r="I2640" s="337" t="str">
        <f t="shared" si="108"/>
        <v>Pesado de Passageiros M3: III : Gasóleo : E3</v>
      </c>
      <c r="J2640" s="247">
        <v>62</v>
      </c>
      <c r="K2640" s="264">
        <v>2022</v>
      </c>
      <c r="L2640" s="85">
        <v>4443.45</v>
      </c>
      <c r="M2640" s="85" t="s">
        <v>630</v>
      </c>
      <c r="N2640" s="85">
        <v>12628</v>
      </c>
      <c r="O2640" s="128">
        <f t="shared" si="109"/>
        <v>782936</v>
      </c>
      <c r="P2640" s="89" t="s">
        <v>2802</v>
      </c>
      <c r="Q2640" t="s">
        <v>47</v>
      </c>
      <c r="R2640" s="220" t="s">
        <v>1888</v>
      </c>
      <c r="S2640" s="220" t="s">
        <v>1861</v>
      </c>
      <c r="U2640" t="s">
        <v>1972</v>
      </c>
      <c r="V2640" t="s">
        <v>2832</v>
      </c>
    </row>
    <row r="2641" spans="1:22" ht="15.75" thickBot="1" x14ac:dyDescent="0.3">
      <c r="A2641" t="s">
        <v>4696</v>
      </c>
      <c r="B2641" t="s">
        <v>4696</v>
      </c>
      <c r="C2641" t="s">
        <v>4696</v>
      </c>
      <c r="D2641" t="s">
        <v>629</v>
      </c>
      <c r="E2641" s="259" t="s">
        <v>1853</v>
      </c>
      <c r="F2641" t="s">
        <v>620</v>
      </c>
      <c r="G2641" s="89" t="s">
        <v>2247</v>
      </c>
      <c r="H2641" s="344" t="s">
        <v>732</v>
      </c>
      <c r="I2641" s="337" t="str">
        <f t="shared" si="108"/>
        <v>Pesado de Passageiros M3: III : Gasóleo : E3</v>
      </c>
      <c r="J2641" s="247">
        <v>62</v>
      </c>
      <c r="K2641" s="264">
        <v>2022</v>
      </c>
      <c r="L2641" s="85">
        <v>4480.09</v>
      </c>
      <c r="M2641" s="85" t="s">
        <v>630</v>
      </c>
      <c r="N2641" s="85">
        <v>12308</v>
      </c>
      <c r="O2641" s="128">
        <f t="shared" si="109"/>
        <v>763096</v>
      </c>
      <c r="P2641" s="89" t="s">
        <v>2803</v>
      </c>
      <c r="Q2641" t="s">
        <v>47</v>
      </c>
      <c r="R2641" s="220" t="s">
        <v>1888</v>
      </c>
      <c r="S2641" s="220" t="s">
        <v>1861</v>
      </c>
      <c r="U2641" t="s">
        <v>1972</v>
      </c>
      <c r="V2641" t="s">
        <v>2832</v>
      </c>
    </row>
    <row r="2642" spans="1:22" ht="15.75" thickBot="1" x14ac:dyDescent="0.3">
      <c r="A2642" t="s">
        <v>4696</v>
      </c>
      <c r="B2642" t="s">
        <v>4696</v>
      </c>
      <c r="C2642" t="s">
        <v>4696</v>
      </c>
      <c r="D2642" t="s">
        <v>629</v>
      </c>
      <c r="E2642" s="259" t="s">
        <v>1853</v>
      </c>
      <c r="F2642" t="s">
        <v>620</v>
      </c>
      <c r="G2642" s="89" t="s">
        <v>1973</v>
      </c>
      <c r="H2642" s="344" t="s">
        <v>735</v>
      </c>
      <c r="I2642" s="337" t="str">
        <f t="shared" si="108"/>
        <v>Pesado de Passageiros M3: III : Gasóleo : E2</v>
      </c>
      <c r="J2642" s="247">
        <v>76</v>
      </c>
      <c r="K2642" s="264">
        <v>2022</v>
      </c>
      <c r="L2642" s="85">
        <v>11420.38</v>
      </c>
      <c r="M2642" s="85" t="s">
        <v>630</v>
      </c>
      <c r="N2642" s="85">
        <v>36633</v>
      </c>
      <c r="O2642" s="128">
        <f t="shared" si="109"/>
        <v>2784108</v>
      </c>
      <c r="P2642" s="89" t="s">
        <v>2804</v>
      </c>
      <c r="Q2642" t="s">
        <v>47</v>
      </c>
      <c r="R2642" s="220" t="s">
        <v>1888</v>
      </c>
      <c r="S2642" s="220" t="s">
        <v>1861</v>
      </c>
      <c r="U2642" t="s">
        <v>1972</v>
      </c>
      <c r="V2642" t="s">
        <v>2832</v>
      </c>
    </row>
    <row r="2643" spans="1:22" ht="15.75" thickBot="1" x14ac:dyDescent="0.3">
      <c r="A2643" t="s">
        <v>4696</v>
      </c>
      <c r="B2643" t="s">
        <v>4696</v>
      </c>
      <c r="C2643" t="s">
        <v>4696</v>
      </c>
      <c r="D2643" t="s">
        <v>629</v>
      </c>
      <c r="E2643" s="259" t="s">
        <v>1853</v>
      </c>
      <c r="F2643" t="s">
        <v>620</v>
      </c>
      <c r="G2643" s="89" t="s">
        <v>1973</v>
      </c>
      <c r="H2643" s="344" t="s">
        <v>735</v>
      </c>
      <c r="I2643" s="337" t="str">
        <f t="shared" si="108"/>
        <v>Pesado de Passageiros M3: III : Gasóleo : E2</v>
      </c>
      <c r="J2643" s="247">
        <v>74</v>
      </c>
      <c r="K2643" s="264">
        <v>2022</v>
      </c>
      <c r="L2643" s="85">
        <v>11109.37</v>
      </c>
      <c r="M2643" s="85" t="s">
        <v>630</v>
      </c>
      <c r="N2643" s="85">
        <v>36674</v>
      </c>
      <c r="O2643" s="128">
        <f t="shared" si="109"/>
        <v>2713876</v>
      </c>
      <c r="P2643" s="89" t="s">
        <v>2805</v>
      </c>
      <c r="Q2643" t="s">
        <v>47</v>
      </c>
      <c r="R2643" s="220" t="s">
        <v>1888</v>
      </c>
      <c r="S2643" s="220" t="s">
        <v>1861</v>
      </c>
      <c r="U2643" t="s">
        <v>1972</v>
      </c>
      <c r="V2643" t="s">
        <v>2832</v>
      </c>
    </row>
    <row r="2644" spans="1:22" ht="15.75" thickBot="1" x14ac:dyDescent="0.3">
      <c r="A2644" t="s">
        <v>4696</v>
      </c>
      <c r="B2644" t="s">
        <v>4696</v>
      </c>
      <c r="C2644" t="s">
        <v>4696</v>
      </c>
      <c r="D2644" t="s">
        <v>629</v>
      </c>
      <c r="E2644" s="259" t="s">
        <v>1853</v>
      </c>
      <c r="F2644" t="s">
        <v>620</v>
      </c>
      <c r="G2644" s="89" t="s">
        <v>2225</v>
      </c>
      <c r="H2644" s="344" t="s">
        <v>735</v>
      </c>
      <c r="I2644" s="337" t="str">
        <f t="shared" si="108"/>
        <v>Pesado de Passageiros M3: III : Gasóleo : E2</v>
      </c>
      <c r="J2644" s="247">
        <v>74</v>
      </c>
      <c r="K2644" s="264">
        <v>2022</v>
      </c>
      <c r="L2644" s="85">
        <v>8273.1</v>
      </c>
      <c r="M2644" s="85" t="s">
        <v>630</v>
      </c>
      <c r="N2644" s="85">
        <v>29240</v>
      </c>
      <c r="O2644" s="128">
        <f t="shared" si="109"/>
        <v>2163760</v>
      </c>
      <c r="P2644" s="89" t="s">
        <v>2806</v>
      </c>
      <c r="Q2644" t="s">
        <v>47</v>
      </c>
      <c r="R2644" s="220" t="s">
        <v>1888</v>
      </c>
      <c r="S2644" s="220" t="s">
        <v>1861</v>
      </c>
      <c r="U2644" t="s">
        <v>1972</v>
      </c>
      <c r="V2644" t="s">
        <v>2832</v>
      </c>
    </row>
    <row r="2645" spans="1:22" ht="15.75" thickBot="1" x14ac:dyDescent="0.3">
      <c r="A2645" t="s">
        <v>4696</v>
      </c>
      <c r="B2645" t="s">
        <v>4696</v>
      </c>
      <c r="C2645" t="s">
        <v>4696</v>
      </c>
      <c r="D2645" t="s">
        <v>629</v>
      </c>
      <c r="E2645" s="259" t="s">
        <v>1853</v>
      </c>
      <c r="F2645" t="s">
        <v>620</v>
      </c>
      <c r="G2645" s="89" t="s">
        <v>2227</v>
      </c>
      <c r="H2645" s="344" t="s">
        <v>735</v>
      </c>
      <c r="I2645" s="337" t="str">
        <f t="shared" si="108"/>
        <v>Pesado de Passageiros M3: III : Gasóleo : E2</v>
      </c>
      <c r="J2645" s="247">
        <v>53</v>
      </c>
      <c r="K2645" s="264">
        <v>2022</v>
      </c>
      <c r="L2645" s="85">
        <v>10578.11</v>
      </c>
      <c r="M2645" s="85" t="s">
        <v>630</v>
      </c>
      <c r="N2645" s="85">
        <v>32078</v>
      </c>
      <c r="O2645" s="128">
        <f t="shared" si="109"/>
        <v>1700134</v>
      </c>
      <c r="P2645" s="89" t="s">
        <v>2807</v>
      </c>
      <c r="Q2645" t="s">
        <v>47</v>
      </c>
      <c r="R2645" s="220" t="s">
        <v>1888</v>
      </c>
      <c r="S2645" s="220" t="s">
        <v>1861</v>
      </c>
      <c r="U2645" t="s">
        <v>1972</v>
      </c>
      <c r="V2645" t="s">
        <v>2832</v>
      </c>
    </row>
    <row r="2646" spans="1:22" ht="15.75" thickBot="1" x14ac:dyDescent="0.3">
      <c r="A2646" t="s">
        <v>4696</v>
      </c>
      <c r="B2646" t="s">
        <v>4696</v>
      </c>
      <c r="C2646" t="s">
        <v>4696</v>
      </c>
      <c r="D2646" t="s">
        <v>629</v>
      </c>
      <c r="E2646" s="259" t="s">
        <v>1853</v>
      </c>
      <c r="F2646" t="s">
        <v>620</v>
      </c>
      <c r="G2646" s="89" t="s">
        <v>2234</v>
      </c>
      <c r="H2646" s="344" t="s">
        <v>735</v>
      </c>
      <c r="I2646" s="337" t="str">
        <f t="shared" si="108"/>
        <v>Pesado de Passageiros M3: III : Gasóleo : E2</v>
      </c>
      <c r="J2646" s="247">
        <v>80</v>
      </c>
      <c r="K2646" s="264">
        <v>2022</v>
      </c>
      <c r="L2646" s="85">
        <v>10881.27</v>
      </c>
      <c r="M2646" s="85" t="s">
        <v>630</v>
      </c>
      <c r="N2646" s="85">
        <v>37036</v>
      </c>
      <c r="O2646" s="128">
        <f t="shared" si="109"/>
        <v>2962880</v>
      </c>
      <c r="P2646" s="89" t="s">
        <v>2808</v>
      </c>
      <c r="Q2646" t="s">
        <v>47</v>
      </c>
      <c r="R2646" s="220" t="s">
        <v>1888</v>
      </c>
      <c r="S2646" s="220" t="s">
        <v>1861</v>
      </c>
      <c r="U2646" t="s">
        <v>1972</v>
      </c>
      <c r="V2646" t="s">
        <v>2832</v>
      </c>
    </row>
    <row r="2647" spans="1:22" ht="15.75" thickBot="1" x14ac:dyDescent="0.3">
      <c r="A2647" t="s">
        <v>4696</v>
      </c>
      <c r="B2647" t="s">
        <v>4696</v>
      </c>
      <c r="C2647" t="s">
        <v>4696</v>
      </c>
      <c r="D2647" t="s">
        <v>629</v>
      </c>
      <c r="E2647" s="259" t="s">
        <v>1853</v>
      </c>
      <c r="F2647" t="s">
        <v>620</v>
      </c>
      <c r="G2647" s="89" t="s">
        <v>2248</v>
      </c>
      <c r="H2647" s="344" t="s">
        <v>733</v>
      </c>
      <c r="I2647" s="337" t="str">
        <f t="shared" si="108"/>
        <v>Pesado de Passageiros M3: III : Gasóleo : E6</v>
      </c>
      <c r="J2647" s="247">
        <v>53</v>
      </c>
      <c r="K2647" s="264">
        <v>2022</v>
      </c>
      <c r="L2647" s="85">
        <v>26185.47</v>
      </c>
      <c r="M2647" s="85" t="s">
        <v>630</v>
      </c>
      <c r="N2647" s="85">
        <v>102250</v>
      </c>
      <c r="O2647" s="128">
        <f t="shared" si="109"/>
        <v>5419250</v>
      </c>
      <c r="P2647" s="89" t="s">
        <v>2809</v>
      </c>
      <c r="Q2647" t="s">
        <v>47</v>
      </c>
      <c r="R2647" s="220" t="s">
        <v>1888</v>
      </c>
      <c r="S2647" s="220" t="s">
        <v>1861</v>
      </c>
      <c r="U2647" t="s">
        <v>1972</v>
      </c>
      <c r="V2647" t="s">
        <v>2832</v>
      </c>
    </row>
    <row r="2648" spans="1:22" ht="15.75" thickBot="1" x14ac:dyDescent="0.3">
      <c r="A2648" t="s">
        <v>4696</v>
      </c>
      <c r="B2648" t="s">
        <v>4696</v>
      </c>
      <c r="C2648" t="s">
        <v>4696</v>
      </c>
      <c r="D2648" t="s">
        <v>629</v>
      </c>
      <c r="E2648" s="259" t="s">
        <v>1853</v>
      </c>
      <c r="F2648" t="s">
        <v>620</v>
      </c>
      <c r="G2648" s="89" t="s">
        <v>2248</v>
      </c>
      <c r="H2648" s="344" t="s">
        <v>733</v>
      </c>
      <c r="I2648" s="337" t="str">
        <f t="shared" si="108"/>
        <v>Pesado de Passageiros M3: III : Gasóleo : E6</v>
      </c>
      <c r="J2648" s="247">
        <v>53</v>
      </c>
      <c r="K2648" s="264">
        <v>2022</v>
      </c>
      <c r="L2648" s="85">
        <v>22943.16</v>
      </c>
      <c r="M2648" s="85" t="s">
        <v>630</v>
      </c>
      <c r="N2648" s="85">
        <v>87701</v>
      </c>
      <c r="O2648" s="128">
        <f t="shared" si="109"/>
        <v>4648153</v>
      </c>
      <c r="P2648" s="89" t="s">
        <v>2810</v>
      </c>
      <c r="Q2648" t="s">
        <v>47</v>
      </c>
      <c r="R2648" s="220" t="s">
        <v>1888</v>
      </c>
      <c r="S2648" s="220" t="s">
        <v>1861</v>
      </c>
      <c r="U2648" t="s">
        <v>1972</v>
      </c>
      <c r="V2648" t="s">
        <v>2832</v>
      </c>
    </row>
    <row r="2649" spans="1:22" ht="15.75" thickBot="1" x14ac:dyDescent="0.3">
      <c r="A2649" t="s">
        <v>4696</v>
      </c>
      <c r="B2649" t="s">
        <v>4696</v>
      </c>
      <c r="C2649" t="s">
        <v>4696</v>
      </c>
      <c r="D2649" t="s">
        <v>629</v>
      </c>
      <c r="E2649" s="259" t="s">
        <v>1853</v>
      </c>
      <c r="F2649" t="s">
        <v>620</v>
      </c>
      <c r="G2649" s="89" t="s">
        <v>2240</v>
      </c>
      <c r="H2649" s="344" t="s">
        <v>734</v>
      </c>
      <c r="I2649" s="337" t="str">
        <f t="shared" si="108"/>
        <v>Pesado de Passageiros M3: III : Gasóleo : E5</v>
      </c>
      <c r="J2649" s="247">
        <v>90</v>
      </c>
      <c r="K2649" s="264">
        <v>2022</v>
      </c>
      <c r="L2649" s="85">
        <v>803.95</v>
      </c>
      <c r="M2649" s="85" t="s">
        <v>630</v>
      </c>
      <c r="N2649" s="85">
        <v>2457</v>
      </c>
      <c r="O2649" s="128">
        <f t="shared" si="109"/>
        <v>221130</v>
      </c>
      <c r="P2649" s="89" t="s">
        <v>2811</v>
      </c>
      <c r="Q2649" t="s">
        <v>47</v>
      </c>
      <c r="R2649" s="220" t="s">
        <v>1888</v>
      </c>
      <c r="S2649" s="220" t="s">
        <v>1861</v>
      </c>
      <c r="U2649" t="s">
        <v>1972</v>
      </c>
      <c r="V2649" t="s">
        <v>2832</v>
      </c>
    </row>
    <row r="2650" spans="1:22" ht="15.75" thickBot="1" x14ac:dyDescent="0.3">
      <c r="A2650" t="s">
        <v>4696</v>
      </c>
      <c r="B2650" t="s">
        <v>4696</v>
      </c>
      <c r="C2650" t="s">
        <v>4696</v>
      </c>
      <c r="D2650" t="s">
        <v>629</v>
      </c>
      <c r="E2650" s="259" t="s">
        <v>1853</v>
      </c>
      <c r="F2650" t="s">
        <v>620</v>
      </c>
      <c r="G2650" s="89" t="s">
        <v>2240</v>
      </c>
      <c r="H2650" s="344" t="s">
        <v>734</v>
      </c>
      <c r="I2650" s="337" t="str">
        <f t="shared" si="108"/>
        <v>Pesado de Passageiros M3: III : Gasóleo : E5</v>
      </c>
      <c r="J2650" s="247">
        <v>90</v>
      </c>
      <c r="K2650" s="264">
        <v>2022</v>
      </c>
      <c r="L2650" s="85">
        <v>1578.76</v>
      </c>
      <c r="M2650" s="85" t="s">
        <v>630</v>
      </c>
      <c r="N2650" s="85">
        <v>4681</v>
      </c>
      <c r="O2650" s="128">
        <f t="shared" si="109"/>
        <v>421290</v>
      </c>
      <c r="P2650" s="89" t="s">
        <v>2812</v>
      </c>
      <c r="Q2650" t="s">
        <v>47</v>
      </c>
      <c r="R2650" s="220" t="s">
        <v>1888</v>
      </c>
      <c r="S2650" s="220" t="s">
        <v>1861</v>
      </c>
      <c r="U2650" t="s">
        <v>1972</v>
      </c>
      <c r="V2650" t="s">
        <v>2832</v>
      </c>
    </row>
    <row r="2651" spans="1:22" ht="15.75" thickBot="1" x14ac:dyDescent="0.3">
      <c r="A2651" t="s">
        <v>4696</v>
      </c>
      <c r="B2651" t="s">
        <v>4696</v>
      </c>
      <c r="C2651" t="s">
        <v>4696</v>
      </c>
      <c r="D2651" t="s">
        <v>629</v>
      </c>
      <c r="E2651" s="259" t="s">
        <v>1853</v>
      </c>
      <c r="F2651" t="s">
        <v>620</v>
      </c>
      <c r="G2651" s="89" t="s">
        <v>2240</v>
      </c>
      <c r="H2651" s="344" t="s">
        <v>734</v>
      </c>
      <c r="I2651" s="337" t="str">
        <f t="shared" si="108"/>
        <v>Pesado de Passageiros M3: III : Gasóleo : E5</v>
      </c>
      <c r="J2651" s="247">
        <v>90</v>
      </c>
      <c r="K2651" s="264">
        <v>2022</v>
      </c>
      <c r="L2651" s="85">
        <v>1908.93</v>
      </c>
      <c r="M2651" s="85" t="s">
        <v>630</v>
      </c>
      <c r="N2651" s="85">
        <v>6013</v>
      </c>
      <c r="O2651" s="128">
        <f t="shared" si="109"/>
        <v>541170</v>
      </c>
      <c r="P2651" s="89" t="s">
        <v>2813</v>
      </c>
      <c r="Q2651" t="s">
        <v>47</v>
      </c>
      <c r="R2651" s="220" t="s">
        <v>1888</v>
      </c>
      <c r="S2651" s="220" t="s">
        <v>1861</v>
      </c>
      <c r="U2651" t="s">
        <v>1972</v>
      </c>
      <c r="V2651" t="s">
        <v>2832</v>
      </c>
    </row>
    <row r="2652" spans="1:22" ht="15.75" thickBot="1" x14ac:dyDescent="0.3">
      <c r="A2652" t="s">
        <v>4696</v>
      </c>
      <c r="B2652" t="s">
        <v>4696</v>
      </c>
      <c r="C2652" t="s">
        <v>4696</v>
      </c>
      <c r="D2652" t="s">
        <v>629</v>
      </c>
      <c r="E2652" s="259" t="s">
        <v>1853</v>
      </c>
      <c r="F2652" t="s">
        <v>620</v>
      </c>
      <c r="G2652" s="89" t="s">
        <v>2240</v>
      </c>
      <c r="H2652" s="344" t="s">
        <v>734</v>
      </c>
      <c r="I2652" s="337" t="str">
        <f t="shared" si="108"/>
        <v>Pesado de Passageiros M3: III : Gasóleo : E5</v>
      </c>
      <c r="J2652" s="247">
        <v>90</v>
      </c>
      <c r="K2652" s="264">
        <v>2022</v>
      </c>
      <c r="L2652" s="85">
        <v>1729.9</v>
      </c>
      <c r="M2652" s="85" t="s">
        <v>630</v>
      </c>
      <c r="N2652" s="85">
        <v>5378</v>
      </c>
      <c r="O2652" s="128">
        <f t="shared" si="109"/>
        <v>484020</v>
      </c>
      <c r="P2652" s="89" t="s">
        <v>2814</v>
      </c>
      <c r="Q2652" t="s">
        <v>47</v>
      </c>
      <c r="R2652" s="220" t="s">
        <v>1888</v>
      </c>
      <c r="S2652" s="220" t="s">
        <v>1861</v>
      </c>
      <c r="U2652" t="s">
        <v>1972</v>
      </c>
      <c r="V2652" t="s">
        <v>2832</v>
      </c>
    </row>
    <row r="2653" spans="1:22" ht="15.75" thickBot="1" x14ac:dyDescent="0.3">
      <c r="A2653" t="s">
        <v>4696</v>
      </c>
      <c r="B2653" t="s">
        <v>4696</v>
      </c>
      <c r="C2653" t="s">
        <v>4696</v>
      </c>
      <c r="D2653" t="s">
        <v>629</v>
      </c>
      <c r="E2653" s="259" t="s">
        <v>1853</v>
      </c>
      <c r="F2653" t="s">
        <v>620</v>
      </c>
      <c r="G2653" s="89" t="s">
        <v>2241</v>
      </c>
      <c r="H2653" s="344" t="s">
        <v>735</v>
      </c>
      <c r="I2653" s="337" t="str">
        <f t="shared" si="108"/>
        <v>Pesado de Passageiros M3: III : Gasóleo : E2</v>
      </c>
      <c r="J2653" s="247">
        <v>97</v>
      </c>
      <c r="K2653" s="264">
        <v>2022</v>
      </c>
      <c r="L2653" s="85">
        <v>13013.56</v>
      </c>
      <c r="M2653" s="85" t="s">
        <v>630</v>
      </c>
      <c r="N2653" s="85">
        <v>26656</v>
      </c>
      <c r="O2653" s="128">
        <f t="shared" si="109"/>
        <v>2585632</v>
      </c>
      <c r="P2653" s="89" t="s">
        <v>2815</v>
      </c>
      <c r="Q2653" t="s">
        <v>47</v>
      </c>
      <c r="R2653" s="220" t="s">
        <v>1888</v>
      </c>
      <c r="S2653" s="220" t="s">
        <v>1861</v>
      </c>
      <c r="U2653" t="s">
        <v>1972</v>
      </c>
      <c r="V2653" t="s">
        <v>2832</v>
      </c>
    </row>
    <row r="2654" spans="1:22" ht="15.75" thickBot="1" x14ac:dyDescent="0.3">
      <c r="A2654" t="s">
        <v>4696</v>
      </c>
      <c r="B2654" t="s">
        <v>4696</v>
      </c>
      <c r="C2654" t="s">
        <v>4696</v>
      </c>
      <c r="D2654" t="s">
        <v>629</v>
      </c>
      <c r="E2654" s="259" t="s">
        <v>1853</v>
      </c>
      <c r="F2654" t="s">
        <v>620</v>
      </c>
      <c r="G2654" s="89" t="s">
        <v>2226</v>
      </c>
      <c r="H2654" s="344" t="s">
        <v>735</v>
      </c>
      <c r="I2654" s="337" t="str">
        <f t="shared" si="108"/>
        <v>Pesado de Passageiros M3: III : Gasóleo : E2</v>
      </c>
      <c r="J2654" s="247">
        <v>99</v>
      </c>
      <c r="K2654" s="264">
        <v>2022</v>
      </c>
      <c r="L2654" s="85">
        <v>15111.55</v>
      </c>
      <c r="M2654" s="85" t="s">
        <v>630</v>
      </c>
      <c r="N2654" s="85">
        <v>32961</v>
      </c>
      <c r="O2654" s="128">
        <f t="shared" si="109"/>
        <v>3263139</v>
      </c>
      <c r="P2654" s="89" t="s">
        <v>2816</v>
      </c>
      <c r="Q2654" t="s">
        <v>47</v>
      </c>
      <c r="R2654" s="220" t="s">
        <v>1888</v>
      </c>
      <c r="S2654" s="220" t="s">
        <v>1861</v>
      </c>
      <c r="U2654" t="s">
        <v>1972</v>
      </c>
      <c r="V2654" t="s">
        <v>2832</v>
      </c>
    </row>
    <row r="2655" spans="1:22" ht="15.75" thickBot="1" x14ac:dyDescent="0.3">
      <c r="A2655" t="s">
        <v>4696</v>
      </c>
      <c r="B2655" t="s">
        <v>4696</v>
      </c>
      <c r="C2655" t="s">
        <v>4696</v>
      </c>
      <c r="D2655" t="s">
        <v>629</v>
      </c>
      <c r="E2655" s="259" t="s">
        <v>1853</v>
      </c>
      <c r="F2655" t="s">
        <v>620</v>
      </c>
      <c r="G2655" s="89" t="s">
        <v>2241</v>
      </c>
      <c r="H2655" s="344" t="s">
        <v>735</v>
      </c>
      <c r="I2655" s="337" t="str">
        <f t="shared" si="108"/>
        <v>Pesado de Passageiros M3: III : Gasóleo : E2</v>
      </c>
      <c r="J2655" s="247">
        <v>97</v>
      </c>
      <c r="K2655" s="264">
        <v>2022</v>
      </c>
      <c r="L2655" s="85">
        <v>14653.65</v>
      </c>
      <c r="M2655" s="85" t="s">
        <v>630</v>
      </c>
      <c r="N2655" s="85">
        <v>28572</v>
      </c>
      <c r="O2655" s="128">
        <f t="shared" si="109"/>
        <v>2771484</v>
      </c>
      <c r="P2655" s="89" t="s">
        <v>2817</v>
      </c>
      <c r="Q2655" t="s">
        <v>47</v>
      </c>
      <c r="R2655" s="220" t="s">
        <v>1888</v>
      </c>
      <c r="S2655" s="220" t="s">
        <v>1861</v>
      </c>
      <c r="U2655" t="s">
        <v>1972</v>
      </c>
      <c r="V2655" t="s">
        <v>2832</v>
      </c>
    </row>
    <row r="2656" spans="1:22" ht="15.75" thickBot="1" x14ac:dyDescent="0.3">
      <c r="A2656" t="s">
        <v>4696</v>
      </c>
      <c r="B2656" t="s">
        <v>4696</v>
      </c>
      <c r="C2656" t="s">
        <v>4696</v>
      </c>
      <c r="D2656" t="s">
        <v>629</v>
      </c>
      <c r="E2656" s="259" t="s">
        <v>1853</v>
      </c>
      <c r="F2656" t="s">
        <v>620</v>
      </c>
      <c r="G2656" s="89" t="s">
        <v>2238</v>
      </c>
      <c r="H2656" s="344" t="s">
        <v>732</v>
      </c>
      <c r="I2656" s="337" t="str">
        <f t="shared" si="108"/>
        <v>Pesado de Passageiros M3: III : Gasóleo : E3</v>
      </c>
      <c r="J2656" s="247">
        <v>95</v>
      </c>
      <c r="K2656" s="264">
        <v>2022</v>
      </c>
      <c r="L2656" s="85">
        <v>633.08000000000004</v>
      </c>
      <c r="M2656" s="85" t="s">
        <v>630</v>
      </c>
      <c r="N2656" s="85">
        <v>1303</v>
      </c>
      <c r="O2656" s="128">
        <f t="shared" si="109"/>
        <v>123785</v>
      </c>
      <c r="P2656" s="89" t="s">
        <v>2818</v>
      </c>
      <c r="Q2656" t="s">
        <v>47</v>
      </c>
      <c r="R2656" s="220" t="s">
        <v>1888</v>
      </c>
      <c r="S2656" s="220" t="s">
        <v>1861</v>
      </c>
      <c r="U2656" t="s">
        <v>1972</v>
      </c>
      <c r="V2656" t="s">
        <v>2832</v>
      </c>
    </row>
    <row r="2657" spans="1:22" ht="15.75" thickBot="1" x14ac:dyDescent="0.3">
      <c r="A2657" t="s">
        <v>4696</v>
      </c>
      <c r="B2657" t="s">
        <v>4696</v>
      </c>
      <c r="C2657" t="s">
        <v>4696</v>
      </c>
      <c r="D2657" t="s">
        <v>629</v>
      </c>
      <c r="E2657" s="259" t="s">
        <v>1853</v>
      </c>
      <c r="F2657" t="s">
        <v>620</v>
      </c>
      <c r="G2657" s="89" t="s">
        <v>2238</v>
      </c>
      <c r="H2657" s="344" t="s">
        <v>732</v>
      </c>
      <c r="I2657" s="337" t="str">
        <f t="shared" si="108"/>
        <v>Pesado de Passageiros M3: III : Gasóleo : E3</v>
      </c>
      <c r="J2657" s="247">
        <v>92</v>
      </c>
      <c r="K2657" s="264">
        <v>2022</v>
      </c>
      <c r="L2657" s="85">
        <v>920.2</v>
      </c>
      <c r="M2657" s="85" t="s">
        <v>630</v>
      </c>
      <c r="N2657" s="85">
        <v>1829</v>
      </c>
      <c r="O2657" s="128">
        <f t="shared" si="109"/>
        <v>168268</v>
      </c>
      <c r="P2657" s="89" t="s">
        <v>2819</v>
      </c>
      <c r="Q2657" t="s">
        <v>47</v>
      </c>
      <c r="R2657" s="220" t="s">
        <v>1888</v>
      </c>
      <c r="S2657" s="220" t="s">
        <v>1861</v>
      </c>
      <c r="U2657" t="s">
        <v>1972</v>
      </c>
      <c r="V2657" t="s">
        <v>2832</v>
      </c>
    </row>
    <row r="2658" spans="1:22" ht="15.75" thickBot="1" x14ac:dyDescent="0.3">
      <c r="A2658" t="s">
        <v>4696</v>
      </c>
      <c r="B2658" t="s">
        <v>4696</v>
      </c>
      <c r="C2658" t="s">
        <v>4696</v>
      </c>
      <c r="D2658" t="s">
        <v>629</v>
      </c>
      <c r="E2658" s="259" t="s">
        <v>1853</v>
      </c>
      <c r="F2658" t="s">
        <v>620</v>
      </c>
      <c r="G2658" s="89" t="s">
        <v>2238</v>
      </c>
      <c r="H2658" s="344" t="s">
        <v>732</v>
      </c>
      <c r="I2658" s="337" t="str">
        <f t="shared" si="108"/>
        <v>Pesado de Passageiros M3: III : Gasóleo : E3</v>
      </c>
      <c r="J2658" s="247">
        <v>92</v>
      </c>
      <c r="K2658" s="264">
        <v>2022</v>
      </c>
      <c r="L2658" s="85">
        <v>1899.93</v>
      </c>
      <c r="M2658" s="85" t="s">
        <v>630</v>
      </c>
      <c r="N2658" s="85">
        <v>4220</v>
      </c>
      <c r="O2658" s="128">
        <f t="shared" si="109"/>
        <v>388240</v>
      </c>
      <c r="P2658" s="89" t="s">
        <v>2820</v>
      </c>
      <c r="Q2658" t="s">
        <v>47</v>
      </c>
      <c r="R2658" s="220" t="s">
        <v>1888</v>
      </c>
      <c r="S2658" s="220" t="s">
        <v>1861</v>
      </c>
      <c r="U2658" t="s">
        <v>1972</v>
      </c>
      <c r="V2658" t="s">
        <v>2832</v>
      </c>
    </row>
    <row r="2659" spans="1:22" ht="15.75" thickBot="1" x14ac:dyDescent="0.3">
      <c r="A2659" t="s">
        <v>4696</v>
      </c>
      <c r="B2659" t="s">
        <v>4696</v>
      </c>
      <c r="C2659" t="s">
        <v>4696</v>
      </c>
      <c r="D2659" t="s">
        <v>629</v>
      </c>
      <c r="E2659" s="259" t="s">
        <v>1853</v>
      </c>
      <c r="F2659" t="s">
        <v>620</v>
      </c>
      <c r="G2659" s="89" t="s">
        <v>2232</v>
      </c>
      <c r="H2659" s="344" t="s">
        <v>734</v>
      </c>
      <c r="I2659" s="337" t="str">
        <f t="shared" si="108"/>
        <v>Pesado de Passageiros M3: III : Gasóleo : E5</v>
      </c>
      <c r="J2659" s="247">
        <v>66</v>
      </c>
      <c r="K2659" s="264">
        <v>2022</v>
      </c>
      <c r="L2659" s="85">
        <v>8225.9500000000007</v>
      </c>
      <c r="M2659" s="85" t="s">
        <v>630</v>
      </c>
      <c r="N2659" s="85">
        <v>25382</v>
      </c>
      <c r="O2659" s="128">
        <f t="shared" si="109"/>
        <v>1675212</v>
      </c>
      <c r="P2659" s="89" t="s">
        <v>2821</v>
      </c>
      <c r="Q2659" t="s">
        <v>47</v>
      </c>
      <c r="R2659" s="220" t="s">
        <v>1888</v>
      </c>
      <c r="S2659" s="220" t="s">
        <v>1861</v>
      </c>
      <c r="U2659" t="s">
        <v>1972</v>
      </c>
      <c r="V2659" t="s">
        <v>2832</v>
      </c>
    </row>
    <row r="2660" spans="1:22" ht="15.75" thickBot="1" x14ac:dyDescent="0.3">
      <c r="A2660" t="s">
        <v>4696</v>
      </c>
      <c r="B2660" t="s">
        <v>4696</v>
      </c>
      <c r="C2660" t="s">
        <v>4696</v>
      </c>
      <c r="D2660" t="s">
        <v>629</v>
      </c>
      <c r="E2660" s="259" t="s">
        <v>1853</v>
      </c>
      <c r="F2660" t="s">
        <v>620</v>
      </c>
      <c r="G2660" s="89" t="s">
        <v>2230</v>
      </c>
      <c r="H2660" s="344" t="s">
        <v>731</v>
      </c>
      <c r="I2660" s="337" t="str">
        <f t="shared" si="108"/>
        <v>Pesado de Passageiros M3: III : Gasóleo : E4</v>
      </c>
      <c r="J2660" s="247">
        <v>28</v>
      </c>
      <c r="K2660" s="264">
        <v>2022</v>
      </c>
      <c r="L2660" s="85">
        <v>0</v>
      </c>
      <c r="M2660" s="85" t="s">
        <v>630</v>
      </c>
      <c r="N2660" s="85">
        <v>0</v>
      </c>
      <c r="O2660" s="128">
        <f t="shared" si="109"/>
        <v>0</v>
      </c>
      <c r="P2660" s="89" t="s">
        <v>2822</v>
      </c>
      <c r="Q2660" t="s">
        <v>47</v>
      </c>
      <c r="R2660" s="220" t="s">
        <v>1888</v>
      </c>
      <c r="S2660" s="220" t="s">
        <v>1861</v>
      </c>
      <c r="U2660" t="s">
        <v>1972</v>
      </c>
      <c r="V2660" t="s">
        <v>2832</v>
      </c>
    </row>
    <row r="2661" spans="1:22" ht="15.75" thickBot="1" x14ac:dyDescent="0.3">
      <c r="A2661" t="s">
        <v>4699</v>
      </c>
      <c r="B2661" t="s">
        <v>4699</v>
      </c>
      <c r="C2661" t="s">
        <v>4699</v>
      </c>
      <c r="D2661" s="249" t="s">
        <v>1939</v>
      </c>
      <c r="E2661" s="267" t="s">
        <v>2250</v>
      </c>
      <c r="F2661" t="s">
        <v>620</v>
      </c>
      <c r="G2661" s="89">
        <v>2005</v>
      </c>
      <c r="H2661" s="341" t="s">
        <v>732</v>
      </c>
      <c r="I2661" s="337" t="str">
        <f t="shared" si="108"/>
        <v>Pesado de Mercadorias N3: Geral : Gasóleo : E3</v>
      </c>
      <c r="J2661" s="125"/>
      <c r="K2661" s="264">
        <v>2022</v>
      </c>
      <c r="L2661" s="85"/>
      <c r="M2661" s="85"/>
      <c r="N2661" s="128"/>
      <c r="O2661" s="128">
        <f t="shared" si="109"/>
        <v>0</v>
      </c>
      <c r="P2661" s="89" t="s">
        <v>2823</v>
      </c>
      <c r="Q2661" t="s">
        <v>47</v>
      </c>
      <c r="R2661" s="220" t="s">
        <v>1888</v>
      </c>
      <c r="S2661" s="220" t="s">
        <v>1861</v>
      </c>
      <c r="T2661" t="s">
        <v>1960</v>
      </c>
      <c r="U2661" t="s">
        <v>1972</v>
      </c>
      <c r="V2661" t="s">
        <v>2832</v>
      </c>
    </row>
    <row r="2662" spans="1:22" ht="15.75" thickBot="1" x14ac:dyDescent="0.3">
      <c r="A2662" t="s">
        <v>4699</v>
      </c>
      <c r="B2662" t="s">
        <v>4699</v>
      </c>
      <c r="C2662" t="s">
        <v>4699</v>
      </c>
      <c r="D2662" s="249" t="s">
        <v>1939</v>
      </c>
      <c r="E2662" s="267" t="s">
        <v>2250</v>
      </c>
      <c r="F2662" t="s">
        <v>620</v>
      </c>
      <c r="G2662" s="89">
        <v>2005</v>
      </c>
      <c r="H2662" s="341" t="s">
        <v>732</v>
      </c>
      <c r="I2662" s="337" t="str">
        <f t="shared" si="108"/>
        <v>Pesado de Mercadorias N3: Geral : Gasóleo : E3</v>
      </c>
      <c r="J2662" s="125"/>
      <c r="K2662" s="264">
        <v>2022</v>
      </c>
      <c r="L2662" s="85"/>
      <c r="M2662" s="85"/>
      <c r="N2662" s="128"/>
      <c r="O2662" s="128">
        <f t="shared" si="109"/>
        <v>0</v>
      </c>
      <c r="P2662" s="89" t="s">
        <v>2824</v>
      </c>
      <c r="Q2662" t="s">
        <v>47</v>
      </c>
      <c r="R2662" s="220" t="s">
        <v>1888</v>
      </c>
      <c r="S2662" s="220" t="s">
        <v>1861</v>
      </c>
      <c r="T2662" t="s">
        <v>1960</v>
      </c>
      <c r="U2662" t="s">
        <v>1972</v>
      </c>
      <c r="V2662" t="s">
        <v>2832</v>
      </c>
    </row>
    <row r="2663" spans="1:22" ht="15.75" thickBot="1" x14ac:dyDescent="0.3">
      <c r="A2663" t="s">
        <v>4699</v>
      </c>
      <c r="B2663" t="s">
        <v>4699</v>
      </c>
      <c r="C2663" t="s">
        <v>4699</v>
      </c>
      <c r="D2663" s="249" t="s">
        <v>1939</v>
      </c>
      <c r="E2663" s="267" t="s">
        <v>2250</v>
      </c>
      <c r="F2663" t="s">
        <v>620</v>
      </c>
      <c r="G2663" s="89">
        <v>2005</v>
      </c>
      <c r="H2663" s="341" t="s">
        <v>732</v>
      </c>
      <c r="I2663" s="337" t="str">
        <f t="shared" si="108"/>
        <v>Pesado de Mercadorias N3: Geral : Gasóleo : E3</v>
      </c>
      <c r="J2663" s="125"/>
      <c r="K2663" s="264">
        <v>2022</v>
      </c>
      <c r="L2663" s="85"/>
      <c r="M2663" s="85"/>
      <c r="N2663" s="128"/>
      <c r="O2663" s="128">
        <f t="shared" si="109"/>
        <v>0</v>
      </c>
      <c r="P2663" s="89" t="s">
        <v>2825</v>
      </c>
      <c r="Q2663" t="s">
        <v>47</v>
      </c>
      <c r="R2663" s="220" t="s">
        <v>1888</v>
      </c>
      <c r="S2663" s="220" t="s">
        <v>1861</v>
      </c>
      <c r="T2663" t="s">
        <v>1960</v>
      </c>
      <c r="U2663" t="s">
        <v>1972</v>
      </c>
      <c r="V2663" t="s">
        <v>2832</v>
      </c>
    </row>
    <row r="2664" spans="1:22" ht="15.75" thickBot="1" x14ac:dyDescent="0.3">
      <c r="A2664" t="s">
        <v>4700</v>
      </c>
      <c r="B2664" t="s">
        <v>4700</v>
      </c>
      <c r="C2664" t="s">
        <v>4700</v>
      </c>
      <c r="D2664" s="249" t="s">
        <v>1939</v>
      </c>
      <c r="E2664" s="267" t="s">
        <v>2250</v>
      </c>
      <c r="F2664" t="s">
        <v>620</v>
      </c>
      <c r="G2664" s="89">
        <v>2008</v>
      </c>
      <c r="H2664" s="341" t="s">
        <v>734</v>
      </c>
      <c r="I2664" s="337" t="str">
        <f t="shared" si="108"/>
        <v>Pesado de Mercadorias N3: Geral : Gasóleo : E5</v>
      </c>
      <c r="J2664" s="125"/>
      <c r="K2664" s="264">
        <v>2022</v>
      </c>
      <c r="L2664" s="85"/>
      <c r="M2664" s="85"/>
      <c r="N2664" s="128"/>
      <c r="O2664" s="128">
        <f t="shared" si="109"/>
        <v>0</v>
      </c>
      <c r="P2664" s="89" t="s">
        <v>2826</v>
      </c>
      <c r="Q2664" t="s">
        <v>47</v>
      </c>
      <c r="R2664" s="220" t="s">
        <v>1888</v>
      </c>
      <c r="S2664" s="220" t="s">
        <v>1861</v>
      </c>
      <c r="U2664" t="s">
        <v>1972</v>
      </c>
      <c r="V2664" t="s">
        <v>2832</v>
      </c>
    </row>
    <row r="2665" spans="1:22" ht="15.75" thickBot="1" x14ac:dyDescent="0.3">
      <c r="A2665" t="s">
        <v>4700</v>
      </c>
      <c r="B2665" t="s">
        <v>4700</v>
      </c>
      <c r="C2665" t="s">
        <v>4700</v>
      </c>
      <c r="D2665" s="249" t="s">
        <v>1939</v>
      </c>
      <c r="E2665" s="267" t="s">
        <v>2250</v>
      </c>
      <c r="F2665" t="s">
        <v>620</v>
      </c>
      <c r="G2665" s="89">
        <v>2012</v>
      </c>
      <c r="H2665" s="341" t="s">
        <v>733</v>
      </c>
      <c r="I2665" s="337" t="str">
        <f t="shared" si="108"/>
        <v>Pesado de Mercadorias N3: Geral : Gasóleo : E6</v>
      </c>
      <c r="J2665" s="125"/>
      <c r="K2665" s="264">
        <v>2022</v>
      </c>
      <c r="L2665" s="85"/>
      <c r="M2665" s="85"/>
      <c r="N2665" s="128"/>
      <c r="O2665" s="128">
        <f t="shared" si="109"/>
        <v>0</v>
      </c>
      <c r="P2665" s="89" t="s">
        <v>2827</v>
      </c>
      <c r="Q2665" t="s">
        <v>47</v>
      </c>
      <c r="R2665" s="220" t="s">
        <v>1888</v>
      </c>
      <c r="S2665" s="220" t="s">
        <v>1861</v>
      </c>
      <c r="U2665" t="s">
        <v>1972</v>
      </c>
      <c r="V2665" t="s">
        <v>2832</v>
      </c>
    </row>
    <row r="2666" spans="1:22" ht="15.75" thickBot="1" x14ac:dyDescent="0.3">
      <c r="A2666" t="s">
        <v>4700</v>
      </c>
      <c r="B2666" t="s">
        <v>4700</v>
      </c>
      <c r="C2666" t="s">
        <v>4700</v>
      </c>
      <c r="D2666" s="249" t="s">
        <v>1939</v>
      </c>
      <c r="E2666" s="267" t="s">
        <v>2250</v>
      </c>
      <c r="F2666" t="s">
        <v>620</v>
      </c>
      <c r="G2666" s="89">
        <v>1996</v>
      </c>
      <c r="H2666" s="341" t="s">
        <v>2249</v>
      </c>
      <c r="I2666" s="337" t="str">
        <f t="shared" si="108"/>
        <v>Pesado de Mercadorias N3: Geral : Gasóleo : E0</v>
      </c>
      <c r="J2666" s="125"/>
      <c r="K2666" s="264">
        <v>2022</v>
      </c>
      <c r="L2666" s="85"/>
      <c r="M2666" s="85"/>
      <c r="N2666" s="128"/>
      <c r="O2666" s="128">
        <f t="shared" si="109"/>
        <v>0</v>
      </c>
      <c r="P2666" s="89" t="s">
        <v>2828</v>
      </c>
      <c r="Q2666" t="s">
        <v>47</v>
      </c>
      <c r="R2666" s="220" t="s">
        <v>1888</v>
      </c>
      <c r="S2666" s="220" t="s">
        <v>1861</v>
      </c>
      <c r="U2666" t="s">
        <v>1972</v>
      </c>
      <c r="V2666" t="s">
        <v>2832</v>
      </c>
    </row>
    <row r="2667" spans="1:22" ht="15.75" thickBot="1" x14ac:dyDescent="0.3">
      <c r="A2667" t="s">
        <v>4700</v>
      </c>
      <c r="B2667" t="s">
        <v>4700</v>
      </c>
      <c r="C2667" t="s">
        <v>4700</v>
      </c>
      <c r="D2667" s="249" t="s">
        <v>1939</v>
      </c>
      <c r="E2667" s="267" t="s">
        <v>2250</v>
      </c>
      <c r="F2667" t="s">
        <v>620</v>
      </c>
      <c r="H2667" s="341" t="s">
        <v>2250</v>
      </c>
      <c r="I2667" s="337" t="str">
        <f t="shared" si="108"/>
        <v>Pesado de Mercadorias N3: Geral : Gasóleo : Geral</v>
      </c>
      <c r="J2667" s="125"/>
      <c r="K2667" s="264">
        <v>2022</v>
      </c>
      <c r="L2667" s="85"/>
      <c r="M2667" s="85"/>
      <c r="N2667" s="128"/>
      <c r="O2667" s="128">
        <f t="shared" si="109"/>
        <v>0</v>
      </c>
      <c r="P2667" s="89">
        <v>1</v>
      </c>
      <c r="Q2667" t="s">
        <v>47</v>
      </c>
      <c r="R2667" s="220" t="s">
        <v>1888</v>
      </c>
      <c r="S2667" s="220" t="s">
        <v>1861</v>
      </c>
      <c r="U2667" t="s">
        <v>1972</v>
      </c>
      <c r="V2667" t="s">
        <v>2832</v>
      </c>
    </row>
    <row r="2668" spans="1:22" ht="15.75" thickBot="1" x14ac:dyDescent="0.3">
      <c r="A2668" t="s">
        <v>4700</v>
      </c>
      <c r="B2668" t="s">
        <v>4700</v>
      </c>
      <c r="C2668" t="s">
        <v>4700</v>
      </c>
      <c r="D2668" s="249" t="s">
        <v>1939</v>
      </c>
      <c r="E2668" s="267" t="s">
        <v>2250</v>
      </c>
      <c r="F2668" t="s">
        <v>620</v>
      </c>
      <c r="H2668" s="341" t="s">
        <v>2250</v>
      </c>
      <c r="I2668" s="337" t="str">
        <f t="shared" si="108"/>
        <v>Pesado de Mercadorias N3: Geral : Gasóleo : Geral</v>
      </c>
      <c r="J2668" s="125"/>
      <c r="K2668" s="264">
        <v>2022</v>
      </c>
      <c r="L2668" s="85"/>
      <c r="M2668" s="85"/>
      <c r="N2668" s="128"/>
      <c r="O2668" s="128">
        <f t="shared" si="109"/>
        <v>0</v>
      </c>
      <c r="P2668" s="89">
        <v>2</v>
      </c>
      <c r="Q2668" t="s">
        <v>47</v>
      </c>
      <c r="R2668" s="220" t="s">
        <v>1888</v>
      </c>
      <c r="S2668" s="220" t="s">
        <v>1861</v>
      </c>
      <c r="U2668" t="s">
        <v>1972</v>
      </c>
      <c r="V2668" t="s">
        <v>2832</v>
      </c>
    </row>
    <row r="2669" spans="1:22" ht="15.75" thickBot="1" x14ac:dyDescent="0.3">
      <c r="A2669" t="s">
        <v>4700</v>
      </c>
      <c r="B2669" t="s">
        <v>4700</v>
      </c>
      <c r="C2669" t="s">
        <v>4700</v>
      </c>
      <c r="D2669" s="249" t="s">
        <v>1939</v>
      </c>
      <c r="E2669" s="267" t="s">
        <v>2250</v>
      </c>
      <c r="F2669" t="s">
        <v>620</v>
      </c>
      <c r="H2669" s="341" t="s">
        <v>2250</v>
      </c>
      <c r="I2669" s="337" t="str">
        <f t="shared" si="108"/>
        <v>Pesado de Mercadorias N3: Geral : Gasóleo : Geral</v>
      </c>
      <c r="J2669" s="125"/>
      <c r="K2669" s="264">
        <v>2022</v>
      </c>
      <c r="L2669" s="85"/>
      <c r="M2669" s="85"/>
      <c r="N2669" s="128"/>
      <c r="O2669" s="128">
        <f t="shared" si="109"/>
        <v>0</v>
      </c>
      <c r="P2669" s="89">
        <v>800042</v>
      </c>
      <c r="Q2669" t="s">
        <v>47</v>
      </c>
      <c r="R2669" s="220" t="s">
        <v>1888</v>
      </c>
      <c r="S2669" s="220" t="s">
        <v>1861</v>
      </c>
      <c r="U2669" t="s">
        <v>1972</v>
      </c>
      <c r="V2669" t="s">
        <v>2832</v>
      </c>
    </row>
    <row r="2670" spans="1:22" ht="15.75" thickBot="1" x14ac:dyDescent="0.3">
      <c r="A2670" t="s">
        <v>4700</v>
      </c>
      <c r="B2670" t="s">
        <v>4700</v>
      </c>
      <c r="C2670" t="s">
        <v>4700</v>
      </c>
      <c r="D2670" s="249" t="s">
        <v>1939</v>
      </c>
      <c r="E2670" s="267" t="s">
        <v>2250</v>
      </c>
      <c r="F2670" t="s">
        <v>620</v>
      </c>
      <c r="H2670" s="341" t="s">
        <v>2250</v>
      </c>
      <c r="I2670" s="337" t="str">
        <f t="shared" si="108"/>
        <v>Pesado de Mercadorias N3: Geral : Gasóleo : Geral</v>
      </c>
      <c r="J2670" s="125"/>
      <c r="K2670" s="264">
        <v>2022</v>
      </c>
      <c r="L2670" s="85"/>
      <c r="M2670" s="85"/>
      <c r="N2670" s="128"/>
      <c r="O2670" s="128">
        <f t="shared" si="109"/>
        <v>0</v>
      </c>
      <c r="P2670" s="89">
        <v>800096</v>
      </c>
      <c r="Q2670" t="s">
        <v>47</v>
      </c>
      <c r="R2670" s="220" t="s">
        <v>1888</v>
      </c>
      <c r="S2670" s="220" t="s">
        <v>1861</v>
      </c>
      <c r="U2670" t="s">
        <v>1972</v>
      </c>
      <c r="V2670" t="s">
        <v>2832</v>
      </c>
    </row>
    <row r="2671" spans="1:22" ht="15.75" thickBot="1" x14ac:dyDescent="0.3">
      <c r="A2671" t="s">
        <v>4700</v>
      </c>
      <c r="B2671" t="s">
        <v>4700</v>
      </c>
      <c r="C2671" t="s">
        <v>4700</v>
      </c>
      <c r="D2671" s="249" t="s">
        <v>1939</v>
      </c>
      <c r="E2671" s="267" t="s">
        <v>2250</v>
      </c>
      <c r="F2671" t="s">
        <v>620</v>
      </c>
      <c r="H2671" s="341" t="s">
        <v>2250</v>
      </c>
      <c r="I2671" s="337" t="str">
        <f t="shared" si="108"/>
        <v>Pesado de Mercadorias N3: Geral : Gasóleo : Geral</v>
      </c>
      <c r="J2671" s="125"/>
      <c r="K2671" s="264">
        <v>2022</v>
      </c>
      <c r="L2671" s="85"/>
      <c r="M2671" s="85"/>
      <c r="N2671" s="128"/>
      <c r="O2671" s="128">
        <f t="shared" si="109"/>
        <v>0</v>
      </c>
      <c r="P2671" s="89" t="s">
        <v>2829</v>
      </c>
      <c r="Q2671" t="s">
        <v>47</v>
      </c>
      <c r="R2671" s="220" t="s">
        <v>1888</v>
      </c>
      <c r="S2671" s="220" t="s">
        <v>1861</v>
      </c>
      <c r="U2671" t="s">
        <v>1972</v>
      </c>
      <c r="V2671" t="s">
        <v>2832</v>
      </c>
    </row>
    <row r="2672" spans="1:22" ht="15.75" thickBot="1" x14ac:dyDescent="0.3">
      <c r="A2672" t="s">
        <v>4700</v>
      </c>
      <c r="B2672" t="s">
        <v>4700</v>
      </c>
      <c r="C2672" t="s">
        <v>4700</v>
      </c>
      <c r="D2672" s="249" t="s">
        <v>1939</v>
      </c>
      <c r="E2672" s="267" t="s">
        <v>2250</v>
      </c>
      <c r="F2672" t="s">
        <v>620</v>
      </c>
      <c r="H2672" s="341" t="s">
        <v>2250</v>
      </c>
      <c r="I2672" s="337" t="str">
        <f t="shared" si="108"/>
        <v>Pesado de Mercadorias N3: Geral : Gasóleo : Geral</v>
      </c>
      <c r="J2672" s="125"/>
      <c r="K2672" s="264">
        <v>2022</v>
      </c>
      <c r="L2672" s="85"/>
      <c r="M2672" s="85"/>
      <c r="N2672" s="128"/>
      <c r="O2672" s="128">
        <f t="shared" si="109"/>
        <v>0</v>
      </c>
      <c r="P2672" s="89" t="s">
        <v>2830</v>
      </c>
      <c r="Q2672" t="s">
        <v>47</v>
      </c>
      <c r="R2672" s="220" t="s">
        <v>1888</v>
      </c>
      <c r="S2672" s="220" t="s">
        <v>1861</v>
      </c>
      <c r="U2672" t="s">
        <v>1972</v>
      </c>
      <c r="V2672" t="s">
        <v>2832</v>
      </c>
    </row>
    <row r="2673" spans="1:22" ht="15.75" thickBot="1" x14ac:dyDescent="0.3">
      <c r="A2673" t="s">
        <v>4701</v>
      </c>
      <c r="B2673" t="s">
        <v>4701</v>
      </c>
      <c r="C2673" t="s">
        <v>4701</v>
      </c>
      <c r="D2673" s="83" t="s">
        <v>629</v>
      </c>
      <c r="E2673" s="262" t="s">
        <v>1853</v>
      </c>
      <c r="F2673" s="124" t="s">
        <v>620</v>
      </c>
      <c r="G2673" s="130">
        <v>2001</v>
      </c>
      <c r="H2673" s="125" t="s">
        <v>732</v>
      </c>
      <c r="I2673" s="340" t="str">
        <f t="shared" ref="I2673:I2677" si="110">D2673&amp;": "&amp;E2673&amp;" : "&amp;F2673&amp;" : "&amp;H2673</f>
        <v>Pesado de Passageiros M3: III : Gasóleo : E3</v>
      </c>
      <c r="J2673" s="125">
        <v>49</v>
      </c>
      <c r="K2673" s="264">
        <v>2022</v>
      </c>
      <c r="L2673" s="85">
        <v>2208.8199999999997</v>
      </c>
      <c r="M2673" s="85" t="s">
        <v>630</v>
      </c>
      <c r="N2673" s="128">
        <v>5037</v>
      </c>
      <c r="O2673" s="128">
        <f t="shared" ref="O2673:O2736" si="111">N2673*J2673</f>
        <v>246813</v>
      </c>
      <c r="Q2673" t="s">
        <v>47</v>
      </c>
      <c r="R2673" s="220" t="s">
        <v>1888</v>
      </c>
      <c r="S2673" s="220" t="s">
        <v>1861</v>
      </c>
      <c r="T2673" t="s">
        <v>3737</v>
      </c>
      <c r="U2673" t="s">
        <v>1972</v>
      </c>
      <c r="V2673" t="s">
        <v>2832</v>
      </c>
    </row>
    <row r="2674" spans="1:22" ht="15.75" thickBot="1" x14ac:dyDescent="0.3">
      <c r="A2674" t="s">
        <v>4701</v>
      </c>
      <c r="B2674" t="s">
        <v>4701</v>
      </c>
      <c r="C2674" t="s">
        <v>4701</v>
      </c>
      <c r="D2674" s="83" t="s">
        <v>629</v>
      </c>
      <c r="E2674" s="262" t="s">
        <v>1853</v>
      </c>
      <c r="F2674" s="124" t="s">
        <v>620</v>
      </c>
      <c r="G2674" s="130">
        <v>2011</v>
      </c>
      <c r="H2674" s="125" t="s">
        <v>734</v>
      </c>
      <c r="I2674" s="340" t="str">
        <f t="shared" si="110"/>
        <v>Pesado de Passageiros M3: III : Gasóleo : E5</v>
      </c>
      <c r="J2674" s="125">
        <v>24</v>
      </c>
      <c r="K2674" s="264">
        <v>2022</v>
      </c>
      <c r="L2674" s="85">
        <v>7096.55</v>
      </c>
      <c r="M2674" s="85" t="s">
        <v>630</v>
      </c>
      <c r="N2674" s="128">
        <v>38074</v>
      </c>
      <c r="O2674" s="128">
        <f t="shared" si="111"/>
        <v>913776</v>
      </c>
      <c r="Q2674" t="s">
        <v>47</v>
      </c>
      <c r="R2674" s="220" t="s">
        <v>1888</v>
      </c>
      <c r="S2674" s="220" t="s">
        <v>1861</v>
      </c>
      <c r="T2674" t="s">
        <v>3738</v>
      </c>
      <c r="U2674" t="s">
        <v>1972</v>
      </c>
      <c r="V2674" t="s">
        <v>2832</v>
      </c>
    </row>
    <row r="2675" spans="1:22" ht="15.75" thickBot="1" x14ac:dyDescent="0.3">
      <c r="A2675" t="s">
        <v>4701</v>
      </c>
      <c r="B2675" t="s">
        <v>4701</v>
      </c>
      <c r="C2675" t="s">
        <v>4701</v>
      </c>
      <c r="D2675" s="83" t="s">
        <v>629</v>
      </c>
      <c r="E2675" s="262" t="s">
        <v>1853</v>
      </c>
      <c r="F2675" s="124" t="s">
        <v>620</v>
      </c>
      <c r="G2675" s="130">
        <v>2019</v>
      </c>
      <c r="H2675" s="125" t="s">
        <v>733</v>
      </c>
      <c r="I2675" s="340" t="str">
        <f t="shared" si="110"/>
        <v>Pesado de Passageiros M3: III : Gasóleo : E6</v>
      </c>
      <c r="J2675" s="125">
        <v>24</v>
      </c>
      <c r="K2675" s="264">
        <v>2022</v>
      </c>
      <c r="L2675" s="85">
        <v>11499.560000000001</v>
      </c>
      <c r="M2675" s="85" t="s">
        <v>630</v>
      </c>
      <c r="N2675" s="128">
        <v>69731</v>
      </c>
      <c r="O2675" s="128">
        <f t="shared" si="111"/>
        <v>1673544</v>
      </c>
      <c r="Q2675" t="s">
        <v>47</v>
      </c>
      <c r="R2675" s="220" t="s">
        <v>1888</v>
      </c>
      <c r="S2675" s="220" t="s">
        <v>1861</v>
      </c>
      <c r="T2675" t="s">
        <v>3739</v>
      </c>
      <c r="U2675" t="s">
        <v>1972</v>
      </c>
      <c r="V2675" t="s">
        <v>2832</v>
      </c>
    </row>
    <row r="2676" spans="1:22" ht="15.75" thickBot="1" x14ac:dyDescent="0.3">
      <c r="A2676" t="s">
        <v>4701</v>
      </c>
      <c r="B2676" t="s">
        <v>4701</v>
      </c>
      <c r="C2676" t="s">
        <v>4701</v>
      </c>
      <c r="D2676" s="83" t="s">
        <v>629</v>
      </c>
      <c r="E2676" s="262" t="s">
        <v>1853</v>
      </c>
      <c r="F2676" s="124" t="s">
        <v>620</v>
      </c>
      <c r="G2676" s="130">
        <v>2019</v>
      </c>
      <c r="H2676" s="125" t="s">
        <v>733</v>
      </c>
      <c r="I2676" s="340" t="str">
        <f t="shared" si="110"/>
        <v>Pesado de Passageiros M3: III : Gasóleo : E6</v>
      </c>
      <c r="J2676" s="125">
        <v>24</v>
      </c>
      <c r="K2676" s="264">
        <v>2022</v>
      </c>
      <c r="L2676" s="85">
        <v>16498.239999999998</v>
      </c>
      <c r="M2676" s="85" t="s">
        <v>630</v>
      </c>
      <c r="N2676" s="128">
        <v>43603</v>
      </c>
      <c r="O2676" s="128">
        <f t="shared" si="111"/>
        <v>1046472</v>
      </c>
      <c r="Q2676" t="s">
        <v>47</v>
      </c>
      <c r="R2676" s="220" t="s">
        <v>1888</v>
      </c>
      <c r="S2676" s="220" t="s">
        <v>1861</v>
      </c>
      <c r="T2676" t="s">
        <v>3740</v>
      </c>
      <c r="U2676" t="s">
        <v>1972</v>
      </c>
      <c r="V2676" t="s">
        <v>2832</v>
      </c>
    </row>
    <row r="2677" spans="1:22" ht="15.75" thickBot="1" x14ac:dyDescent="0.3">
      <c r="A2677" t="s">
        <v>4701</v>
      </c>
      <c r="B2677" t="s">
        <v>4701</v>
      </c>
      <c r="C2677" t="s">
        <v>4701</v>
      </c>
      <c r="D2677" s="83" t="s">
        <v>629</v>
      </c>
      <c r="E2677" s="262" t="s">
        <v>1853</v>
      </c>
      <c r="F2677" s="124" t="s">
        <v>620</v>
      </c>
      <c r="G2677" s="130">
        <v>2008</v>
      </c>
      <c r="H2677" s="125" t="s">
        <v>731</v>
      </c>
      <c r="I2677" s="340" t="str">
        <f t="shared" si="110"/>
        <v>Pesado de Passageiros M3: III : Gasóleo : E4</v>
      </c>
      <c r="J2677" s="125">
        <v>59</v>
      </c>
      <c r="K2677" s="264">
        <v>2022</v>
      </c>
      <c r="L2677" s="85">
        <v>7797.869999999999</v>
      </c>
      <c r="M2677" s="85" t="s">
        <v>630</v>
      </c>
      <c r="N2677" s="128">
        <v>20622</v>
      </c>
      <c r="O2677" s="128">
        <f t="shared" si="111"/>
        <v>1216698</v>
      </c>
      <c r="Q2677" t="s">
        <v>47</v>
      </c>
      <c r="R2677" s="220" t="s">
        <v>1888</v>
      </c>
      <c r="S2677" s="220" t="s">
        <v>1861</v>
      </c>
      <c r="T2677" t="s">
        <v>3741</v>
      </c>
      <c r="U2677" t="s">
        <v>1972</v>
      </c>
      <c r="V2677" t="s">
        <v>2832</v>
      </c>
    </row>
    <row r="2678" spans="1:22" ht="15.75" thickBot="1" x14ac:dyDescent="0.3">
      <c r="A2678" t="s">
        <v>4701</v>
      </c>
      <c r="B2678" t="s">
        <v>4701</v>
      </c>
      <c r="C2678" t="s">
        <v>4701</v>
      </c>
      <c r="D2678" s="83" t="s">
        <v>629</v>
      </c>
      <c r="E2678" s="262" t="s">
        <v>1853</v>
      </c>
      <c r="F2678" s="124" t="s">
        <v>620</v>
      </c>
      <c r="G2678" s="130">
        <v>2008</v>
      </c>
      <c r="H2678" s="125" t="s">
        <v>731</v>
      </c>
      <c r="I2678" s="340" t="str">
        <f t="shared" ref="I2678:I2741" si="112">D2678&amp;": "&amp;E2678&amp;" : "&amp;F2678&amp;" : "&amp;H2678</f>
        <v>Pesado de Passageiros M3: III : Gasóleo : E4</v>
      </c>
      <c r="J2678" s="125">
        <v>55</v>
      </c>
      <c r="K2678" s="264">
        <v>2022</v>
      </c>
      <c r="L2678" s="85">
        <v>16978.78</v>
      </c>
      <c r="M2678" s="85" t="s">
        <v>630</v>
      </c>
      <c r="N2678" s="128">
        <v>48392</v>
      </c>
      <c r="O2678" s="128">
        <f t="shared" si="111"/>
        <v>2661560</v>
      </c>
      <c r="Q2678" t="s">
        <v>47</v>
      </c>
      <c r="R2678" s="220" t="s">
        <v>1888</v>
      </c>
      <c r="S2678" s="220" t="s">
        <v>1861</v>
      </c>
      <c r="T2678" t="s">
        <v>3742</v>
      </c>
      <c r="U2678" t="s">
        <v>1972</v>
      </c>
      <c r="V2678" t="s">
        <v>2832</v>
      </c>
    </row>
    <row r="2679" spans="1:22" ht="15.75" thickBot="1" x14ac:dyDescent="0.3">
      <c r="A2679" t="s">
        <v>4701</v>
      </c>
      <c r="B2679" t="s">
        <v>4701</v>
      </c>
      <c r="C2679" t="s">
        <v>4701</v>
      </c>
      <c r="D2679" s="83" t="s">
        <v>629</v>
      </c>
      <c r="E2679" s="262" t="s">
        <v>1853</v>
      </c>
      <c r="F2679" s="124" t="s">
        <v>620</v>
      </c>
      <c r="G2679" s="130">
        <v>2008</v>
      </c>
      <c r="H2679" s="125" t="s">
        <v>731</v>
      </c>
      <c r="I2679" s="340" t="str">
        <f t="shared" si="112"/>
        <v>Pesado de Passageiros M3: III : Gasóleo : E4</v>
      </c>
      <c r="J2679" s="125">
        <v>59</v>
      </c>
      <c r="K2679" s="264">
        <v>2022</v>
      </c>
      <c r="L2679" s="85">
        <v>11983.160000000002</v>
      </c>
      <c r="M2679" s="85" t="s">
        <v>630</v>
      </c>
      <c r="N2679" s="128">
        <v>34473</v>
      </c>
      <c r="O2679" s="128">
        <f t="shared" si="111"/>
        <v>2033907</v>
      </c>
      <c r="Q2679" t="s">
        <v>47</v>
      </c>
      <c r="R2679" s="220" t="s">
        <v>1888</v>
      </c>
      <c r="S2679" s="220" t="s">
        <v>1861</v>
      </c>
      <c r="T2679" t="s">
        <v>3743</v>
      </c>
      <c r="U2679" t="s">
        <v>1972</v>
      </c>
      <c r="V2679" t="s">
        <v>2832</v>
      </c>
    </row>
    <row r="2680" spans="1:22" ht="15.75" thickBot="1" x14ac:dyDescent="0.3">
      <c r="A2680" t="s">
        <v>4701</v>
      </c>
      <c r="B2680" t="s">
        <v>4701</v>
      </c>
      <c r="C2680" t="s">
        <v>4701</v>
      </c>
      <c r="D2680" s="83" t="s">
        <v>629</v>
      </c>
      <c r="E2680" s="262" t="s">
        <v>1853</v>
      </c>
      <c r="F2680" s="124" t="s">
        <v>620</v>
      </c>
      <c r="G2680" s="130">
        <v>2008</v>
      </c>
      <c r="H2680" s="125" t="s">
        <v>731</v>
      </c>
      <c r="I2680" s="340" t="str">
        <f t="shared" si="112"/>
        <v>Pesado de Passageiros M3: III : Gasóleo : E4</v>
      </c>
      <c r="J2680" s="125">
        <v>55</v>
      </c>
      <c r="K2680" s="264">
        <v>2022</v>
      </c>
      <c r="L2680" s="85">
        <v>20117.34</v>
      </c>
      <c r="M2680" s="85" t="s">
        <v>630</v>
      </c>
      <c r="N2680" s="128">
        <v>53137</v>
      </c>
      <c r="O2680" s="128">
        <f t="shared" si="111"/>
        <v>2922535</v>
      </c>
      <c r="Q2680" t="s">
        <v>47</v>
      </c>
      <c r="R2680" s="220" t="s">
        <v>1888</v>
      </c>
      <c r="S2680" s="220" t="s">
        <v>1861</v>
      </c>
      <c r="T2680" t="s">
        <v>3744</v>
      </c>
      <c r="U2680" t="s">
        <v>1972</v>
      </c>
      <c r="V2680" t="s">
        <v>2832</v>
      </c>
    </row>
    <row r="2681" spans="1:22" ht="15.75" thickBot="1" x14ac:dyDescent="0.3">
      <c r="A2681" t="s">
        <v>4701</v>
      </c>
      <c r="B2681" t="s">
        <v>4701</v>
      </c>
      <c r="C2681" t="s">
        <v>4701</v>
      </c>
      <c r="D2681" s="83" t="s">
        <v>629</v>
      </c>
      <c r="E2681" s="262" t="s">
        <v>1853</v>
      </c>
      <c r="F2681" s="124" t="s">
        <v>620</v>
      </c>
      <c r="G2681" s="130">
        <v>2008</v>
      </c>
      <c r="H2681" s="125" t="s">
        <v>731</v>
      </c>
      <c r="I2681" s="340" t="str">
        <f t="shared" si="112"/>
        <v>Pesado de Passageiros M3: III : Gasóleo : E4</v>
      </c>
      <c r="J2681" s="125">
        <v>55</v>
      </c>
      <c r="K2681" s="264">
        <v>2022</v>
      </c>
      <c r="L2681" s="85">
        <v>20416.130000000005</v>
      </c>
      <c r="M2681" s="85" t="s">
        <v>630</v>
      </c>
      <c r="N2681" s="128">
        <v>69016</v>
      </c>
      <c r="O2681" s="128">
        <f t="shared" si="111"/>
        <v>3795880</v>
      </c>
      <c r="Q2681" t="s">
        <v>47</v>
      </c>
      <c r="R2681" s="220" t="s">
        <v>1888</v>
      </c>
      <c r="S2681" s="220" t="s">
        <v>1861</v>
      </c>
      <c r="T2681" t="s">
        <v>3745</v>
      </c>
      <c r="U2681" t="s">
        <v>1972</v>
      </c>
      <c r="V2681" t="s">
        <v>2832</v>
      </c>
    </row>
    <row r="2682" spans="1:22" ht="15.75" thickBot="1" x14ac:dyDescent="0.3">
      <c r="A2682" t="s">
        <v>4701</v>
      </c>
      <c r="B2682" t="s">
        <v>4701</v>
      </c>
      <c r="C2682" t="s">
        <v>4701</v>
      </c>
      <c r="D2682" s="83" t="s">
        <v>629</v>
      </c>
      <c r="E2682" s="262" t="s">
        <v>1853</v>
      </c>
      <c r="F2682" s="124" t="s">
        <v>620</v>
      </c>
      <c r="G2682" s="130">
        <v>2017</v>
      </c>
      <c r="H2682" s="125" t="s">
        <v>733</v>
      </c>
      <c r="I2682" s="340" t="str">
        <f t="shared" si="112"/>
        <v>Pesado de Passageiros M3: III : Gasóleo : E6</v>
      </c>
      <c r="J2682" s="125">
        <v>57</v>
      </c>
      <c r="K2682" s="264">
        <v>2022</v>
      </c>
      <c r="L2682" s="85">
        <v>4704.8</v>
      </c>
      <c r="M2682" s="85" t="s">
        <v>630</v>
      </c>
      <c r="N2682" s="128">
        <v>13074</v>
      </c>
      <c r="O2682" s="128">
        <f t="shared" si="111"/>
        <v>745218</v>
      </c>
      <c r="Q2682" t="s">
        <v>47</v>
      </c>
      <c r="R2682" s="220" t="s">
        <v>1888</v>
      </c>
      <c r="S2682" s="220" t="s">
        <v>1861</v>
      </c>
      <c r="T2682" t="s">
        <v>3746</v>
      </c>
      <c r="U2682" t="s">
        <v>1972</v>
      </c>
      <c r="V2682" t="s">
        <v>2832</v>
      </c>
    </row>
    <row r="2683" spans="1:22" ht="15.75" thickBot="1" x14ac:dyDescent="0.3">
      <c r="A2683" t="s">
        <v>4701</v>
      </c>
      <c r="B2683" t="s">
        <v>4701</v>
      </c>
      <c r="C2683" t="s">
        <v>4701</v>
      </c>
      <c r="D2683" s="83" t="s">
        <v>629</v>
      </c>
      <c r="E2683" s="262" t="s">
        <v>1853</v>
      </c>
      <c r="F2683" s="124" t="s">
        <v>620</v>
      </c>
      <c r="G2683" s="130">
        <v>2000</v>
      </c>
      <c r="H2683" s="125" t="s">
        <v>732</v>
      </c>
      <c r="I2683" s="340" t="str">
        <f t="shared" si="112"/>
        <v>Pesado de Passageiros M3: III : Gasóleo : E3</v>
      </c>
      <c r="J2683" s="125">
        <v>50</v>
      </c>
      <c r="K2683" s="264">
        <v>2022</v>
      </c>
      <c r="L2683" s="85">
        <v>8995.7800000000025</v>
      </c>
      <c r="M2683" s="85" t="s">
        <v>630</v>
      </c>
      <c r="N2683" s="128">
        <v>46630</v>
      </c>
      <c r="O2683" s="128">
        <f t="shared" si="111"/>
        <v>2331500</v>
      </c>
      <c r="Q2683" t="s">
        <v>47</v>
      </c>
      <c r="R2683" s="220" t="s">
        <v>1888</v>
      </c>
      <c r="S2683" s="220" t="s">
        <v>1861</v>
      </c>
      <c r="T2683" t="s">
        <v>3747</v>
      </c>
      <c r="U2683" t="s">
        <v>1972</v>
      </c>
      <c r="V2683" t="s">
        <v>2832</v>
      </c>
    </row>
    <row r="2684" spans="1:22" ht="15.75" thickBot="1" x14ac:dyDescent="0.3">
      <c r="A2684" t="s">
        <v>4701</v>
      </c>
      <c r="B2684" t="s">
        <v>4701</v>
      </c>
      <c r="C2684" t="s">
        <v>4701</v>
      </c>
      <c r="D2684" s="83" t="s">
        <v>629</v>
      </c>
      <c r="E2684" s="262" t="s">
        <v>1853</v>
      </c>
      <c r="F2684" s="124" t="s">
        <v>620</v>
      </c>
      <c r="G2684" s="130">
        <v>2009</v>
      </c>
      <c r="H2684" s="125" t="s">
        <v>731</v>
      </c>
      <c r="I2684" s="340" t="str">
        <f t="shared" si="112"/>
        <v>Pesado de Passageiros M3: III : Gasóleo : E4</v>
      </c>
      <c r="J2684" s="125">
        <v>16</v>
      </c>
      <c r="K2684" s="264">
        <v>2022</v>
      </c>
      <c r="L2684" s="85">
        <v>0</v>
      </c>
      <c r="M2684" s="85" t="s">
        <v>630</v>
      </c>
      <c r="N2684" s="128">
        <v>0</v>
      </c>
      <c r="O2684" s="128">
        <f t="shared" si="111"/>
        <v>0</v>
      </c>
      <c r="Q2684" t="s">
        <v>47</v>
      </c>
      <c r="R2684" s="220" t="s">
        <v>1888</v>
      </c>
      <c r="S2684" s="220" t="s">
        <v>1861</v>
      </c>
      <c r="T2684" t="s">
        <v>3748</v>
      </c>
      <c r="U2684" t="s">
        <v>1972</v>
      </c>
      <c r="V2684" t="s">
        <v>2832</v>
      </c>
    </row>
    <row r="2685" spans="1:22" ht="15.75" thickBot="1" x14ac:dyDescent="0.3">
      <c r="A2685" t="s">
        <v>4701</v>
      </c>
      <c r="B2685" t="s">
        <v>4701</v>
      </c>
      <c r="C2685" t="s">
        <v>4701</v>
      </c>
      <c r="D2685" s="83" t="s">
        <v>629</v>
      </c>
      <c r="E2685" s="262" t="s">
        <v>1853</v>
      </c>
      <c r="F2685" s="124" t="s">
        <v>620</v>
      </c>
      <c r="G2685" s="130">
        <v>2019</v>
      </c>
      <c r="H2685" s="125" t="s">
        <v>733</v>
      </c>
      <c r="I2685" s="340" t="str">
        <f t="shared" si="112"/>
        <v>Pesado de Passageiros M3: III : Gasóleo : E6</v>
      </c>
      <c r="J2685" s="125">
        <v>24</v>
      </c>
      <c r="K2685" s="264">
        <v>2022</v>
      </c>
      <c r="L2685" s="85">
        <v>8990.34</v>
      </c>
      <c r="M2685" s="85" t="s">
        <v>630</v>
      </c>
      <c r="N2685" s="128">
        <v>24919</v>
      </c>
      <c r="O2685" s="128">
        <f t="shared" si="111"/>
        <v>598056</v>
      </c>
      <c r="Q2685" t="s">
        <v>47</v>
      </c>
      <c r="R2685" s="220" t="s">
        <v>1888</v>
      </c>
      <c r="S2685" s="220" t="s">
        <v>1861</v>
      </c>
      <c r="T2685" t="s">
        <v>3749</v>
      </c>
      <c r="U2685" t="s">
        <v>1972</v>
      </c>
      <c r="V2685" t="s">
        <v>2832</v>
      </c>
    </row>
    <row r="2686" spans="1:22" ht="15.75" thickBot="1" x14ac:dyDescent="0.3">
      <c r="A2686" t="s">
        <v>4701</v>
      </c>
      <c r="B2686" t="s">
        <v>4701</v>
      </c>
      <c r="C2686" t="s">
        <v>4701</v>
      </c>
      <c r="D2686" s="83" t="s">
        <v>629</v>
      </c>
      <c r="E2686" s="262" t="s">
        <v>1853</v>
      </c>
      <c r="F2686" s="124" t="s">
        <v>620</v>
      </c>
      <c r="G2686" s="130">
        <v>2009</v>
      </c>
      <c r="H2686" s="125" t="s">
        <v>731</v>
      </c>
      <c r="I2686" s="340" t="str">
        <f t="shared" si="112"/>
        <v>Pesado de Passageiros M3: III : Gasóleo : E4</v>
      </c>
      <c r="J2686" s="125">
        <v>16</v>
      </c>
      <c r="K2686" s="264">
        <v>2022</v>
      </c>
      <c r="L2686" s="85">
        <v>0</v>
      </c>
      <c r="M2686" s="85" t="s">
        <v>630</v>
      </c>
      <c r="N2686" s="128">
        <v>0</v>
      </c>
      <c r="O2686" s="128">
        <f t="shared" si="111"/>
        <v>0</v>
      </c>
      <c r="Q2686" t="s">
        <v>47</v>
      </c>
      <c r="R2686" s="220" t="s">
        <v>1888</v>
      </c>
      <c r="S2686" s="220" t="s">
        <v>1861</v>
      </c>
      <c r="T2686" t="s">
        <v>3750</v>
      </c>
      <c r="U2686" t="s">
        <v>1972</v>
      </c>
      <c r="V2686" t="s">
        <v>2832</v>
      </c>
    </row>
    <row r="2687" spans="1:22" ht="15.75" thickBot="1" x14ac:dyDescent="0.3">
      <c r="A2687" t="s">
        <v>4701</v>
      </c>
      <c r="B2687" t="s">
        <v>4701</v>
      </c>
      <c r="C2687" t="s">
        <v>4701</v>
      </c>
      <c r="D2687" s="83" t="s">
        <v>629</v>
      </c>
      <c r="E2687" s="262" t="s">
        <v>1853</v>
      </c>
      <c r="F2687" s="124" t="s">
        <v>620</v>
      </c>
      <c r="G2687" s="130">
        <v>2004</v>
      </c>
      <c r="H2687" s="125" t="s">
        <v>732</v>
      </c>
      <c r="I2687" s="340" t="str">
        <f t="shared" si="112"/>
        <v>Pesado de Passageiros M3: III : Gasóleo : E3</v>
      </c>
      <c r="J2687" s="125">
        <v>55</v>
      </c>
      <c r="K2687" s="264">
        <v>2022</v>
      </c>
      <c r="L2687" s="85">
        <v>10183.26</v>
      </c>
      <c r="M2687" s="85" t="s">
        <v>630</v>
      </c>
      <c r="N2687" s="128">
        <v>30467</v>
      </c>
      <c r="O2687" s="128">
        <f t="shared" si="111"/>
        <v>1675685</v>
      </c>
      <c r="Q2687" t="s">
        <v>47</v>
      </c>
      <c r="R2687" s="220" t="s">
        <v>1888</v>
      </c>
      <c r="S2687" s="220" t="s">
        <v>1861</v>
      </c>
      <c r="T2687" t="s">
        <v>3751</v>
      </c>
      <c r="U2687" t="s">
        <v>1972</v>
      </c>
      <c r="V2687" t="s">
        <v>2832</v>
      </c>
    </row>
    <row r="2688" spans="1:22" ht="15.75" thickBot="1" x14ac:dyDescent="0.3">
      <c r="A2688" t="s">
        <v>4701</v>
      </c>
      <c r="B2688" t="s">
        <v>4701</v>
      </c>
      <c r="C2688" t="s">
        <v>4701</v>
      </c>
      <c r="D2688" s="83" t="s">
        <v>629</v>
      </c>
      <c r="E2688" s="262" t="s">
        <v>1853</v>
      </c>
      <c r="F2688" s="124" t="s">
        <v>620</v>
      </c>
      <c r="G2688" s="130">
        <v>2004</v>
      </c>
      <c r="H2688" s="125" t="s">
        <v>732</v>
      </c>
      <c r="I2688" s="340" t="str">
        <f t="shared" si="112"/>
        <v>Pesado de Passageiros M3: III : Gasóleo : E3</v>
      </c>
      <c r="J2688" s="125">
        <v>55</v>
      </c>
      <c r="K2688" s="264">
        <v>2022</v>
      </c>
      <c r="L2688" s="85">
        <v>1112.8999999999999</v>
      </c>
      <c r="M2688" s="85" t="s">
        <v>630</v>
      </c>
      <c r="N2688" s="128">
        <v>5858</v>
      </c>
      <c r="O2688" s="128">
        <f t="shared" si="111"/>
        <v>322190</v>
      </c>
      <c r="Q2688" t="s">
        <v>47</v>
      </c>
      <c r="R2688" s="220" t="s">
        <v>1888</v>
      </c>
      <c r="S2688" s="220" t="s">
        <v>1861</v>
      </c>
      <c r="T2688" t="s">
        <v>3752</v>
      </c>
      <c r="U2688" t="s">
        <v>1972</v>
      </c>
      <c r="V2688" t="s">
        <v>2832</v>
      </c>
    </row>
    <row r="2689" spans="1:22" ht="15.75" thickBot="1" x14ac:dyDescent="0.3">
      <c r="A2689" t="s">
        <v>4701</v>
      </c>
      <c r="B2689" t="s">
        <v>4701</v>
      </c>
      <c r="C2689" t="s">
        <v>4701</v>
      </c>
      <c r="D2689" s="83" t="s">
        <v>629</v>
      </c>
      <c r="E2689" s="262" t="s">
        <v>1853</v>
      </c>
      <c r="F2689" s="124" t="s">
        <v>620</v>
      </c>
      <c r="G2689" s="130">
        <v>2010</v>
      </c>
      <c r="H2689" s="125" t="s">
        <v>734</v>
      </c>
      <c r="I2689" s="340" t="str">
        <f t="shared" si="112"/>
        <v>Pesado de Passageiros M3: III : Gasóleo : E5</v>
      </c>
      <c r="J2689" s="125">
        <v>24</v>
      </c>
      <c r="K2689" s="264">
        <v>2022</v>
      </c>
      <c r="L2689" s="85">
        <v>9800.3200000000015</v>
      </c>
      <c r="M2689" s="85" t="s">
        <v>630</v>
      </c>
      <c r="N2689" s="128">
        <v>54512</v>
      </c>
      <c r="O2689" s="128">
        <f t="shared" si="111"/>
        <v>1308288</v>
      </c>
      <c r="Q2689" t="s">
        <v>47</v>
      </c>
      <c r="R2689" s="220" t="s">
        <v>1888</v>
      </c>
      <c r="S2689" s="220" t="s">
        <v>1861</v>
      </c>
      <c r="T2689" t="s">
        <v>3753</v>
      </c>
      <c r="U2689" t="s">
        <v>1972</v>
      </c>
      <c r="V2689" t="s">
        <v>2832</v>
      </c>
    </row>
    <row r="2690" spans="1:22" ht="15.75" thickBot="1" x14ac:dyDescent="0.3">
      <c r="A2690" t="s">
        <v>4701</v>
      </c>
      <c r="B2690" t="s">
        <v>4701</v>
      </c>
      <c r="C2690" t="s">
        <v>4701</v>
      </c>
      <c r="D2690" s="83" t="s">
        <v>629</v>
      </c>
      <c r="E2690" s="262" t="s">
        <v>1853</v>
      </c>
      <c r="F2690" s="124" t="s">
        <v>620</v>
      </c>
      <c r="G2690" s="130">
        <v>2019</v>
      </c>
      <c r="H2690" s="125" t="s">
        <v>733</v>
      </c>
      <c r="I2690" s="340" t="str">
        <f t="shared" si="112"/>
        <v>Pesado de Passageiros M3: III : Gasóleo : E6</v>
      </c>
      <c r="J2690" s="125">
        <v>24</v>
      </c>
      <c r="K2690" s="264">
        <v>2022</v>
      </c>
      <c r="L2690" s="85">
        <v>12803.96</v>
      </c>
      <c r="M2690" s="85" t="s">
        <v>630</v>
      </c>
      <c r="N2690" s="128">
        <v>37509</v>
      </c>
      <c r="O2690" s="128">
        <f t="shared" si="111"/>
        <v>900216</v>
      </c>
      <c r="Q2690" t="s">
        <v>47</v>
      </c>
      <c r="R2690" s="220" t="s">
        <v>1888</v>
      </c>
      <c r="S2690" s="220" t="s">
        <v>1861</v>
      </c>
      <c r="T2690" t="s">
        <v>3754</v>
      </c>
      <c r="U2690" t="s">
        <v>1972</v>
      </c>
      <c r="V2690" t="s">
        <v>2832</v>
      </c>
    </row>
    <row r="2691" spans="1:22" ht="15.75" thickBot="1" x14ac:dyDescent="0.3">
      <c r="A2691" t="s">
        <v>4701</v>
      </c>
      <c r="B2691" t="s">
        <v>4701</v>
      </c>
      <c r="C2691" t="s">
        <v>4701</v>
      </c>
      <c r="D2691" s="83" t="s">
        <v>629</v>
      </c>
      <c r="E2691" s="262" t="s">
        <v>1853</v>
      </c>
      <c r="F2691" s="124" t="s">
        <v>620</v>
      </c>
      <c r="G2691" s="130">
        <v>2008</v>
      </c>
      <c r="H2691" s="125" t="s">
        <v>731</v>
      </c>
      <c r="I2691" s="340" t="str">
        <f t="shared" si="112"/>
        <v>Pesado de Passageiros M3: III : Gasóleo : E4</v>
      </c>
      <c r="J2691" s="125">
        <v>54</v>
      </c>
      <c r="K2691" s="264">
        <v>2022</v>
      </c>
      <c r="L2691" s="85">
        <v>142.51</v>
      </c>
      <c r="M2691" s="85" t="s">
        <v>630</v>
      </c>
      <c r="N2691" s="128">
        <v>609</v>
      </c>
      <c r="O2691" s="128">
        <f t="shared" si="111"/>
        <v>32886</v>
      </c>
      <c r="Q2691" t="s">
        <v>47</v>
      </c>
      <c r="R2691" s="220" t="s">
        <v>1888</v>
      </c>
      <c r="S2691" s="220" t="s">
        <v>1861</v>
      </c>
      <c r="T2691" t="s">
        <v>3755</v>
      </c>
      <c r="U2691" t="s">
        <v>1972</v>
      </c>
      <c r="V2691" t="s">
        <v>2832</v>
      </c>
    </row>
    <row r="2692" spans="1:22" ht="15.75" thickBot="1" x14ac:dyDescent="0.3">
      <c r="A2692" t="s">
        <v>4701</v>
      </c>
      <c r="B2692" t="s">
        <v>4701</v>
      </c>
      <c r="C2692" t="s">
        <v>4701</v>
      </c>
      <c r="D2692" s="83" t="s">
        <v>629</v>
      </c>
      <c r="E2692" s="262" t="s">
        <v>1853</v>
      </c>
      <c r="F2692" s="124" t="s">
        <v>620</v>
      </c>
      <c r="G2692" s="130">
        <v>2008</v>
      </c>
      <c r="H2692" s="125" t="s">
        <v>731</v>
      </c>
      <c r="I2692" s="340" t="str">
        <f t="shared" si="112"/>
        <v>Pesado de Passageiros M3: III : Gasóleo : E4</v>
      </c>
      <c r="J2692" s="125">
        <v>18</v>
      </c>
      <c r="K2692" s="264">
        <v>2022</v>
      </c>
      <c r="L2692" s="85">
        <v>21133.599999999999</v>
      </c>
      <c r="M2692" s="85" t="s">
        <v>630</v>
      </c>
      <c r="N2692" s="128">
        <v>71172</v>
      </c>
      <c r="O2692" s="128">
        <f t="shared" si="111"/>
        <v>1281096</v>
      </c>
      <c r="Q2692" t="s">
        <v>47</v>
      </c>
      <c r="R2692" s="220" t="s">
        <v>1888</v>
      </c>
      <c r="S2692" s="220" t="s">
        <v>1861</v>
      </c>
      <c r="T2692" t="s">
        <v>3756</v>
      </c>
      <c r="U2692" t="s">
        <v>1972</v>
      </c>
      <c r="V2692" t="s">
        <v>2832</v>
      </c>
    </row>
    <row r="2693" spans="1:22" ht="15.75" thickBot="1" x14ac:dyDescent="0.3">
      <c r="A2693" t="s">
        <v>4701</v>
      </c>
      <c r="B2693" t="s">
        <v>4701</v>
      </c>
      <c r="C2693" t="s">
        <v>4701</v>
      </c>
      <c r="D2693" s="83" t="s">
        <v>629</v>
      </c>
      <c r="E2693" s="262" t="s">
        <v>1853</v>
      </c>
      <c r="F2693" s="124" t="s">
        <v>620</v>
      </c>
      <c r="G2693" s="130">
        <v>2011</v>
      </c>
      <c r="H2693" s="125" t="s">
        <v>734</v>
      </c>
      <c r="I2693" s="340" t="str">
        <f t="shared" si="112"/>
        <v>Pesado de Passageiros M3: III : Gasóleo : E5</v>
      </c>
      <c r="J2693" s="125">
        <v>24</v>
      </c>
      <c r="K2693" s="264">
        <v>2022</v>
      </c>
      <c r="L2693" s="85">
        <v>6564.51</v>
      </c>
      <c r="M2693" s="85" t="s">
        <v>630</v>
      </c>
      <c r="N2693" s="128">
        <v>43149</v>
      </c>
      <c r="O2693" s="128">
        <f t="shared" si="111"/>
        <v>1035576</v>
      </c>
      <c r="Q2693" t="s">
        <v>47</v>
      </c>
      <c r="R2693" s="220" t="s">
        <v>1888</v>
      </c>
      <c r="S2693" s="220" t="s">
        <v>1861</v>
      </c>
      <c r="T2693" t="s">
        <v>3757</v>
      </c>
      <c r="U2693" t="s">
        <v>1972</v>
      </c>
      <c r="V2693" t="s">
        <v>2832</v>
      </c>
    </row>
    <row r="2694" spans="1:22" ht="15.75" thickBot="1" x14ac:dyDescent="0.3">
      <c r="A2694" t="s">
        <v>4701</v>
      </c>
      <c r="B2694" t="s">
        <v>4701</v>
      </c>
      <c r="C2694" t="s">
        <v>4701</v>
      </c>
      <c r="D2694" s="83" t="s">
        <v>629</v>
      </c>
      <c r="E2694" s="262" t="s">
        <v>1853</v>
      </c>
      <c r="F2694" s="124" t="s">
        <v>620</v>
      </c>
      <c r="G2694" s="130">
        <v>2016</v>
      </c>
      <c r="H2694" s="125" t="s">
        <v>733</v>
      </c>
      <c r="I2694" s="340" t="str">
        <f t="shared" si="112"/>
        <v>Pesado de Passageiros M3: III : Gasóleo : E6</v>
      </c>
      <c r="J2694" s="125">
        <v>55</v>
      </c>
      <c r="K2694" s="264">
        <v>2022</v>
      </c>
      <c r="L2694" s="85">
        <v>7915.52</v>
      </c>
      <c r="M2694" s="85" t="s">
        <v>630</v>
      </c>
      <c r="N2694" s="128">
        <v>45246</v>
      </c>
      <c r="O2694" s="128">
        <f t="shared" si="111"/>
        <v>2488530</v>
      </c>
      <c r="Q2694" t="s">
        <v>47</v>
      </c>
      <c r="R2694" s="220" t="s">
        <v>1888</v>
      </c>
      <c r="S2694" s="220" t="s">
        <v>1861</v>
      </c>
      <c r="T2694" t="s">
        <v>3758</v>
      </c>
      <c r="U2694" t="s">
        <v>1972</v>
      </c>
      <c r="V2694" t="s">
        <v>2832</v>
      </c>
    </row>
    <row r="2695" spans="1:22" ht="15.75" thickBot="1" x14ac:dyDescent="0.3">
      <c r="A2695" t="s">
        <v>4701</v>
      </c>
      <c r="B2695" t="s">
        <v>4701</v>
      </c>
      <c r="C2695" t="s">
        <v>4701</v>
      </c>
      <c r="D2695" s="83" t="s">
        <v>629</v>
      </c>
      <c r="E2695" s="262" t="s">
        <v>1853</v>
      </c>
      <c r="F2695" s="124" t="s">
        <v>620</v>
      </c>
      <c r="G2695" s="130">
        <v>2020</v>
      </c>
      <c r="H2695" s="125" t="s">
        <v>733</v>
      </c>
      <c r="I2695" s="340" t="str">
        <f t="shared" si="112"/>
        <v>Pesado de Passageiros M3: III : Gasóleo : E6</v>
      </c>
      <c r="J2695" s="125">
        <v>24</v>
      </c>
      <c r="K2695" s="264">
        <v>2022</v>
      </c>
      <c r="L2695" s="85">
        <v>13046.18</v>
      </c>
      <c r="M2695" s="85" t="s">
        <v>630</v>
      </c>
      <c r="N2695" s="128">
        <v>35051</v>
      </c>
      <c r="O2695" s="128">
        <f t="shared" si="111"/>
        <v>841224</v>
      </c>
      <c r="Q2695" t="s">
        <v>47</v>
      </c>
      <c r="R2695" s="220" t="s">
        <v>1888</v>
      </c>
      <c r="S2695" s="220" t="s">
        <v>1861</v>
      </c>
      <c r="T2695" t="s">
        <v>3759</v>
      </c>
      <c r="U2695" t="s">
        <v>1972</v>
      </c>
      <c r="V2695" t="s">
        <v>2832</v>
      </c>
    </row>
    <row r="2696" spans="1:22" ht="15.75" thickBot="1" x14ac:dyDescent="0.3">
      <c r="A2696" t="s">
        <v>4701</v>
      </c>
      <c r="B2696" t="s">
        <v>4701</v>
      </c>
      <c r="C2696" t="s">
        <v>4701</v>
      </c>
      <c r="D2696" s="83" t="s">
        <v>629</v>
      </c>
      <c r="E2696" s="262" t="s">
        <v>1853</v>
      </c>
      <c r="F2696" s="124" t="s">
        <v>620</v>
      </c>
      <c r="G2696" s="130">
        <v>2020</v>
      </c>
      <c r="H2696" s="125" t="s">
        <v>733</v>
      </c>
      <c r="I2696" s="340" t="str">
        <f t="shared" si="112"/>
        <v>Pesado de Passageiros M3: III : Gasóleo : E6</v>
      </c>
      <c r="J2696" s="125">
        <v>24</v>
      </c>
      <c r="K2696" s="264">
        <v>2022</v>
      </c>
      <c r="L2696" s="85">
        <v>9340.89</v>
      </c>
      <c r="M2696" s="85" t="s">
        <v>630</v>
      </c>
      <c r="N2696" s="128">
        <v>54670</v>
      </c>
      <c r="O2696" s="128">
        <f t="shared" si="111"/>
        <v>1312080</v>
      </c>
      <c r="Q2696" t="s">
        <v>47</v>
      </c>
      <c r="R2696" s="220" t="s">
        <v>1888</v>
      </c>
      <c r="S2696" s="220" t="s">
        <v>1861</v>
      </c>
      <c r="T2696" t="s">
        <v>3760</v>
      </c>
      <c r="U2696" t="s">
        <v>1972</v>
      </c>
      <c r="V2696" t="s">
        <v>2832</v>
      </c>
    </row>
    <row r="2697" spans="1:22" ht="15.75" thickBot="1" x14ac:dyDescent="0.3">
      <c r="A2697" t="s">
        <v>4701</v>
      </c>
      <c r="B2697" t="s">
        <v>4701</v>
      </c>
      <c r="C2697" t="s">
        <v>4701</v>
      </c>
      <c r="D2697" s="83" t="s">
        <v>629</v>
      </c>
      <c r="E2697" s="262" t="s">
        <v>1853</v>
      </c>
      <c r="F2697" s="124" t="s">
        <v>620</v>
      </c>
      <c r="G2697" s="130">
        <v>2008</v>
      </c>
      <c r="H2697" s="125" t="s">
        <v>731</v>
      </c>
      <c r="I2697" s="340" t="str">
        <f t="shared" si="112"/>
        <v>Pesado de Passageiros M3: III : Gasóleo : E4</v>
      </c>
      <c r="J2697" s="125">
        <v>49</v>
      </c>
      <c r="K2697" s="264">
        <v>2022</v>
      </c>
      <c r="L2697" s="85">
        <v>15401.109999999999</v>
      </c>
      <c r="M2697" s="85" t="s">
        <v>630</v>
      </c>
      <c r="N2697" s="128">
        <v>45522</v>
      </c>
      <c r="O2697" s="128">
        <f t="shared" si="111"/>
        <v>2230578</v>
      </c>
      <c r="Q2697" t="s">
        <v>47</v>
      </c>
      <c r="R2697" s="220" t="s">
        <v>1888</v>
      </c>
      <c r="S2697" s="220" t="s">
        <v>1861</v>
      </c>
      <c r="T2697" t="s">
        <v>3761</v>
      </c>
      <c r="U2697" t="s">
        <v>1972</v>
      </c>
      <c r="V2697" t="s">
        <v>2832</v>
      </c>
    </row>
    <row r="2698" spans="1:22" ht="15.75" thickBot="1" x14ac:dyDescent="0.3">
      <c r="A2698" t="s">
        <v>4701</v>
      </c>
      <c r="B2698" t="s">
        <v>4701</v>
      </c>
      <c r="C2698" t="s">
        <v>4701</v>
      </c>
      <c r="D2698" s="83" t="s">
        <v>629</v>
      </c>
      <c r="E2698" s="262" t="s">
        <v>1853</v>
      </c>
      <c r="F2698" s="124" t="s">
        <v>620</v>
      </c>
      <c r="G2698" s="130">
        <v>2019</v>
      </c>
      <c r="H2698" s="125" t="s">
        <v>733</v>
      </c>
      <c r="I2698" s="340" t="str">
        <f t="shared" si="112"/>
        <v>Pesado de Passageiros M3: III : Gasóleo : E6</v>
      </c>
      <c r="J2698" s="125">
        <v>24</v>
      </c>
      <c r="K2698" s="264">
        <v>2022</v>
      </c>
      <c r="L2698" s="85">
        <v>11283.21</v>
      </c>
      <c r="M2698" s="85" t="s">
        <v>630</v>
      </c>
      <c r="N2698" s="128">
        <v>34196</v>
      </c>
      <c r="O2698" s="128">
        <f t="shared" si="111"/>
        <v>820704</v>
      </c>
      <c r="Q2698" t="s">
        <v>47</v>
      </c>
      <c r="R2698" s="220" t="s">
        <v>1888</v>
      </c>
      <c r="S2698" s="220" t="s">
        <v>1861</v>
      </c>
      <c r="T2698" t="s">
        <v>3762</v>
      </c>
      <c r="U2698" t="s">
        <v>1972</v>
      </c>
      <c r="V2698" t="s">
        <v>2832</v>
      </c>
    </row>
    <row r="2699" spans="1:22" ht="15.75" thickBot="1" x14ac:dyDescent="0.3">
      <c r="A2699" t="s">
        <v>4701</v>
      </c>
      <c r="B2699" t="s">
        <v>4701</v>
      </c>
      <c r="C2699" t="s">
        <v>4701</v>
      </c>
      <c r="D2699" s="83" t="s">
        <v>629</v>
      </c>
      <c r="E2699" s="262" t="s">
        <v>1853</v>
      </c>
      <c r="F2699" s="124" t="s">
        <v>620</v>
      </c>
      <c r="G2699" s="130">
        <v>2007</v>
      </c>
      <c r="H2699" s="125" t="s">
        <v>731</v>
      </c>
      <c r="I2699" s="340" t="str">
        <f t="shared" si="112"/>
        <v>Pesado de Passageiros M3: III : Gasóleo : E4</v>
      </c>
      <c r="J2699" s="125">
        <v>49</v>
      </c>
      <c r="K2699" s="264">
        <v>2022</v>
      </c>
      <c r="L2699" s="85">
        <v>12596.64</v>
      </c>
      <c r="M2699" s="85" t="s">
        <v>630</v>
      </c>
      <c r="N2699" s="128">
        <v>41971</v>
      </c>
      <c r="O2699" s="128">
        <f t="shared" si="111"/>
        <v>2056579</v>
      </c>
      <c r="Q2699" t="s">
        <v>47</v>
      </c>
      <c r="R2699" s="220" t="s">
        <v>1888</v>
      </c>
      <c r="S2699" s="220" t="s">
        <v>1861</v>
      </c>
      <c r="T2699" t="s">
        <v>3763</v>
      </c>
      <c r="U2699" t="s">
        <v>1972</v>
      </c>
      <c r="V2699" t="s">
        <v>2832</v>
      </c>
    </row>
    <row r="2700" spans="1:22" ht="15.75" thickBot="1" x14ac:dyDescent="0.3">
      <c r="A2700" t="s">
        <v>4701</v>
      </c>
      <c r="B2700" t="s">
        <v>4701</v>
      </c>
      <c r="C2700" t="s">
        <v>4701</v>
      </c>
      <c r="D2700" s="83" t="s">
        <v>629</v>
      </c>
      <c r="E2700" s="262" t="s">
        <v>1853</v>
      </c>
      <c r="F2700" s="124" t="s">
        <v>620</v>
      </c>
      <c r="G2700" s="130">
        <v>2008</v>
      </c>
      <c r="H2700" s="125" t="s">
        <v>731</v>
      </c>
      <c r="I2700" s="340" t="str">
        <f t="shared" si="112"/>
        <v>Pesado de Passageiros M3: III : Gasóleo : E4</v>
      </c>
      <c r="J2700" s="125">
        <v>54</v>
      </c>
      <c r="K2700" s="264">
        <v>2022</v>
      </c>
      <c r="L2700" s="85">
        <v>18418.120000000003</v>
      </c>
      <c r="M2700" s="85" t="s">
        <v>630</v>
      </c>
      <c r="N2700" s="128">
        <v>67982</v>
      </c>
      <c r="O2700" s="128">
        <f t="shared" si="111"/>
        <v>3671028</v>
      </c>
      <c r="Q2700" t="s">
        <v>47</v>
      </c>
      <c r="R2700" s="220" t="s">
        <v>1888</v>
      </c>
      <c r="S2700" s="220" t="s">
        <v>1861</v>
      </c>
      <c r="T2700" t="s">
        <v>3764</v>
      </c>
      <c r="U2700" t="s">
        <v>1972</v>
      </c>
      <c r="V2700" t="s">
        <v>2832</v>
      </c>
    </row>
    <row r="2701" spans="1:22" ht="15.75" thickBot="1" x14ac:dyDescent="0.3">
      <c r="A2701" t="s">
        <v>4701</v>
      </c>
      <c r="B2701" t="s">
        <v>4701</v>
      </c>
      <c r="C2701" t="s">
        <v>4701</v>
      </c>
      <c r="D2701" s="83" t="s">
        <v>629</v>
      </c>
      <c r="E2701" s="262" t="s">
        <v>1853</v>
      </c>
      <c r="F2701" s="124" t="s">
        <v>620</v>
      </c>
      <c r="G2701" s="130">
        <v>2015</v>
      </c>
      <c r="H2701" s="125" t="s">
        <v>733</v>
      </c>
      <c r="I2701" s="340" t="str">
        <f t="shared" si="112"/>
        <v>Pesado de Passageiros M3: III : Gasóleo : E6</v>
      </c>
      <c r="J2701" s="125">
        <v>53</v>
      </c>
      <c r="K2701" s="264">
        <v>2022</v>
      </c>
      <c r="L2701" s="85">
        <v>18715.670000000002</v>
      </c>
      <c r="M2701" s="85" t="s">
        <v>630</v>
      </c>
      <c r="N2701" s="128">
        <v>68547</v>
      </c>
      <c r="O2701" s="128">
        <f t="shared" si="111"/>
        <v>3632991</v>
      </c>
      <c r="Q2701" t="s">
        <v>47</v>
      </c>
      <c r="R2701" s="220" t="s">
        <v>1888</v>
      </c>
      <c r="S2701" s="220" t="s">
        <v>1861</v>
      </c>
      <c r="T2701" t="s">
        <v>3765</v>
      </c>
      <c r="U2701" t="s">
        <v>1972</v>
      </c>
      <c r="V2701" t="s">
        <v>2832</v>
      </c>
    </row>
    <row r="2702" spans="1:22" ht="15.75" thickBot="1" x14ac:dyDescent="0.3">
      <c r="A2702" t="s">
        <v>4701</v>
      </c>
      <c r="B2702" t="s">
        <v>4701</v>
      </c>
      <c r="C2702" t="s">
        <v>4701</v>
      </c>
      <c r="D2702" s="83" t="s">
        <v>629</v>
      </c>
      <c r="E2702" s="262" t="s">
        <v>1853</v>
      </c>
      <c r="F2702" s="124" t="s">
        <v>620</v>
      </c>
      <c r="G2702" s="130">
        <v>2020</v>
      </c>
      <c r="H2702" s="125" t="s">
        <v>733</v>
      </c>
      <c r="I2702" s="340" t="str">
        <f t="shared" si="112"/>
        <v>Pesado de Passageiros M3: III : Gasóleo : E6</v>
      </c>
      <c r="J2702" s="125">
        <v>59</v>
      </c>
      <c r="K2702" s="264">
        <v>2022</v>
      </c>
      <c r="L2702" s="85">
        <v>18871.390000000003</v>
      </c>
      <c r="M2702" s="85" t="s">
        <v>630</v>
      </c>
      <c r="N2702" s="128">
        <v>62902</v>
      </c>
      <c r="O2702" s="128">
        <f t="shared" si="111"/>
        <v>3711218</v>
      </c>
      <c r="Q2702" t="s">
        <v>47</v>
      </c>
      <c r="R2702" s="220" t="s">
        <v>1888</v>
      </c>
      <c r="S2702" s="220" t="s">
        <v>1861</v>
      </c>
      <c r="T2702" t="s">
        <v>3766</v>
      </c>
      <c r="U2702" t="s">
        <v>1972</v>
      </c>
      <c r="V2702" t="s">
        <v>2832</v>
      </c>
    </row>
    <row r="2703" spans="1:22" ht="15.75" thickBot="1" x14ac:dyDescent="0.3">
      <c r="A2703" t="s">
        <v>4701</v>
      </c>
      <c r="B2703" t="s">
        <v>4701</v>
      </c>
      <c r="C2703" t="s">
        <v>4701</v>
      </c>
      <c r="D2703" s="83" t="s">
        <v>629</v>
      </c>
      <c r="E2703" s="262" t="s">
        <v>1853</v>
      </c>
      <c r="F2703" s="124" t="s">
        <v>620</v>
      </c>
      <c r="G2703" s="130">
        <v>2020</v>
      </c>
      <c r="H2703" s="125" t="s">
        <v>733</v>
      </c>
      <c r="I2703" s="340" t="str">
        <f t="shared" si="112"/>
        <v>Pesado de Passageiros M3: III : Gasóleo : E6</v>
      </c>
      <c r="J2703" s="125">
        <v>59</v>
      </c>
      <c r="K2703" s="264">
        <v>2022</v>
      </c>
      <c r="L2703" s="85">
        <v>18611.870000000003</v>
      </c>
      <c r="M2703" s="85" t="s">
        <v>630</v>
      </c>
      <c r="N2703" s="128">
        <v>63027</v>
      </c>
      <c r="O2703" s="128">
        <f t="shared" si="111"/>
        <v>3718593</v>
      </c>
      <c r="Q2703" t="s">
        <v>47</v>
      </c>
      <c r="R2703" s="220" t="s">
        <v>1888</v>
      </c>
      <c r="S2703" s="220" t="s">
        <v>1861</v>
      </c>
      <c r="T2703" t="s">
        <v>3767</v>
      </c>
      <c r="U2703" t="s">
        <v>1972</v>
      </c>
      <c r="V2703" t="s">
        <v>2832</v>
      </c>
    </row>
    <row r="2704" spans="1:22" ht="15.75" thickBot="1" x14ac:dyDescent="0.3">
      <c r="A2704" t="s">
        <v>4701</v>
      </c>
      <c r="B2704" t="s">
        <v>4701</v>
      </c>
      <c r="C2704" t="s">
        <v>4701</v>
      </c>
      <c r="D2704" s="83" t="s">
        <v>629</v>
      </c>
      <c r="E2704" s="262" t="s">
        <v>1853</v>
      </c>
      <c r="F2704" s="124" t="s">
        <v>620</v>
      </c>
      <c r="G2704" s="130">
        <v>2017</v>
      </c>
      <c r="H2704" s="125" t="s">
        <v>733</v>
      </c>
      <c r="I2704" s="340" t="str">
        <f t="shared" si="112"/>
        <v>Pesado de Passageiros M3: III : Gasóleo : E6</v>
      </c>
      <c r="J2704" s="125">
        <v>57</v>
      </c>
      <c r="K2704" s="264">
        <v>2022</v>
      </c>
      <c r="L2704" s="85">
        <v>17550.82</v>
      </c>
      <c r="M2704" s="85" t="s">
        <v>630</v>
      </c>
      <c r="N2704" s="128">
        <v>52133</v>
      </c>
      <c r="O2704" s="128">
        <f t="shared" si="111"/>
        <v>2971581</v>
      </c>
      <c r="Q2704" t="s">
        <v>47</v>
      </c>
      <c r="R2704" s="220" t="s">
        <v>1888</v>
      </c>
      <c r="S2704" s="220" t="s">
        <v>1861</v>
      </c>
      <c r="T2704" t="s">
        <v>3768</v>
      </c>
      <c r="U2704" t="s">
        <v>1972</v>
      </c>
      <c r="V2704" t="s">
        <v>2832</v>
      </c>
    </row>
    <row r="2705" spans="1:22" ht="15.75" thickBot="1" x14ac:dyDescent="0.3">
      <c r="A2705" t="s">
        <v>4701</v>
      </c>
      <c r="B2705" t="s">
        <v>4701</v>
      </c>
      <c r="C2705" t="s">
        <v>4701</v>
      </c>
      <c r="D2705" s="83" t="s">
        <v>629</v>
      </c>
      <c r="E2705" s="262" t="s">
        <v>1853</v>
      </c>
      <c r="F2705" s="124" t="s">
        <v>620</v>
      </c>
      <c r="G2705" s="130">
        <v>2017</v>
      </c>
      <c r="H2705" s="125" t="s">
        <v>733</v>
      </c>
      <c r="I2705" s="340" t="str">
        <f t="shared" si="112"/>
        <v>Pesado de Passageiros M3: III : Gasóleo : E6</v>
      </c>
      <c r="J2705" s="125">
        <v>57</v>
      </c>
      <c r="K2705" s="264">
        <v>2022</v>
      </c>
      <c r="L2705" s="85">
        <v>17013.079999999998</v>
      </c>
      <c r="M2705" s="85" t="s">
        <v>630</v>
      </c>
      <c r="N2705" s="128">
        <v>53514</v>
      </c>
      <c r="O2705" s="128">
        <f t="shared" si="111"/>
        <v>3050298</v>
      </c>
      <c r="Q2705" t="s">
        <v>47</v>
      </c>
      <c r="R2705" s="220" t="s">
        <v>1888</v>
      </c>
      <c r="S2705" s="220" t="s">
        <v>1861</v>
      </c>
      <c r="T2705" t="s">
        <v>3769</v>
      </c>
      <c r="U2705" t="s">
        <v>1972</v>
      </c>
      <c r="V2705" t="s">
        <v>2832</v>
      </c>
    </row>
    <row r="2706" spans="1:22" ht="15.75" thickBot="1" x14ac:dyDescent="0.3">
      <c r="A2706" t="s">
        <v>4701</v>
      </c>
      <c r="B2706" t="s">
        <v>4701</v>
      </c>
      <c r="C2706" t="s">
        <v>4701</v>
      </c>
      <c r="D2706" s="83" t="s">
        <v>629</v>
      </c>
      <c r="E2706" s="262" t="s">
        <v>1853</v>
      </c>
      <c r="F2706" s="124" t="s">
        <v>620</v>
      </c>
      <c r="G2706" s="130">
        <v>2016</v>
      </c>
      <c r="H2706" s="125" t="s">
        <v>733</v>
      </c>
      <c r="I2706" s="340" t="str">
        <f t="shared" si="112"/>
        <v>Pesado de Passageiros M3: III : Gasóleo : E6</v>
      </c>
      <c r="J2706" s="125">
        <v>55</v>
      </c>
      <c r="K2706" s="264">
        <v>2022</v>
      </c>
      <c r="L2706" s="85">
        <v>15069.259999999998</v>
      </c>
      <c r="M2706" s="85" t="s">
        <v>630</v>
      </c>
      <c r="N2706" s="128">
        <v>48478</v>
      </c>
      <c r="O2706" s="128">
        <f t="shared" si="111"/>
        <v>2666290</v>
      </c>
      <c r="Q2706" t="s">
        <v>47</v>
      </c>
      <c r="R2706" s="220" t="s">
        <v>1888</v>
      </c>
      <c r="S2706" s="220" t="s">
        <v>1861</v>
      </c>
      <c r="T2706" t="s">
        <v>3770</v>
      </c>
      <c r="U2706" t="s">
        <v>1972</v>
      </c>
      <c r="V2706" t="s">
        <v>2832</v>
      </c>
    </row>
    <row r="2707" spans="1:22" ht="15.75" thickBot="1" x14ac:dyDescent="0.3">
      <c r="A2707" t="s">
        <v>4701</v>
      </c>
      <c r="B2707" t="s">
        <v>4701</v>
      </c>
      <c r="C2707" t="s">
        <v>4701</v>
      </c>
      <c r="D2707" s="83" t="s">
        <v>629</v>
      </c>
      <c r="E2707" s="262" t="s">
        <v>1853</v>
      </c>
      <c r="F2707" s="124" t="s">
        <v>620</v>
      </c>
      <c r="G2707" s="130">
        <v>2016</v>
      </c>
      <c r="H2707" s="125" t="s">
        <v>733</v>
      </c>
      <c r="I2707" s="340" t="str">
        <f t="shared" si="112"/>
        <v>Pesado de Passageiros M3: III : Gasóleo : E6</v>
      </c>
      <c r="J2707" s="125">
        <v>55</v>
      </c>
      <c r="K2707" s="264">
        <v>2022</v>
      </c>
      <c r="L2707" s="85">
        <v>7600.1399999999994</v>
      </c>
      <c r="M2707" s="85" t="s">
        <v>630</v>
      </c>
      <c r="N2707" s="128">
        <v>50289</v>
      </c>
      <c r="O2707" s="128">
        <f t="shared" si="111"/>
        <v>2765895</v>
      </c>
      <c r="Q2707" t="s">
        <v>47</v>
      </c>
      <c r="R2707" s="220" t="s">
        <v>1888</v>
      </c>
      <c r="S2707" s="220" t="s">
        <v>1861</v>
      </c>
      <c r="T2707" t="s">
        <v>3771</v>
      </c>
      <c r="U2707" t="s">
        <v>1972</v>
      </c>
      <c r="V2707" t="s">
        <v>2832</v>
      </c>
    </row>
    <row r="2708" spans="1:22" ht="15.75" thickBot="1" x14ac:dyDescent="0.3">
      <c r="A2708" t="s">
        <v>4701</v>
      </c>
      <c r="B2708" t="s">
        <v>4701</v>
      </c>
      <c r="C2708" t="s">
        <v>4701</v>
      </c>
      <c r="D2708" s="83" t="s">
        <v>629</v>
      </c>
      <c r="E2708" s="262" t="s">
        <v>1853</v>
      </c>
      <c r="F2708" s="124" t="s">
        <v>620</v>
      </c>
      <c r="G2708" s="130">
        <v>2016</v>
      </c>
      <c r="H2708" s="125" t="s">
        <v>733</v>
      </c>
      <c r="I2708" s="340" t="str">
        <f t="shared" si="112"/>
        <v>Pesado de Passageiros M3: III : Gasóleo : E6</v>
      </c>
      <c r="J2708" s="125">
        <v>55</v>
      </c>
      <c r="K2708" s="264">
        <v>2022</v>
      </c>
      <c r="L2708" s="85">
        <v>11222.027</v>
      </c>
      <c r="M2708" s="85" t="s">
        <v>630</v>
      </c>
      <c r="N2708" s="128">
        <v>65270</v>
      </c>
      <c r="O2708" s="128">
        <f t="shared" si="111"/>
        <v>3589850</v>
      </c>
      <c r="Q2708" t="s">
        <v>47</v>
      </c>
      <c r="R2708" s="220" t="s">
        <v>1888</v>
      </c>
      <c r="S2708" s="220" t="s">
        <v>1861</v>
      </c>
      <c r="T2708" t="s">
        <v>3772</v>
      </c>
      <c r="U2708" t="s">
        <v>1972</v>
      </c>
      <c r="V2708" t="s">
        <v>2832</v>
      </c>
    </row>
    <row r="2709" spans="1:22" ht="15.75" thickBot="1" x14ac:dyDescent="0.3">
      <c r="A2709" t="s">
        <v>4701</v>
      </c>
      <c r="B2709" t="s">
        <v>4701</v>
      </c>
      <c r="C2709" t="s">
        <v>4701</v>
      </c>
      <c r="D2709" s="83" t="s">
        <v>629</v>
      </c>
      <c r="E2709" s="262" t="s">
        <v>1853</v>
      </c>
      <c r="F2709" s="124" t="s">
        <v>620</v>
      </c>
      <c r="G2709" s="130">
        <v>2020</v>
      </c>
      <c r="H2709" s="125" t="s">
        <v>733</v>
      </c>
      <c r="I2709" s="340" t="str">
        <f t="shared" si="112"/>
        <v>Pesado de Passageiros M3: III : Gasóleo : E6</v>
      </c>
      <c r="J2709" s="125">
        <v>24</v>
      </c>
      <c r="K2709" s="264">
        <v>2022</v>
      </c>
      <c r="L2709" s="85">
        <v>11938.04</v>
      </c>
      <c r="M2709" s="85" t="s">
        <v>630</v>
      </c>
      <c r="N2709" s="128">
        <v>49297</v>
      </c>
      <c r="O2709" s="128">
        <f t="shared" si="111"/>
        <v>1183128</v>
      </c>
      <c r="Q2709" t="s">
        <v>47</v>
      </c>
      <c r="R2709" s="220" t="s">
        <v>1888</v>
      </c>
      <c r="S2709" s="220" t="s">
        <v>1861</v>
      </c>
      <c r="T2709" t="s">
        <v>3773</v>
      </c>
      <c r="U2709" t="s">
        <v>1972</v>
      </c>
      <c r="V2709" t="s">
        <v>2832</v>
      </c>
    </row>
    <row r="2710" spans="1:22" ht="15.75" thickBot="1" x14ac:dyDescent="0.3">
      <c r="A2710" t="s">
        <v>4701</v>
      </c>
      <c r="B2710" t="s">
        <v>4701</v>
      </c>
      <c r="C2710" t="s">
        <v>4701</v>
      </c>
      <c r="D2710" s="83" t="s">
        <v>629</v>
      </c>
      <c r="E2710" s="262" t="s">
        <v>1853</v>
      </c>
      <c r="F2710" s="124" t="s">
        <v>620</v>
      </c>
      <c r="G2710" s="130">
        <v>2020</v>
      </c>
      <c r="H2710" s="125" t="s">
        <v>733</v>
      </c>
      <c r="I2710" s="340" t="str">
        <f t="shared" si="112"/>
        <v>Pesado de Passageiros M3: III : Gasóleo : E6</v>
      </c>
      <c r="J2710" s="125">
        <v>24</v>
      </c>
      <c r="K2710" s="264">
        <v>2022</v>
      </c>
      <c r="L2710" s="85">
        <v>18396.309999999998</v>
      </c>
      <c r="M2710" s="85" t="s">
        <v>630</v>
      </c>
      <c r="N2710" s="128">
        <v>60000</v>
      </c>
      <c r="O2710" s="128">
        <f t="shared" si="111"/>
        <v>1440000</v>
      </c>
      <c r="Q2710" t="s">
        <v>47</v>
      </c>
      <c r="R2710" s="220" t="s">
        <v>1888</v>
      </c>
      <c r="S2710" s="220" t="s">
        <v>1861</v>
      </c>
      <c r="T2710" t="s">
        <v>3774</v>
      </c>
      <c r="U2710" t="s">
        <v>1972</v>
      </c>
      <c r="V2710" t="s">
        <v>2832</v>
      </c>
    </row>
    <row r="2711" spans="1:22" ht="15.75" thickBot="1" x14ac:dyDescent="0.3">
      <c r="A2711" t="s">
        <v>4701</v>
      </c>
      <c r="B2711" t="s">
        <v>4701</v>
      </c>
      <c r="C2711" t="s">
        <v>4701</v>
      </c>
      <c r="D2711" s="83" t="s">
        <v>629</v>
      </c>
      <c r="E2711" s="262" t="s">
        <v>1853</v>
      </c>
      <c r="F2711" s="124" t="s">
        <v>620</v>
      </c>
      <c r="G2711" s="130">
        <v>2019</v>
      </c>
      <c r="H2711" s="125" t="s">
        <v>733</v>
      </c>
      <c r="I2711" s="340" t="str">
        <f t="shared" si="112"/>
        <v>Pesado de Passageiros M3: III : Gasóleo : E6</v>
      </c>
      <c r="J2711" s="125">
        <v>35</v>
      </c>
      <c r="K2711" s="264">
        <v>2022</v>
      </c>
      <c r="L2711" s="85">
        <v>13803.44</v>
      </c>
      <c r="M2711" s="85" t="s">
        <v>630</v>
      </c>
      <c r="N2711" s="128">
        <v>54263</v>
      </c>
      <c r="O2711" s="128">
        <f t="shared" si="111"/>
        <v>1899205</v>
      </c>
      <c r="Q2711" t="s">
        <v>47</v>
      </c>
      <c r="R2711" s="220" t="s">
        <v>1888</v>
      </c>
      <c r="S2711" s="220" t="s">
        <v>1861</v>
      </c>
      <c r="T2711" t="s">
        <v>3775</v>
      </c>
      <c r="U2711" t="s">
        <v>1972</v>
      </c>
      <c r="V2711" t="s">
        <v>2832</v>
      </c>
    </row>
    <row r="2712" spans="1:22" ht="15.75" thickBot="1" x14ac:dyDescent="0.3">
      <c r="A2712" t="s">
        <v>4701</v>
      </c>
      <c r="B2712" t="s">
        <v>4701</v>
      </c>
      <c r="C2712" t="s">
        <v>4701</v>
      </c>
      <c r="D2712" s="83" t="s">
        <v>629</v>
      </c>
      <c r="E2712" s="262" t="s">
        <v>1853</v>
      </c>
      <c r="F2712" s="124" t="s">
        <v>620</v>
      </c>
      <c r="G2712" s="130">
        <v>2016</v>
      </c>
      <c r="H2712" s="125" t="s">
        <v>733</v>
      </c>
      <c r="I2712" s="340" t="str">
        <f t="shared" si="112"/>
        <v>Pesado de Passageiros M3: III : Gasóleo : E6</v>
      </c>
      <c r="J2712" s="125">
        <v>55</v>
      </c>
      <c r="K2712" s="264">
        <v>2022</v>
      </c>
      <c r="L2712" s="85">
        <v>8893.6</v>
      </c>
      <c r="M2712" s="85" t="s">
        <v>630</v>
      </c>
      <c r="N2712" s="128">
        <v>23892</v>
      </c>
      <c r="O2712" s="128">
        <f t="shared" si="111"/>
        <v>1314060</v>
      </c>
      <c r="Q2712" t="s">
        <v>47</v>
      </c>
      <c r="R2712" s="220" t="s">
        <v>1888</v>
      </c>
      <c r="S2712" s="220" t="s">
        <v>1861</v>
      </c>
      <c r="T2712" t="s">
        <v>3776</v>
      </c>
      <c r="U2712" t="s">
        <v>1972</v>
      </c>
      <c r="V2712" t="s">
        <v>2832</v>
      </c>
    </row>
    <row r="2713" spans="1:22" ht="15.75" thickBot="1" x14ac:dyDescent="0.3">
      <c r="A2713" t="s">
        <v>4701</v>
      </c>
      <c r="B2713" t="s">
        <v>4701</v>
      </c>
      <c r="C2713" t="s">
        <v>4701</v>
      </c>
      <c r="D2713" s="83" t="s">
        <v>629</v>
      </c>
      <c r="E2713" s="262" t="s">
        <v>1853</v>
      </c>
      <c r="F2713" s="124" t="s">
        <v>620</v>
      </c>
      <c r="G2713" s="130">
        <v>2018</v>
      </c>
      <c r="H2713" s="125" t="s">
        <v>733</v>
      </c>
      <c r="I2713" s="340" t="str">
        <f t="shared" si="112"/>
        <v>Pesado de Passageiros M3: III : Gasóleo : E6</v>
      </c>
      <c r="J2713" s="125">
        <v>39</v>
      </c>
      <c r="K2713" s="264">
        <v>2022</v>
      </c>
      <c r="L2713" s="85">
        <v>15153.110000000002</v>
      </c>
      <c r="M2713" s="85" t="s">
        <v>630</v>
      </c>
      <c r="N2713" s="128">
        <v>49697</v>
      </c>
      <c r="O2713" s="128">
        <f t="shared" si="111"/>
        <v>1938183</v>
      </c>
      <c r="Q2713" t="s">
        <v>47</v>
      </c>
      <c r="R2713" s="220" t="s">
        <v>1888</v>
      </c>
      <c r="S2713" s="220" t="s">
        <v>1861</v>
      </c>
      <c r="T2713" t="s">
        <v>3777</v>
      </c>
      <c r="U2713" t="s">
        <v>1972</v>
      </c>
      <c r="V2713" t="s">
        <v>2832</v>
      </c>
    </row>
    <row r="2714" spans="1:22" ht="15.75" thickBot="1" x14ac:dyDescent="0.3">
      <c r="A2714" t="s">
        <v>4701</v>
      </c>
      <c r="B2714" t="s">
        <v>4701</v>
      </c>
      <c r="C2714" t="s">
        <v>4701</v>
      </c>
      <c r="D2714" s="83" t="s">
        <v>629</v>
      </c>
      <c r="E2714" s="262" t="s">
        <v>1853</v>
      </c>
      <c r="F2714" s="124" t="s">
        <v>620</v>
      </c>
      <c r="G2714" s="130">
        <v>2008</v>
      </c>
      <c r="H2714" s="125" t="s">
        <v>731</v>
      </c>
      <c r="I2714" s="340" t="str">
        <f t="shared" si="112"/>
        <v>Pesado de Passageiros M3: III : Gasóleo : E4</v>
      </c>
      <c r="J2714" s="125">
        <v>55</v>
      </c>
      <c r="K2714" s="264">
        <v>2022</v>
      </c>
      <c r="L2714" s="85">
        <v>10742.07</v>
      </c>
      <c r="M2714" s="85" t="s">
        <v>630</v>
      </c>
      <c r="N2714" s="128">
        <v>28042</v>
      </c>
      <c r="O2714" s="128">
        <f t="shared" si="111"/>
        <v>1542310</v>
      </c>
      <c r="Q2714" t="s">
        <v>47</v>
      </c>
      <c r="R2714" s="220" t="s">
        <v>1888</v>
      </c>
      <c r="S2714" s="220" t="s">
        <v>1861</v>
      </c>
      <c r="T2714" t="s">
        <v>3778</v>
      </c>
      <c r="U2714" t="s">
        <v>1972</v>
      </c>
      <c r="V2714" t="s">
        <v>2832</v>
      </c>
    </row>
    <row r="2715" spans="1:22" ht="15.75" thickBot="1" x14ac:dyDescent="0.3">
      <c r="A2715" t="s">
        <v>4701</v>
      </c>
      <c r="B2715" t="s">
        <v>4701</v>
      </c>
      <c r="C2715" t="s">
        <v>4701</v>
      </c>
      <c r="D2715" s="83" t="s">
        <v>629</v>
      </c>
      <c r="E2715" s="262" t="s">
        <v>1853</v>
      </c>
      <c r="F2715" s="124" t="s">
        <v>620</v>
      </c>
      <c r="G2715" s="130">
        <v>2008</v>
      </c>
      <c r="H2715" s="125" t="s">
        <v>731</v>
      </c>
      <c r="I2715" s="340" t="str">
        <f t="shared" si="112"/>
        <v>Pesado de Passageiros M3: III : Gasóleo : E4</v>
      </c>
      <c r="J2715" s="125">
        <v>55</v>
      </c>
      <c r="K2715" s="264">
        <v>2022</v>
      </c>
      <c r="L2715" s="85">
        <v>15464.710000000001</v>
      </c>
      <c r="M2715" s="85" t="s">
        <v>630</v>
      </c>
      <c r="N2715" s="128">
        <v>43222</v>
      </c>
      <c r="O2715" s="128">
        <f t="shared" si="111"/>
        <v>2377210</v>
      </c>
      <c r="Q2715" t="s">
        <v>47</v>
      </c>
      <c r="R2715" s="220" t="s">
        <v>1888</v>
      </c>
      <c r="S2715" s="220" t="s">
        <v>1861</v>
      </c>
      <c r="T2715" t="s">
        <v>3779</v>
      </c>
      <c r="U2715" t="s">
        <v>1972</v>
      </c>
      <c r="V2715" t="s">
        <v>2832</v>
      </c>
    </row>
    <row r="2716" spans="1:22" ht="15.75" thickBot="1" x14ac:dyDescent="0.3">
      <c r="A2716" t="s">
        <v>4701</v>
      </c>
      <c r="B2716" t="s">
        <v>4701</v>
      </c>
      <c r="C2716" t="s">
        <v>4701</v>
      </c>
      <c r="D2716" s="83" t="s">
        <v>629</v>
      </c>
      <c r="E2716" s="262" t="s">
        <v>1853</v>
      </c>
      <c r="F2716" s="124" t="s">
        <v>620</v>
      </c>
      <c r="G2716" s="130">
        <v>2008</v>
      </c>
      <c r="H2716" s="125" t="s">
        <v>731</v>
      </c>
      <c r="I2716" s="340" t="str">
        <f t="shared" si="112"/>
        <v>Pesado de Passageiros M3: III : Gasóleo : E4</v>
      </c>
      <c r="J2716" s="125">
        <v>59</v>
      </c>
      <c r="K2716" s="264">
        <v>2022</v>
      </c>
      <c r="L2716" s="85">
        <v>12669.29</v>
      </c>
      <c r="M2716" s="85" t="s">
        <v>630</v>
      </c>
      <c r="N2716" s="128">
        <v>37473</v>
      </c>
      <c r="O2716" s="128">
        <f t="shared" si="111"/>
        <v>2210907</v>
      </c>
      <c r="Q2716" t="s">
        <v>47</v>
      </c>
      <c r="R2716" s="220" t="s">
        <v>1888</v>
      </c>
      <c r="S2716" s="220" t="s">
        <v>1861</v>
      </c>
      <c r="T2716" t="s">
        <v>3780</v>
      </c>
      <c r="U2716" t="s">
        <v>1972</v>
      </c>
      <c r="V2716" t="s">
        <v>2832</v>
      </c>
    </row>
    <row r="2717" spans="1:22" ht="15.75" thickBot="1" x14ac:dyDescent="0.3">
      <c r="A2717" t="s">
        <v>4701</v>
      </c>
      <c r="B2717" t="s">
        <v>4701</v>
      </c>
      <c r="C2717" t="s">
        <v>4701</v>
      </c>
      <c r="D2717" s="83" t="s">
        <v>629</v>
      </c>
      <c r="E2717" s="262" t="s">
        <v>1853</v>
      </c>
      <c r="F2717" s="124" t="s">
        <v>620</v>
      </c>
      <c r="G2717" s="130">
        <v>2008</v>
      </c>
      <c r="H2717" s="125" t="s">
        <v>731</v>
      </c>
      <c r="I2717" s="340" t="str">
        <f t="shared" si="112"/>
        <v>Pesado de Passageiros M3: III : Gasóleo : E4</v>
      </c>
      <c r="J2717" s="125">
        <v>55</v>
      </c>
      <c r="K2717" s="264">
        <v>2022</v>
      </c>
      <c r="L2717" s="85">
        <v>14054.269999999997</v>
      </c>
      <c r="M2717" s="85" t="s">
        <v>630</v>
      </c>
      <c r="N2717" s="128">
        <v>37432</v>
      </c>
      <c r="O2717" s="128">
        <f t="shared" si="111"/>
        <v>2058760</v>
      </c>
      <c r="Q2717" t="s">
        <v>47</v>
      </c>
      <c r="R2717" s="220" t="s">
        <v>1888</v>
      </c>
      <c r="S2717" s="220" t="s">
        <v>1861</v>
      </c>
      <c r="T2717" t="s">
        <v>3781</v>
      </c>
      <c r="U2717" t="s">
        <v>1972</v>
      </c>
      <c r="V2717" t="s">
        <v>2832</v>
      </c>
    </row>
    <row r="2718" spans="1:22" ht="15.75" thickBot="1" x14ac:dyDescent="0.3">
      <c r="A2718" t="s">
        <v>4701</v>
      </c>
      <c r="B2718" t="s">
        <v>4701</v>
      </c>
      <c r="C2718" t="s">
        <v>4701</v>
      </c>
      <c r="D2718" s="83" t="s">
        <v>629</v>
      </c>
      <c r="E2718" s="262" t="s">
        <v>1853</v>
      </c>
      <c r="F2718" s="124" t="s">
        <v>620</v>
      </c>
      <c r="G2718" s="130">
        <v>2008</v>
      </c>
      <c r="H2718" s="125" t="s">
        <v>731</v>
      </c>
      <c r="I2718" s="340" t="str">
        <f t="shared" si="112"/>
        <v>Pesado de Passageiros M3: III : Gasóleo : E4</v>
      </c>
      <c r="J2718" s="125">
        <v>55</v>
      </c>
      <c r="K2718" s="264">
        <v>2022</v>
      </c>
      <c r="L2718" s="85">
        <v>13370.49</v>
      </c>
      <c r="M2718" s="85" t="s">
        <v>630</v>
      </c>
      <c r="N2718" s="128">
        <v>31959</v>
      </c>
      <c r="O2718" s="128">
        <f t="shared" si="111"/>
        <v>1757745</v>
      </c>
      <c r="Q2718" t="s">
        <v>47</v>
      </c>
      <c r="R2718" s="220" t="s">
        <v>1888</v>
      </c>
      <c r="S2718" s="220" t="s">
        <v>1861</v>
      </c>
      <c r="T2718" t="s">
        <v>3782</v>
      </c>
      <c r="U2718" t="s">
        <v>1972</v>
      </c>
      <c r="V2718" t="s">
        <v>2832</v>
      </c>
    </row>
    <row r="2719" spans="1:22" ht="15.75" thickBot="1" x14ac:dyDescent="0.3">
      <c r="A2719" t="s">
        <v>4701</v>
      </c>
      <c r="B2719" t="s">
        <v>4701</v>
      </c>
      <c r="C2719" t="s">
        <v>4701</v>
      </c>
      <c r="D2719" s="83" t="s">
        <v>629</v>
      </c>
      <c r="E2719" s="262" t="s">
        <v>1853</v>
      </c>
      <c r="F2719" s="124" t="s">
        <v>620</v>
      </c>
      <c r="G2719" s="130">
        <v>2004</v>
      </c>
      <c r="H2719" s="125" t="s">
        <v>732</v>
      </c>
      <c r="I2719" s="340" t="str">
        <f t="shared" si="112"/>
        <v>Pesado de Passageiros M3: III : Gasóleo : E3</v>
      </c>
      <c r="J2719" s="125">
        <v>49</v>
      </c>
      <c r="K2719" s="264">
        <v>2022</v>
      </c>
      <c r="L2719" s="85">
        <v>12793.380000000001</v>
      </c>
      <c r="M2719" s="85" t="s">
        <v>630</v>
      </c>
      <c r="N2719" s="128">
        <v>35087</v>
      </c>
      <c r="O2719" s="128">
        <f t="shared" si="111"/>
        <v>1719263</v>
      </c>
      <c r="Q2719" t="s">
        <v>47</v>
      </c>
      <c r="R2719" s="220" t="s">
        <v>1888</v>
      </c>
      <c r="S2719" s="220" t="s">
        <v>1861</v>
      </c>
      <c r="T2719" t="s">
        <v>3783</v>
      </c>
      <c r="U2719" t="s">
        <v>1972</v>
      </c>
      <c r="V2719" t="s">
        <v>2832</v>
      </c>
    </row>
    <row r="2720" spans="1:22" ht="15.75" thickBot="1" x14ac:dyDescent="0.3">
      <c r="A2720" t="s">
        <v>4701</v>
      </c>
      <c r="B2720" t="s">
        <v>4701</v>
      </c>
      <c r="C2720" t="s">
        <v>4701</v>
      </c>
      <c r="D2720" s="83" t="s">
        <v>629</v>
      </c>
      <c r="E2720" s="262" t="s">
        <v>1853</v>
      </c>
      <c r="F2720" s="124" t="s">
        <v>620</v>
      </c>
      <c r="G2720" s="130">
        <v>2005</v>
      </c>
      <c r="H2720" s="125" t="s">
        <v>731</v>
      </c>
      <c r="I2720" s="340" t="str">
        <f t="shared" si="112"/>
        <v>Pesado de Passageiros M3: III : Gasóleo : E4</v>
      </c>
      <c r="J2720" s="125">
        <v>49</v>
      </c>
      <c r="K2720" s="264">
        <v>2022</v>
      </c>
      <c r="L2720" s="85">
        <v>10534.720000000001</v>
      </c>
      <c r="M2720" s="85" t="s">
        <v>630</v>
      </c>
      <c r="N2720" s="128">
        <v>29307</v>
      </c>
      <c r="O2720" s="128">
        <f t="shared" si="111"/>
        <v>1436043</v>
      </c>
      <c r="Q2720" t="s">
        <v>47</v>
      </c>
      <c r="R2720" s="220" t="s">
        <v>1888</v>
      </c>
      <c r="S2720" s="220" t="s">
        <v>1861</v>
      </c>
      <c r="T2720" t="s">
        <v>3784</v>
      </c>
      <c r="U2720" t="s">
        <v>1972</v>
      </c>
      <c r="V2720" t="s">
        <v>2832</v>
      </c>
    </row>
    <row r="2721" spans="1:22" ht="15.75" thickBot="1" x14ac:dyDescent="0.3">
      <c r="A2721" t="s">
        <v>4701</v>
      </c>
      <c r="B2721" t="s">
        <v>4701</v>
      </c>
      <c r="C2721" t="s">
        <v>4701</v>
      </c>
      <c r="D2721" s="83" t="s">
        <v>629</v>
      </c>
      <c r="E2721" s="262" t="s">
        <v>1853</v>
      </c>
      <c r="F2721" s="124" t="s">
        <v>620</v>
      </c>
      <c r="G2721" s="130">
        <v>2005</v>
      </c>
      <c r="H2721" s="125" t="s">
        <v>731</v>
      </c>
      <c r="I2721" s="340" t="str">
        <f t="shared" si="112"/>
        <v>Pesado de Passageiros M3: III : Gasóleo : E4</v>
      </c>
      <c r="J2721" s="125">
        <v>49</v>
      </c>
      <c r="K2721" s="264">
        <v>2022</v>
      </c>
      <c r="L2721" s="85">
        <v>8902.0199999999986</v>
      </c>
      <c r="M2721" s="85" t="s">
        <v>630</v>
      </c>
      <c r="N2721" s="128">
        <v>24540</v>
      </c>
      <c r="O2721" s="128">
        <f t="shared" si="111"/>
        <v>1202460</v>
      </c>
      <c r="Q2721" t="s">
        <v>47</v>
      </c>
      <c r="R2721" s="220" t="s">
        <v>1888</v>
      </c>
      <c r="S2721" s="220" t="s">
        <v>1861</v>
      </c>
      <c r="T2721" t="s">
        <v>3785</v>
      </c>
      <c r="U2721" t="s">
        <v>1972</v>
      </c>
      <c r="V2721" t="s">
        <v>2832</v>
      </c>
    </row>
    <row r="2722" spans="1:22" ht="15.75" thickBot="1" x14ac:dyDescent="0.3">
      <c r="A2722" t="s">
        <v>4701</v>
      </c>
      <c r="B2722" t="s">
        <v>4701</v>
      </c>
      <c r="C2722" t="s">
        <v>4701</v>
      </c>
      <c r="D2722" s="83" t="s">
        <v>629</v>
      </c>
      <c r="E2722" s="262" t="s">
        <v>1853</v>
      </c>
      <c r="F2722" s="124" t="s">
        <v>620</v>
      </c>
      <c r="G2722" s="130">
        <v>2007</v>
      </c>
      <c r="H2722" s="125" t="s">
        <v>731</v>
      </c>
      <c r="I2722" s="340" t="str">
        <f t="shared" si="112"/>
        <v>Pesado de Passageiros M3: III : Gasóleo : E4</v>
      </c>
      <c r="J2722" s="125">
        <v>54</v>
      </c>
      <c r="K2722" s="264">
        <v>2022</v>
      </c>
      <c r="L2722" s="85">
        <v>11080.669999999998</v>
      </c>
      <c r="M2722" s="85" t="s">
        <v>630</v>
      </c>
      <c r="N2722" s="128">
        <v>43480</v>
      </c>
      <c r="O2722" s="128">
        <f t="shared" si="111"/>
        <v>2347920</v>
      </c>
      <c r="Q2722" t="s">
        <v>47</v>
      </c>
      <c r="R2722" s="220" t="s">
        <v>1888</v>
      </c>
      <c r="S2722" s="220" t="s">
        <v>1861</v>
      </c>
      <c r="T2722" t="s">
        <v>3786</v>
      </c>
      <c r="U2722" t="s">
        <v>1972</v>
      </c>
      <c r="V2722" t="s">
        <v>2832</v>
      </c>
    </row>
    <row r="2723" spans="1:22" ht="15.75" thickBot="1" x14ac:dyDescent="0.3">
      <c r="A2723" t="s">
        <v>4701</v>
      </c>
      <c r="B2723" t="s">
        <v>4701</v>
      </c>
      <c r="C2723" t="s">
        <v>4701</v>
      </c>
      <c r="D2723" s="83" t="s">
        <v>629</v>
      </c>
      <c r="E2723" s="262" t="s">
        <v>1853</v>
      </c>
      <c r="F2723" s="124" t="s">
        <v>620</v>
      </c>
      <c r="G2723" s="130">
        <v>2007</v>
      </c>
      <c r="H2723" s="125" t="s">
        <v>731</v>
      </c>
      <c r="I2723" s="340" t="str">
        <f t="shared" si="112"/>
        <v>Pesado de Passageiros M3: III : Gasóleo : E4</v>
      </c>
      <c r="J2723" s="125">
        <v>53</v>
      </c>
      <c r="K2723" s="264">
        <v>2022</v>
      </c>
      <c r="L2723" s="85">
        <v>13724.14</v>
      </c>
      <c r="M2723" s="85" t="s">
        <v>630</v>
      </c>
      <c r="N2723" s="128">
        <v>43210</v>
      </c>
      <c r="O2723" s="128">
        <f t="shared" si="111"/>
        <v>2290130</v>
      </c>
      <c r="Q2723" t="s">
        <v>47</v>
      </c>
      <c r="R2723" s="220" t="s">
        <v>1888</v>
      </c>
      <c r="S2723" s="220" t="s">
        <v>1861</v>
      </c>
      <c r="T2723" t="s">
        <v>3787</v>
      </c>
      <c r="U2723" t="s">
        <v>1972</v>
      </c>
      <c r="V2723" t="s">
        <v>2832</v>
      </c>
    </row>
    <row r="2724" spans="1:22" ht="15.75" thickBot="1" x14ac:dyDescent="0.3">
      <c r="A2724" t="s">
        <v>4701</v>
      </c>
      <c r="B2724" t="s">
        <v>4701</v>
      </c>
      <c r="C2724" t="s">
        <v>4701</v>
      </c>
      <c r="D2724" s="83" t="s">
        <v>629</v>
      </c>
      <c r="E2724" s="262" t="s">
        <v>1853</v>
      </c>
      <c r="F2724" s="124" t="s">
        <v>620</v>
      </c>
      <c r="G2724" s="130">
        <v>2019</v>
      </c>
      <c r="H2724" s="125" t="s">
        <v>733</v>
      </c>
      <c r="I2724" s="340" t="str">
        <f t="shared" si="112"/>
        <v>Pesado de Passageiros M3: III : Gasóleo : E6</v>
      </c>
      <c r="J2724" s="125">
        <v>35</v>
      </c>
      <c r="K2724" s="264">
        <v>2022</v>
      </c>
      <c r="L2724" s="85">
        <v>6658.5999999999995</v>
      </c>
      <c r="M2724" s="85" t="s">
        <v>630</v>
      </c>
      <c r="N2724" s="128">
        <v>16981</v>
      </c>
      <c r="O2724" s="128">
        <f t="shared" si="111"/>
        <v>594335</v>
      </c>
      <c r="Q2724" t="s">
        <v>47</v>
      </c>
      <c r="R2724" s="220" t="s">
        <v>1888</v>
      </c>
      <c r="S2724" s="220" t="s">
        <v>1861</v>
      </c>
      <c r="T2724" t="s">
        <v>3788</v>
      </c>
      <c r="U2724" t="s">
        <v>1972</v>
      </c>
      <c r="V2724" t="s">
        <v>2832</v>
      </c>
    </row>
    <row r="2725" spans="1:22" ht="15.75" thickBot="1" x14ac:dyDescent="0.3">
      <c r="A2725" t="s">
        <v>4701</v>
      </c>
      <c r="B2725" t="s">
        <v>4701</v>
      </c>
      <c r="C2725" t="s">
        <v>4701</v>
      </c>
      <c r="D2725" s="83" t="s">
        <v>629</v>
      </c>
      <c r="E2725" s="262" t="s">
        <v>1853</v>
      </c>
      <c r="F2725" s="124" t="s">
        <v>620</v>
      </c>
      <c r="G2725" s="130">
        <v>2008</v>
      </c>
      <c r="H2725" s="125" t="s">
        <v>731</v>
      </c>
      <c r="I2725" s="340" t="str">
        <f t="shared" si="112"/>
        <v>Pesado de Passageiros M3: III : Gasóleo : E4</v>
      </c>
      <c r="J2725" s="125">
        <v>55</v>
      </c>
      <c r="K2725" s="264">
        <v>2022</v>
      </c>
      <c r="L2725" s="85">
        <v>16143.369999999999</v>
      </c>
      <c r="M2725" s="85" t="s">
        <v>630</v>
      </c>
      <c r="N2725" s="128">
        <v>47189</v>
      </c>
      <c r="O2725" s="128">
        <f t="shared" si="111"/>
        <v>2595395</v>
      </c>
      <c r="Q2725" t="s">
        <v>47</v>
      </c>
      <c r="R2725" s="220" t="s">
        <v>1888</v>
      </c>
      <c r="S2725" s="220" t="s">
        <v>1861</v>
      </c>
      <c r="T2725" t="s">
        <v>3789</v>
      </c>
      <c r="U2725" t="s">
        <v>1972</v>
      </c>
      <c r="V2725" t="s">
        <v>2832</v>
      </c>
    </row>
    <row r="2726" spans="1:22" ht="15.75" thickBot="1" x14ac:dyDescent="0.3">
      <c r="A2726" t="s">
        <v>4701</v>
      </c>
      <c r="B2726" t="s">
        <v>4701</v>
      </c>
      <c r="C2726" t="s">
        <v>4701</v>
      </c>
      <c r="D2726" s="83" t="s">
        <v>629</v>
      </c>
      <c r="E2726" s="262" t="s">
        <v>1853</v>
      </c>
      <c r="F2726" s="124" t="s">
        <v>620</v>
      </c>
      <c r="G2726" s="130">
        <v>2008</v>
      </c>
      <c r="H2726" s="125" t="s">
        <v>731</v>
      </c>
      <c r="I2726" s="340" t="str">
        <f t="shared" si="112"/>
        <v>Pesado de Passageiros M3: III : Gasóleo : E4</v>
      </c>
      <c r="J2726" s="125">
        <v>51</v>
      </c>
      <c r="K2726" s="264">
        <v>2022</v>
      </c>
      <c r="L2726" s="85">
        <v>11579.87</v>
      </c>
      <c r="M2726" s="85" t="s">
        <v>630</v>
      </c>
      <c r="N2726" s="128">
        <v>34433</v>
      </c>
      <c r="O2726" s="128">
        <f t="shared" si="111"/>
        <v>1756083</v>
      </c>
      <c r="Q2726" t="s">
        <v>47</v>
      </c>
      <c r="R2726" s="220" t="s">
        <v>1888</v>
      </c>
      <c r="S2726" s="220" t="s">
        <v>1861</v>
      </c>
      <c r="T2726" t="s">
        <v>3790</v>
      </c>
      <c r="U2726" t="s">
        <v>1972</v>
      </c>
      <c r="V2726" t="s">
        <v>2832</v>
      </c>
    </row>
    <row r="2727" spans="1:22" ht="15.75" thickBot="1" x14ac:dyDescent="0.3">
      <c r="A2727" t="s">
        <v>4701</v>
      </c>
      <c r="B2727" t="s">
        <v>4701</v>
      </c>
      <c r="C2727" t="s">
        <v>4701</v>
      </c>
      <c r="D2727" s="83" t="s">
        <v>629</v>
      </c>
      <c r="E2727" s="262" t="s">
        <v>1853</v>
      </c>
      <c r="F2727" s="124" t="s">
        <v>620</v>
      </c>
      <c r="G2727" s="130">
        <v>2008</v>
      </c>
      <c r="H2727" s="125" t="s">
        <v>731</v>
      </c>
      <c r="I2727" s="340" t="str">
        <f t="shared" si="112"/>
        <v>Pesado de Passageiros M3: III : Gasóleo : E4</v>
      </c>
      <c r="J2727" s="125">
        <v>49</v>
      </c>
      <c r="K2727" s="264">
        <v>2022</v>
      </c>
      <c r="L2727" s="85">
        <v>13448.34</v>
      </c>
      <c r="M2727" s="85" t="s">
        <v>630</v>
      </c>
      <c r="N2727" s="128">
        <v>44352</v>
      </c>
      <c r="O2727" s="128">
        <f t="shared" si="111"/>
        <v>2173248</v>
      </c>
      <c r="Q2727" t="s">
        <v>47</v>
      </c>
      <c r="R2727" s="220" t="s">
        <v>1888</v>
      </c>
      <c r="S2727" s="220" t="s">
        <v>1861</v>
      </c>
      <c r="T2727" t="s">
        <v>3791</v>
      </c>
      <c r="U2727" t="s">
        <v>1972</v>
      </c>
      <c r="V2727" t="s">
        <v>2832</v>
      </c>
    </row>
    <row r="2728" spans="1:22" ht="15.75" thickBot="1" x14ac:dyDescent="0.3">
      <c r="A2728" t="s">
        <v>4701</v>
      </c>
      <c r="B2728" t="s">
        <v>4701</v>
      </c>
      <c r="C2728" t="s">
        <v>4701</v>
      </c>
      <c r="D2728" s="83" t="s">
        <v>629</v>
      </c>
      <c r="E2728" s="262" t="s">
        <v>1853</v>
      </c>
      <c r="F2728" s="124" t="s">
        <v>620</v>
      </c>
      <c r="G2728" s="130">
        <v>2004</v>
      </c>
      <c r="H2728" s="125" t="s">
        <v>732</v>
      </c>
      <c r="I2728" s="340" t="str">
        <f t="shared" si="112"/>
        <v>Pesado de Passageiros M3: III : Gasóleo : E3</v>
      </c>
      <c r="J2728" s="125">
        <v>51</v>
      </c>
      <c r="K2728" s="264">
        <v>2022</v>
      </c>
      <c r="L2728" s="85">
        <v>5745.7</v>
      </c>
      <c r="M2728" s="85" t="s">
        <v>630</v>
      </c>
      <c r="N2728" s="128">
        <v>38420</v>
      </c>
      <c r="O2728" s="128">
        <f t="shared" si="111"/>
        <v>1959420</v>
      </c>
      <c r="Q2728" t="s">
        <v>47</v>
      </c>
      <c r="R2728" s="220" t="s">
        <v>1888</v>
      </c>
      <c r="S2728" s="220" t="s">
        <v>1861</v>
      </c>
      <c r="T2728" t="s">
        <v>3792</v>
      </c>
      <c r="U2728" t="s">
        <v>1972</v>
      </c>
      <c r="V2728" t="s">
        <v>2832</v>
      </c>
    </row>
    <row r="2729" spans="1:22" ht="15.75" thickBot="1" x14ac:dyDescent="0.3">
      <c r="A2729" t="s">
        <v>4701</v>
      </c>
      <c r="B2729" t="s">
        <v>4701</v>
      </c>
      <c r="C2729" t="s">
        <v>4701</v>
      </c>
      <c r="D2729" s="83" t="s">
        <v>629</v>
      </c>
      <c r="E2729" s="262" t="s">
        <v>1853</v>
      </c>
      <c r="F2729" s="124" t="s">
        <v>620</v>
      </c>
      <c r="G2729" s="130">
        <v>2007</v>
      </c>
      <c r="H2729" s="125" t="s">
        <v>731</v>
      </c>
      <c r="I2729" s="340" t="str">
        <f t="shared" si="112"/>
        <v>Pesado de Passageiros M3: III : Gasóleo : E4</v>
      </c>
      <c r="J2729" s="125">
        <v>49</v>
      </c>
      <c r="K2729" s="264">
        <v>2022</v>
      </c>
      <c r="L2729" s="85">
        <v>9345.81</v>
      </c>
      <c r="M2729" s="85" t="s">
        <v>630</v>
      </c>
      <c r="N2729" s="128">
        <v>25853</v>
      </c>
      <c r="O2729" s="128">
        <f t="shared" si="111"/>
        <v>1266797</v>
      </c>
      <c r="Q2729" t="s">
        <v>47</v>
      </c>
      <c r="R2729" s="220" t="s">
        <v>1888</v>
      </c>
      <c r="S2729" s="220" t="s">
        <v>1861</v>
      </c>
      <c r="T2729" t="s">
        <v>3793</v>
      </c>
      <c r="U2729" t="s">
        <v>1972</v>
      </c>
      <c r="V2729" t="s">
        <v>2832</v>
      </c>
    </row>
    <row r="2730" spans="1:22" ht="15.75" thickBot="1" x14ac:dyDescent="0.3">
      <c r="A2730" t="s">
        <v>4701</v>
      </c>
      <c r="B2730" t="s">
        <v>4701</v>
      </c>
      <c r="C2730" t="s">
        <v>4701</v>
      </c>
      <c r="D2730" s="83" t="s">
        <v>629</v>
      </c>
      <c r="E2730" s="262" t="s">
        <v>1853</v>
      </c>
      <c r="F2730" s="124" t="s">
        <v>620</v>
      </c>
      <c r="G2730" s="130">
        <v>2008</v>
      </c>
      <c r="H2730" s="125" t="s">
        <v>731</v>
      </c>
      <c r="I2730" s="340" t="str">
        <f t="shared" si="112"/>
        <v>Pesado de Passageiros M3: III : Gasóleo : E4</v>
      </c>
      <c r="J2730" s="125">
        <v>49</v>
      </c>
      <c r="K2730" s="264">
        <v>2022</v>
      </c>
      <c r="L2730" s="85">
        <v>6970.9800000000005</v>
      </c>
      <c r="M2730" s="85" t="s">
        <v>630</v>
      </c>
      <c r="N2730" s="128">
        <v>21111</v>
      </c>
      <c r="O2730" s="128">
        <f t="shared" si="111"/>
        <v>1034439</v>
      </c>
      <c r="Q2730" t="s">
        <v>47</v>
      </c>
      <c r="R2730" s="220" t="s">
        <v>1888</v>
      </c>
      <c r="S2730" s="220" t="s">
        <v>1861</v>
      </c>
      <c r="T2730" t="s">
        <v>3794</v>
      </c>
      <c r="U2730" t="s">
        <v>1972</v>
      </c>
      <c r="V2730" t="s">
        <v>2832</v>
      </c>
    </row>
    <row r="2731" spans="1:22" ht="15.75" thickBot="1" x14ac:dyDescent="0.3">
      <c r="A2731" t="s">
        <v>4701</v>
      </c>
      <c r="B2731" t="s">
        <v>4701</v>
      </c>
      <c r="C2731" t="s">
        <v>4701</v>
      </c>
      <c r="D2731" s="83" t="s">
        <v>629</v>
      </c>
      <c r="E2731" s="262" t="s">
        <v>1853</v>
      </c>
      <c r="F2731" s="124" t="s">
        <v>620</v>
      </c>
      <c r="G2731" s="130">
        <v>2008</v>
      </c>
      <c r="H2731" s="125" t="s">
        <v>731</v>
      </c>
      <c r="I2731" s="340" t="str">
        <f t="shared" si="112"/>
        <v>Pesado de Passageiros M3: III : Gasóleo : E4</v>
      </c>
      <c r="J2731" s="125">
        <v>49</v>
      </c>
      <c r="K2731" s="264">
        <v>2022</v>
      </c>
      <c r="L2731" s="85">
        <v>12801.06</v>
      </c>
      <c r="M2731" s="85" t="s">
        <v>630</v>
      </c>
      <c r="N2731" s="128">
        <v>53610</v>
      </c>
      <c r="O2731" s="128">
        <f t="shared" si="111"/>
        <v>2626890</v>
      </c>
      <c r="Q2731" t="s">
        <v>47</v>
      </c>
      <c r="R2731" s="220" t="s">
        <v>1888</v>
      </c>
      <c r="S2731" s="220" t="s">
        <v>1861</v>
      </c>
      <c r="T2731" t="s">
        <v>3795</v>
      </c>
      <c r="U2731" t="s">
        <v>1972</v>
      </c>
      <c r="V2731" t="s">
        <v>2832</v>
      </c>
    </row>
    <row r="2732" spans="1:22" ht="15.75" thickBot="1" x14ac:dyDescent="0.3">
      <c r="A2732" t="s">
        <v>4701</v>
      </c>
      <c r="B2732" t="s">
        <v>4701</v>
      </c>
      <c r="C2732" t="s">
        <v>4701</v>
      </c>
      <c r="D2732" s="83" t="s">
        <v>629</v>
      </c>
      <c r="E2732" s="262" t="s">
        <v>1853</v>
      </c>
      <c r="F2732" s="124" t="s">
        <v>620</v>
      </c>
      <c r="G2732" s="130">
        <v>2007</v>
      </c>
      <c r="H2732" s="125" t="s">
        <v>731</v>
      </c>
      <c r="I2732" s="340" t="str">
        <f t="shared" si="112"/>
        <v>Pesado de Passageiros M3: III : Gasóleo : E4</v>
      </c>
      <c r="J2732" s="125">
        <v>49</v>
      </c>
      <c r="K2732" s="264">
        <v>2022</v>
      </c>
      <c r="L2732" s="85">
        <v>43000.3</v>
      </c>
      <c r="M2732" s="85" t="s">
        <v>630</v>
      </c>
      <c r="N2732" s="128">
        <v>177166</v>
      </c>
      <c r="O2732" s="128">
        <f t="shared" si="111"/>
        <v>8681134</v>
      </c>
      <c r="Q2732" t="s">
        <v>47</v>
      </c>
      <c r="R2732" s="220" t="s">
        <v>1888</v>
      </c>
      <c r="S2732" s="220" t="s">
        <v>1861</v>
      </c>
      <c r="T2732" t="s">
        <v>3796</v>
      </c>
      <c r="U2732" t="s">
        <v>1972</v>
      </c>
      <c r="V2732" t="s">
        <v>2832</v>
      </c>
    </row>
    <row r="2733" spans="1:22" ht="15.75" thickBot="1" x14ac:dyDescent="0.3">
      <c r="A2733" t="s">
        <v>4701</v>
      </c>
      <c r="B2733" t="s">
        <v>4701</v>
      </c>
      <c r="C2733" t="s">
        <v>4701</v>
      </c>
      <c r="D2733" s="83" t="s">
        <v>629</v>
      </c>
      <c r="E2733" s="262" t="s">
        <v>1853</v>
      </c>
      <c r="F2733" s="124" t="s">
        <v>620</v>
      </c>
      <c r="G2733" s="130">
        <v>2019</v>
      </c>
      <c r="H2733" s="125" t="s">
        <v>733</v>
      </c>
      <c r="I2733" s="340" t="str">
        <f t="shared" si="112"/>
        <v>Pesado de Passageiros M3: III : Gasóleo : E6</v>
      </c>
      <c r="J2733" s="125">
        <v>35</v>
      </c>
      <c r="K2733" s="264">
        <v>2022</v>
      </c>
      <c r="L2733" s="85">
        <v>27869.839999999997</v>
      </c>
      <c r="M2733" s="85" t="s">
        <v>630</v>
      </c>
      <c r="N2733" s="128">
        <v>103459</v>
      </c>
      <c r="O2733" s="128">
        <f t="shared" si="111"/>
        <v>3621065</v>
      </c>
      <c r="Q2733" t="s">
        <v>47</v>
      </c>
      <c r="R2733" s="220" t="s">
        <v>1888</v>
      </c>
      <c r="S2733" s="220" t="s">
        <v>1861</v>
      </c>
      <c r="T2733" t="s">
        <v>3797</v>
      </c>
      <c r="U2733" t="s">
        <v>1972</v>
      </c>
      <c r="V2733" t="s">
        <v>2832</v>
      </c>
    </row>
    <row r="2734" spans="1:22" ht="15.75" thickBot="1" x14ac:dyDescent="0.3">
      <c r="A2734" t="s">
        <v>4701</v>
      </c>
      <c r="B2734" t="s">
        <v>4701</v>
      </c>
      <c r="C2734" t="s">
        <v>4701</v>
      </c>
      <c r="D2734" s="83" t="s">
        <v>629</v>
      </c>
      <c r="E2734" s="262" t="s">
        <v>1853</v>
      </c>
      <c r="F2734" s="124" t="s">
        <v>620</v>
      </c>
      <c r="G2734" s="130">
        <v>2018</v>
      </c>
      <c r="H2734" s="125" t="s">
        <v>733</v>
      </c>
      <c r="I2734" s="340" t="str">
        <f t="shared" si="112"/>
        <v>Pesado de Passageiros M3: III : Gasóleo : E6</v>
      </c>
      <c r="J2734" s="125">
        <v>53</v>
      </c>
      <c r="K2734" s="264">
        <v>2022</v>
      </c>
      <c r="L2734" s="85">
        <v>24967.040000000001</v>
      </c>
      <c r="M2734" s="85" t="s">
        <v>630</v>
      </c>
      <c r="N2734" s="128">
        <v>71574</v>
      </c>
      <c r="O2734" s="128">
        <f t="shared" si="111"/>
        <v>3793422</v>
      </c>
      <c r="Q2734" t="s">
        <v>47</v>
      </c>
      <c r="R2734" s="220" t="s">
        <v>1888</v>
      </c>
      <c r="S2734" s="220" t="s">
        <v>1861</v>
      </c>
      <c r="T2734" t="s">
        <v>3798</v>
      </c>
      <c r="U2734" t="s">
        <v>1972</v>
      </c>
      <c r="V2734" t="s">
        <v>2832</v>
      </c>
    </row>
    <row r="2735" spans="1:22" ht="15.75" thickBot="1" x14ac:dyDescent="0.3">
      <c r="A2735" t="s">
        <v>4701</v>
      </c>
      <c r="B2735" t="s">
        <v>4701</v>
      </c>
      <c r="C2735" t="s">
        <v>4701</v>
      </c>
      <c r="D2735" s="83" t="s">
        <v>629</v>
      </c>
      <c r="E2735" s="262" t="s">
        <v>1853</v>
      </c>
      <c r="F2735" s="124" t="s">
        <v>620</v>
      </c>
      <c r="G2735" s="130">
        <v>2017</v>
      </c>
      <c r="H2735" s="125" t="s">
        <v>733</v>
      </c>
      <c r="I2735" s="340" t="str">
        <f t="shared" si="112"/>
        <v>Pesado de Passageiros M3: III : Gasóleo : E6</v>
      </c>
      <c r="J2735" s="125">
        <v>57</v>
      </c>
      <c r="K2735" s="264">
        <v>2022</v>
      </c>
      <c r="L2735" s="85">
        <v>14413.819999999998</v>
      </c>
      <c r="M2735" s="85" t="s">
        <v>630</v>
      </c>
      <c r="N2735" s="128">
        <v>35522</v>
      </c>
      <c r="O2735" s="128">
        <f t="shared" si="111"/>
        <v>2024754</v>
      </c>
      <c r="Q2735" t="s">
        <v>47</v>
      </c>
      <c r="R2735" s="220" t="s">
        <v>1888</v>
      </c>
      <c r="S2735" s="220" t="s">
        <v>1861</v>
      </c>
      <c r="T2735" t="s">
        <v>3799</v>
      </c>
      <c r="U2735" t="s">
        <v>1972</v>
      </c>
      <c r="V2735" t="s">
        <v>2832</v>
      </c>
    </row>
    <row r="2736" spans="1:22" ht="15.75" thickBot="1" x14ac:dyDescent="0.3">
      <c r="A2736" t="s">
        <v>4701</v>
      </c>
      <c r="B2736" t="s">
        <v>4701</v>
      </c>
      <c r="C2736" t="s">
        <v>4701</v>
      </c>
      <c r="D2736" s="83" t="s">
        <v>629</v>
      </c>
      <c r="E2736" s="262" t="s">
        <v>1853</v>
      </c>
      <c r="F2736" s="124" t="s">
        <v>620</v>
      </c>
      <c r="G2736" s="130">
        <v>2017</v>
      </c>
      <c r="H2736" s="125" t="s">
        <v>733</v>
      </c>
      <c r="I2736" s="340" t="str">
        <f t="shared" si="112"/>
        <v>Pesado de Passageiros M3: III : Gasóleo : E6</v>
      </c>
      <c r="J2736" s="125">
        <v>57</v>
      </c>
      <c r="K2736" s="264">
        <v>2022</v>
      </c>
      <c r="L2736" s="85">
        <v>6049.41</v>
      </c>
      <c r="M2736" s="85" t="s">
        <v>630</v>
      </c>
      <c r="N2736" s="128">
        <v>19005</v>
      </c>
      <c r="O2736" s="128">
        <f t="shared" si="111"/>
        <v>1083285</v>
      </c>
      <c r="Q2736" t="s">
        <v>47</v>
      </c>
      <c r="R2736" s="220" t="s">
        <v>1888</v>
      </c>
      <c r="S2736" s="220" t="s">
        <v>1861</v>
      </c>
      <c r="T2736" t="s">
        <v>3800</v>
      </c>
      <c r="U2736" t="s">
        <v>1972</v>
      </c>
      <c r="V2736" t="s">
        <v>2832</v>
      </c>
    </row>
    <row r="2737" spans="1:22" ht="15.75" thickBot="1" x14ac:dyDescent="0.3">
      <c r="A2737" t="s">
        <v>4701</v>
      </c>
      <c r="B2737" t="s">
        <v>4701</v>
      </c>
      <c r="C2737" t="s">
        <v>4701</v>
      </c>
      <c r="D2737" s="83" t="s">
        <v>629</v>
      </c>
      <c r="E2737" s="262" t="s">
        <v>1853</v>
      </c>
      <c r="F2737" s="124" t="s">
        <v>620</v>
      </c>
      <c r="G2737" s="130">
        <v>2008</v>
      </c>
      <c r="H2737" s="125" t="s">
        <v>731</v>
      </c>
      <c r="I2737" s="340" t="str">
        <f t="shared" si="112"/>
        <v>Pesado de Passageiros M3: III : Gasóleo : E4</v>
      </c>
      <c r="J2737" s="125">
        <v>53</v>
      </c>
      <c r="K2737" s="264">
        <v>2022</v>
      </c>
      <c r="L2737" s="85">
        <v>14804.560000000001</v>
      </c>
      <c r="M2737" s="85" t="s">
        <v>630</v>
      </c>
      <c r="N2737" s="128">
        <v>41766</v>
      </c>
      <c r="O2737" s="128">
        <f t="shared" ref="O2737:O2800" si="113">N2737*J2737</f>
        <v>2213598</v>
      </c>
      <c r="Q2737" t="s">
        <v>47</v>
      </c>
      <c r="R2737" s="220" t="s">
        <v>1888</v>
      </c>
      <c r="S2737" s="220" t="s">
        <v>1861</v>
      </c>
      <c r="T2737" t="s">
        <v>3801</v>
      </c>
      <c r="U2737" t="s">
        <v>1972</v>
      </c>
      <c r="V2737" t="s">
        <v>2832</v>
      </c>
    </row>
    <row r="2738" spans="1:22" ht="15.75" thickBot="1" x14ac:dyDescent="0.3">
      <c r="A2738" t="s">
        <v>4701</v>
      </c>
      <c r="B2738" t="s">
        <v>4701</v>
      </c>
      <c r="C2738" t="s">
        <v>4701</v>
      </c>
      <c r="D2738" s="83" t="s">
        <v>629</v>
      </c>
      <c r="E2738" s="262" t="s">
        <v>1853</v>
      </c>
      <c r="F2738" s="124" t="s">
        <v>620</v>
      </c>
      <c r="G2738" s="130">
        <v>2008</v>
      </c>
      <c r="H2738" s="125" t="s">
        <v>731</v>
      </c>
      <c r="I2738" s="340" t="str">
        <f t="shared" si="112"/>
        <v>Pesado de Passageiros M3: III : Gasóleo : E4</v>
      </c>
      <c r="J2738" s="125">
        <v>53</v>
      </c>
      <c r="K2738" s="264">
        <v>2022</v>
      </c>
      <c r="L2738" s="85">
        <v>14612.85</v>
      </c>
      <c r="M2738" s="85" t="s">
        <v>630</v>
      </c>
      <c r="N2738" s="128">
        <v>42378</v>
      </c>
      <c r="O2738" s="128">
        <f t="shared" si="113"/>
        <v>2246034</v>
      </c>
      <c r="Q2738" t="s">
        <v>47</v>
      </c>
      <c r="R2738" s="220" t="s">
        <v>1888</v>
      </c>
      <c r="S2738" s="220" t="s">
        <v>1861</v>
      </c>
      <c r="T2738" t="s">
        <v>3802</v>
      </c>
      <c r="U2738" t="s">
        <v>1972</v>
      </c>
      <c r="V2738" t="s">
        <v>2832</v>
      </c>
    </row>
    <row r="2739" spans="1:22" ht="15.75" thickBot="1" x14ac:dyDescent="0.3">
      <c r="A2739" t="s">
        <v>4701</v>
      </c>
      <c r="B2739" t="s">
        <v>4701</v>
      </c>
      <c r="C2739" t="s">
        <v>4701</v>
      </c>
      <c r="D2739" s="83" t="s">
        <v>629</v>
      </c>
      <c r="E2739" s="262" t="s">
        <v>1853</v>
      </c>
      <c r="F2739" s="124" t="s">
        <v>620</v>
      </c>
      <c r="G2739" s="130">
        <v>2004</v>
      </c>
      <c r="H2739" s="125" t="s">
        <v>732</v>
      </c>
      <c r="I2739" s="340" t="str">
        <f t="shared" si="112"/>
        <v>Pesado de Passageiros M3: III : Gasóleo : E3</v>
      </c>
      <c r="J2739" s="125">
        <v>51</v>
      </c>
      <c r="K2739" s="264">
        <v>2022</v>
      </c>
      <c r="L2739" s="85">
        <v>11910.05</v>
      </c>
      <c r="M2739" s="85" t="s">
        <v>630</v>
      </c>
      <c r="N2739" s="128">
        <v>37600</v>
      </c>
      <c r="O2739" s="128">
        <f t="shared" si="113"/>
        <v>1917600</v>
      </c>
      <c r="Q2739" t="s">
        <v>47</v>
      </c>
      <c r="R2739" s="220" t="s">
        <v>1888</v>
      </c>
      <c r="S2739" s="220" t="s">
        <v>1861</v>
      </c>
      <c r="T2739" t="s">
        <v>3803</v>
      </c>
      <c r="U2739" t="s">
        <v>1972</v>
      </c>
      <c r="V2739" t="s">
        <v>2832</v>
      </c>
    </row>
    <row r="2740" spans="1:22" ht="15.75" thickBot="1" x14ac:dyDescent="0.3">
      <c r="A2740" t="s">
        <v>4701</v>
      </c>
      <c r="B2740" t="s">
        <v>4701</v>
      </c>
      <c r="C2740" t="s">
        <v>4701</v>
      </c>
      <c r="D2740" s="83" t="s">
        <v>629</v>
      </c>
      <c r="E2740" s="262" t="s">
        <v>1853</v>
      </c>
      <c r="F2740" s="124" t="s">
        <v>620</v>
      </c>
      <c r="G2740" s="130">
        <v>2008</v>
      </c>
      <c r="H2740" s="125" t="s">
        <v>731</v>
      </c>
      <c r="I2740" s="340" t="str">
        <f t="shared" si="112"/>
        <v>Pesado de Passageiros M3: III : Gasóleo : E4</v>
      </c>
      <c r="J2740" s="125">
        <v>49</v>
      </c>
      <c r="K2740" s="264">
        <v>2022</v>
      </c>
      <c r="L2740" s="85">
        <v>17067.57</v>
      </c>
      <c r="M2740" s="85" t="s">
        <v>630</v>
      </c>
      <c r="N2740" s="128">
        <v>55137</v>
      </c>
      <c r="O2740" s="128">
        <f t="shared" si="113"/>
        <v>2701713</v>
      </c>
      <c r="Q2740" t="s">
        <v>47</v>
      </c>
      <c r="R2740" s="220" t="s">
        <v>1888</v>
      </c>
      <c r="S2740" s="220" t="s">
        <v>1861</v>
      </c>
      <c r="T2740" t="s">
        <v>3804</v>
      </c>
      <c r="U2740" t="s">
        <v>1972</v>
      </c>
      <c r="V2740" t="s">
        <v>2832</v>
      </c>
    </row>
    <row r="2741" spans="1:22" ht="15.75" thickBot="1" x14ac:dyDescent="0.3">
      <c r="A2741" t="s">
        <v>4701</v>
      </c>
      <c r="B2741" t="s">
        <v>4701</v>
      </c>
      <c r="C2741" t="s">
        <v>4701</v>
      </c>
      <c r="D2741" s="83" t="s">
        <v>629</v>
      </c>
      <c r="E2741" s="262" t="s">
        <v>1853</v>
      </c>
      <c r="F2741" s="124" t="s">
        <v>620</v>
      </c>
      <c r="G2741" s="130">
        <v>2016</v>
      </c>
      <c r="H2741" s="125" t="s">
        <v>733</v>
      </c>
      <c r="I2741" s="340" t="str">
        <f t="shared" si="112"/>
        <v>Pesado de Passageiros M3: III : Gasóleo : E6</v>
      </c>
      <c r="J2741" s="125">
        <v>53</v>
      </c>
      <c r="K2741" s="264">
        <v>2022</v>
      </c>
      <c r="L2741" s="85">
        <v>21142.770000000004</v>
      </c>
      <c r="M2741" s="85" t="s">
        <v>630</v>
      </c>
      <c r="N2741" s="128">
        <v>78035</v>
      </c>
      <c r="O2741" s="128">
        <f t="shared" si="113"/>
        <v>4135855</v>
      </c>
      <c r="Q2741" t="s">
        <v>47</v>
      </c>
      <c r="R2741" s="220" t="s">
        <v>1888</v>
      </c>
      <c r="S2741" s="220" t="s">
        <v>1861</v>
      </c>
      <c r="T2741" t="s">
        <v>3805</v>
      </c>
      <c r="U2741" t="s">
        <v>1972</v>
      </c>
      <c r="V2741" t="s">
        <v>2832</v>
      </c>
    </row>
    <row r="2742" spans="1:22" ht="15.75" thickBot="1" x14ac:dyDescent="0.3">
      <c r="A2742" t="s">
        <v>4701</v>
      </c>
      <c r="B2742" t="s">
        <v>4701</v>
      </c>
      <c r="C2742" t="s">
        <v>4701</v>
      </c>
      <c r="D2742" s="83" t="s">
        <v>629</v>
      </c>
      <c r="E2742" s="262" t="s">
        <v>1853</v>
      </c>
      <c r="F2742" s="124" t="s">
        <v>620</v>
      </c>
      <c r="G2742" s="130">
        <v>2016</v>
      </c>
      <c r="H2742" s="125" t="s">
        <v>733</v>
      </c>
      <c r="I2742" s="340" t="str">
        <f t="shared" ref="I2742:I2805" si="114">D2742&amp;": "&amp;E2742&amp;" : "&amp;F2742&amp;" : "&amp;H2742</f>
        <v>Pesado de Passageiros M3: III : Gasóleo : E6</v>
      </c>
      <c r="J2742" s="125">
        <v>59</v>
      </c>
      <c r="K2742" s="264">
        <v>2022</v>
      </c>
      <c r="L2742" s="85">
        <v>9488.880000000001</v>
      </c>
      <c r="M2742" s="85" t="s">
        <v>630</v>
      </c>
      <c r="N2742" s="128">
        <v>22112</v>
      </c>
      <c r="O2742" s="128">
        <f t="shared" si="113"/>
        <v>1304608</v>
      </c>
      <c r="Q2742" t="s">
        <v>47</v>
      </c>
      <c r="R2742" s="220" t="s">
        <v>1888</v>
      </c>
      <c r="S2742" s="220" t="s">
        <v>1861</v>
      </c>
      <c r="T2742" t="s">
        <v>3806</v>
      </c>
      <c r="U2742" t="s">
        <v>1972</v>
      </c>
      <c r="V2742" t="s">
        <v>2832</v>
      </c>
    </row>
    <row r="2743" spans="1:22" ht="15.75" thickBot="1" x14ac:dyDescent="0.3">
      <c r="A2743" t="s">
        <v>4701</v>
      </c>
      <c r="B2743" t="s">
        <v>4701</v>
      </c>
      <c r="C2743" t="s">
        <v>4701</v>
      </c>
      <c r="D2743" s="83" t="s">
        <v>629</v>
      </c>
      <c r="E2743" s="262" t="s">
        <v>1853</v>
      </c>
      <c r="F2743" s="124" t="s">
        <v>620</v>
      </c>
      <c r="G2743" s="130">
        <v>2016</v>
      </c>
      <c r="H2743" s="125" t="s">
        <v>733</v>
      </c>
      <c r="I2743" s="340" t="str">
        <f t="shared" si="114"/>
        <v>Pesado de Passageiros M3: III : Gasóleo : E6</v>
      </c>
      <c r="J2743" s="125">
        <v>57</v>
      </c>
      <c r="K2743" s="264">
        <v>2022</v>
      </c>
      <c r="L2743" s="85">
        <v>13245.03</v>
      </c>
      <c r="M2743" s="85" t="s">
        <v>630</v>
      </c>
      <c r="N2743" s="128">
        <v>37846</v>
      </c>
      <c r="O2743" s="128">
        <f t="shared" si="113"/>
        <v>2157222</v>
      </c>
      <c r="Q2743" t="s">
        <v>47</v>
      </c>
      <c r="R2743" s="220" t="s">
        <v>1888</v>
      </c>
      <c r="S2743" s="220" t="s">
        <v>1861</v>
      </c>
      <c r="T2743" t="s">
        <v>3807</v>
      </c>
      <c r="U2743" t="s">
        <v>1972</v>
      </c>
      <c r="V2743" t="s">
        <v>2832</v>
      </c>
    </row>
    <row r="2744" spans="1:22" ht="15.75" thickBot="1" x14ac:dyDescent="0.3">
      <c r="A2744" t="s">
        <v>4701</v>
      </c>
      <c r="B2744" t="s">
        <v>4701</v>
      </c>
      <c r="C2744" t="s">
        <v>4701</v>
      </c>
      <c r="D2744" s="83" t="s">
        <v>629</v>
      </c>
      <c r="E2744" s="262" t="s">
        <v>1853</v>
      </c>
      <c r="F2744" s="124" t="s">
        <v>620</v>
      </c>
      <c r="G2744" s="130">
        <v>2008</v>
      </c>
      <c r="H2744" s="125" t="s">
        <v>731</v>
      </c>
      <c r="I2744" s="340" t="str">
        <f t="shared" si="114"/>
        <v>Pesado de Passageiros M3: III : Gasóleo : E4</v>
      </c>
      <c r="J2744" s="125">
        <v>51</v>
      </c>
      <c r="K2744" s="264">
        <v>2022</v>
      </c>
      <c r="L2744" s="85">
        <v>11565.240000000002</v>
      </c>
      <c r="M2744" s="85" t="s">
        <v>630</v>
      </c>
      <c r="N2744" s="128">
        <v>35424</v>
      </c>
      <c r="O2744" s="128">
        <f t="shared" si="113"/>
        <v>1806624</v>
      </c>
      <c r="Q2744" t="s">
        <v>47</v>
      </c>
      <c r="R2744" s="220" t="s">
        <v>1888</v>
      </c>
      <c r="S2744" s="220" t="s">
        <v>1861</v>
      </c>
      <c r="T2744" t="s">
        <v>3808</v>
      </c>
      <c r="U2744" t="s">
        <v>1972</v>
      </c>
      <c r="V2744" t="s">
        <v>2832</v>
      </c>
    </row>
    <row r="2745" spans="1:22" ht="15.75" thickBot="1" x14ac:dyDescent="0.3">
      <c r="A2745" t="s">
        <v>4701</v>
      </c>
      <c r="B2745" t="s">
        <v>4701</v>
      </c>
      <c r="C2745" t="s">
        <v>4701</v>
      </c>
      <c r="D2745" s="83" t="s">
        <v>629</v>
      </c>
      <c r="E2745" s="262" t="s">
        <v>1853</v>
      </c>
      <c r="F2745" s="124" t="s">
        <v>620</v>
      </c>
      <c r="G2745" s="130">
        <v>2008</v>
      </c>
      <c r="H2745" s="125" t="s">
        <v>731</v>
      </c>
      <c r="I2745" s="340" t="str">
        <f t="shared" si="114"/>
        <v>Pesado de Passageiros M3: III : Gasóleo : E4</v>
      </c>
      <c r="J2745" s="125">
        <v>49</v>
      </c>
      <c r="K2745" s="264">
        <v>2022</v>
      </c>
      <c r="L2745" s="85">
        <v>8303.1</v>
      </c>
      <c r="M2745" s="85" t="s">
        <v>630</v>
      </c>
      <c r="N2745" s="128">
        <v>27246</v>
      </c>
      <c r="O2745" s="128">
        <f t="shared" si="113"/>
        <v>1335054</v>
      </c>
      <c r="Q2745" t="s">
        <v>47</v>
      </c>
      <c r="R2745" s="220" t="s">
        <v>1888</v>
      </c>
      <c r="S2745" s="220" t="s">
        <v>1861</v>
      </c>
      <c r="T2745" t="s">
        <v>3809</v>
      </c>
      <c r="U2745" t="s">
        <v>1972</v>
      </c>
      <c r="V2745" t="s">
        <v>2832</v>
      </c>
    </row>
    <row r="2746" spans="1:22" ht="15.75" thickBot="1" x14ac:dyDescent="0.3">
      <c r="A2746" t="s">
        <v>4701</v>
      </c>
      <c r="B2746" t="s">
        <v>4701</v>
      </c>
      <c r="C2746" t="s">
        <v>4701</v>
      </c>
      <c r="D2746" s="83" t="s">
        <v>629</v>
      </c>
      <c r="E2746" s="262" t="s">
        <v>1853</v>
      </c>
      <c r="F2746" s="124" t="s">
        <v>620</v>
      </c>
      <c r="G2746" s="130">
        <v>2008</v>
      </c>
      <c r="H2746" s="125" t="s">
        <v>731</v>
      </c>
      <c r="I2746" s="340" t="str">
        <f t="shared" si="114"/>
        <v>Pesado de Passageiros M3: III : Gasóleo : E4</v>
      </c>
      <c r="J2746" s="125">
        <v>51</v>
      </c>
      <c r="K2746" s="264">
        <v>2022</v>
      </c>
      <c r="L2746" s="85">
        <v>22192.399999999998</v>
      </c>
      <c r="M2746" s="85" t="s">
        <v>630</v>
      </c>
      <c r="N2746" s="128">
        <v>70931</v>
      </c>
      <c r="O2746" s="128">
        <f t="shared" si="113"/>
        <v>3617481</v>
      </c>
      <c r="Q2746" t="s">
        <v>47</v>
      </c>
      <c r="R2746" s="220" t="s">
        <v>1888</v>
      </c>
      <c r="S2746" s="220" t="s">
        <v>1861</v>
      </c>
      <c r="T2746" t="s">
        <v>3810</v>
      </c>
      <c r="U2746" t="s">
        <v>1972</v>
      </c>
      <c r="V2746" t="s">
        <v>2832</v>
      </c>
    </row>
    <row r="2747" spans="1:22" ht="15.75" thickBot="1" x14ac:dyDescent="0.3">
      <c r="A2747" t="s">
        <v>4701</v>
      </c>
      <c r="B2747" t="s">
        <v>4701</v>
      </c>
      <c r="C2747" t="s">
        <v>4701</v>
      </c>
      <c r="D2747" s="83" t="s">
        <v>629</v>
      </c>
      <c r="E2747" s="262" t="s">
        <v>1853</v>
      </c>
      <c r="F2747" s="124" t="s">
        <v>620</v>
      </c>
      <c r="G2747" s="130">
        <v>2008</v>
      </c>
      <c r="H2747" s="125" t="s">
        <v>731</v>
      </c>
      <c r="I2747" s="340" t="str">
        <f t="shared" si="114"/>
        <v>Pesado de Passageiros M3: III : Gasóleo : E4</v>
      </c>
      <c r="J2747" s="125">
        <v>51</v>
      </c>
      <c r="K2747" s="264">
        <v>2022</v>
      </c>
      <c r="L2747" s="85">
        <v>13327.779999999999</v>
      </c>
      <c r="M2747" s="85" t="s">
        <v>630</v>
      </c>
      <c r="N2747" s="128">
        <v>45024</v>
      </c>
      <c r="O2747" s="128">
        <f t="shared" si="113"/>
        <v>2296224</v>
      </c>
      <c r="Q2747" t="s">
        <v>47</v>
      </c>
      <c r="R2747" s="220" t="s">
        <v>1888</v>
      </c>
      <c r="S2747" s="220" t="s">
        <v>1861</v>
      </c>
      <c r="T2747" t="s">
        <v>3811</v>
      </c>
      <c r="U2747" t="s">
        <v>1972</v>
      </c>
      <c r="V2747" t="s">
        <v>2832</v>
      </c>
    </row>
    <row r="2748" spans="1:22" ht="15.75" thickBot="1" x14ac:dyDescent="0.3">
      <c r="A2748" t="s">
        <v>4701</v>
      </c>
      <c r="B2748" t="s">
        <v>4701</v>
      </c>
      <c r="C2748" t="s">
        <v>4701</v>
      </c>
      <c r="D2748" s="83" t="s">
        <v>629</v>
      </c>
      <c r="E2748" s="262" t="s">
        <v>1853</v>
      </c>
      <c r="F2748" s="124" t="s">
        <v>620</v>
      </c>
      <c r="G2748" s="130">
        <v>2017</v>
      </c>
      <c r="H2748" s="125" t="s">
        <v>733</v>
      </c>
      <c r="I2748" s="340" t="str">
        <f t="shared" si="114"/>
        <v>Pesado de Passageiros M3: III : Gasóleo : E6</v>
      </c>
      <c r="J2748" s="125">
        <v>55</v>
      </c>
      <c r="K2748" s="264">
        <v>2022</v>
      </c>
      <c r="L2748" s="85">
        <v>19072.589999999997</v>
      </c>
      <c r="M2748" s="85" t="s">
        <v>630</v>
      </c>
      <c r="N2748" s="128">
        <v>57203</v>
      </c>
      <c r="O2748" s="128">
        <f t="shared" si="113"/>
        <v>3146165</v>
      </c>
      <c r="Q2748" t="s">
        <v>47</v>
      </c>
      <c r="R2748" s="220" t="s">
        <v>1888</v>
      </c>
      <c r="S2748" s="220" t="s">
        <v>1861</v>
      </c>
      <c r="T2748" t="s">
        <v>3812</v>
      </c>
      <c r="U2748" t="s">
        <v>1972</v>
      </c>
      <c r="V2748" t="s">
        <v>2832</v>
      </c>
    </row>
    <row r="2749" spans="1:22" ht="15.75" thickBot="1" x14ac:dyDescent="0.3">
      <c r="A2749" t="s">
        <v>4701</v>
      </c>
      <c r="B2749" t="s">
        <v>4701</v>
      </c>
      <c r="C2749" t="s">
        <v>4701</v>
      </c>
      <c r="D2749" s="83" t="s">
        <v>629</v>
      </c>
      <c r="E2749" s="262" t="s">
        <v>1853</v>
      </c>
      <c r="F2749" s="124" t="s">
        <v>620</v>
      </c>
      <c r="G2749" s="130">
        <v>2017</v>
      </c>
      <c r="H2749" s="125" t="s">
        <v>733</v>
      </c>
      <c r="I2749" s="340" t="str">
        <f t="shared" si="114"/>
        <v>Pesado de Passageiros M3: III : Gasóleo : E6</v>
      </c>
      <c r="J2749" s="125">
        <v>55</v>
      </c>
      <c r="K2749" s="264">
        <v>2022</v>
      </c>
      <c r="L2749" s="85">
        <v>16121.8</v>
      </c>
      <c r="M2749" s="85" t="s">
        <v>630</v>
      </c>
      <c r="N2749" s="128">
        <v>45073</v>
      </c>
      <c r="O2749" s="128">
        <f t="shared" si="113"/>
        <v>2479015</v>
      </c>
      <c r="Q2749" t="s">
        <v>47</v>
      </c>
      <c r="R2749" s="220" t="s">
        <v>1888</v>
      </c>
      <c r="S2749" s="220" t="s">
        <v>1861</v>
      </c>
      <c r="T2749" t="s">
        <v>3813</v>
      </c>
      <c r="U2749" t="s">
        <v>1972</v>
      </c>
      <c r="V2749" t="s">
        <v>2832</v>
      </c>
    </row>
    <row r="2750" spans="1:22" ht="15.75" thickBot="1" x14ac:dyDescent="0.3">
      <c r="A2750" t="s">
        <v>4701</v>
      </c>
      <c r="B2750" t="s">
        <v>4701</v>
      </c>
      <c r="C2750" t="s">
        <v>4701</v>
      </c>
      <c r="D2750" s="83" t="s">
        <v>629</v>
      </c>
      <c r="E2750" s="262" t="s">
        <v>1853</v>
      </c>
      <c r="F2750" s="124" t="s">
        <v>620</v>
      </c>
      <c r="G2750" s="130">
        <v>2017</v>
      </c>
      <c r="H2750" s="125" t="s">
        <v>733</v>
      </c>
      <c r="I2750" s="340" t="str">
        <f t="shared" si="114"/>
        <v>Pesado de Passageiros M3: III : Gasóleo : E6</v>
      </c>
      <c r="J2750" s="125">
        <v>55</v>
      </c>
      <c r="K2750" s="264">
        <v>2022</v>
      </c>
      <c r="L2750" s="85">
        <v>12666.65</v>
      </c>
      <c r="M2750" s="85" t="s">
        <v>630</v>
      </c>
      <c r="N2750" s="128">
        <v>48741</v>
      </c>
      <c r="O2750" s="128">
        <f t="shared" si="113"/>
        <v>2680755</v>
      </c>
      <c r="Q2750" t="s">
        <v>47</v>
      </c>
      <c r="R2750" s="220" t="s">
        <v>1888</v>
      </c>
      <c r="S2750" s="220" t="s">
        <v>1861</v>
      </c>
      <c r="T2750" t="s">
        <v>3814</v>
      </c>
      <c r="U2750" t="s">
        <v>1972</v>
      </c>
      <c r="V2750" t="s">
        <v>2832</v>
      </c>
    </row>
    <row r="2751" spans="1:22" ht="15.75" thickBot="1" x14ac:dyDescent="0.3">
      <c r="A2751" t="s">
        <v>4701</v>
      </c>
      <c r="B2751" t="s">
        <v>4701</v>
      </c>
      <c r="C2751" t="s">
        <v>4701</v>
      </c>
      <c r="D2751" s="83" t="s">
        <v>629</v>
      </c>
      <c r="E2751" s="262" t="s">
        <v>1853</v>
      </c>
      <c r="F2751" s="124" t="s">
        <v>620</v>
      </c>
      <c r="G2751" s="130">
        <v>2006</v>
      </c>
      <c r="H2751" s="125" t="s">
        <v>731</v>
      </c>
      <c r="I2751" s="340" t="str">
        <f t="shared" si="114"/>
        <v>Pesado de Passageiros M3: III : Gasóleo : E4</v>
      </c>
      <c r="J2751" s="125">
        <v>51</v>
      </c>
      <c r="K2751" s="264">
        <v>2022</v>
      </c>
      <c r="L2751" s="85">
        <v>10353.530000000001</v>
      </c>
      <c r="M2751" s="85" t="s">
        <v>630</v>
      </c>
      <c r="N2751" s="128">
        <v>31116</v>
      </c>
      <c r="O2751" s="128">
        <f t="shared" si="113"/>
        <v>1586916</v>
      </c>
      <c r="Q2751" t="s">
        <v>47</v>
      </c>
      <c r="R2751" s="220" t="s">
        <v>1888</v>
      </c>
      <c r="S2751" s="220" t="s">
        <v>1861</v>
      </c>
      <c r="T2751" t="s">
        <v>3815</v>
      </c>
      <c r="U2751" t="s">
        <v>1972</v>
      </c>
      <c r="V2751" t="s">
        <v>2832</v>
      </c>
    </row>
    <row r="2752" spans="1:22" ht="15.75" thickBot="1" x14ac:dyDescent="0.3">
      <c r="A2752" t="s">
        <v>4701</v>
      </c>
      <c r="B2752" t="s">
        <v>4701</v>
      </c>
      <c r="C2752" t="s">
        <v>4701</v>
      </c>
      <c r="D2752" s="83" t="s">
        <v>629</v>
      </c>
      <c r="E2752" s="262" t="s">
        <v>1853</v>
      </c>
      <c r="F2752" s="124" t="s">
        <v>620</v>
      </c>
      <c r="G2752" s="130">
        <v>2017</v>
      </c>
      <c r="H2752" s="125" t="s">
        <v>733</v>
      </c>
      <c r="I2752" s="340" t="str">
        <f t="shared" si="114"/>
        <v>Pesado de Passageiros M3: III : Gasóleo : E6</v>
      </c>
      <c r="J2752" s="125">
        <v>39</v>
      </c>
      <c r="K2752" s="264">
        <v>2022</v>
      </c>
      <c r="L2752" s="85">
        <v>6189.4299999999994</v>
      </c>
      <c r="M2752" s="85" t="s">
        <v>630</v>
      </c>
      <c r="N2752" s="128">
        <v>29911</v>
      </c>
      <c r="O2752" s="128">
        <f t="shared" si="113"/>
        <v>1166529</v>
      </c>
      <c r="Q2752" t="s">
        <v>47</v>
      </c>
      <c r="R2752" s="220" t="s">
        <v>1888</v>
      </c>
      <c r="S2752" s="220" t="s">
        <v>1861</v>
      </c>
      <c r="T2752" t="s">
        <v>3816</v>
      </c>
      <c r="U2752" t="s">
        <v>1972</v>
      </c>
      <c r="V2752" t="s">
        <v>2832</v>
      </c>
    </row>
    <row r="2753" spans="1:22" ht="15.75" thickBot="1" x14ac:dyDescent="0.3">
      <c r="A2753" t="s">
        <v>4701</v>
      </c>
      <c r="B2753" t="s">
        <v>4701</v>
      </c>
      <c r="C2753" t="s">
        <v>4701</v>
      </c>
      <c r="D2753" s="83" t="s">
        <v>629</v>
      </c>
      <c r="E2753" s="262" t="s">
        <v>1853</v>
      </c>
      <c r="F2753" s="124" t="s">
        <v>620</v>
      </c>
      <c r="G2753" s="130">
        <v>2008</v>
      </c>
      <c r="H2753" s="125" t="s">
        <v>731</v>
      </c>
      <c r="I2753" s="340" t="str">
        <f t="shared" si="114"/>
        <v>Pesado de Passageiros M3: III : Gasóleo : E4</v>
      </c>
      <c r="J2753" s="125">
        <v>49</v>
      </c>
      <c r="K2753" s="264">
        <v>2022</v>
      </c>
      <c r="L2753" s="85">
        <v>5867.36</v>
      </c>
      <c r="M2753" s="85" t="s">
        <v>630</v>
      </c>
      <c r="N2753" s="128">
        <v>34874</v>
      </c>
      <c r="O2753" s="128">
        <f t="shared" si="113"/>
        <v>1708826</v>
      </c>
      <c r="Q2753" t="s">
        <v>47</v>
      </c>
      <c r="R2753" s="220" t="s">
        <v>1888</v>
      </c>
      <c r="S2753" s="220" t="s">
        <v>1861</v>
      </c>
      <c r="T2753" t="s">
        <v>3817</v>
      </c>
      <c r="U2753" t="s">
        <v>1972</v>
      </c>
      <c r="V2753" t="s">
        <v>2832</v>
      </c>
    </row>
    <row r="2754" spans="1:22" ht="15.75" thickBot="1" x14ac:dyDescent="0.3">
      <c r="A2754" t="s">
        <v>4701</v>
      </c>
      <c r="B2754" t="s">
        <v>4701</v>
      </c>
      <c r="C2754" t="s">
        <v>4701</v>
      </c>
      <c r="D2754" s="83" t="s">
        <v>623</v>
      </c>
      <c r="E2754" s="262" t="s">
        <v>2250</v>
      </c>
      <c r="F2754" s="124" t="s">
        <v>620</v>
      </c>
      <c r="G2754" s="130">
        <v>2017</v>
      </c>
      <c r="H2754" s="125" t="s">
        <v>733</v>
      </c>
      <c r="I2754" s="340" t="str">
        <f t="shared" si="114"/>
        <v>Ligeiro de Passageiros M1: Geral : Gasóleo : E6</v>
      </c>
      <c r="J2754" s="125">
        <v>24</v>
      </c>
      <c r="K2754" s="264">
        <v>2022</v>
      </c>
      <c r="L2754" s="85">
        <v>5313.88</v>
      </c>
      <c r="M2754" s="85" t="s">
        <v>630</v>
      </c>
      <c r="N2754" s="128">
        <v>48649</v>
      </c>
      <c r="O2754" s="128">
        <f t="shared" si="113"/>
        <v>1167576</v>
      </c>
      <c r="Q2754" t="s">
        <v>47</v>
      </c>
      <c r="R2754" s="220" t="s">
        <v>1888</v>
      </c>
      <c r="S2754" s="220" t="s">
        <v>1861</v>
      </c>
      <c r="T2754" t="s">
        <v>3818</v>
      </c>
      <c r="U2754" t="s">
        <v>1972</v>
      </c>
      <c r="V2754" t="s">
        <v>2832</v>
      </c>
    </row>
    <row r="2755" spans="1:22" ht="15.75" thickBot="1" x14ac:dyDescent="0.3">
      <c r="A2755" t="s">
        <v>4701</v>
      </c>
      <c r="B2755" t="s">
        <v>4701</v>
      </c>
      <c r="C2755" t="s">
        <v>4701</v>
      </c>
      <c r="D2755" s="83" t="s">
        <v>623</v>
      </c>
      <c r="E2755" s="262" t="s">
        <v>2250</v>
      </c>
      <c r="F2755" s="124" t="s">
        <v>620</v>
      </c>
      <c r="G2755" s="130">
        <v>2018</v>
      </c>
      <c r="H2755" s="125" t="s">
        <v>733</v>
      </c>
      <c r="I2755" s="340" t="str">
        <f t="shared" si="114"/>
        <v>Ligeiro de Passageiros M1: Geral : Gasóleo : E6</v>
      </c>
      <c r="J2755" s="125">
        <v>24</v>
      </c>
      <c r="K2755" s="264">
        <v>2022</v>
      </c>
      <c r="L2755" s="85">
        <v>4566.4100000000008</v>
      </c>
      <c r="M2755" s="85" t="s">
        <v>630</v>
      </c>
      <c r="N2755" s="128">
        <v>45358</v>
      </c>
      <c r="O2755" s="128">
        <f t="shared" si="113"/>
        <v>1088592</v>
      </c>
      <c r="Q2755" t="s">
        <v>47</v>
      </c>
      <c r="R2755" s="220" t="s">
        <v>1888</v>
      </c>
      <c r="S2755" s="220" t="s">
        <v>1861</v>
      </c>
      <c r="T2755" t="s">
        <v>3819</v>
      </c>
      <c r="U2755" t="s">
        <v>1972</v>
      </c>
      <c r="V2755" t="s">
        <v>2832</v>
      </c>
    </row>
    <row r="2756" spans="1:22" ht="15.75" thickBot="1" x14ac:dyDescent="0.3">
      <c r="A2756" t="s">
        <v>4701</v>
      </c>
      <c r="B2756" t="s">
        <v>4701</v>
      </c>
      <c r="C2756" t="s">
        <v>4701</v>
      </c>
      <c r="D2756" s="83" t="s">
        <v>623</v>
      </c>
      <c r="E2756" s="262" t="s">
        <v>2250</v>
      </c>
      <c r="F2756" s="124" t="s">
        <v>620</v>
      </c>
      <c r="G2756" s="130">
        <v>2015</v>
      </c>
      <c r="H2756" s="125" t="s">
        <v>733</v>
      </c>
      <c r="I2756" s="340" t="str">
        <f t="shared" si="114"/>
        <v>Ligeiro de Passageiros M1: Geral : Gasóleo : E6</v>
      </c>
      <c r="J2756" s="125">
        <v>8</v>
      </c>
      <c r="K2756" s="264">
        <v>2022</v>
      </c>
      <c r="L2756" s="85">
        <v>4076.9199999999996</v>
      </c>
      <c r="M2756" s="85" t="s">
        <v>630</v>
      </c>
      <c r="N2756" s="128">
        <v>45205</v>
      </c>
      <c r="O2756" s="128">
        <f t="shared" si="113"/>
        <v>361640</v>
      </c>
      <c r="Q2756" t="s">
        <v>47</v>
      </c>
      <c r="R2756" s="220" t="s">
        <v>1888</v>
      </c>
      <c r="S2756" s="220" t="s">
        <v>1861</v>
      </c>
      <c r="T2756" t="s">
        <v>3820</v>
      </c>
      <c r="U2756" t="s">
        <v>1972</v>
      </c>
      <c r="V2756" t="s">
        <v>2832</v>
      </c>
    </row>
    <row r="2757" spans="1:22" ht="15.75" thickBot="1" x14ac:dyDescent="0.3">
      <c r="A2757" t="s">
        <v>4701</v>
      </c>
      <c r="B2757" t="s">
        <v>4701</v>
      </c>
      <c r="C2757" t="s">
        <v>4701</v>
      </c>
      <c r="D2757" s="83" t="s">
        <v>623</v>
      </c>
      <c r="E2757" s="262" t="s">
        <v>2250</v>
      </c>
      <c r="F2757" s="124" t="s">
        <v>620</v>
      </c>
      <c r="G2757" s="130">
        <v>2015</v>
      </c>
      <c r="H2757" s="125" t="s">
        <v>733</v>
      </c>
      <c r="I2757" s="340" t="str">
        <f t="shared" si="114"/>
        <v>Ligeiro de Passageiros M1: Geral : Gasóleo : E6</v>
      </c>
      <c r="J2757" s="125">
        <v>4</v>
      </c>
      <c r="K2757" s="264">
        <v>2022</v>
      </c>
      <c r="L2757" s="85">
        <v>2835.68</v>
      </c>
      <c r="M2757" s="85" t="s">
        <v>630</v>
      </c>
      <c r="N2757" s="128">
        <v>37224</v>
      </c>
      <c r="O2757" s="128">
        <f t="shared" si="113"/>
        <v>148896</v>
      </c>
      <c r="Q2757" t="s">
        <v>47</v>
      </c>
      <c r="R2757" s="220" t="s">
        <v>1888</v>
      </c>
      <c r="S2757" s="220" t="s">
        <v>1861</v>
      </c>
      <c r="T2757" t="s">
        <v>3821</v>
      </c>
      <c r="U2757" t="s">
        <v>1972</v>
      </c>
      <c r="V2757" t="s">
        <v>2832</v>
      </c>
    </row>
    <row r="2758" spans="1:22" ht="15.75" thickBot="1" x14ac:dyDescent="0.3">
      <c r="A2758" t="s">
        <v>4701</v>
      </c>
      <c r="B2758" t="s">
        <v>4701</v>
      </c>
      <c r="C2758" t="s">
        <v>4701</v>
      </c>
      <c r="D2758" s="83" t="s">
        <v>623</v>
      </c>
      <c r="E2758" s="262" t="s">
        <v>2250</v>
      </c>
      <c r="F2758" s="124" t="s">
        <v>620</v>
      </c>
      <c r="G2758" s="130">
        <v>2017</v>
      </c>
      <c r="H2758" s="125" t="s">
        <v>733</v>
      </c>
      <c r="I2758" s="340" t="str">
        <f t="shared" si="114"/>
        <v>Ligeiro de Passageiros M1: Geral : Gasóleo : E6</v>
      </c>
      <c r="J2758" s="125">
        <v>4</v>
      </c>
      <c r="K2758" s="264">
        <v>2022</v>
      </c>
      <c r="L2758" s="85">
        <v>5198.2400000000007</v>
      </c>
      <c r="M2758" s="85" t="s">
        <v>630</v>
      </c>
      <c r="N2758" s="128">
        <v>66003</v>
      </c>
      <c r="O2758" s="128">
        <f t="shared" si="113"/>
        <v>264012</v>
      </c>
      <c r="Q2758" t="s">
        <v>47</v>
      </c>
      <c r="R2758" s="220" t="s">
        <v>1888</v>
      </c>
      <c r="S2758" s="220" t="s">
        <v>1861</v>
      </c>
      <c r="T2758" t="s">
        <v>3822</v>
      </c>
      <c r="U2758" t="s">
        <v>1972</v>
      </c>
      <c r="V2758" t="s">
        <v>2832</v>
      </c>
    </row>
    <row r="2759" spans="1:22" ht="15.75" thickBot="1" x14ac:dyDescent="0.3">
      <c r="A2759" t="s">
        <v>4701</v>
      </c>
      <c r="B2759" t="s">
        <v>4701</v>
      </c>
      <c r="C2759" t="s">
        <v>4701</v>
      </c>
      <c r="D2759" s="83" t="s">
        <v>623</v>
      </c>
      <c r="E2759" s="262" t="s">
        <v>2250</v>
      </c>
      <c r="F2759" s="124" t="s">
        <v>620</v>
      </c>
      <c r="G2759" s="130">
        <v>2017</v>
      </c>
      <c r="H2759" s="125" t="s">
        <v>733</v>
      </c>
      <c r="I2759" s="340" t="str">
        <f t="shared" si="114"/>
        <v>Ligeiro de Passageiros M1: Geral : Gasóleo : E6</v>
      </c>
      <c r="J2759" s="125">
        <v>8</v>
      </c>
      <c r="K2759" s="264">
        <v>2022</v>
      </c>
      <c r="L2759" s="85">
        <v>7032.34</v>
      </c>
      <c r="M2759" s="85" t="s">
        <v>630</v>
      </c>
      <c r="N2759" s="128">
        <v>85831</v>
      </c>
      <c r="O2759" s="128">
        <f t="shared" si="113"/>
        <v>686648</v>
      </c>
      <c r="Q2759" t="s">
        <v>47</v>
      </c>
      <c r="R2759" s="220" t="s">
        <v>1888</v>
      </c>
      <c r="S2759" s="220" t="s">
        <v>1861</v>
      </c>
      <c r="T2759" t="s">
        <v>3823</v>
      </c>
      <c r="U2759" t="s">
        <v>1972</v>
      </c>
      <c r="V2759" t="s">
        <v>2832</v>
      </c>
    </row>
    <row r="2760" spans="1:22" ht="15.75" thickBot="1" x14ac:dyDescent="0.3">
      <c r="A2760" t="s">
        <v>4701</v>
      </c>
      <c r="B2760" t="s">
        <v>4701</v>
      </c>
      <c r="C2760" t="s">
        <v>4701</v>
      </c>
      <c r="D2760" s="83" t="s">
        <v>623</v>
      </c>
      <c r="E2760" s="262" t="s">
        <v>2250</v>
      </c>
      <c r="F2760" s="124" t="s">
        <v>620</v>
      </c>
      <c r="G2760" s="130">
        <v>2017</v>
      </c>
      <c r="H2760" s="125" t="s">
        <v>733</v>
      </c>
      <c r="I2760" s="340" t="str">
        <f t="shared" si="114"/>
        <v>Ligeiro de Passageiros M1: Geral : Gasóleo : E6</v>
      </c>
      <c r="J2760" s="125">
        <v>8</v>
      </c>
      <c r="K2760" s="264">
        <v>2022</v>
      </c>
      <c r="L2760" s="85">
        <v>818.78000000000009</v>
      </c>
      <c r="M2760" s="85" t="s">
        <v>630</v>
      </c>
      <c r="N2760" s="128">
        <v>9632</v>
      </c>
      <c r="O2760" s="128">
        <f t="shared" si="113"/>
        <v>77056</v>
      </c>
      <c r="Q2760" t="s">
        <v>47</v>
      </c>
      <c r="R2760" s="220" t="s">
        <v>1888</v>
      </c>
      <c r="S2760" s="220" t="s">
        <v>1861</v>
      </c>
      <c r="T2760" t="s">
        <v>3824</v>
      </c>
      <c r="U2760" t="s">
        <v>1972</v>
      </c>
      <c r="V2760" t="s">
        <v>2832</v>
      </c>
    </row>
    <row r="2761" spans="1:22" ht="15.75" thickBot="1" x14ac:dyDescent="0.3">
      <c r="A2761" t="s">
        <v>4701</v>
      </c>
      <c r="B2761" t="s">
        <v>4701</v>
      </c>
      <c r="C2761" t="s">
        <v>4701</v>
      </c>
      <c r="D2761" s="83" t="s">
        <v>623</v>
      </c>
      <c r="E2761" s="262" t="s">
        <v>2250</v>
      </c>
      <c r="F2761" s="124" t="s">
        <v>620</v>
      </c>
      <c r="G2761" s="130">
        <v>2018</v>
      </c>
      <c r="H2761" s="125" t="s">
        <v>733</v>
      </c>
      <c r="I2761" s="340" t="str">
        <f t="shared" si="114"/>
        <v>Ligeiro de Passageiros M1: Geral : Gasóleo : E6</v>
      </c>
      <c r="J2761" s="125">
        <v>8</v>
      </c>
      <c r="K2761" s="264">
        <v>2022</v>
      </c>
      <c r="L2761" s="85">
        <v>6500.52</v>
      </c>
      <c r="M2761" s="85" t="s">
        <v>630</v>
      </c>
      <c r="N2761" s="128">
        <v>83940</v>
      </c>
      <c r="O2761" s="128">
        <f t="shared" si="113"/>
        <v>671520</v>
      </c>
      <c r="Q2761" t="s">
        <v>47</v>
      </c>
      <c r="R2761" s="220" t="s">
        <v>1888</v>
      </c>
      <c r="S2761" s="220" t="s">
        <v>1861</v>
      </c>
      <c r="T2761" t="s">
        <v>3825</v>
      </c>
      <c r="U2761" t="s">
        <v>1972</v>
      </c>
      <c r="V2761" t="s">
        <v>2832</v>
      </c>
    </row>
    <row r="2762" spans="1:22" ht="15.75" thickBot="1" x14ac:dyDescent="0.3">
      <c r="A2762" t="s">
        <v>4701</v>
      </c>
      <c r="B2762" t="s">
        <v>4701</v>
      </c>
      <c r="C2762" t="s">
        <v>4701</v>
      </c>
      <c r="D2762" s="83" t="s">
        <v>623</v>
      </c>
      <c r="E2762" s="262" t="s">
        <v>2250</v>
      </c>
      <c r="F2762" s="124" t="s">
        <v>620</v>
      </c>
      <c r="G2762" s="130">
        <v>2019</v>
      </c>
      <c r="H2762" s="125" t="s">
        <v>733</v>
      </c>
      <c r="I2762" s="340" t="str">
        <f t="shared" si="114"/>
        <v>Ligeiro de Passageiros M1: Geral : Gasóleo : E6</v>
      </c>
      <c r="J2762" s="125">
        <v>8</v>
      </c>
      <c r="K2762" s="264">
        <v>2022</v>
      </c>
      <c r="L2762" s="85">
        <v>6851.4299999999994</v>
      </c>
      <c r="M2762" s="85" t="s">
        <v>630</v>
      </c>
      <c r="N2762" s="128">
        <v>89362</v>
      </c>
      <c r="O2762" s="128">
        <f t="shared" si="113"/>
        <v>714896</v>
      </c>
      <c r="Q2762" t="s">
        <v>47</v>
      </c>
      <c r="R2762" s="220" t="s">
        <v>1888</v>
      </c>
      <c r="S2762" s="220" t="s">
        <v>1861</v>
      </c>
      <c r="T2762" t="s">
        <v>3826</v>
      </c>
      <c r="U2762" t="s">
        <v>1972</v>
      </c>
      <c r="V2762" t="s">
        <v>2832</v>
      </c>
    </row>
    <row r="2763" spans="1:22" ht="15.75" thickBot="1" x14ac:dyDescent="0.3">
      <c r="A2763" t="s">
        <v>4701</v>
      </c>
      <c r="B2763" t="s">
        <v>4701</v>
      </c>
      <c r="C2763" t="s">
        <v>4701</v>
      </c>
      <c r="D2763" s="83" t="s">
        <v>623</v>
      </c>
      <c r="E2763" s="262" t="s">
        <v>2250</v>
      </c>
      <c r="F2763" s="124" t="s">
        <v>620</v>
      </c>
      <c r="G2763" s="130">
        <v>2019</v>
      </c>
      <c r="H2763" s="125" t="s">
        <v>733</v>
      </c>
      <c r="I2763" s="340" t="str">
        <f t="shared" si="114"/>
        <v>Ligeiro de Passageiros M1: Geral : Gasóleo : E6</v>
      </c>
      <c r="J2763" s="125">
        <v>8</v>
      </c>
      <c r="K2763" s="264">
        <v>2022</v>
      </c>
      <c r="L2763" s="85">
        <v>6829.17</v>
      </c>
      <c r="M2763" s="85" t="s">
        <v>630</v>
      </c>
      <c r="N2763" s="128">
        <v>96361</v>
      </c>
      <c r="O2763" s="128">
        <f t="shared" si="113"/>
        <v>770888</v>
      </c>
      <c r="Q2763" t="s">
        <v>47</v>
      </c>
      <c r="R2763" s="220" t="s">
        <v>1888</v>
      </c>
      <c r="S2763" s="220" t="s">
        <v>1861</v>
      </c>
      <c r="T2763" t="s">
        <v>3827</v>
      </c>
      <c r="U2763" t="s">
        <v>1972</v>
      </c>
      <c r="V2763" t="s">
        <v>2832</v>
      </c>
    </row>
    <row r="2764" spans="1:22" ht="15.75" thickBot="1" x14ac:dyDescent="0.3">
      <c r="A2764" t="s">
        <v>4701</v>
      </c>
      <c r="B2764" t="s">
        <v>4701</v>
      </c>
      <c r="C2764" t="s">
        <v>4701</v>
      </c>
      <c r="D2764" s="83" t="s">
        <v>623</v>
      </c>
      <c r="E2764" s="262" t="s">
        <v>2250</v>
      </c>
      <c r="F2764" s="124" t="s">
        <v>620</v>
      </c>
      <c r="G2764" s="130">
        <v>2019</v>
      </c>
      <c r="H2764" s="125" t="s">
        <v>733</v>
      </c>
      <c r="I2764" s="340" t="str">
        <f t="shared" si="114"/>
        <v>Ligeiro de Passageiros M1: Geral : Gasóleo : E6</v>
      </c>
      <c r="J2764" s="125">
        <v>8</v>
      </c>
      <c r="K2764" s="264">
        <v>2022</v>
      </c>
      <c r="L2764" s="85">
        <v>5495.0199999999986</v>
      </c>
      <c r="M2764" s="85" t="s">
        <v>630</v>
      </c>
      <c r="N2764" s="128">
        <v>72711</v>
      </c>
      <c r="O2764" s="128">
        <f t="shared" si="113"/>
        <v>581688</v>
      </c>
      <c r="Q2764" t="s">
        <v>47</v>
      </c>
      <c r="R2764" s="220" t="s">
        <v>1888</v>
      </c>
      <c r="S2764" s="220" t="s">
        <v>1861</v>
      </c>
      <c r="T2764" t="s">
        <v>3828</v>
      </c>
      <c r="U2764" t="s">
        <v>1972</v>
      </c>
      <c r="V2764" t="s">
        <v>2832</v>
      </c>
    </row>
    <row r="2765" spans="1:22" ht="15.75" thickBot="1" x14ac:dyDescent="0.3">
      <c r="A2765" t="s">
        <v>4701</v>
      </c>
      <c r="B2765" t="s">
        <v>4701</v>
      </c>
      <c r="C2765" t="s">
        <v>4701</v>
      </c>
      <c r="D2765" s="83" t="s">
        <v>623</v>
      </c>
      <c r="E2765" s="262" t="s">
        <v>2250</v>
      </c>
      <c r="F2765" s="124" t="s">
        <v>620</v>
      </c>
      <c r="G2765" s="130">
        <v>2019</v>
      </c>
      <c r="H2765" s="125" t="s">
        <v>733</v>
      </c>
      <c r="I2765" s="340" t="str">
        <f t="shared" si="114"/>
        <v>Ligeiro de Passageiros M1: Geral : Gasóleo : E6</v>
      </c>
      <c r="J2765" s="125">
        <v>8</v>
      </c>
      <c r="K2765" s="264">
        <v>2022</v>
      </c>
      <c r="L2765" s="85">
        <v>6137.4699999999993</v>
      </c>
      <c r="M2765" s="85" t="s">
        <v>630</v>
      </c>
      <c r="N2765" s="128">
        <v>81567</v>
      </c>
      <c r="O2765" s="128">
        <f t="shared" si="113"/>
        <v>652536</v>
      </c>
      <c r="Q2765" t="s">
        <v>47</v>
      </c>
      <c r="R2765" s="220" t="s">
        <v>1888</v>
      </c>
      <c r="S2765" s="220" t="s">
        <v>1861</v>
      </c>
      <c r="T2765" t="s">
        <v>3829</v>
      </c>
      <c r="U2765" t="s">
        <v>1972</v>
      </c>
      <c r="V2765" t="s">
        <v>2832</v>
      </c>
    </row>
    <row r="2766" spans="1:22" ht="15.75" thickBot="1" x14ac:dyDescent="0.3">
      <c r="A2766" t="s">
        <v>4701</v>
      </c>
      <c r="B2766" t="s">
        <v>4701</v>
      </c>
      <c r="C2766" t="s">
        <v>4701</v>
      </c>
      <c r="D2766" s="83" t="s">
        <v>623</v>
      </c>
      <c r="E2766" s="262" t="s">
        <v>2250</v>
      </c>
      <c r="F2766" s="124" t="s">
        <v>620</v>
      </c>
      <c r="G2766" s="130">
        <v>2019</v>
      </c>
      <c r="H2766" s="125" t="s">
        <v>733</v>
      </c>
      <c r="I2766" s="340" t="str">
        <f t="shared" si="114"/>
        <v>Ligeiro de Passageiros M1: Geral : Gasóleo : E6</v>
      </c>
      <c r="J2766" s="125">
        <v>8</v>
      </c>
      <c r="K2766" s="264">
        <v>2022</v>
      </c>
      <c r="L2766" s="85">
        <v>5249.54</v>
      </c>
      <c r="M2766" s="85" t="s">
        <v>630</v>
      </c>
      <c r="N2766" s="128">
        <v>73417</v>
      </c>
      <c r="O2766" s="128">
        <f t="shared" si="113"/>
        <v>587336</v>
      </c>
      <c r="Q2766" t="s">
        <v>47</v>
      </c>
      <c r="R2766" s="220" t="s">
        <v>1888</v>
      </c>
      <c r="S2766" s="220" t="s">
        <v>1861</v>
      </c>
      <c r="T2766" t="s">
        <v>3830</v>
      </c>
      <c r="U2766" t="s">
        <v>1972</v>
      </c>
      <c r="V2766" t="s">
        <v>2832</v>
      </c>
    </row>
    <row r="2767" spans="1:22" ht="15.75" thickBot="1" x14ac:dyDescent="0.3">
      <c r="A2767" t="s">
        <v>4701</v>
      </c>
      <c r="B2767" t="s">
        <v>4701</v>
      </c>
      <c r="C2767" t="s">
        <v>4701</v>
      </c>
      <c r="D2767" s="83" t="s">
        <v>623</v>
      </c>
      <c r="E2767" s="262" t="s">
        <v>2250</v>
      </c>
      <c r="F2767" s="124" t="s">
        <v>620</v>
      </c>
      <c r="G2767" s="130">
        <v>2019</v>
      </c>
      <c r="H2767" s="125" t="s">
        <v>733</v>
      </c>
      <c r="I2767" s="340" t="str">
        <f t="shared" si="114"/>
        <v>Ligeiro de Passageiros M1: Geral : Gasóleo : E6</v>
      </c>
      <c r="J2767" s="125">
        <v>8</v>
      </c>
      <c r="K2767" s="264">
        <v>2022</v>
      </c>
      <c r="L2767" s="85">
        <v>6511.54</v>
      </c>
      <c r="M2767" s="85" t="s">
        <v>630</v>
      </c>
      <c r="N2767" s="128">
        <v>73889</v>
      </c>
      <c r="O2767" s="128">
        <f t="shared" si="113"/>
        <v>591112</v>
      </c>
      <c r="Q2767" t="s">
        <v>47</v>
      </c>
      <c r="R2767" s="220" t="s">
        <v>1888</v>
      </c>
      <c r="S2767" s="220" t="s">
        <v>1861</v>
      </c>
      <c r="T2767" t="s">
        <v>3831</v>
      </c>
      <c r="U2767" t="s">
        <v>1972</v>
      </c>
      <c r="V2767" t="s">
        <v>2832</v>
      </c>
    </row>
    <row r="2768" spans="1:22" ht="15.75" thickBot="1" x14ac:dyDescent="0.3">
      <c r="A2768" t="s">
        <v>4701</v>
      </c>
      <c r="B2768" t="s">
        <v>4701</v>
      </c>
      <c r="C2768" t="s">
        <v>4701</v>
      </c>
      <c r="D2768" s="83" t="s">
        <v>623</v>
      </c>
      <c r="E2768" s="262" t="s">
        <v>2250</v>
      </c>
      <c r="F2768" s="124" t="s">
        <v>620</v>
      </c>
      <c r="G2768" s="130">
        <v>2019</v>
      </c>
      <c r="H2768" s="125" t="s">
        <v>733</v>
      </c>
      <c r="I2768" s="340" t="str">
        <f t="shared" si="114"/>
        <v>Ligeiro de Passageiros M1: Geral : Gasóleo : E6</v>
      </c>
      <c r="J2768" s="125">
        <v>8</v>
      </c>
      <c r="K2768" s="264">
        <v>2022</v>
      </c>
      <c r="L2768" s="85">
        <v>6861.3499999999995</v>
      </c>
      <c r="M2768" s="85" t="s">
        <v>630</v>
      </c>
      <c r="N2768" s="128">
        <v>91311</v>
      </c>
      <c r="O2768" s="128">
        <f t="shared" si="113"/>
        <v>730488</v>
      </c>
      <c r="Q2768" t="s">
        <v>47</v>
      </c>
      <c r="R2768" s="220" t="s">
        <v>1888</v>
      </c>
      <c r="S2768" s="220" t="s">
        <v>1861</v>
      </c>
      <c r="T2768" t="s">
        <v>3832</v>
      </c>
      <c r="U2768" t="s">
        <v>1972</v>
      </c>
      <c r="V2768" t="s">
        <v>2832</v>
      </c>
    </row>
    <row r="2769" spans="1:22" ht="15.75" thickBot="1" x14ac:dyDescent="0.3">
      <c r="A2769" t="s">
        <v>4701</v>
      </c>
      <c r="B2769" t="s">
        <v>4701</v>
      </c>
      <c r="C2769" t="s">
        <v>4701</v>
      </c>
      <c r="D2769" s="83" t="s">
        <v>623</v>
      </c>
      <c r="E2769" s="262" t="s">
        <v>2250</v>
      </c>
      <c r="F2769" s="124" t="s">
        <v>620</v>
      </c>
      <c r="G2769" s="130">
        <v>2019</v>
      </c>
      <c r="H2769" s="125" t="s">
        <v>733</v>
      </c>
      <c r="I2769" s="340" t="str">
        <f t="shared" si="114"/>
        <v>Ligeiro de Passageiros M1: Geral : Gasóleo : E6</v>
      </c>
      <c r="J2769" s="125">
        <v>8</v>
      </c>
      <c r="K2769" s="264">
        <v>2022</v>
      </c>
      <c r="L2769" s="85">
        <v>7013.4299999999994</v>
      </c>
      <c r="M2769" s="85" t="s">
        <v>630</v>
      </c>
      <c r="N2769" s="128">
        <v>94830</v>
      </c>
      <c r="O2769" s="128">
        <f t="shared" si="113"/>
        <v>758640</v>
      </c>
      <c r="Q2769" t="s">
        <v>47</v>
      </c>
      <c r="R2769" s="220" t="s">
        <v>1888</v>
      </c>
      <c r="S2769" s="220" t="s">
        <v>1861</v>
      </c>
      <c r="T2769" t="s">
        <v>3833</v>
      </c>
      <c r="U2769" t="s">
        <v>1972</v>
      </c>
      <c r="V2769" t="s">
        <v>2832</v>
      </c>
    </row>
    <row r="2770" spans="1:22" ht="15.75" thickBot="1" x14ac:dyDescent="0.3">
      <c r="A2770" t="s">
        <v>4701</v>
      </c>
      <c r="B2770" t="s">
        <v>4701</v>
      </c>
      <c r="C2770" t="s">
        <v>4701</v>
      </c>
      <c r="D2770" s="83" t="s">
        <v>623</v>
      </c>
      <c r="E2770" s="262" t="s">
        <v>2250</v>
      </c>
      <c r="F2770" s="124" t="s">
        <v>620</v>
      </c>
      <c r="G2770" s="130">
        <v>2019</v>
      </c>
      <c r="H2770" s="125" t="s">
        <v>733</v>
      </c>
      <c r="I2770" s="340" t="str">
        <f t="shared" si="114"/>
        <v>Ligeiro de Passageiros M1: Geral : Gasóleo : E6</v>
      </c>
      <c r="J2770" s="125">
        <v>8</v>
      </c>
      <c r="K2770" s="264">
        <v>2022</v>
      </c>
      <c r="L2770" s="85">
        <v>7117.5700000000006</v>
      </c>
      <c r="M2770" s="85" t="s">
        <v>630</v>
      </c>
      <c r="N2770" s="128">
        <v>90439</v>
      </c>
      <c r="O2770" s="128">
        <f t="shared" si="113"/>
        <v>723512</v>
      </c>
      <c r="Q2770" t="s">
        <v>47</v>
      </c>
      <c r="R2770" s="220" t="s">
        <v>1888</v>
      </c>
      <c r="S2770" s="220" t="s">
        <v>1861</v>
      </c>
      <c r="T2770" t="s">
        <v>3834</v>
      </c>
      <c r="U2770" t="s">
        <v>1972</v>
      </c>
      <c r="V2770" t="s">
        <v>2832</v>
      </c>
    </row>
    <row r="2771" spans="1:22" ht="15.75" thickBot="1" x14ac:dyDescent="0.3">
      <c r="A2771" t="s">
        <v>4793</v>
      </c>
      <c r="B2771" t="s">
        <v>4793</v>
      </c>
      <c r="C2771" t="s">
        <v>4793</v>
      </c>
      <c r="D2771" s="83" t="s">
        <v>623</v>
      </c>
      <c r="E2771" s="262" t="s">
        <v>2250</v>
      </c>
      <c r="F2771" s="124" t="s">
        <v>620</v>
      </c>
      <c r="G2771" s="130">
        <v>2015</v>
      </c>
      <c r="H2771" s="125" t="s">
        <v>733</v>
      </c>
      <c r="I2771" s="340" t="str">
        <f t="shared" si="114"/>
        <v>Ligeiro de Passageiros M1: Geral : Gasóleo : E6</v>
      </c>
      <c r="J2771" s="125">
        <v>8</v>
      </c>
      <c r="K2771" s="264">
        <v>2022</v>
      </c>
      <c r="L2771" s="129">
        <v>2740.3999999999996</v>
      </c>
      <c r="M2771" s="85" t="s">
        <v>630</v>
      </c>
      <c r="N2771" s="128">
        <v>49704</v>
      </c>
      <c r="O2771" s="128">
        <f t="shared" si="113"/>
        <v>397632</v>
      </c>
      <c r="Q2771" t="s">
        <v>47</v>
      </c>
      <c r="R2771" s="220" t="s">
        <v>1888</v>
      </c>
      <c r="S2771" s="220" t="s">
        <v>1861</v>
      </c>
      <c r="T2771" t="s">
        <v>3835</v>
      </c>
      <c r="U2771" t="s">
        <v>1972</v>
      </c>
      <c r="V2771" t="s">
        <v>2832</v>
      </c>
    </row>
    <row r="2772" spans="1:22" ht="15.75" thickBot="1" x14ac:dyDescent="0.3">
      <c r="A2772" t="s">
        <v>4793</v>
      </c>
      <c r="B2772" t="s">
        <v>4793</v>
      </c>
      <c r="C2772" t="s">
        <v>4793</v>
      </c>
      <c r="D2772" s="83" t="s">
        <v>623</v>
      </c>
      <c r="E2772" s="262" t="s">
        <v>2250</v>
      </c>
      <c r="F2772" s="124" t="s">
        <v>620</v>
      </c>
      <c r="G2772" s="130">
        <v>2015</v>
      </c>
      <c r="H2772" s="125" t="s">
        <v>733</v>
      </c>
      <c r="I2772" s="340" t="str">
        <f t="shared" si="114"/>
        <v>Ligeiro de Passageiros M1: Geral : Gasóleo : E6</v>
      </c>
      <c r="J2772" s="125">
        <v>4</v>
      </c>
      <c r="K2772" s="264">
        <v>2022</v>
      </c>
      <c r="L2772" s="129">
        <v>2426.0800000000004</v>
      </c>
      <c r="M2772" s="85" t="s">
        <v>630</v>
      </c>
      <c r="N2772" s="128">
        <v>44269</v>
      </c>
      <c r="O2772" s="128">
        <f t="shared" si="113"/>
        <v>177076</v>
      </c>
      <c r="Q2772" t="s">
        <v>47</v>
      </c>
      <c r="R2772" s="220" t="s">
        <v>1888</v>
      </c>
      <c r="S2772" s="220" t="s">
        <v>1861</v>
      </c>
      <c r="T2772" t="s">
        <v>3836</v>
      </c>
      <c r="U2772" t="s">
        <v>1972</v>
      </c>
      <c r="V2772" t="s">
        <v>2832</v>
      </c>
    </row>
    <row r="2773" spans="1:22" ht="15.75" thickBot="1" x14ac:dyDescent="0.3">
      <c r="A2773" t="s">
        <v>4793</v>
      </c>
      <c r="B2773" t="s">
        <v>4793</v>
      </c>
      <c r="C2773" t="s">
        <v>4793</v>
      </c>
      <c r="D2773" s="83" t="s">
        <v>623</v>
      </c>
      <c r="E2773" s="262" t="s">
        <v>2250</v>
      </c>
      <c r="F2773" s="124" t="s">
        <v>620</v>
      </c>
      <c r="G2773" s="130">
        <v>2019</v>
      </c>
      <c r="H2773" s="125" t="s">
        <v>733</v>
      </c>
      <c r="I2773" s="340" t="str">
        <f t="shared" si="114"/>
        <v>Ligeiro de Passageiros M1: Geral : Gasóleo : E6</v>
      </c>
      <c r="J2773" s="125">
        <v>4</v>
      </c>
      <c r="K2773" s="264">
        <v>2022</v>
      </c>
      <c r="L2773" s="129">
        <v>6905.29</v>
      </c>
      <c r="M2773" s="85" t="s">
        <v>630</v>
      </c>
      <c r="N2773" s="128">
        <v>87724</v>
      </c>
      <c r="O2773" s="128">
        <f t="shared" si="113"/>
        <v>350896</v>
      </c>
      <c r="Q2773" t="s">
        <v>47</v>
      </c>
      <c r="R2773" s="220" t="s">
        <v>1888</v>
      </c>
      <c r="S2773" s="220" t="s">
        <v>1861</v>
      </c>
      <c r="T2773" t="s">
        <v>3837</v>
      </c>
      <c r="U2773" t="s">
        <v>1972</v>
      </c>
      <c r="V2773" t="s">
        <v>2832</v>
      </c>
    </row>
    <row r="2774" spans="1:22" ht="15.75" thickBot="1" x14ac:dyDescent="0.3">
      <c r="A2774" t="s">
        <v>4793</v>
      </c>
      <c r="B2774" t="s">
        <v>4793</v>
      </c>
      <c r="C2774" t="s">
        <v>4793</v>
      </c>
      <c r="D2774" s="83" t="s">
        <v>623</v>
      </c>
      <c r="E2774" s="262" t="s">
        <v>2250</v>
      </c>
      <c r="F2774" s="124" t="s">
        <v>620</v>
      </c>
      <c r="G2774" s="130">
        <v>2016</v>
      </c>
      <c r="H2774" s="125" t="s">
        <v>733</v>
      </c>
      <c r="I2774" s="340" t="str">
        <f t="shared" si="114"/>
        <v>Ligeiro de Passageiros M1: Geral : Gasóleo : E6</v>
      </c>
      <c r="J2774" s="125">
        <v>8</v>
      </c>
      <c r="K2774" s="264">
        <v>2022</v>
      </c>
      <c r="L2774" s="129">
        <v>4022.92</v>
      </c>
      <c r="M2774" s="85" t="s">
        <v>630</v>
      </c>
      <c r="N2774" s="128">
        <v>49504</v>
      </c>
      <c r="O2774" s="128">
        <f t="shared" si="113"/>
        <v>396032</v>
      </c>
      <c r="Q2774" t="s">
        <v>47</v>
      </c>
      <c r="R2774" s="220" t="s">
        <v>1888</v>
      </c>
      <c r="S2774" s="220" t="s">
        <v>1861</v>
      </c>
      <c r="T2774" t="s">
        <v>3838</v>
      </c>
      <c r="U2774" t="s">
        <v>1972</v>
      </c>
      <c r="V2774" t="s">
        <v>2832</v>
      </c>
    </row>
    <row r="2775" spans="1:22" ht="15.75" thickBot="1" x14ac:dyDescent="0.3">
      <c r="A2775" t="s">
        <v>4793</v>
      </c>
      <c r="B2775" t="s">
        <v>4793</v>
      </c>
      <c r="C2775" t="s">
        <v>4793</v>
      </c>
      <c r="D2775" s="83" t="s">
        <v>623</v>
      </c>
      <c r="E2775" s="262" t="s">
        <v>2250</v>
      </c>
      <c r="F2775" s="124" t="s">
        <v>620</v>
      </c>
      <c r="G2775" s="130">
        <v>2019</v>
      </c>
      <c r="H2775" s="125" t="s">
        <v>733</v>
      </c>
      <c r="I2775" s="340" t="str">
        <f t="shared" si="114"/>
        <v>Ligeiro de Passageiros M1: Geral : Gasóleo : E6</v>
      </c>
      <c r="J2775" s="125">
        <v>8</v>
      </c>
      <c r="K2775" s="264">
        <v>2022</v>
      </c>
      <c r="L2775" s="129">
        <v>5116.6100000000006</v>
      </c>
      <c r="M2775" s="85" t="s">
        <v>630</v>
      </c>
      <c r="N2775" s="128">
        <v>67678</v>
      </c>
      <c r="O2775" s="128">
        <f t="shared" si="113"/>
        <v>541424</v>
      </c>
      <c r="Q2775" t="s">
        <v>47</v>
      </c>
      <c r="R2775" s="220" t="s">
        <v>1888</v>
      </c>
      <c r="S2775" s="220" t="s">
        <v>1861</v>
      </c>
      <c r="T2775" t="s">
        <v>3839</v>
      </c>
      <c r="U2775" t="s">
        <v>1972</v>
      </c>
      <c r="V2775" t="s">
        <v>2832</v>
      </c>
    </row>
    <row r="2776" spans="1:22" ht="15.75" thickBot="1" x14ac:dyDescent="0.3">
      <c r="A2776" t="s">
        <v>4793</v>
      </c>
      <c r="B2776" t="s">
        <v>4793</v>
      </c>
      <c r="C2776" t="s">
        <v>4793</v>
      </c>
      <c r="D2776" s="83" t="s">
        <v>623</v>
      </c>
      <c r="E2776" s="262" t="s">
        <v>2250</v>
      </c>
      <c r="F2776" s="124" t="s">
        <v>620</v>
      </c>
      <c r="G2776" s="130">
        <v>2019</v>
      </c>
      <c r="H2776" s="125" t="s">
        <v>733</v>
      </c>
      <c r="I2776" s="340" t="str">
        <f t="shared" si="114"/>
        <v>Ligeiro de Passageiros M1: Geral : Gasóleo : E6</v>
      </c>
      <c r="J2776" s="125">
        <v>8</v>
      </c>
      <c r="K2776" s="264">
        <v>2022</v>
      </c>
      <c r="L2776" s="129">
        <v>5265.91</v>
      </c>
      <c r="M2776" s="85" t="s">
        <v>630</v>
      </c>
      <c r="N2776" s="128">
        <v>69782</v>
      </c>
      <c r="O2776" s="128">
        <f t="shared" si="113"/>
        <v>558256</v>
      </c>
      <c r="Q2776" t="s">
        <v>47</v>
      </c>
      <c r="R2776" s="220" t="s">
        <v>1888</v>
      </c>
      <c r="S2776" s="220" t="s">
        <v>1861</v>
      </c>
      <c r="T2776" t="s">
        <v>3840</v>
      </c>
      <c r="U2776" t="s">
        <v>1972</v>
      </c>
      <c r="V2776" t="s">
        <v>2832</v>
      </c>
    </row>
    <row r="2777" spans="1:22" ht="15.75" thickBot="1" x14ac:dyDescent="0.3">
      <c r="A2777" t="s">
        <v>4793</v>
      </c>
      <c r="B2777" t="s">
        <v>4793</v>
      </c>
      <c r="C2777" t="s">
        <v>4793</v>
      </c>
      <c r="D2777" s="83" t="s">
        <v>623</v>
      </c>
      <c r="E2777" s="262" t="s">
        <v>2250</v>
      </c>
      <c r="F2777" s="124" t="s">
        <v>620</v>
      </c>
      <c r="G2777" s="130">
        <v>2019</v>
      </c>
      <c r="H2777" s="125" t="s">
        <v>733</v>
      </c>
      <c r="I2777" s="340" t="str">
        <f t="shared" si="114"/>
        <v>Ligeiro de Passageiros M1: Geral : Gasóleo : E6</v>
      </c>
      <c r="J2777" s="125">
        <v>8</v>
      </c>
      <c r="K2777" s="264">
        <v>2022</v>
      </c>
      <c r="L2777" s="129">
        <v>5536.47</v>
      </c>
      <c r="M2777" s="85" t="s">
        <v>630</v>
      </c>
      <c r="N2777" s="128">
        <v>72515</v>
      </c>
      <c r="O2777" s="128">
        <f t="shared" si="113"/>
        <v>580120</v>
      </c>
      <c r="Q2777" t="s">
        <v>47</v>
      </c>
      <c r="R2777" s="220" t="s">
        <v>1888</v>
      </c>
      <c r="S2777" s="220" t="s">
        <v>1861</v>
      </c>
      <c r="T2777" t="s">
        <v>3841</v>
      </c>
      <c r="U2777" t="s">
        <v>1972</v>
      </c>
      <c r="V2777" t="s">
        <v>2832</v>
      </c>
    </row>
    <row r="2778" spans="1:22" ht="15.75" thickBot="1" x14ac:dyDescent="0.3">
      <c r="A2778" t="s">
        <v>4793</v>
      </c>
      <c r="B2778" t="s">
        <v>4793</v>
      </c>
      <c r="C2778" t="s">
        <v>4793</v>
      </c>
      <c r="D2778" s="83" t="s">
        <v>623</v>
      </c>
      <c r="E2778" s="262" t="s">
        <v>2250</v>
      </c>
      <c r="F2778" s="124" t="s">
        <v>620</v>
      </c>
      <c r="G2778" s="130">
        <v>2019</v>
      </c>
      <c r="H2778" s="125" t="s">
        <v>733</v>
      </c>
      <c r="I2778" s="340" t="str">
        <f t="shared" si="114"/>
        <v>Ligeiro de Passageiros M1: Geral : Gasóleo : E6</v>
      </c>
      <c r="J2778" s="125">
        <v>8</v>
      </c>
      <c r="K2778" s="264">
        <v>2022</v>
      </c>
      <c r="L2778" s="129">
        <v>6506.8200000000006</v>
      </c>
      <c r="M2778" s="85" t="s">
        <v>630</v>
      </c>
      <c r="N2778" s="128">
        <v>81757</v>
      </c>
      <c r="O2778" s="128">
        <f t="shared" si="113"/>
        <v>654056</v>
      </c>
      <c r="Q2778" t="s">
        <v>47</v>
      </c>
      <c r="R2778" s="220" t="s">
        <v>1888</v>
      </c>
      <c r="S2778" s="220" t="s">
        <v>1861</v>
      </c>
      <c r="T2778" t="s">
        <v>3842</v>
      </c>
      <c r="U2778" t="s">
        <v>1972</v>
      </c>
      <c r="V2778" t="s">
        <v>2832</v>
      </c>
    </row>
    <row r="2779" spans="1:22" ht="15.75" thickBot="1" x14ac:dyDescent="0.3">
      <c r="A2779" t="s">
        <v>4793</v>
      </c>
      <c r="B2779" t="s">
        <v>4793</v>
      </c>
      <c r="C2779" t="s">
        <v>4793</v>
      </c>
      <c r="D2779" s="83" t="s">
        <v>623</v>
      </c>
      <c r="E2779" s="262" t="s">
        <v>2250</v>
      </c>
      <c r="F2779" s="124" t="s">
        <v>620</v>
      </c>
      <c r="G2779" s="130">
        <v>2019</v>
      </c>
      <c r="H2779" s="125" t="s">
        <v>733</v>
      </c>
      <c r="I2779" s="340" t="str">
        <f t="shared" si="114"/>
        <v>Ligeiro de Passageiros M1: Geral : Gasóleo : E6</v>
      </c>
      <c r="J2779" s="125">
        <v>8</v>
      </c>
      <c r="K2779" s="264">
        <v>2022</v>
      </c>
      <c r="L2779" s="129">
        <v>6699.14</v>
      </c>
      <c r="M2779" s="85" t="s">
        <v>630</v>
      </c>
      <c r="N2779" s="128">
        <v>91204</v>
      </c>
      <c r="O2779" s="128">
        <f t="shared" si="113"/>
        <v>729632</v>
      </c>
      <c r="Q2779" t="s">
        <v>47</v>
      </c>
      <c r="R2779" s="220" t="s">
        <v>1888</v>
      </c>
      <c r="S2779" s="220" t="s">
        <v>1861</v>
      </c>
      <c r="T2779" t="s">
        <v>3843</v>
      </c>
      <c r="U2779" t="s">
        <v>1972</v>
      </c>
      <c r="V2779" t="s">
        <v>2832</v>
      </c>
    </row>
    <row r="2780" spans="1:22" ht="15.75" thickBot="1" x14ac:dyDescent="0.3">
      <c r="A2780" t="s">
        <v>4793</v>
      </c>
      <c r="B2780" t="s">
        <v>4793</v>
      </c>
      <c r="C2780" t="s">
        <v>4793</v>
      </c>
      <c r="D2780" s="83" t="s">
        <v>623</v>
      </c>
      <c r="E2780" s="262" t="s">
        <v>2250</v>
      </c>
      <c r="F2780" s="124" t="s">
        <v>620</v>
      </c>
      <c r="G2780" s="130">
        <v>2019</v>
      </c>
      <c r="H2780" s="125" t="s">
        <v>733</v>
      </c>
      <c r="I2780" s="340" t="str">
        <f t="shared" si="114"/>
        <v>Ligeiro de Passageiros M1: Geral : Gasóleo : E6</v>
      </c>
      <c r="J2780" s="125">
        <v>8</v>
      </c>
      <c r="K2780" s="264">
        <v>2022</v>
      </c>
      <c r="L2780" s="129">
        <v>6521.8600000000006</v>
      </c>
      <c r="M2780" s="85" t="s">
        <v>630</v>
      </c>
      <c r="N2780" s="128">
        <v>70160</v>
      </c>
      <c r="O2780" s="128">
        <f t="shared" si="113"/>
        <v>561280</v>
      </c>
      <c r="Q2780" t="s">
        <v>47</v>
      </c>
      <c r="R2780" s="220" t="s">
        <v>1888</v>
      </c>
      <c r="S2780" s="220" t="s">
        <v>1861</v>
      </c>
      <c r="T2780" t="s">
        <v>3844</v>
      </c>
      <c r="U2780" t="s">
        <v>1972</v>
      </c>
      <c r="V2780" t="s">
        <v>2832</v>
      </c>
    </row>
    <row r="2781" spans="1:22" ht="15.75" thickBot="1" x14ac:dyDescent="0.3">
      <c r="A2781" t="s">
        <v>4793</v>
      </c>
      <c r="B2781" t="s">
        <v>4793</v>
      </c>
      <c r="C2781" t="s">
        <v>4793</v>
      </c>
      <c r="D2781" s="83" t="s">
        <v>623</v>
      </c>
      <c r="E2781" s="262" t="s">
        <v>2250</v>
      </c>
      <c r="F2781" s="124" t="s">
        <v>620</v>
      </c>
      <c r="G2781" s="130">
        <v>2019</v>
      </c>
      <c r="H2781" s="125" t="s">
        <v>733</v>
      </c>
      <c r="I2781" s="340" t="str">
        <f t="shared" si="114"/>
        <v>Ligeiro de Passageiros M1: Geral : Gasóleo : E6</v>
      </c>
      <c r="J2781" s="125">
        <v>8</v>
      </c>
      <c r="K2781" s="264">
        <v>2022</v>
      </c>
      <c r="L2781" s="129">
        <v>5706.79</v>
      </c>
      <c r="M2781" s="85" t="s">
        <v>630</v>
      </c>
      <c r="N2781" s="128">
        <v>68868</v>
      </c>
      <c r="O2781" s="128">
        <f t="shared" si="113"/>
        <v>550944</v>
      </c>
      <c r="Q2781" t="s">
        <v>47</v>
      </c>
      <c r="R2781" s="220" t="s">
        <v>1888</v>
      </c>
      <c r="S2781" s="220" t="s">
        <v>1861</v>
      </c>
      <c r="T2781" t="s">
        <v>3845</v>
      </c>
      <c r="U2781" t="s">
        <v>1972</v>
      </c>
      <c r="V2781" t="s">
        <v>2832</v>
      </c>
    </row>
    <row r="2782" spans="1:22" ht="15.75" thickBot="1" x14ac:dyDescent="0.3">
      <c r="A2782" t="s">
        <v>4793</v>
      </c>
      <c r="B2782" t="s">
        <v>4793</v>
      </c>
      <c r="C2782" t="s">
        <v>4793</v>
      </c>
      <c r="D2782" s="83" t="s">
        <v>623</v>
      </c>
      <c r="E2782" s="262" t="s">
        <v>2250</v>
      </c>
      <c r="F2782" s="124" t="s">
        <v>620</v>
      </c>
      <c r="G2782" s="130">
        <v>2019</v>
      </c>
      <c r="H2782" s="125" t="s">
        <v>733</v>
      </c>
      <c r="I2782" s="340" t="str">
        <f t="shared" si="114"/>
        <v>Ligeiro de Passageiros M1: Geral : Gasóleo : E6</v>
      </c>
      <c r="J2782" s="125">
        <v>8</v>
      </c>
      <c r="K2782" s="264">
        <v>2022</v>
      </c>
      <c r="L2782" s="129">
        <v>5362.57</v>
      </c>
      <c r="M2782" s="85" t="s">
        <v>630</v>
      </c>
      <c r="N2782" s="128">
        <v>62321</v>
      </c>
      <c r="O2782" s="128">
        <f t="shared" si="113"/>
        <v>498568</v>
      </c>
      <c r="Q2782" t="s">
        <v>47</v>
      </c>
      <c r="R2782" s="220" t="s">
        <v>1888</v>
      </c>
      <c r="S2782" s="220" t="s">
        <v>1861</v>
      </c>
      <c r="T2782" t="s">
        <v>3846</v>
      </c>
      <c r="U2782" t="s">
        <v>1972</v>
      </c>
      <c r="V2782" t="s">
        <v>2832</v>
      </c>
    </row>
    <row r="2783" spans="1:22" ht="15.75" thickBot="1" x14ac:dyDescent="0.3">
      <c r="A2783" t="s">
        <v>4793</v>
      </c>
      <c r="B2783" t="s">
        <v>4793</v>
      </c>
      <c r="C2783" t="s">
        <v>4793</v>
      </c>
      <c r="D2783" s="83" t="s">
        <v>623</v>
      </c>
      <c r="E2783" s="262" t="s">
        <v>2250</v>
      </c>
      <c r="F2783" s="124" t="s">
        <v>620</v>
      </c>
      <c r="G2783" s="130">
        <v>2019</v>
      </c>
      <c r="H2783" s="125" t="s">
        <v>733</v>
      </c>
      <c r="I2783" s="340" t="str">
        <f t="shared" si="114"/>
        <v>Ligeiro de Passageiros M1: Geral : Gasóleo : E6</v>
      </c>
      <c r="J2783" s="125">
        <v>8</v>
      </c>
      <c r="K2783" s="264">
        <v>2022</v>
      </c>
      <c r="L2783" s="129">
        <v>432.38</v>
      </c>
      <c r="M2783" s="85" t="s">
        <v>630</v>
      </c>
      <c r="N2783" s="128">
        <v>5965</v>
      </c>
      <c r="O2783" s="128">
        <f t="shared" si="113"/>
        <v>47720</v>
      </c>
      <c r="Q2783" t="s">
        <v>47</v>
      </c>
      <c r="R2783" s="220" t="s">
        <v>1888</v>
      </c>
      <c r="S2783" s="220" t="s">
        <v>1861</v>
      </c>
      <c r="T2783" t="s">
        <v>3847</v>
      </c>
      <c r="U2783" t="s">
        <v>1972</v>
      </c>
      <c r="V2783" t="s">
        <v>2832</v>
      </c>
    </row>
    <row r="2784" spans="1:22" ht="15.75" thickBot="1" x14ac:dyDescent="0.3">
      <c r="A2784" t="s">
        <v>4793</v>
      </c>
      <c r="B2784" t="s">
        <v>4793</v>
      </c>
      <c r="C2784" t="s">
        <v>4793</v>
      </c>
      <c r="D2784" s="83" t="s">
        <v>623</v>
      </c>
      <c r="E2784" s="262" t="s">
        <v>2250</v>
      </c>
      <c r="F2784" s="124" t="s">
        <v>620</v>
      </c>
      <c r="G2784" s="130">
        <v>2019</v>
      </c>
      <c r="H2784" s="125" t="s">
        <v>733</v>
      </c>
      <c r="I2784" s="340" t="str">
        <f t="shared" si="114"/>
        <v>Ligeiro de Passageiros M1: Geral : Gasóleo : E6</v>
      </c>
      <c r="J2784" s="125">
        <v>8</v>
      </c>
      <c r="K2784" s="264">
        <v>2022</v>
      </c>
      <c r="L2784" s="129">
        <v>5807.17</v>
      </c>
      <c r="M2784" s="85" t="s">
        <v>630</v>
      </c>
      <c r="N2784" s="128">
        <v>71005</v>
      </c>
      <c r="O2784" s="128">
        <f t="shared" si="113"/>
        <v>568040</v>
      </c>
      <c r="Q2784" t="s">
        <v>47</v>
      </c>
      <c r="R2784" s="220" t="s">
        <v>1888</v>
      </c>
      <c r="S2784" s="220" t="s">
        <v>1861</v>
      </c>
      <c r="T2784" t="s">
        <v>3848</v>
      </c>
      <c r="U2784" t="s">
        <v>1972</v>
      </c>
      <c r="V2784" t="s">
        <v>2832</v>
      </c>
    </row>
    <row r="2785" spans="1:22" ht="15.75" thickBot="1" x14ac:dyDescent="0.3">
      <c r="A2785" t="s">
        <v>4793</v>
      </c>
      <c r="B2785" t="s">
        <v>4793</v>
      </c>
      <c r="C2785" t="s">
        <v>4793</v>
      </c>
      <c r="D2785" s="83" t="s">
        <v>623</v>
      </c>
      <c r="E2785" s="262" t="s">
        <v>2250</v>
      </c>
      <c r="F2785" s="124" t="s">
        <v>620</v>
      </c>
      <c r="G2785" s="130">
        <v>2019</v>
      </c>
      <c r="H2785" s="125" t="s">
        <v>733</v>
      </c>
      <c r="I2785" s="340" t="str">
        <f t="shared" si="114"/>
        <v>Ligeiro de Passageiros M1: Geral : Gasóleo : E6</v>
      </c>
      <c r="J2785" s="125">
        <v>8</v>
      </c>
      <c r="K2785" s="264">
        <v>2022</v>
      </c>
      <c r="L2785" s="129">
        <v>4710.09</v>
      </c>
      <c r="M2785" s="85" t="s">
        <v>630</v>
      </c>
      <c r="N2785" s="128">
        <v>66412</v>
      </c>
      <c r="O2785" s="128">
        <f t="shared" si="113"/>
        <v>531296</v>
      </c>
      <c r="Q2785" t="s">
        <v>47</v>
      </c>
      <c r="R2785" s="220" t="s">
        <v>1888</v>
      </c>
      <c r="S2785" s="220" t="s">
        <v>1861</v>
      </c>
      <c r="T2785" t="s">
        <v>3849</v>
      </c>
      <c r="U2785" t="s">
        <v>1972</v>
      </c>
      <c r="V2785" t="s">
        <v>2832</v>
      </c>
    </row>
    <row r="2786" spans="1:22" ht="15.75" thickBot="1" x14ac:dyDescent="0.3">
      <c r="A2786" t="s">
        <v>4793</v>
      </c>
      <c r="B2786" t="s">
        <v>4793</v>
      </c>
      <c r="C2786" t="s">
        <v>4793</v>
      </c>
      <c r="D2786" s="83" t="s">
        <v>623</v>
      </c>
      <c r="E2786" s="262" t="s">
        <v>2250</v>
      </c>
      <c r="F2786" s="124" t="s">
        <v>620</v>
      </c>
      <c r="G2786" s="130">
        <v>2019</v>
      </c>
      <c r="H2786" s="125" t="s">
        <v>733</v>
      </c>
      <c r="I2786" s="340" t="str">
        <f t="shared" si="114"/>
        <v>Ligeiro de Passageiros M1: Geral : Gasóleo : E6</v>
      </c>
      <c r="J2786" s="125">
        <v>8</v>
      </c>
      <c r="K2786" s="264">
        <v>2022</v>
      </c>
      <c r="L2786" s="129">
        <v>6360.7699999999995</v>
      </c>
      <c r="M2786" s="85" t="s">
        <v>630</v>
      </c>
      <c r="N2786" s="128">
        <v>79232</v>
      </c>
      <c r="O2786" s="128">
        <f t="shared" si="113"/>
        <v>633856</v>
      </c>
      <c r="Q2786" t="s">
        <v>47</v>
      </c>
      <c r="R2786" s="220" t="s">
        <v>1888</v>
      </c>
      <c r="S2786" s="220" t="s">
        <v>1861</v>
      </c>
      <c r="T2786" t="s">
        <v>3850</v>
      </c>
      <c r="U2786" t="s">
        <v>1972</v>
      </c>
      <c r="V2786" t="s">
        <v>2832</v>
      </c>
    </row>
    <row r="2787" spans="1:22" ht="15.75" thickBot="1" x14ac:dyDescent="0.3">
      <c r="A2787" t="s">
        <v>4793</v>
      </c>
      <c r="B2787" t="s">
        <v>4793</v>
      </c>
      <c r="C2787" t="s">
        <v>4793</v>
      </c>
      <c r="D2787" s="83" t="s">
        <v>623</v>
      </c>
      <c r="E2787" s="262" t="s">
        <v>2250</v>
      </c>
      <c r="F2787" s="124" t="s">
        <v>620</v>
      </c>
      <c r="G2787" s="130">
        <v>2019</v>
      </c>
      <c r="H2787" s="125" t="s">
        <v>733</v>
      </c>
      <c r="I2787" s="340" t="str">
        <f t="shared" si="114"/>
        <v>Ligeiro de Passageiros M1: Geral : Gasóleo : E6</v>
      </c>
      <c r="J2787" s="125">
        <v>8</v>
      </c>
      <c r="K2787" s="264">
        <v>2022</v>
      </c>
      <c r="L2787" s="129">
        <v>7461.8899999999994</v>
      </c>
      <c r="M2787" s="85" t="s">
        <v>630</v>
      </c>
      <c r="N2787" s="128">
        <v>91919</v>
      </c>
      <c r="O2787" s="128">
        <f t="shared" si="113"/>
        <v>735352</v>
      </c>
      <c r="Q2787" t="s">
        <v>47</v>
      </c>
      <c r="R2787" s="220" t="s">
        <v>1888</v>
      </c>
      <c r="S2787" s="220" t="s">
        <v>1861</v>
      </c>
      <c r="T2787" t="s">
        <v>3851</v>
      </c>
      <c r="U2787" t="s">
        <v>1972</v>
      </c>
      <c r="V2787" t="s">
        <v>2832</v>
      </c>
    </row>
    <row r="2788" spans="1:22" ht="15.75" thickBot="1" x14ac:dyDescent="0.3">
      <c r="A2788" t="s">
        <v>4793</v>
      </c>
      <c r="B2788" t="s">
        <v>4793</v>
      </c>
      <c r="C2788" t="s">
        <v>4793</v>
      </c>
      <c r="D2788" s="83" t="s">
        <v>623</v>
      </c>
      <c r="E2788" s="262" t="s">
        <v>2250</v>
      </c>
      <c r="F2788" s="124" t="s">
        <v>620</v>
      </c>
      <c r="G2788" s="130">
        <v>2019</v>
      </c>
      <c r="H2788" s="125" t="s">
        <v>733</v>
      </c>
      <c r="I2788" s="340" t="str">
        <f t="shared" si="114"/>
        <v>Ligeiro de Passageiros M1: Geral : Gasóleo : E6</v>
      </c>
      <c r="J2788" s="125">
        <v>8</v>
      </c>
      <c r="K2788" s="264">
        <v>2022</v>
      </c>
      <c r="L2788" s="129">
        <v>6648.5000000000009</v>
      </c>
      <c r="M2788" s="85" t="s">
        <v>630</v>
      </c>
      <c r="N2788" s="128">
        <v>80285</v>
      </c>
      <c r="O2788" s="128">
        <f t="shared" si="113"/>
        <v>642280</v>
      </c>
      <c r="Q2788" t="s">
        <v>47</v>
      </c>
      <c r="R2788" s="220" t="s">
        <v>1888</v>
      </c>
      <c r="S2788" s="220" t="s">
        <v>1861</v>
      </c>
      <c r="T2788" t="s">
        <v>3852</v>
      </c>
      <c r="U2788" t="s">
        <v>1972</v>
      </c>
      <c r="V2788" t="s">
        <v>2832</v>
      </c>
    </row>
    <row r="2789" spans="1:22" ht="15.75" thickBot="1" x14ac:dyDescent="0.3">
      <c r="A2789" t="s">
        <v>4793</v>
      </c>
      <c r="B2789" t="s">
        <v>4793</v>
      </c>
      <c r="C2789" t="s">
        <v>4793</v>
      </c>
      <c r="D2789" s="83" t="s">
        <v>623</v>
      </c>
      <c r="E2789" s="262" t="s">
        <v>2250</v>
      </c>
      <c r="F2789" s="124" t="s">
        <v>620</v>
      </c>
      <c r="G2789" s="130">
        <v>2019</v>
      </c>
      <c r="H2789" s="125" t="s">
        <v>733</v>
      </c>
      <c r="I2789" s="340" t="str">
        <f t="shared" si="114"/>
        <v>Ligeiro de Passageiros M1: Geral : Gasóleo : E6</v>
      </c>
      <c r="J2789" s="125">
        <v>8</v>
      </c>
      <c r="K2789" s="264">
        <v>2022</v>
      </c>
      <c r="L2789" s="129">
        <v>465.48</v>
      </c>
      <c r="M2789" s="85" t="s">
        <v>630</v>
      </c>
      <c r="N2789" s="128">
        <v>6139</v>
      </c>
      <c r="O2789" s="128">
        <f t="shared" si="113"/>
        <v>49112</v>
      </c>
      <c r="Q2789" t="s">
        <v>47</v>
      </c>
      <c r="R2789" s="220" t="s">
        <v>1888</v>
      </c>
      <c r="S2789" s="220" t="s">
        <v>1861</v>
      </c>
      <c r="T2789" t="s">
        <v>3853</v>
      </c>
      <c r="U2789" t="s">
        <v>1972</v>
      </c>
      <c r="V2789" t="s">
        <v>2832</v>
      </c>
    </row>
    <row r="2790" spans="1:22" ht="15.75" thickBot="1" x14ac:dyDescent="0.3">
      <c r="A2790" t="s">
        <v>4793</v>
      </c>
      <c r="B2790" t="s">
        <v>4793</v>
      </c>
      <c r="C2790" t="s">
        <v>4793</v>
      </c>
      <c r="D2790" s="83" t="s">
        <v>623</v>
      </c>
      <c r="E2790" s="262" t="s">
        <v>2250</v>
      </c>
      <c r="F2790" s="124" t="s">
        <v>620</v>
      </c>
      <c r="G2790" s="130">
        <v>2019</v>
      </c>
      <c r="H2790" s="125" t="s">
        <v>733</v>
      </c>
      <c r="I2790" s="340" t="str">
        <f t="shared" si="114"/>
        <v>Ligeiro de Passageiros M1: Geral : Gasóleo : E6</v>
      </c>
      <c r="J2790" s="125">
        <v>8</v>
      </c>
      <c r="K2790" s="264">
        <v>2022</v>
      </c>
      <c r="L2790" s="129">
        <v>5383.95</v>
      </c>
      <c r="M2790" s="85" t="s">
        <v>630</v>
      </c>
      <c r="N2790" s="128">
        <v>69944</v>
      </c>
      <c r="O2790" s="128">
        <f t="shared" si="113"/>
        <v>559552</v>
      </c>
      <c r="Q2790" t="s">
        <v>47</v>
      </c>
      <c r="R2790" s="220" t="s">
        <v>1888</v>
      </c>
      <c r="S2790" s="220" t="s">
        <v>1861</v>
      </c>
      <c r="T2790" t="s">
        <v>3854</v>
      </c>
      <c r="U2790" t="s">
        <v>1972</v>
      </c>
      <c r="V2790" t="s">
        <v>2832</v>
      </c>
    </row>
    <row r="2791" spans="1:22" ht="15.75" thickBot="1" x14ac:dyDescent="0.3">
      <c r="A2791" t="s">
        <v>4793</v>
      </c>
      <c r="B2791" t="s">
        <v>4793</v>
      </c>
      <c r="C2791" t="s">
        <v>4793</v>
      </c>
      <c r="D2791" s="83" t="s">
        <v>623</v>
      </c>
      <c r="E2791" s="262" t="s">
        <v>2250</v>
      </c>
      <c r="F2791" s="124" t="s">
        <v>620</v>
      </c>
      <c r="G2791" s="130">
        <v>2019</v>
      </c>
      <c r="H2791" s="125" t="s">
        <v>733</v>
      </c>
      <c r="I2791" s="340" t="str">
        <f t="shared" si="114"/>
        <v>Ligeiro de Passageiros M1: Geral : Gasóleo : E6</v>
      </c>
      <c r="J2791" s="125">
        <v>8</v>
      </c>
      <c r="K2791" s="264">
        <v>2022</v>
      </c>
      <c r="L2791" s="129">
        <v>565.97</v>
      </c>
      <c r="M2791" s="85" t="s">
        <v>630</v>
      </c>
      <c r="N2791" s="128">
        <v>7531</v>
      </c>
      <c r="O2791" s="128">
        <f t="shared" si="113"/>
        <v>60248</v>
      </c>
      <c r="Q2791" t="s">
        <v>47</v>
      </c>
      <c r="R2791" s="220" t="s">
        <v>1888</v>
      </c>
      <c r="S2791" s="220" t="s">
        <v>1861</v>
      </c>
      <c r="T2791" t="s">
        <v>3855</v>
      </c>
      <c r="U2791" t="s">
        <v>1972</v>
      </c>
      <c r="V2791" t="s">
        <v>2832</v>
      </c>
    </row>
    <row r="2792" spans="1:22" ht="15.75" thickBot="1" x14ac:dyDescent="0.3">
      <c r="A2792" t="s">
        <v>4793</v>
      </c>
      <c r="B2792" t="s">
        <v>4793</v>
      </c>
      <c r="C2792" t="s">
        <v>4793</v>
      </c>
      <c r="D2792" s="83" t="s">
        <v>623</v>
      </c>
      <c r="E2792" s="262" t="s">
        <v>2250</v>
      </c>
      <c r="F2792" s="124" t="s">
        <v>620</v>
      </c>
      <c r="G2792" s="130">
        <v>2019</v>
      </c>
      <c r="H2792" s="125" t="s">
        <v>733</v>
      </c>
      <c r="I2792" s="340" t="str">
        <f t="shared" si="114"/>
        <v>Ligeiro de Passageiros M1: Geral : Gasóleo : E6</v>
      </c>
      <c r="J2792" s="125">
        <v>8</v>
      </c>
      <c r="K2792" s="264">
        <v>2022</v>
      </c>
      <c r="L2792" s="129">
        <v>4798.670000000001</v>
      </c>
      <c r="M2792" s="85" t="s">
        <v>630</v>
      </c>
      <c r="N2792" s="128">
        <v>66807</v>
      </c>
      <c r="O2792" s="128">
        <f t="shared" si="113"/>
        <v>534456</v>
      </c>
      <c r="Q2792" t="s">
        <v>47</v>
      </c>
      <c r="R2792" s="220" t="s">
        <v>1888</v>
      </c>
      <c r="S2792" s="220" t="s">
        <v>1861</v>
      </c>
      <c r="T2792" t="s">
        <v>3856</v>
      </c>
      <c r="U2792" t="s">
        <v>1972</v>
      </c>
      <c r="V2792" t="s">
        <v>2832</v>
      </c>
    </row>
    <row r="2793" spans="1:22" ht="15.75" thickBot="1" x14ac:dyDescent="0.3">
      <c r="A2793" t="s">
        <v>4793</v>
      </c>
      <c r="B2793" t="s">
        <v>4793</v>
      </c>
      <c r="C2793" t="s">
        <v>4793</v>
      </c>
      <c r="D2793" s="83" t="s">
        <v>623</v>
      </c>
      <c r="E2793" s="262" t="s">
        <v>2250</v>
      </c>
      <c r="F2793" s="124" t="s">
        <v>620</v>
      </c>
      <c r="G2793" s="130">
        <v>2019</v>
      </c>
      <c r="H2793" s="125" t="s">
        <v>733</v>
      </c>
      <c r="I2793" s="340" t="str">
        <f t="shared" si="114"/>
        <v>Ligeiro de Passageiros M1: Geral : Gasóleo : E6</v>
      </c>
      <c r="J2793" s="125">
        <v>8</v>
      </c>
      <c r="K2793" s="264">
        <v>2022</v>
      </c>
      <c r="L2793" s="129">
        <v>5517.59</v>
      </c>
      <c r="M2793" s="85" t="s">
        <v>630</v>
      </c>
      <c r="N2793" s="128">
        <v>65494</v>
      </c>
      <c r="O2793" s="128">
        <f t="shared" si="113"/>
        <v>523952</v>
      </c>
      <c r="Q2793" t="s">
        <v>47</v>
      </c>
      <c r="R2793" s="220" t="s">
        <v>1888</v>
      </c>
      <c r="S2793" s="220" t="s">
        <v>1861</v>
      </c>
      <c r="T2793" t="s">
        <v>3857</v>
      </c>
      <c r="U2793" t="s">
        <v>1972</v>
      </c>
      <c r="V2793" t="s">
        <v>2832</v>
      </c>
    </row>
    <row r="2794" spans="1:22" ht="15.75" thickBot="1" x14ac:dyDescent="0.3">
      <c r="A2794" t="s">
        <v>4793</v>
      </c>
      <c r="B2794" t="s">
        <v>4793</v>
      </c>
      <c r="C2794" t="s">
        <v>4793</v>
      </c>
      <c r="D2794" s="83" t="s">
        <v>623</v>
      </c>
      <c r="E2794" s="262" t="s">
        <v>2250</v>
      </c>
      <c r="F2794" s="124" t="s">
        <v>620</v>
      </c>
      <c r="G2794" s="130">
        <v>2019</v>
      </c>
      <c r="H2794" s="125" t="s">
        <v>733</v>
      </c>
      <c r="I2794" s="340" t="str">
        <f t="shared" si="114"/>
        <v>Ligeiro de Passageiros M1: Geral : Gasóleo : E6</v>
      </c>
      <c r="J2794" s="125">
        <v>8</v>
      </c>
      <c r="K2794" s="264">
        <v>2022</v>
      </c>
      <c r="L2794" s="129">
        <v>4082.62</v>
      </c>
      <c r="M2794" s="85" t="s">
        <v>630</v>
      </c>
      <c r="N2794" s="128">
        <v>59257</v>
      </c>
      <c r="O2794" s="128">
        <f t="shared" si="113"/>
        <v>474056</v>
      </c>
      <c r="Q2794" t="s">
        <v>47</v>
      </c>
      <c r="R2794" s="220" t="s">
        <v>1888</v>
      </c>
      <c r="S2794" s="220" t="s">
        <v>1861</v>
      </c>
      <c r="T2794" t="s">
        <v>3858</v>
      </c>
      <c r="U2794" t="s">
        <v>1972</v>
      </c>
      <c r="V2794" t="s">
        <v>2832</v>
      </c>
    </row>
    <row r="2795" spans="1:22" ht="15.75" thickBot="1" x14ac:dyDescent="0.3">
      <c r="A2795" t="s">
        <v>4793</v>
      </c>
      <c r="B2795" t="s">
        <v>4793</v>
      </c>
      <c r="C2795" t="s">
        <v>4793</v>
      </c>
      <c r="D2795" s="83" t="s">
        <v>623</v>
      </c>
      <c r="E2795" s="262" t="s">
        <v>2250</v>
      </c>
      <c r="F2795" s="124" t="s">
        <v>620</v>
      </c>
      <c r="G2795" s="130">
        <v>2019</v>
      </c>
      <c r="H2795" s="125" t="s">
        <v>733</v>
      </c>
      <c r="I2795" s="340" t="str">
        <f t="shared" si="114"/>
        <v>Ligeiro de Passageiros M1: Geral : Gasóleo : E6</v>
      </c>
      <c r="J2795" s="125">
        <v>8</v>
      </c>
      <c r="K2795" s="264">
        <v>2022</v>
      </c>
      <c r="L2795" s="129">
        <v>4782.7700000000004</v>
      </c>
      <c r="M2795" s="85" t="s">
        <v>630</v>
      </c>
      <c r="N2795" s="128">
        <v>58685</v>
      </c>
      <c r="O2795" s="128">
        <f t="shared" si="113"/>
        <v>469480</v>
      </c>
      <c r="Q2795" t="s">
        <v>47</v>
      </c>
      <c r="R2795" s="220" t="s">
        <v>1888</v>
      </c>
      <c r="S2795" s="220" t="s">
        <v>1861</v>
      </c>
      <c r="T2795" t="s">
        <v>3859</v>
      </c>
      <c r="U2795" t="s">
        <v>1972</v>
      </c>
      <c r="V2795" t="s">
        <v>2832</v>
      </c>
    </row>
    <row r="2796" spans="1:22" ht="15.75" thickBot="1" x14ac:dyDescent="0.3">
      <c r="A2796" t="s">
        <v>4793</v>
      </c>
      <c r="B2796" t="s">
        <v>4793</v>
      </c>
      <c r="C2796" t="s">
        <v>4793</v>
      </c>
      <c r="D2796" s="83" t="s">
        <v>623</v>
      </c>
      <c r="E2796" s="262" t="s">
        <v>2250</v>
      </c>
      <c r="F2796" s="124" t="s">
        <v>620</v>
      </c>
      <c r="G2796" s="130">
        <v>2019</v>
      </c>
      <c r="H2796" s="125" t="s">
        <v>733</v>
      </c>
      <c r="I2796" s="340" t="str">
        <f t="shared" si="114"/>
        <v>Ligeiro de Passageiros M1: Geral : Gasóleo : E6</v>
      </c>
      <c r="J2796" s="125">
        <v>8</v>
      </c>
      <c r="K2796" s="264">
        <v>2022</v>
      </c>
      <c r="L2796" s="129">
        <v>4653.9099999999989</v>
      </c>
      <c r="M2796" s="85" t="s">
        <v>630</v>
      </c>
      <c r="N2796" s="128">
        <v>53629</v>
      </c>
      <c r="O2796" s="128">
        <f t="shared" si="113"/>
        <v>429032</v>
      </c>
      <c r="Q2796" t="s">
        <v>47</v>
      </c>
      <c r="R2796" s="220" t="s">
        <v>1888</v>
      </c>
      <c r="S2796" s="220" t="s">
        <v>1861</v>
      </c>
      <c r="T2796" t="s">
        <v>3860</v>
      </c>
      <c r="U2796" t="s">
        <v>1972</v>
      </c>
      <c r="V2796" t="s">
        <v>2832</v>
      </c>
    </row>
    <row r="2797" spans="1:22" ht="15.75" thickBot="1" x14ac:dyDescent="0.3">
      <c r="A2797" t="s">
        <v>4793</v>
      </c>
      <c r="B2797" t="s">
        <v>4793</v>
      </c>
      <c r="C2797" t="s">
        <v>4793</v>
      </c>
      <c r="D2797" s="83" t="s">
        <v>623</v>
      </c>
      <c r="E2797" s="262" t="s">
        <v>2250</v>
      </c>
      <c r="F2797" s="124" t="s">
        <v>620</v>
      </c>
      <c r="G2797" s="130">
        <v>2019</v>
      </c>
      <c r="H2797" s="125" t="s">
        <v>733</v>
      </c>
      <c r="I2797" s="340" t="str">
        <f t="shared" si="114"/>
        <v>Ligeiro de Passageiros M1: Geral : Gasóleo : E6</v>
      </c>
      <c r="J2797" s="125">
        <v>8</v>
      </c>
      <c r="K2797" s="264">
        <v>2022</v>
      </c>
      <c r="L2797" s="129">
        <v>5515.09</v>
      </c>
      <c r="M2797" s="85" t="s">
        <v>630</v>
      </c>
      <c r="N2797" s="128">
        <v>66090</v>
      </c>
      <c r="O2797" s="128">
        <f t="shared" si="113"/>
        <v>528720</v>
      </c>
      <c r="Q2797" t="s">
        <v>47</v>
      </c>
      <c r="R2797" s="220" t="s">
        <v>1888</v>
      </c>
      <c r="S2797" s="220" t="s">
        <v>1861</v>
      </c>
      <c r="T2797" t="s">
        <v>3861</v>
      </c>
      <c r="U2797" t="s">
        <v>1972</v>
      </c>
      <c r="V2797" t="s">
        <v>2832</v>
      </c>
    </row>
    <row r="2798" spans="1:22" ht="15.75" thickBot="1" x14ac:dyDescent="0.3">
      <c r="A2798" t="s">
        <v>4793</v>
      </c>
      <c r="B2798" t="s">
        <v>4793</v>
      </c>
      <c r="C2798" t="s">
        <v>4793</v>
      </c>
      <c r="D2798" s="83" t="s">
        <v>623</v>
      </c>
      <c r="E2798" s="262" t="s">
        <v>2250</v>
      </c>
      <c r="F2798" s="124" t="s">
        <v>620</v>
      </c>
      <c r="G2798" s="130">
        <v>2019</v>
      </c>
      <c r="H2798" s="125" t="s">
        <v>733</v>
      </c>
      <c r="I2798" s="340" t="str">
        <f t="shared" si="114"/>
        <v>Ligeiro de Passageiros M1: Geral : Gasóleo : E6</v>
      </c>
      <c r="J2798" s="125">
        <v>8</v>
      </c>
      <c r="K2798" s="264">
        <v>2022</v>
      </c>
      <c r="L2798" s="129">
        <v>6208.8499999999995</v>
      </c>
      <c r="M2798" s="85" t="s">
        <v>630</v>
      </c>
      <c r="N2798" s="128">
        <v>70570</v>
      </c>
      <c r="O2798" s="128">
        <f t="shared" si="113"/>
        <v>564560</v>
      </c>
      <c r="Q2798" t="s">
        <v>47</v>
      </c>
      <c r="R2798" s="220" t="s">
        <v>1888</v>
      </c>
      <c r="S2798" s="220" t="s">
        <v>1861</v>
      </c>
      <c r="T2798" t="s">
        <v>3862</v>
      </c>
      <c r="U2798" t="s">
        <v>1972</v>
      </c>
      <c r="V2798" t="s">
        <v>2832</v>
      </c>
    </row>
    <row r="2799" spans="1:22" ht="15.75" thickBot="1" x14ac:dyDescent="0.3">
      <c r="A2799" t="s">
        <v>4793</v>
      </c>
      <c r="B2799" t="s">
        <v>4793</v>
      </c>
      <c r="C2799" t="s">
        <v>4793</v>
      </c>
      <c r="D2799" s="83" t="s">
        <v>623</v>
      </c>
      <c r="E2799" s="262" t="s">
        <v>2250</v>
      </c>
      <c r="F2799" s="124" t="s">
        <v>620</v>
      </c>
      <c r="G2799" s="130">
        <v>2019</v>
      </c>
      <c r="H2799" s="125" t="s">
        <v>733</v>
      </c>
      <c r="I2799" s="340" t="str">
        <f t="shared" si="114"/>
        <v>Ligeiro de Passageiros M1: Geral : Gasóleo : E6</v>
      </c>
      <c r="J2799" s="125">
        <v>8</v>
      </c>
      <c r="K2799" s="264">
        <v>2022</v>
      </c>
      <c r="L2799" s="129">
        <v>5615.25</v>
      </c>
      <c r="M2799" s="85" t="s">
        <v>630</v>
      </c>
      <c r="N2799" s="128">
        <v>73147</v>
      </c>
      <c r="O2799" s="128">
        <f t="shared" si="113"/>
        <v>585176</v>
      </c>
      <c r="Q2799" t="s">
        <v>47</v>
      </c>
      <c r="R2799" s="220" t="s">
        <v>1888</v>
      </c>
      <c r="S2799" s="220" t="s">
        <v>1861</v>
      </c>
      <c r="T2799" t="s">
        <v>3863</v>
      </c>
      <c r="U2799" t="s">
        <v>1972</v>
      </c>
      <c r="V2799" t="s">
        <v>2832</v>
      </c>
    </row>
    <row r="2800" spans="1:22" ht="15.75" thickBot="1" x14ac:dyDescent="0.3">
      <c r="A2800" t="s">
        <v>4793</v>
      </c>
      <c r="B2800" t="s">
        <v>4793</v>
      </c>
      <c r="C2800" t="s">
        <v>4793</v>
      </c>
      <c r="D2800" s="83" t="s">
        <v>623</v>
      </c>
      <c r="E2800" s="262" t="s">
        <v>2250</v>
      </c>
      <c r="F2800" s="124" t="s">
        <v>620</v>
      </c>
      <c r="G2800" s="130">
        <v>2019</v>
      </c>
      <c r="H2800" s="125" t="s">
        <v>733</v>
      </c>
      <c r="I2800" s="340" t="str">
        <f t="shared" si="114"/>
        <v>Ligeiro de Passageiros M1: Geral : Gasóleo : E6</v>
      </c>
      <c r="J2800" s="125">
        <v>8</v>
      </c>
      <c r="K2800" s="264">
        <v>2022</v>
      </c>
      <c r="L2800" s="129">
        <v>8026.72</v>
      </c>
      <c r="M2800" s="85" t="s">
        <v>630</v>
      </c>
      <c r="N2800" s="128">
        <v>92050</v>
      </c>
      <c r="O2800" s="128">
        <f t="shared" si="113"/>
        <v>736400</v>
      </c>
      <c r="Q2800" t="s">
        <v>47</v>
      </c>
      <c r="R2800" s="220" t="s">
        <v>1888</v>
      </c>
      <c r="S2800" s="220" t="s">
        <v>1861</v>
      </c>
      <c r="T2800" t="s">
        <v>3864</v>
      </c>
      <c r="U2800" t="s">
        <v>1972</v>
      </c>
      <c r="V2800" t="s">
        <v>2832</v>
      </c>
    </row>
    <row r="2801" spans="1:22" ht="15.75" thickBot="1" x14ac:dyDescent="0.3">
      <c r="A2801" t="s">
        <v>4793</v>
      </c>
      <c r="B2801" t="s">
        <v>4793</v>
      </c>
      <c r="C2801" t="s">
        <v>4793</v>
      </c>
      <c r="D2801" s="83" t="s">
        <v>623</v>
      </c>
      <c r="E2801" s="262" t="s">
        <v>2250</v>
      </c>
      <c r="F2801" s="124" t="s">
        <v>620</v>
      </c>
      <c r="G2801" s="130">
        <v>2019</v>
      </c>
      <c r="H2801" s="125" t="s">
        <v>733</v>
      </c>
      <c r="I2801" s="340" t="str">
        <f t="shared" si="114"/>
        <v>Ligeiro de Passageiros M1: Geral : Gasóleo : E6</v>
      </c>
      <c r="J2801" s="125">
        <v>8</v>
      </c>
      <c r="K2801" s="264">
        <v>2022</v>
      </c>
      <c r="L2801" s="129">
        <v>5358.53</v>
      </c>
      <c r="M2801" s="85" t="s">
        <v>630</v>
      </c>
      <c r="N2801" s="128">
        <v>63745</v>
      </c>
      <c r="O2801" s="128">
        <f t="shared" ref="O2801:O2864" si="115">N2801*J2801</f>
        <v>509960</v>
      </c>
      <c r="Q2801" t="s">
        <v>47</v>
      </c>
      <c r="R2801" s="220" t="s">
        <v>1888</v>
      </c>
      <c r="S2801" s="220" t="s">
        <v>1861</v>
      </c>
      <c r="T2801" t="s">
        <v>3865</v>
      </c>
      <c r="U2801" t="s">
        <v>1972</v>
      </c>
      <c r="V2801" t="s">
        <v>2832</v>
      </c>
    </row>
    <row r="2802" spans="1:22" ht="15.75" thickBot="1" x14ac:dyDescent="0.3">
      <c r="A2802" t="s">
        <v>4793</v>
      </c>
      <c r="B2802" t="s">
        <v>4793</v>
      </c>
      <c r="C2802" t="s">
        <v>4793</v>
      </c>
      <c r="D2802" s="83" t="s">
        <v>623</v>
      </c>
      <c r="E2802" s="262" t="s">
        <v>2250</v>
      </c>
      <c r="F2802" s="124" t="s">
        <v>620</v>
      </c>
      <c r="G2802" s="130">
        <v>2019</v>
      </c>
      <c r="H2802" s="125" t="s">
        <v>733</v>
      </c>
      <c r="I2802" s="340" t="str">
        <f t="shared" si="114"/>
        <v>Ligeiro de Passageiros M1: Geral : Gasóleo : E6</v>
      </c>
      <c r="J2802" s="125">
        <v>8</v>
      </c>
      <c r="K2802" s="264">
        <v>2022</v>
      </c>
      <c r="L2802" s="129">
        <v>5255.63</v>
      </c>
      <c r="M2802" s="85" t="s">
        <v>630</v>
      </c>
      <c r="N2802" s="128">
        <v>67722</v>
      </c>
      <c r="O2802" s="128">
        <f t="shared" si="115"/>
        <v>541776</v>
      </c>
      <c r="Q2802" t="s">
        <v>47</v>
      </c>
      <c r="R2802" s="220" t="s">
        <v>1888</v>
      </c>
      <c r="S2802" s="220" t="s">
        <v>1861</v>
      </c>
      <c r="T2802" t="s">
        <v>3866</v>
      </c>
      <c r="U2802" t="s">
        <v>1972</v>
      </c>
      <c r="V2802" t="s">
        <v>2832</v>
      </c>
    </row>
    <row r="2803" spans="1:22" ht="15.75" thickBot="1" x14ac:dyDescent="0.3">
      <c r="A2803" t="s">
        <v>4793</v>
      </c>
      <c r="B2803" t="s">
        <v>4793</v>
      </c>
      <c r="C2803" t="s">
        <v>4793</v>
      </c>
      <c r="D2803" s="83" t="s">
        <v>623</v>
      </c>
      <c r="E2803" s="262" t="s">
        <v>2250</v>
      </c>
      <c r="F2803" s="124" t="s">
        <v>620</v>
      </c>
      <c r="G2803" s="130">
        <v>2019</v>
      </c>
      <c r="H2803" s="125" t="s">
        <v>733</v>
      </c>
      <c r="I2803" s="340" t="str">
        <f t="shared" si="114"/>
        <v>Ligeiro de Passageiros M1: Geral : Gasóleo : E6</v>
      </c>
      <c r="J2803" s="125">
        <v>8</v>
      </c>
      <c r="K2803" s="264">
        <v>2022</v>
      </c>
      <c r="L2803" s="129">
        <v>6707.579999999999</v>
      </c>
      <c r="M2803" s="85" t="s">
        <v>630</v>
      </c>
      <c r="N2803" s="128">
        <v>85223</v>
      </c>
      <c r="O2803" s="128">
        <f t="shared" si="115"/>
        <v>681784</v>
      </c>
      <c r="Q2803" t="s">
        <v>47</v>
      </c>
      <c r="R2803" s="220" t="s">
        <v>1888</v>
      </c>
      <c r="S2803" s="220" t="s">
        <v>1861</v>
      </c>
      <c r="T2803" t="s">
        <v>3867</v>
      </c>
      <c r="U2803" t="s">
        <v>1972</v>
      </c>
      <c r="V2803" t="s">
        <v>2832</v>
      </c>
    </row>
    <row r="2804" spans="1:22" ht="15.75" thickBot="1" x14ac:dyDescent="0.3">
      <c r="A2804" t="s">
        <v>4793</v>
      </c>
      <c r="B2804" t="s">
        <v>4793</v>
      </c>
      <c r="C2804" t="s">
        <v>4793</v>
      </c>
      <c r="D2804" s="83" t="s">
        <v>623</v>
      </c>
      <c r="E2804" s="262" t="s">
        <v>2250</v>
      </c>
      <c r="F2804" s="124" t="s">
        <v>620</v>
      </c>
      <c r="G2804" s="130">
        <v>2019</v>
      </c>
      <c r="H2804" s="125" t="s">
        <v>733</v>
      </c>
      <c r="I2804" s="340" t="str">
        <f t="shared" si="114"/>
        <v>Ligeiro de Passageiros M1: Geral : Gasóleo : E6</v>
      </c>
      <c r="J2804" s="125">
        <v>8</v>
      </c>
      <c r="K2804" s="264">
        <v>2022</v>
      </c>
      <c r="L2804" s="129">
        <v>5646.26</v>
      </c>
      <c r="M2804" s="85" t="s">
        <v>630</v>
      </c>
      <c r="N2804" s="128">
        <v>70137</v>
      </c>
      <c r="O2804" s="128">
        <f t="shared" si="115"/>
        <v>561096</v>
      </c>
      <c r="Q2804" t="s">
        <v>47</v>
      </c>
      <c r="R2804" s="220" t="s">
        <v>1888</v>
      </c>
      <c r="S2804" s="220" t="s">
        <v>1861</v>
      </c>
      <c r="T2804" t="s">
        <v>3868</v>
      </c>
      <c r="U2804" t="s">
        <v>1972</v>
      </c>
      <c r="V2804" t="s">
        <v>2832</v>
      </c>
    </row>
    <row r="2805" spans="1:22" ht="15.75" thickBot="1" x14ac:dyDescent="0.3">
      <c r="A2805" t="s">
        <v>4793</v>
      </c>
      <c r="B2805" t="s">
        <v>4793</v>
      </c>
      <c r="C2805" t="s">
        <v>4793</v>
      </c>
      <c r="D2805" s="83" t="s">
        <v>623</v>
      </c>
      <c r="E2805" s="262" t="s">
        <v>2250</v>
      </c>
      <c r="F2805" s="124" t="s">
        <v>620</v>
      </c>
      <c r="G2805" s="130">
        <v>2019</v>
      </c>
      <c r="H2805" s="125" t="s">
        <v>733</v>
      </c>
      <c r="I2805" s="340" t="str">
        <f t="shared" si="114"/>
        <v>Ligeiro de Passageiros M1: Geral : Gasóleo : E6</v>
      </c>
      <c r="J2805" s="125">
        <v>8</v>
      </c>
      <c r="K2805" s="264">
        <v>2022</v>
      </c>
      <c r="L2805" s="129">
        <v>5607.89</v>
      </c>
      <c r="M2805" s="85" t="s">
        <v>630</v>
      </c>
      <c r="N2805" s="128">
        <v>65414</v>
      </c>
      <c r="O2805" s="128">
        <f t="shared" si="115"/>
        <v>523312</v>
      </c>
      <c r="Q2805" t="s">
        <v>47</v>
      </c>
      <c r="R2805" s="220" t="s">
        <v>1888</v>
      </c>
      <c r="S2805" s="220" t="s">
        <v>1861</v>
      </c>
      <c r="T2805" t="s">
        <v>3869</v>
      </c>
      <c r="U2805" t="s">
        <v>1972</v>
      </c>
      <c r="V2805" t="s">
        <v>2832</v>
      </c>
    </row>
    <row r="2806" spans="1:22" ht="15.75" thickBot="1" x14ac:dyDescent="0.3">
      <c r="A2806" t="s">
        <v>4793</v>
      </c>
      <c r="B2806" t="s">
        <v>4793</v>
      </c>
      <c r="C2806" t="s">
        <v>4793</v>
      </c>
      <c r="D2806" s="83" t="s">
        <v>623</v>
      </c>
      <c r="E2806" s="262" t="s">
        <v>2250</v>
      </c>
      <c r="F2806" s="124" t="s">
        <v>620</v>
      </c>
      <c r="G2806" s="130">
        <v>2012</v>
      </c>
      <c r="H2806" s="125" t="s">
        <v>734</v>
      </c>
      <c r="I2806" s="340" t="str">
        <f t="shared" ref="I2806:I2869" si="116">D2806&amp;": "&amp;E2806&amp;" : "&amp;F2806&amp;" : "&amp;H2806</f>
        <v>Ligeiro de Passageiros M1: Geral : Gasóleo : E5</v>
      </c>
      <c r="J2806" s="125">
        <v>8</v>
      </c>
      <c r="K2806" s="264">
        <v>2022</v>
      </c>
      <c r="L2806" s="129">
        <v>4373.26</v>
      </c>
      <c r="M2806" s="85" t="s">
        <v>630</v>
      </c>
      <c r="N2806" s="128">
        <v>39733</v>
      </c>
      <c r="O2806" s="128">
        <f t="shared" si="115"/>
        <v>317864</v>
      </c>
      <c r="Q2806" t="s">
        <v>47</v>
      </c>
      <c r="R2806" s="220" t="s">
        <v>1888</v>
      </c>
      <c r="S2806" s="220" t="s">
        <v>1861</v>
      </c>
      <c r="T2806" t="s">
        <v>3870</v>
      </c>
      <c r="U2806" t="s">
        <v>1972</v>
      </c>
      <c r="V2806" t="s">
        <v>2832</v>
      </c>
    </row>
    <row r="2807" spans="1:22" ht="15.75" thickBot="1" x14ac:dyDescent="0.3">
      <c r="A2807" t="s">
        <v>4793</v>
      </c>
      <c r="B2807" t="s">
        <v>4793</v>
      </c>
      <c r="C2807" t="s">
        <v>4793</v>
      </c>
      <c r="D2807" s="83" t="s">
        <v>623</v>
      </c>
      <c r="E2807" s="262" t="s">
        <v>2250</v>
      </c>
      <c r="F2807" s="124" t="s">
        <v>620</v>
      </c>
      <c r="G2807" s="130">
        <v>2017</v>
      </c>
      <c r="H2807" s="125" t="s">
        <v>733</v>
      </c>
      <c r="I2807" s="340" t="str">
        <f t="shared" si="116"/>
        <v>Ligeiro de Passageiros M1: Geral : Gasóleo : E6</v>
      </c>
      <c r="J2807" s="125">
        <v>8</v>
      </c>
      <c r="K2807" s="264">
        <v>2022</v>
      </c>
      <c r="L2807" s="129">
        <v>3472.62</v>
      </c>
      <c r="M2807" s="85" t="s">
        <v>630</v>
      </c>
      <c r="N2807" s="128">
        <v>40767</v>
      </c>
      <c r="O2807" s="128">
        <f t="shared" si="115"/>
        <v>326136</v>
      </c>
      <c r="Q2807" t="s">
        <v>47</v>
      </c>
      <c r="R2807" s="220" t="s">
        <v>1888</v>
      </c>
      <c r="S2807" s="220" t="s">
        <v>1861</v>
      </c>
      <c r="T2807" t="s">
        <v>3871</v>
      </c>
      <c r="U2807" t="s">
        <v>1972</v>
      </c>
      <c r="V2807" t="s">
        <v>2832</v>
      </c>
    </row>
    <row r="2808" spans="1:22" ht="15.75" thickBot="1" x14ac:dyDescent="0.3">
      <c r="A2808" t="s">
        <v>4793</v>
      </c>
      <c r="B2808" t="s">
        <v>4793</v>
      </c>
      <c r="C2808" t="s">
        <v>4793</v>
      </c>
      <c r="D2808" s="83" t="s">
        <v>623</v>
      </c>
      <c r="E2808" s="262" t="s">
        <v>2250</v>
      </c>
      <c r="F2808" s="124" t="s">
        <v>620</v>
      </c>
      <c r="G2808" s="130">
        <v>2017</v>
      </c>
      <c r="H2808" s="125" t="s">
        <v>733</v>
      </c>
      <c r="I2808" s="340" t="str">
        <f t="shared" si="116"/>
        <v>Ligeiro de Passageiros M1: Geral : Gasóleo : E6</v>
      </c>
      <c r="J2808" s="125">
        <v>8</v>
      </c>
      <c r="K2808" s="264">
        <v>2022</v>
      </c>
      <c r="L2808" s="129">
        <v>5491.0300000000007</v>
      </c>
      <c r="M2808" s="85" t="s">
        <v>630</v>
      </c>
      <c r="N2808" s="128">
        <v>60686</v>
      </c>
      <c r="O2808" s="128">
        <f t="shared" si="115"/>
        <v>485488</v>
      </c>
      <c r="Q2808" t="s">
        <v>47</v>
      </c>
      <c r="R2808" s="220" t="s">
        <v>1888</v>
      </c>
      <c r="S2808" s="220" t="s">
        <v>1861</v>
      </c>
      <c r="T2808" t="s">
        <v>3872</v>
      </c>
      <c r="U2808" t="s">
        <v>1972</v>
      </c>
      <c r="V2808" t="s">
        <v>2832</v>
      </c>
    </row>
    <row r="2809" spans="1:22" ht="15.75" thickBot="1" x14ac:dyDescent="0.3">
      <c r="A2809" t="s">
        <v>4793</v>
      </c>
      <c r="B2809" t="s">
        <v>4793</v>
      </c>
      <c r="C2809" t="s">
        <v>4793</v>
      </c>
      <c r="D2809" s="83" t="s">
        <v>623</v>
      </c>
      <c r="E2809" s="262" t="s">
        <v>2250</v>
      </c>
      <c r="F2809" s="124" t="s">
        <v>620</v>
      </c>
      <c r="G2809" s="130">
        <v>2018</v>
      </c>
      <c r="H2809" s="125" t="s">
        <v>733</v>
      </c>
      <c r="I2809" s="340" t="str">
        <f t="shared" si="116"/>
        <v>Ligeiro de Passageiros M1: Geral : Gasóleo : E6</v>
      </c>
      <c r="J2809" s="125">
        <v>8</v>
      </c>
      <c r="K2809" s="264">
        <v>2022</v>
      </c>
      <c r="L2809" s="129">
        <v>3220.54</v>
      </c>
      <c r="M2809" s="85" t="s">
        <v>630</v>
      </c>
      <c r="N2809" s="128">
        <v>37363</v>
      </c>
      <c r="O2809" s="128">
        <f t="shared" si="115"/>
        <v>298904</v>
      </c>
      <c r="Q2809" t="s">
        <v>47</v>
      </c>
      <c r="R2809" s="220" t="s">
        <v>1888</v>
      </c>
      <c r="S2809" s="220" t="s">
        <v>1861</v>
      </c>
      <c r="T2809" t="s">
        <v>3873</v>
      </c>
      <c r="U2809" t="s">
        <v>1972</v>
      </c>
      <c r="V2809" t="s">
        <v>2832</v>
      </c>
    </row>
    <row r="2810" spans="1:22" ht="15.75" thickBot="1" x14ac:dyDescent="0.3">
      <c r="A2810" t="s">
        <v>4793</v>
      </c>
      <c r="B2810" t="s">
        <v>4793</v>
      </c>
      <c r="C2810" t="s">
        <v>4793</v>
      </c>
      <c r="D2810" s="83" t="s">
        <v>623</v>
      </c>
      <c r="E2810" s="262" t="s">
        <v>2250</v>
      </c>
      <c r="F2810" s="124" t="s">
        <v>620</v>
      </c>
      <c r="G2810" s="130">
        <v>2017</v>
      </c>
      <c r="H2810" s="125" t="s">
        <v>733</v>
      </c>
      <c r="I2810" s="340" t="str">
        <f t="shared" si="116"/>
        <v>Ligeiro de Passageiros M1: Geral : Gasóleo : E6</v>
      </c>
      <c r="J2810" s="125">
        <v>8</v>
      </c>
      <c r="K2810" s="264">
        <v>2022</v>
      </c>
      <c r="L2810" s="129">
        <v>4231.24</v>
      </c>
      <c r="M2810" s="85" t="s">
        <v>630</v>
      </c>
      <c r="N2810" s="128">
        <v>53756</v>
      </c>
      <c r="O2810" s="128">
        <f t="shared" si="115"/>
        <v>430048</v>
      </c>
      <c r="Q2810" t="s">
        <v>47</v>
      </c>
      <c r="R2810" s="220" t="s">
        <v>1888</v>
      </c>
      <c r="S2810" s="220" t="s">
        <v>1861</v>
      </c>
      <c r="T2810" t="s">
        <v>3874</v>
      </c>
      <c r="U2810" t="s">
        <v>1972</v>
      </c>
      <c r="V2810" t="s">
        <v>2832</v>
      </c>
    </row>
    <row r="2811" spans="1:22" ht="15.75" thickBot="1" x14ac:dyDescent="0.3">
      <c r="A2811" t="s">
        <v>4793</v>
      </c>
      <c r="B2811" t="s">
        <v>4793</v>
      </c>
      <c r="C2811" t="s">
        <v>4793</v>
      </c>
      <c r="D2811" s="83" t="s">
        <v>623</v>
      </c>
      <c r="E2811" s="262" t="s">
        <v>2250</v>
      </c>
      <c r="F2811" s="124" t="s">
        <v>620</v>
      </c>
      <c r="G2811" s="130">
        <v>2017</v>
      </c>
      <c r="H2811" s="125" t="s">
        <v>733</v>
      </c>
      <c r="I2811" s="340" t="str">
        <f t="shared" si="116"/>
        <v>Ligeiro de Passageiros M1: Geral : Gasóleo : E6</v>
      </c>
      <c r="J2811" s="125">
        <v>8</v>
      </c>
      <c r="K2811" s="264">
        <v>2022</v>
      </c>
      <c r="L2811" s="129">
        <v>4247.01</v>
      </c>
      <c r="M2811" s="85" t="s">
        <v>630</v>
      </c>
      <c r="N2811" s="128">
        <v>52229</v>
      </c>
      <c r="O2811" s="128">
        <f t="shared" si="115"/>
        <v>417832</v>
      </c>
      <c r="Q2811" t="s">
        <v>47</v>
      </c>
      <c r="R2811" s="220" t="s">
        <v>1888</v>
      </c>
      <c r="S2811" s="220" t="s">
        <v>1861</v>
      </c>
      <c r="T2811" t="s">
        <v>3875</v>
      </c>
      <c r="U2811" t="s">
        <v>1972</v>
      </c>
      <c r="V2811" t="s">
        <v>2832</v>
      </c>
    </row>
    <row r="2812" spans="1:22" ht="15.75" thickBot="1" x14ac:dyDescent="0.3">
      <c r="A2812" t="s">
        <v>4792</v>
      </c>
      <c r="B2812" t="s">
        <v>4792</v>
      </c>
      <c r="C2812" t="s">
        <v>4792</v>
      </c>
      <c r="D2812" s="83" t="s">
        <v>629</v>
      </c>
      <c r="E2812" s="262" t="s">
        <v>1853</v>
      </c>
      <c r="F2812" s="124" t="s">
        <v>620</v>
      </c>
      <c r="G2812" s="130">
        <v>2004</v>
      </c>
      <c r="H2812" s="125" t="s">
        <v>732</v>
      </c>
      <c r="I2812" s="340" t="str">
        <f t="shared" si="116"/>
        <v>Pesado de Passageiros M3: III : Gasóleo : E3</v>
      </c>
      <c r="J2812" s="125">
        <v>59</v>
      </c>
      <c r="K2812" s="264">
        <v>2022</v>
      </c>
      <c r="L2812" s="129">
        <v>1419.78</v>
      </c>
      <c r="M2812" s="85" t="s">
        <v>630</v>
      </c>
      <c r="N2812" s="128">
        <v>3036.13</v>
      </c>
      <c r="O2812" s="128">
        <f t="shared" si="115"/>
        <v>179131.67</v>
      </c>
      <c r="Q2812" t="s">
        <v>47</v>
      </c>
      <c r="R2812" s="220" t="s">
        <v>1888</v>
      </c>
      <c r="S2812" s="220" t="s">
        <v>1861</v>
      </c>
      <c r="T2812" t="s">
        <v>3876</v>
      </c>
      <c r="U2812" t="s">
        <v>1972</v>
      </c>
      <c r="V2812" t="s">
        <v>2832</v>
      </c>
    </row>
    <row r="2813" spans="1:22" ht="15.75" thickBot="1" x14ac:dyDescent="0.3">
      <c r="A2813" t="s">
        <v>4792</v>
      </c>
      <c r="B2813" t="s">
        <v>4792</v>
      </c>
      <c r="C2813" t="s">
        <v>4792</v>
      </c>
      <c r="D2813" s="83" t="s">
        <v>629</v>
      </c>
      <c r="E2813" s="262" t="s">
        <v>1853</v>
      </c>
      <c r="F2813" s="124" t="s">
        <v>620</v>
      </c>
      <c r="G2813" s="130">
        <v>2013</v>
      </c>
      <c r="H2813" s="125" t="s">
        <v>733</v>
      </c>
      <c r="I2813" s="340" t="str">
        <f t="shared" si="116"/>
        <v>Pesado de Passageiros M3: III : Gasóleo : E6</v>
      </c>
      <c r="J2813" s="125">
        <v>27</v>
      </c>
      <c r="K2813" s="264">
        <v>2022</v>
      </c>
      <c r="L2813" s="129">
        <v>797.3</v>
      </c>
      <c r="M2813" s="85" t="s">
        <v>630</v>
      </c>
      <c r="N2813" s="128">
        <v>4139.6400000000003</v>
      </c>
      <c r="O2813" s="128">
        <f t="shared" si="115"/>
        <v>111770.28000000001</v>
      </c>
      <c r="Q2813" t="s">
        <v>47</v>
      </c>
      <c r="R2813" s="220" t="s">
        <v>1888</v>
      </c>
      <c r="S2813" s="220" t="s">
        <v>1861</v>
      </c>
      <c r="T2813" t="s">
        <v>3877</v>
      </c>
      <c r="U2813" t="s">
        <v>1972</v>
      </c>
      <c r="V2813" t="s">
        <v>2832</v>
      </c>
    </row>
    <row r="2814" spans="1:22" ht="15.75" thickBot="1" x14ac:dyDescent="0.3">
      <c r="A2814" t="s">
        <v>4792</v>
      </c>
      <c r="B2814" t="s">
        <v>4792</v>
      </c>
      <c r="C2814" t="s">
        <v>4792</v>
      </c>
      <c r="D2814" s="83" t="s">
        <v>629</v>
      </c>
      <c r="E2814" s="262" t="s">
        <v>1853</v>
      </c>
      <c r="F2814" s="124" t="s">
        <v>620</v>
      </c>
      <c r="G2814" s="130">
        <v>2015</v>
      </c>
      <c r="H2814" s="125" t="s">
        <v>733</v>
      </c>
      <c r="I2814" s="340" t="str">
        <f t="shared" si="116"/>
        <v>Pesado de Passageiros M3: III : Gasóleo : E6</v>
      </c>
      <c r="J2814" s="125">
        <v>71</v>
      </c>
      <c r="K2814" s="264">
        <v>2022</v>
      </c>
      <c r="L2814" s="129">
        <v>9075.1299999999992</v>
      </c>
      <c r="M2814" s="85" t="s">
        <v>630</v>
      </c>
      <c r="N2814" s="128">
        <v>22879.98</v>
      </c>
      <c r="O2814" s="128">
        <f t="shared" si="115"/>
        <v>1624478.58</v>
      </c>
      <c r="Q2814" t="s">
        <v>47</v>
      </c>
      <c r="R2814" s="220" t="s">
        <v>1888</v>
      </c>
      <c r="S2814" s="220" t="s">
        <v>1861</v>
      </c>
      <c r="T2814" t="s">
        <v>3878</v>
      </c>
      <c r="U2814" t="s">
        <v>1972</v>
      </c>
      <c r="V2814" t="s">
        <v>2832</v>
      </c>
    </row>
    <row r="2815" spans="1:22" ht="15.75" thickBot="1" x14ac:dyDescent="0.3">
      <c r="A2815" t="s">
        <v>4792</v>
      </c>
      <c r="B2815" t="s">
        <v>4792</v>
      </c>
      <c r="C2815" t="s">
        <v>4792</v>
      </c>
      <c r="D2815" s="83" t="s">
        <v>629</v>
      </c>
      <c r="E2815" s="262" t="s">
        <v>1853</v>
      </c>
      <c r="F2815" s="124" t="s">
        <v>620</v>
      </c>
      <c r="G2815" s="130">
        <v>2016</v>
      </c>
      <c r="H2815" s="125" t="s">
        <v>733</v>
      </c>
      <c r="I2815" s="340" t="str">
        <f t="shared" si="116"/>
        <v>Pesado de Passageiros M3: III : Gasóleo : E6</v>
      </c>
      <c r="J2815" s="125">
        <v>59</v>
      </c>
      <c r="K2815" s="264">
        <v>2022</v>
      </c>
      <c r="L2815" s="129">
        <v>10420.99</v>
      </c>
      <c r="M2815" s="85" t="s">
        <v>630</v>
      </c>
      <c r="N2815" s="128">
        <v>33384.480000000003</v>
      </c>
      <c r="O2815" s="128">
        <f t="shared" si="115"/>
        <v>1969684.3200000003</v>
      </c>
      <c r="Q2815" t="s">
        <v>47</v>
      </c>
      <c r="R2815" s="220" t="s">
        <v>1888</v>
      </c>
      <c r="S2815" s="220" t="s">
        <v>1861</v>
      </c>
      <c r="T2815" t="s">
        <v>3879</v>
      </c>
      <c r="U2815" t="s">
        <v>1972</v>
      </c>
      <c r="V2815" t="s">
        <v>2832</v>
      </c>
    </row>
    <row r="2816" spans="1:22" ht="15.75" thickBot="1" x14ac:dyDescent="0.3">
      <c r="A2816" t="s">
        <v>4792</v>
      </c>
      <c r="B2816" t="s">
        <v>4792</v>
      </c>
      <c r="C2816" t="s">
        <v>4792</v>
      </c>
      <c r="D2816" s="83" t="s">
        <v>629</v>
      </c>
      <c r="E2816" s="262" t="s">
        <v>1853</v>
      </c>
      <c r="F2816" s="124" t="s">
        <v>620</v>
      </c>
      <c r="G2816" s="130">
        <v>2016</v>
      </c>
      <c r="H2816" s="125" t="s">
        <v>733</v>
      </c>
      <c r="I2816" s="340" t="str">
        <f t="shared" si="116"/>
        <v>Pesado de Passageiros M3: III : Gasóleo : E6</v>
      </c>
      <c r="J2816" s="125">
        <v>59</v>
      </c>
      <c r="K2816" s="264">
        <v>2022</v>
      </c>
      <c r="L2816" s="129">
        <v>14592.85</v>
      </c>
      <c r="M2816" s="85" t="s">
        <v>630</v>
      </c>
      <c r="N2816" s="128">
        <v>41034.42</v>
      </c>
      <c r="O2816" s="128">
        <f t="shared" si="115"/>
        <v>2421030.7799999998</v>
      </c>
      <c r="Q2816" t="s">
        <v>47</v>
      </c>
      <c r="R2816" s="220" t="s">
        <v>1888</v>
      </c>
      <c r="S2816" s="220" t="s">
        <v>1861</v>
      </c>
      <c r="T2816" t="s">
        <v>3880</v>
      </c>
      <c r="U2816" t="s">
        <v>1972</v>
      </c>
      <c r="V2816" t="s">
        <v>2832</v>
      </c>
    </row>
    <row r="2817" spans="1:22" ht="15.75" thickBot="1" x14ac:dyDescent="0.3">
      <c r="A2817" t="s">
        <v>4792</v>
      </c>
      <c r="B2817" t="s">
        <v>4792</v>
      </c>
      <c r="C2817" t="s">
        <v>4792</v>
      </c>
      <c r="D2817" s="83" t="s">
        <v>629</v>
      </c>
      <c r="E2817" s="262" t="s">
        <v>1853</v>
      </c>
      <c r="F2817" s="124" t="s">
        <v>620</v>
      </c>
      <c r="G2817" s="130">
        <v>2016</v>
      </c>
      <c r="H2817" s="125" t="s">
        <v>733</v>
      </c>
      <c r="I2817" s="340" t="str">
        <f t="shared" si="116"/>
        <v>Pesado de Passageiros M3: III : Gasóleo : E6</v>
      </c>
      <c r="J2817" s="125">
        <v>59</v>
      </c>
      <c r="K2817" s="264">
        <v>2022</v>
      </c>
      <c r="L2817" s="129">
        <v>11017.39</v>
      </c>
      <c r="M2817" s="85" t="s">
        <v>630</v>
      </c>
      <c r="N2817" s="128">
        <v>32984.550000000003</v>
      </c>
      <c r="O2817" s="128">
        <f t="shared" si="115"/>
        <v>1946088.4500000002</v>
      </c>
      <c r="Q2817" t="s">
        <v>47</v>
      </c>
      <c r="R2817" s="220" t="s">
        <v>1888</v>
      </c>
      <c r="S2817" s="220" t="s">
        <v>1861</v>
      </c>
      <c r="T2817" t="s">
        <v>3881</v>
      </c>
      <c r="U2817" t="s">
        <v>1972</v>
      </c>
      <c r="V2817" t="s">
        <v>2832</v>
      </c>
    </row>
    <row r="2818" spans="1:22" ht="15.75" thickBot="1" x14ac:dyDescent="0.3">
      <c r="A2818" t="s">
        <v>4792</v>
      </c>
      <c r="B2818" t="s">
        <v>4792</v>
      </c>
      <c r="C2818" t="s">
        <v>4792</v>
      </c>
      <c r="D2818" s="83" t="s">
        <v>629</v>
      </c>
      <c r="E2818" s="262" t="s">
        <v>1853</v>
      </c>
      <c r="F2818" s="124" t="s">
        <v>620</v>
      </c>
      <c r="G2818" s="130">
        <v>2017</v>
      </c>
      <c r="H2818" s="125" t="s">
        <v>733</v>
      </c>
      <c r="I2818" s="340" t="str">
        <f t="shared" si="116"/>
        <v>Pesado de Passageiros M3: III : Gasóleo : E6</v>
      </c>
      <c r="J2818" s="125">
        <v>67</v>
      </c>
      <c r="K2818" s="264">
        <v>2022</v>
      </c>
      <c r="L2818" s="129">
        <v>13212.83</v>
      </c>
      <c r="M2818" s="85" t="s">
        <v>630</v>
      </c>
      <c r="N2818" s="128">
        <v>33866.92</v>
      </c>
      <c r="O2818" s="128">
        <f t="shared" si="115"/>
        <v>2269083.6399999997</v>
      </c>
      <c r="Q2818" t="s">
        <v>47</v>
      </c>
      <c r="R2818" s="220" t="s">
        <v>1888</v>
      </c>
      <c r="S2818" s="220" t="s">
        <v>1861</v>
      </c>
      <c r="T2818" t="s">
        <v>3882</v>
      </c>
      <c r="U2818" t="s">
        <v>1972</v>
      </c>
      <c r="V2818" t="s">
        <v>2832</v>
      </c>
    </row>
    <row r="2819" spans="1:22" ht="15.75" thickBot="1" x14ac:dyDescent="0.3">
      <c r="A2819" t="s">
        <v>4792</v>
      </c>
      <c r="B2819" t="s">
        <v>4792</v>
      </c>
      <c r="C2819" t="s">
        <v>4792</v>
      </c>
      <c r="D2819" s="83" t="s">
        <v>629</v>
      </c>
      <c r="E2819" s="262" t="s">
        <v>1853</v>
      </c>
      <c r="F2819" s="124" t="s">
        <v>620</v>
      </c>
      <c r="G2819" s="130">
        <v>2017</v>
      </c>
      <c r="H2819" s="125" t="s">
        <v>733</v>
      </c>
      <c r="I2819" s="340" t="str">
        <f t="shared" si="116"/>
        <v>Pesado de Passageiros M3: III : Gasóleo : E6</v>
      </c>
      <c r="J2819" s="125">
        <v>59</v>
      </c>
      <c r="K2819" s="264">
        <v>2022</v>
      </c>
      <c r="L2819" s="129">
        <v>16835.97</v>
      </c>
      <c r="M2819" s="85" t="s">
        <v>630</v>
      </c>
      <c r="N2819" s="128">
        <v>47207.9</v>
      </c>
      <c r="O2819" s="128">
        <f t="shared" si="115"/>
        <v>2785266.1</v>
      </c>
      <c r="Q2819" t="s">
        <v>47</v>
      </c>
      <c r="R2819" s="220" t="s">
        <v>1888</v>
      </c>
      <c r="S2819" s="220" t="s">
        <v>1861</v>
      </c>
      <c r="T2819" t="s">
        <v>3883</v>
      </c>
      <c r="U2819" t="s">
        <v>1972</v>
      </c>
      <c r="V2819" t="s">
        <v>2832</v>
      </c>
    </row>
    <row r="2820" spans="1:22" ht="15.75" thickBot="1" x14ac:dyDescent="0.3">
      <c r="A2820" t="s">
        <v>4792</v>
      </c>
      <c r="B2820" t="s">
        <v>4792</v>
      </c>
      <c r="C2820" t="s">
        <v>4792</v>
      </c>
      <c r="D2820" s="83" t="s">
        <v>629</v>
      </c>
      <c r="E2820" s="262" t="s">
        <v>1853</v>
      </c>
      <c r="F2820" s="124" t="s">
        <v>620</v>
      </c>
      <c r="G2820" s="130">
        <v>2018</v>
      </c>
      <c r="H2820" s="125" t="s">
        <v>733</v>
      </c>
      <c r="I2820" s="340" t="str">
        <f t="shared" si="116"/>
        <v>Pesado de Passageiros M3: III : Gasóleo : E6</v>
      </c>
      <c r="J2820" s="125">
        <v>59</v>
      </c>
      <c r="K2820" s="264">
        <v>2022</v>
      </c>
      <c r="L2820" s="129">
        <v>17227.98</v>
      </c>
      <c r="M2820" s="85" t="s">
        <v>630</v>
      </c>
      <c r="N2820" s="128">
        <v>52410.97</v>
      </c>
      <c r="O2820" s="128">
        <f t="shared" si="115"/>
        <v>3092247.23</v>
      </c>
      <c r="Q2820" t="s">
        <v>47</v>
      </c>
      <c r="R2820" s="220" t="s">
        <v>1888</v>
      </c>
      <c r="S2820" s="220" t="s">
        <v>1861</v>
      </c>
      <c r="T2820" t="s">
        <v>3884</v>
      </c>
      <c r="U2820" t="s">
        <v>1972</v>
      </c>
      <c r="V2820" t="s">
        <v>2832</v>
      </c>
    </row>
    <row r="2821" spans="1:22" ht="15.75" thickBot="1" x14ac:dyDescent="0.3">
      <c r="A2821" t="s">
        <v>4792</v>
      </c>
      <c r="B2821" t="s">
        <v>4792</v>
      </c>
      <c r="C2821" t="s">
        <v>4792</v>
      </c>
      <c r="D2821" s="83" t="s">
        <v>629</v>
      </c>
      <c r="E2821" s="262" t="s">
        <v>1853</v>
      </c>
      <c r="F2821" s="124" t="s">
        <v>620</v>
      </c>
      <c r="G2821" s="130">
        <v>2018</v>
      </c>
      <c r="H2821" s="125" t="s">
        <v>733</v>
      </c>
      <c r="I2821" s="340" t="str">
        <f t="shared" si="116"/>
        <v>Pesado de Passageiros M3: III : Gasóleo : E6</v>
      </c>
      <c r="J2821" s="125">
        <v>22</v>
      </c>
      <c r="K2821" s="264">
        <v>2022</v>
      </c>
      <c r="L2821" s="129">
        <v>4822.45</v>
      </c>
      <c r="M2821" s="85" t="s">
        <v>630</v>
      </c>
      <c r="N2821" s="128">
        <v>32202.99</v>
      </c>
      <c r="O2821" s="128">
        <f t="shared" si="115"/>
        <v>708465.78</v>
      </c>
      <c r="Q2821" t="s">
        <v>47</v>
      </c>
      <c r="R2821" s="220" t="s">
        <v>1888</v>
      </c>
      <c r="S2821" s="220" t="s">
        <v>1861</v>
      </c>
      <c r="T2821" t="s">
        <v>3885</v>
      </c>
      <c r="U2821" t="s">
        <v>1972</v>
      </c>
      <c r="V2821" t="s">
        <v>2832</v>
      </c>
    </row>
    <row r="2822" spans="1:22" ht="15.75" thickBot="1" x14ac:dyDescent="0.3">
      <c r="A2822" t="s">
        <v>4792</v>
      </c>
      <c r="B2822" t="s">
        <v>4792</v>
      </c>
      <c r="C2822" t="s">
        <v>4792</v>
      </c>
      <c r="D2822" s="83" t="s">
        <v>629</v>
      </c>
      <c r="E2822" s="262" t="s">
        <v>1853</v>
      </c>
      <c r="F2822" s="124" t="s">
        <v>620</v>
      </c>
      <c r="G2822" s="130">
        <v>2020</v>
      </c>
      <c r="H2822" s="125" t="s">
        <v>733</v>
      </c>
      <c r="I2822" s="340" t="str">
        <f t="shared" si="116"/>
        <v>Pesado de Passageiros M3: III : Gasóleo : E6</v>
      </c>
      <c r="J2822" s="125">
        <v>59</v>
      </c>
      <c r="K2822" s="264">
        <v>2022</v>
      </c>
      <c r="L2822" s="129">
        <v>14538.35</v>
      </c>
      <c r="M2822" s="85" t="s">
        <v>630</v>
      </c>
      <c r="N2822" s="128">
        <v>53060.89</v>
      </c>
      <c r="O2822" s="128">
        <f t="shared" si="115"/>
        <v>3130592.51</v>
      </c>
      <c r="Q2822" t="s">
        <v>47</v>
      </c>
      <c r="R2822" s="220" t="s">
        <v>1888</v>
      </c>
      <c r="S2822" s="220" t="s">
        <v>1861</v>
      </c>
      <c r="T2822" t="s">
        <v>3886</v>
      </c>
      <c r="U2822" t="s">
        <v>1972</v>
      </c>
      <c r="V2822" t="s">
        <v>2832</v>
      </c>
    </row>
    <row r="2823" spans="1:22" ht="15.75" thickBot="1" x14ac:dyDescent="0.3">
      <c r="A2823" t="s">
        <v>4792</v>
      </c>
      <c r="B2823" t="s">
        <v>4792</v>
      </c>
      <c r="C2823" t="s">
        <v>4792</v>
      </c>
      <c r="D2823" s="83" t="s">
        <v>623</v>
      </c>
      <c r="E2823" s="262" t="s">
        <v>2250</v>
      </c>
      <c r="F2823" s="124" t="s">
        <v>620</v>
      </c>
      <c r="G2823" s="130">
        <v>2016</v>
      </c>
      <c r="H2823" s="125" t="s">
        <v>733</v>
      </c>
      <c r="I2823" s="340" t="str">
        <f t="shared" si="116"/>
        <v>Ligeiro de Passageiros M1: Geral : Gasóleo : E6</v>
      </c>
      <c r="J2823" s="125">
        <v>8</v>
      </c>
      <c r="K2823" s="264">
        <v>2022</v>
      </c>
      <c r="L2823" s="129">
        <v>3313.75</v>
      </c>
      <c r="M2823" s="85" t="s">
        <v>630</v>
      </c>
      <c r="N2823" s="128">
        <v>41588</v>
      </c>
      <c r="O2823" s="128">
        <f t="shared" si="115"/>
        <v>332704</v>
      </c>
      <c r="Q2823" t="s">
        <v>47</v>
      </c>
      <c r="R2823" s="220" t="s">
        <v>1888</v>
      </c>
      <c r="S2823" s="220" t="s">
        <v>1861</v>
      </c>
      <c r="T2823" t="s">
        <v>3887</v>
      </c>
      <c r="U2823" t="s">
        <v>1972</v>
      </c>
      <c r="V2823" t="s">
        <v>2832</v>
      </c>
    </row>
    <row r="2824" spans="1:22" ht="15.75" thickBot="1" x14ac:dyDescent="0.3">
      <c r="A2824" t="s">
        <v>4792</v>
      </c>
      <c r="B2824" t="s">
        <v>4792</v>
      </c>
      <c r="C2824" t="s">
        <v>4792</v>
      </c>
      <c r="D2824" s="83" t="s">
        <v>623</v>
      </c>
      <c r="E2824" s="262" t="s">
        <v>2250</v>
      </c>
      <c r="F2824" s="124" t="s">
        <v>620</v>
      </c>
      <c r="G2824" s="130">
        <v>2015</v>
      </c>
      <c r="H2824" s="125" t="s">
        <v>733</v>
      </c>
      <c r="I2824" s="340" t="str">
        <f t="shared" si="116"/>
        <v>Ligeiro de Passageiros M1: Geral : Gasóleo : E6</v>
      </c>
      <c r="J2824" s="125">
        <v>8</v>
      </c>
      <c r="K2824" s="264">
        <v>2022</v>
      </c>
      <c r="L2824" s="129">
        <v>6905.63</v>
      </c>
      <c r="M2824" s="85" t="s">
        <v>630</v>
      </c>
      <c r="N2824" s="128">
        <v>89913.5</v>
      </c>
      <c r="O2824" s="128">
        <f t="shared" si="115"/>
        <v>719308</v>
      </c>
      <c r="Q2824" t="s">
        <v>47</v>
      </c>
      <c r="R2824" s="220" t="s">
        <v>1888</v>
      </c>
      <c r="S2824" s="220" t="s">
        <v>1861</v>
      </c>
      <c r="T2824" t="s">
        <v>3888</v>
      </c>
      <c r="U2824" t="s">
        <v>1972</v>
      </c>
      <c r="V2824" t="s">
        <v>2832</v>
      </c>
    </row>
    <row r="2825" spans="1:22" ht="15.75" thickBot="1" x14ac:dyDescent="0.3">
      <c r="A2825" t="s">
        <v>4792</v>
      </c>
      <c r="B2825" t="s">
        <v>4792</v>
      </c>
      <c r="C2825" t="s">
        <v>4792</v>
      </c>
      <c r="D2825" s="83" t="s">
        <v>623</v>
      </c>
      <c r="E2825" s="262" t="s">
        <v>2250</v>
      </c>
      <c r="F2825" s="124" t="s">
        <v>620</v>
      </c>
      <c r="G2825" s="130">
        <v>2016</v>
      </c>
      <c r="H2825" s="125" t="s">
        <v>733</v>
      </c>
      <c r="I2825" s="340" t="str">
        <f t="shared" si="116"/>
        <v>Ligeiro de Passageiros M1: Geral : Gasóleo : E6</v>
      </c>
      <c r="J2825" s="125">
        <v>8</v>
      </c>
      <c r="K2825" s="264">
        <v>2022</v>
      </c>
      <c r="L2825" s="129">
        <v>8220.69</v>
      </c>
      <c r="M2825" s="85" t="s">
        <v>630</v>
      </c>
      <c r="N2825" s="128">
        <v>95372.4</v>
      </c>
      <c r="O2825" s="128">
        <f t="shared" si="115"/>
        <v>762979.2</v>
      </c>
      <c r="Q2825" t="s">
        <v>47</v>
      </c>
      <c r="R2825" s="220" t="s">
        <v>1888</v>
      </c>
      <c r="S2825" s="220" t="s">
        <v>1861</v>
      </c>
      <c r="T2825" t="s">
        <v>3889</v>
      </c>
      <c r="U2825" t="s">
        <v>1972</v>
      </c>
      <c r="V2825" t="s">
        <v>2832</v>
      </c>
    </row>
    <row r="2826" spans="1:22" ht="15.75" thickBot="1" x14ac:dyDescent="0.3">
      <c r="A2826" t="s">
        <v>4792</v>
      </c>
      <c r="B2826" t="s">
        <v>4792</v>
      </c>
      <c r="C2826" t="s">
        <v>4792</v>
      </c>
      <c r="D2826" s="83" t="s">
        <v>623</v>
      </c>
      <c r="E2826" s="262" t="s">
        <v>2250</v>
      </c>
      <c r="F2826" s="124" t="s">
        <v>620</v>
      </c>
      <c r="G2826" s="130">
        <v>2019</v>
      </c>
      <c r="H2826" s="125" t="s">
        <v>733</v>
      </c>
      <c r="I2826" s="340" t="str">
        <f t="shared" si="116"/>
        <v>Ligeiro de Passageiros M1: Geral : Gasóleo : E6</v>
      </c>
      <c r="J2826" s="125">
        <v>8</v>
      </c>
      <c r="K2826" s="264">
        <v>2022</v>
      </c>
      <c r="L2826" s="129">
        <v>9443.58</v>
      </c>
      <c r="M2826" s="85" t="s">
        <v>630</v>
      </c>
      <c r="N2826" s="128">
        <v>110080.5</v>
      </c>
      <c r="O2826" s="128">
        <f t="shared" si="115"/>
        <v>880644</v>
      </c>
      <c r="Q2826" t="s">
        <v>47</v>
      </c>
      <c r="R2826" s="220" t="s">
        <v>1888</v>
      </c>
      <c r="S2826" s="220" t="s">
        <v>1861</v>
      </c>
      <c r="T2826" t="s">
        <v>3890</v>
      </c>
      <c r="U2826" t="s">
        <v>1972</v>
      </c>
      <c r="V2826" t="s">
        <v>2832</v>
      </c>
    </row>
    <row r="2827" spans="1:22" ht="15.75" thickBot="1" x14ac:dyDescent="0.3">
      <c r="A2827" t="s">
        <v>4792</v>
      </c>
      <c r="B2827" t="s">
        <v>4792</v>
      </c>
      <c r="C2827" t="s">
        <v>4792</v>
      </c>
      <c r="D2827" s="83" t="s">
        <v>623</v>
      </c>
      <c r="E2827" s="262" t="s">
        <v>2250</v>
      </c>
      <c r="F2827" s="124" t="s">
        <v>620</v>
      </c>
      <c r="G2827" s="130">
        <v>2019</v>
      </c>
      <c r="H2827" s="125" t="s">
        <v>733</v>
      </c>
      <c r="I2827" s="340" t="str">
        <f t="shared" si="116"/>
        <v>Ligeiro de Passageiros M1: Geral : Gasóleo : E6</v>
      </c>
      <c r="J2827" s="125">
        <v>8</v>
      </c>
      <c r="K2827" s="264">
        <v>2022</v>
      </c>
      <c r="L2827" s="129">
        <v>3188.05</v>
      </c>
      <c r="M2827" s="85" t="s">
        <v>630</v>
      </c>
      <c r="N2827" s="128">
        <v>37444</v>
      </c>
      <c r="O2827" s="128">
        <f t="shared" si="115"/>
        <v>299552</v>
      </c>
      <c r="Q2827" t="s">
        <v>47</v>
      </c>
      <c r="R2827" s="220" t="s">
        <v>1888</v>
      </c>
      <c r="S2827" s="220" t="s">
        <v>1861</v>
      </c>
      <c r="T2827" t="s">
        <v>3891</v>
      </c>
      <c r="U2827" t="s">
        <v>1972</v>
      </c>
      <c r="V2827" t="s">
        <v>2832</v>
      </c>
    </row>
    <row r="2828" spans="1:22" ht="15.75" thickBot="1" x14ac:dyDescent="0.3">
      <c r="A2828" t="s">
        <v>4792</v>
      </c>
      <c r="B2828" t="s">
        <v>4792</v>
      </c>
      <c r="C2828" t="s">
        <v>4792</v>
      </c>
      <c r="D2828" s="83" t="s">
        <v>623</v>
      </c>
      <c r="E2828" s="262" t="s">
        <v>2250</v>
      </c>
      <c r="F2828" s="124" t="s">
        <v>620</v>
      </c>
      <c r="G2828" s="130">
        <v>2019</v>
      </c>
      <c r="H2828" s="125" t="s">
        <v>733</v>
      </c>
      <c r="I2828" s="340" t="str">
        <f t="shared" si="116"/>
        <v>Ligeiro de Passageiros M1: Geral : Gasóleo : E6</v>
      </c>
      <c r="J2828" s="125">
        <v>8</v>
      </c>
      <c r="K2828" s="264">
        <v>2022</v>
      </c>
      <c r="L2828" s="129">
        <v>6697.63</v>
      </c>
      <c r="M2828" s="85" t="s">
        <v>630</v>
      </c>
      <c r="N2828" s="128">
        <v>79039</v>
      </c>
      <c r="O2828" s="128">
        <f t="shared" si="115"/>
        <v>632312</v>
      </c>
      <c r="Q2828" t="s">
        <v>47</v>
      </c>
      <c r="R2828" s="220" t="s">
        <v>1888</v>
      </c>
      <c r="S2828" s="220" t="s">
        <v>1861</v>
      </c>
      <c r="T2828" t="s">
        <v>3892</v>
      </c>
      <c r="U2828" t="s">
        <v>1972</v>
      </c>
      <c r="V2828" t="s">
        <v>2832</v>
      </c>
    </row>
    <row r="2829" spans="1:22" ht="15.75" thickBot="1" x14ac:dyDescent="0.3">
      <c r="A2829" t="s">
        <v>1929</v>
      </c>
      <c r="B2829" t="s">
        <v>1929</v>
      </c>
      <c r="C2829" s="82" t="s">
        <v>1929</v>
      </c>
      <c r="D2829" s="83" t="s">
        <v>629</v>
      </c>
      <c r="E2829" s="262" t="s">
        <v>1970</v>
      </c>
      <c r="F2829" s="124" t="s">
        <v>620</v>
      </c>
      <c r="G2829" s="130"/>
      <c r="H2829" s="125" t="s">
        <v>731</v>
      </c>
      <c r="I2829" s="340" t="str">
        <f t="shared" si="116"/>
        <v>Pesado de Passageiros M3: I : Gasóleo : E4</v>
      </c>
      <c r="J2829" s="125"/>
      <c r="K2829" s="264">
        <v>2022</v>
      </c>
      <c r="L2829" s="253">
        <v>10804.336499999999</v>
      </c>
      <c r="M2829" s="253" t="s">
        <v>630</v>
      </c>
      <c r="N2829" s="254">
        <v>21761</v>
      </c>
      <c r="O2829" s="254">
        <f t="shared" si="115"/>
        <v>0</v>
      </c>
      <c r="P2829" s="268" t="s">
        <v>2174</v>
      </c>
      <c r="Q2829" s="85" t="s">
        <v>47</v>
      </c>
      <c r="R2829" s="220" t="s">
        <v>1888</v>
      </c>
      <c r="S2829" s="220" t="s">
        <v>1861</v>
      </c>
      <c r="T2829" s="85" t="s">
        <v>3485</v>
      </c>
    </row>
    <row r="2830" spans="1:22" ht="15.75" thickBot="1" x14ac:dyDescent="0.3">
      <c r="A2830" t="s">
        <v>1929</v>
      </c>
      <c r="B2830" t="s">
        <v>1929</v>
      </c>
      <c r="C2830" s="82" t="s">
        <v>1929</v>
      </c>
      <c r="D2830" s="83" t="s">
        <v>629</v>
      </c>
      <c r="E2830" s="262" t="s">
        <v>1970</v>
      </c>
      <c r="F2830" s="124" t="s">
        <v>620</v>
      </c>
      <c r="G2830" s="130">
        <v>2002</v>
      </c>
      <c r="H2830" s="125" t="s">
        <v>732</v>
      </c>
      <c r="I2830" s="340" t="str">
        <f t="shared" si="116"/>
        <v>Pesado de Passageiros M3: I : Gasóleo : E3</v>
      </c>
      <c r="J2830" s="125">
        <v>81</v>
      </c>
      <c r="K2830" s="264">
        <v>2022</v>
      </c>
      <c r="L2830" s="129">
        <v>20138.536499999998</v>
      </c>
      <c r="M2830" s="85" t="s">
        <v>630</v>
      </c>
      <c r="N2830" s="128">
        <v>40561</v>
      </c>
      <c r="O2830" s="128">
        <f t="shared" si="115"/>
        <v>3285441</v>
      </c>
      <c r="P2830" s="125" t="s">
        <v>2174</v>
      </c>
      <c r="Q2830" s="85" t="s">
        <v>47</v>
      </c>
      <c r="R2830" s="220" t="s">
        <v>1888</v>
      </c>
      <c r="S2830" s="220" t="s">
        <v>1861</v>
      </c>
      <c r="T2830" s="85" t="s">
        <v>3485</v>
      </c>
    </row>
    <row r="2831" spans="1:22" ht="15.75" thickBot="1" x14ac:dyDescent="0.3">
      <c r="A2831" t="s">
        <v>1929</v>
      </c>
      <c r="B2831" t="s">
        <v>1929</v>
      </c>
      <c r="C2831" s="82" t="s">
        <v>1929</v>
      </c>
      <c r="D2831" s="83" t="s">
        <v>629</v>
      </c>
      <c r="E2831" s="262" t="s">
        <v>1970</v>
      </c>
      <c r="F2831" s="124" t="s">
        <v>620</v>
      </c>
      <c r="G2831" s="130">
        <v>2011</v>
      </c>
      <c r="H2831" s="125" t="s">
        <v>734</v>
      </c>
      <c r="I2831" s="340" t="str">
        <f t="shared" si="116"/>
        <v>Pesado de Passageiros M3: I : Gasóleo : E5</v>
      </c>
      <c r="J2831" s="125">
        <v>61</v>
      </c>
      <c r="K2831" s="264">
        <v>2022</v>
      </c>
      <c r="L2831" s="129">
        <v>10571.968399999998</v>
      </c>
      <c r="M2831" s="85" t="s">
        <v>630</v>
      </c>
      <c r="N2831" s="128">
        <v>27524</v>
      </c>
      <c r="O2831" s="128">
        <f t="shared" si="115"/>
        <v>1678964</v>
      </c>
      <c r="P2831" s="125" t="s">
        <v>1981</v>
      </c>
      <c r="Q2831" s="85" t="s">
        <v>47</v>
      </c>
      <c r="R2831" s="220" t="s">
        <v>1888</v>
      </c>
      <c r="S2831" s="220" t="s">
        <v>1861</v>
      </c>
      <c r="T2831" s="85" t="s">
        <v>3969</v>
      </c>
    </row>
    <row r="2832" spans="1:22" ht="15.75" thickBot="1" x14ac:dyDescent="0.3">
      <c r="A2832" t="s">
        <v>1929</v>
      </c>
      <c r="B2832" t="s">
        <v>1929</v>
      </c>
      <c r="C2832" s="82" t="s">
        <v>1929</v>
      </c>
      <c r="D2832" s="83" t="s">
        <v>629</v>
      </c>
      <c r="E2832" s="262" t="s">
        <v>1970</v>
      </c>
      <c r="F2832" s="124" t="s">
        <v>620</v>
      </c>
      <c r="G2832" s="130"/>
      <c r="H2832" s="125" t="s">
        <v>731</v>
      </c>
      <c r="I2832" s="340" t="str">
        <f t="shared" si="116"/>
        <v>Pesado de Passageiros M3: I : Gasóleo : E4</v>
      </c>
      <c r="J2832" s="125"/>
      <c r="K2832" s="264">
        <v>2022</v>
      </c>
      <c r="L2832" s="85">
        <v>3547.06</v>
      </c>
      <c r="M2832" s="85" t="s">
        <v>630</v>
      </c>
      <c r="N2832" s="128">
        <v>7711</v>
      </c>
      <c r="O2832" s="128">
        <f t="shared" si="115"/>
        <v>0</v>
      </c>
      <c r="P2832" s="260" t="s">
        <v>3391</v>
      </c>
      <c r="Q2832" s="85" t="s">
        <v>47</v>
      </c>
      <c r="R2832" s="220" t="s">
        <v>1888</v>
      </c>
      <c r="S2832" s="220" t="s">
        <v>1861</v>
      </c>
      <c r="T2832" s="419" t="s">
        <v>3970</v>
      </c>
    </row>
    <row r="2833" spans="1:20" ht="15.75" thickBot="1" x14ac:dyDescent="0.3">
      <c r="A2833" t="s">
        <v>1929</v>
      </c>
      <c r="B2833" t="s">
        <v>1929</v>
      </c>
      <c r="C2833" s="82" t="s">
        <v>1929</v>
      </c>
      <c r="D2833" s="83" t="s">
        <v>629</v>
      </c>
      <c r="E2833" s="262" t="s">
        <v>1970</v>
      </c>
      <c r="F2833" s="124" t="s">
        <v>620</v>
      </c>
      <c r="G2833" s="130"/>
      <c r="H2833" s="125" t="s">
        <v>731</v>
      </c>
      <c r="I2833" s="340" t="str">
        <f t="shared" si="116"/>
        <v>Pesado de Passageiros M3: I : Gasóleo : E4</v>
      </c>
      <c r="J2833" s="125"/>
      <c r="K2833" s="264">
        <v>2022</v>
      </c>
      <c r="L2833" s="85">
        <v>7762.04</v>
      </c>
      <c r="M2833" s="85" t="s">
        <v>630</v>
      </c>
      <c r="N2833" s="128">
        <v>16874</v>
      </c>
      <c r="O2833" s="128">
        <f t="shared" si="115"/>
        <v>0</v>
      </c>
      <c r="P2833" s="125" t="s">
        <v>3392</v>
      </c>
      <c r="Q2833" s="85" t="s">
        <v>47</v>
      </c>
      <c r="R2833" s="220" t="s">
        <v>1888</v>
      </c>
      <c r="S2833" s="220" t="s">
        <v>1861</v>
      </c>
      <c r="T2833" s="85" t="s">
        <v>3971</v>
      </c>
    </row>
    <row r="2834" spans="1:20" ht="15.75" thickBot="1" x14ac:dyDescent="0.3">
      <c r="A2834" t="s">
        <v>1929</v>
      </c>
      <c r="B2834" t="s">
        <v>1929</v>
      </c>
      <c r="C2834" s="82" t="s">
        <v>1929</v>
      </c>
      <c r="D2834" s="83" t="s">
        <v>629</v>
      </c>
      <c r="E2834" s="262" t="s">
        <v>1970</v>
      </c>
      <c r="F2834" s="124" t="s">
        <v>620</v>
      </c>
      <c r="G2834" s="130">
        <v>2006</v>
      </c>
      <c r="H2834" s="125" t="s">
        <v>731</v>
      </c>
      <c r="I2834" s="340" t="str">
        <f t="shared" si="116"/>
        <v>Pesado de Passageiros M3: I : Gasóleo : E4</v>
      </c>
      <c r="J2834" s="125">
        <v>68</v>
      </c>
      <c r="K2834" s="264">
        <v>2022</v>
      </c>
      <c r="L2834" s="129">
        <v>35620.300799999997</v>
      </c>
      <c r="M2834" s="85" t="s">
        <v>630</v>
      </c>
      <c r="N2834" s="128">
        <v>68712</v>
      </c>
      <c r="O2834" s="128">
        <f t="shared" si="115"/>
        <v>4672416</v>
      </c>
      <c r="P2834" s="125" t="s">
        <v>1992</v>
      </c>
      <c r="Q2834" s="85" t="s">
        <v>47</v>
      </c>
      <c r="R2834" s="220" t="s">
        <v>1888</v>
      </c>
      <c r="S2834" s="220" t="s">
        <v>1861</v>
      </c>
      <c r="T2834" s="85" t="s">
        <v>3972</v>
      </c>
    </row>
    <row r="2835" spans="1:20" ht="15.75" thickBot="1" x14ac:dyDescent="0.3">
      <c r="A2835" t="s">
        <v>1929</v>
      </c>
      <c r="B2835" t="s">
        <v>1929</v>
      </c>
      <c r="C2835" s="82" t="s">
        <v>1929</v>
      </c>
      <c r="D2835" s="83" t="s">
        <v>629</v>
      </c>
      <c r="E2835" s="262" t="s">
        <v>1970</v>
      </c>
      <c r="F2835" s="124" t="s">
        <v>620</v>
      </c>
      <c r="G2835" s="130"/>
      <c r="H2835" s="125" t="s">
        <v>732</v>
      </c>
      <c r="I2835" s="340" t="str">
        <f t="shared" si="116"/>
        <v>Pesado de Passageiros M3: I : Gasóleo : E3</v>
      </c>
      <c r="J2835" s="125"/>
      <c r="K2835" s="264">
        <v>2022</v>
      </c>
      <c r="L2835" s="85">
        <v>19882.5</v>
      </c>
      <c r="M2835" s="85" t="s">
        <v>630</v>
      </c>
      <c r="N2835" s="128">
        <v>36150</v>
      </c>
      <c r="O2835" s="128">
        <f t="shared" si="115"/>
        <v>0</v>
      </c>
      <c r="P2835" s="125" t="s">
        <v>3406</v>
      </c>
      <c r="Q2835" s="85" t="s">
        <v>47</v>
      </c>
      <c r="R2835" s="220" t="s">
        <v>1888</v>
      </c>
      <c r="S2835" s="220" t="s">
        <v>1861</v>
      </c>
      <c r="T2835" s="85" t="s">
        <v>3973</v>
      </c>
    </row>
    <row r="2836" spans="1:20" ht="15.75" thickBot="1" x14ac:dyDescent="0.3">
      <c r="A2836" t="s">
        <v>1929</v>
      </c>
      <c r="B2836" t="s">
        <v>1929</v>
      </c>
      <c r="C2836" s="82" t="s">
        <v>1929</v>
      </c>
      <c r="D2836" s="83" t="s">
        <v>629</v>
      </c>
      <c r="E2836" s="262" t="s">
        <v>1970</v>
      </c>
      <c r="F2836" s="124" t="s">
        <v>620</v>
      </c>
      <c r="G2836" s="130">
        <v>1999</v>
      </c>
      <c r="H2836" s="125" t="s">
        <v>735</v>
      </c>
      <c r="I2836" s="340" t="str">
        <f t="shared" si="116"/>
        <v>Pesado de Passageiros M3: I : Gasóleo : E2</v>
      </c>
      <c r="J2836" s="125">
        <v>82</v>
      </c>
      <c r="K2836" s="264">
        <v>2022</v>
      </c>
      <c r="L2836" s="129">
        <v>17585.000400000001</v>
      </c>
      <c r="M2836" s="85" t="s">
        <v>630</v>
      </c>
      <c r="N2836" s="128">
        <v>28127</v>
      </c>
      <c r="O2836" s="128">
        <f t="shared" si="115"/>
        <v>2306414</v>
      </c>
      <c r="P2836" s="125" t="s">
        <v>2151</v>
      </c>
      <c r="Q2836" s="85" t="s">
        <v>47</v>
      </c>
      <c r="R2836" s="220" t="s">
        <v>1888</v>
      </c>
      <c r="S2836" s="220" t="s">
        <v>1861</v>
      </c>
      <c r="T2836" s="85" t="s">
        <v>3974</v>
      </c>
    </row>
    <row r="2837" spans="1:20" ht="15.75" thickBot="1" x14ac:dyDescent="0.3">
      <c r="A2837" t="s">
        <v>1929</v>
      </c>
      <c r="B2837" t="s">
        <v>1929</v>
      </c>
      <c r="C2837" s="82" t="s">
        <v>1929</v>
      </c>
      <c r="D2837" s="83" t="s">
        <v>629</v>
      </c>
      <c r="E2837" s="262" t="s">
        <v>1970</v>
      </c>
      <c r="F2837" s="124" t="s">
        <v>620</v>
      </c>
      <c r="G2837" s="130">
        <v>1997</v>
      </c>
      <c r="H2837" s="125" t="s">
        <v>735</v>
      </c>
      <c r="I2837" s="340" t="str">
        <f t="shared" si="116"/>
        <v>Pesado de Passageiros M3: I : Gasóleo : E2</v>
      </c>
      <c r="J2837" s="125">
        <v>84</v>
      </c>
      <c r="K2837" s="264">
        <v>2022</v>
      </c>
      <c r="L2837" s="129">
        <v>14038.813599999999</v>
      </c>
      <c r="M2837" s="85" t="s">
        <v>630</v>
      </c>
      <c r="N2837" s="128">
        <v>25921</v>
      </c>
      <c r="O2837" s="128">
        <f t="shared" si="115"/>
        <v>2177364</v>
      </c>
      <c r="P2837" s="125" t="s">
        <v>2015</v>
      </c>
      <c r="Q2837" s="85" t="s">
        <v>47</v>
      </c>
      <c r="R2837" s="220" t="s">
        <v>1888</v>
      </c>
      <c r="S2837" s="220" t="s">
        <v>1861</v>
      </c>
      <c r="T2837" s="85" t="s">
        <v>3975</v>
      </c>
    </row>
    <row r="2838" spans="1:20" ht="15.75" thickBot="1" x14ac:dyDescent="0.3">
      <c r="A2838" t="s">
        <v>1929</v>
      </c>
      <c r="B2838" t="s">
        <v>1929</v>
      </c>
      <c r="C2838" s="82" t="s">
        <v>1929</v>
      </c>
      <c r="D2838" s="83" t="s">
        <v>629</v>
      </c>
      <c r="E2838" s="262" t="s">
        <v>1970</v>
      </c>
      <c r="F2838" s="124" t="s">
        <v>620</v>
      </c>
      <c r="G2838" s="130">
        <v>1997</v>
      </c>
      <c r="H2838" s="125" t="s">
        <v>735</v>
      </c>
      <c r="I2838" s="340" t="str">
        <f t="shared" si="116"/>
        <v>Pesado de Passageiros M3: I : Gasóleo : E2</v>
      </c>
      <c r="J2838" s="125">
        <v>84</v>
      </c>
      <c r="K2838" s="264">
        <v>2022</v>
      </c>
      <c r="L2838" s="129">
        <v>20488.04</v>
      </c>
      <c r="M2838" s="85" t="s">
        <v>630</v>
      </c>
      <c r="N2838" s="128">
        <v>31888</v>
      </c>
      <c r="O2838" s="128">
        <f t="shared" si="115"/>
        <v>2678592</v>
      </c>
      <c r="P2838" s="125" t="s">
        <v>2017</v>
      </c>
      <c r="Q2838" s="85" t="s">
        <v>47</v>
      </c>
      <c r="R2838" s="220" t="s">
        <v>1888</v>
      </c>
      <c r="S2838" s="220" t="s">
        <v>1861</v>
      </c>
      <c r="T2838" s="85" t="s">
        <v>3976</v>
      </c>
    </row>
    <row r="2839" spans="1:20" ht="15.75" thickBot="1" x14ac:dyDescent="0.3">
      <c r="A2839" t="s">
        <v>1929</v>
      </c>
      <c r="B2839" t="s">
        <v>1929</v>
      </c>
      <c r="C2839" s="82" t="s">
        <v>1929</v>
      </c>
      <c r="D2839" s="83" t="s">
        <v>629</v>
      </c>
      <c r="E2839" s="262" t="s">
        <v>1970</v>
      </c>
      <c r="F2839" s="124" t="s">
        <v>620</v>
      </c>
      <c r="G2839" s="130">
        <v>1997</v>
      </c>
      <c r="H2839" s="125" t="s">
        <v>735</v>
      </c>
      <c r="I2839" s="340" t="str">
        <f t="shared" si="116"/>
        <v>Pesado de Passageiros M3: I : Gasóleo : E2</v>
      </c>
      <c r="J2839" s="125">
        <v>84</v>
      </c>
      <c r="K2839" s="264">
        <v>2022</v>
      </c>
      <c r="L2839" s="129">
        <v>18655.752</v>
      </c>
      <c r="M2839" s="85" t="s">
        <v>630</v>
      </c>
      <c r="N2839" s="128">
        <v>38229</v>
      </c>
      <c r="O2839" s="128">
        <f t="shared" si="115"/>
        <v>3211236</v>
      </c>
      <c r="P2839" s="125" t="s">
        <v>2011</v>
      </c>
      <c r="Q2839" s="85" t="s">
        <v>47</v>
      </c>
      <c r="R2839" s="220" t="s">
        <v>1888</v>
      </c>
      <c r="S2839" s="220" t="s">
        <v>1861</v>
      </c>
      <c r="T2839" s="85" t="s">
        <v>3977</v>
      </c>
    </row>
    <row r="2840" spans="1:20" ht="15.75" thickBot="1" x14ac:dyDescent="0.3">
      <c r="A2840" t="s">
        <v>1929</v>
      </c>
      <c r="B2840" t="s">
        <v>1929</v>
      </c>
      <c r="C2840" s="82" t="s">
        <v>1929</v>
      </c>
      <c r="D2840" s="83" t="s">
        <v>629</v>
      </c>
      <c r="E2840" s="262" t="s">
        <v>1970</v>
      </c>
      <c r="F2840" s="124" t="s">
        <v>620</v>
      </c>
      <c r="G2840" s="130">
        <v>1997</v>
      </c>
      <c r="H2840" s="125" t="s">
        <v>735</v>
      </c>
      <c r="I2840" s="340" t="str">
        <f t="shared" si="116"/>
        <v>Pesado de Passageiros M3: I : Gasóleo : E2</v>
      </c>
      <c r="J2840" s="125">
        <v>84</v>
      </c>
      <c r="K2840" s="264">
        <v>2022</v>
      </c>
      <c r="L2840" s="129">
        <v>8872.73</v>
      </c>
      <c r="M2840" s="85" t="s">
        <v>630</v>
      </c>
      <c r="N2840" s="128">
        <v>16741</v>
      </c>
      <c r="O2840" s="128">
        <f t="shared" si="115"/>
        <v>1406244</v>
      </c>
      <c r="P2840" s="125" t="s">
        <v>2016</v>
      </c>
      <c r="Q2840" s="85" t="s">
        <v>47</v>
      </c>
      <c r="R2840" s="220" t="s">
        <v>1888</v>
      </c>
      <c r="S2840" s="220" t="s">
        <v>1861</v>
      </c>
      <c r="T2840" s="85" t="s">
        <v>3978</v>
      </c>
    </row>
    <row r="2841" spans="1:20" ht="15.75" thickBot="1" x14ac:dyDescent="0.3">
      <c r="A2841" t="s">
        <v>1929</v>
      </c>
      <c r="B2841" t="s">
        <v>1929</v>
      </c>
      <c r="C2841" s="82" t="s">
        <v>1929</v>
      </c>
      <c r="D2841" s="83" t="s">
        <v>629</v>
      </c>
      <c r="E2841" s="262" t="s">
        <v>1970</v>
      </c>
      <c r="F2841" s="124" t="s">
        <v>620</v>
      </c>
      <c r="G2841" s="130">
        <v>2015</v>
      </c>
      <c r="H2841" s="125" t="s">
        <v>733</v>
      </c>
      <c r="I2841" s="340" t="str">
        <f t="shared" si="116"/>
        <v>Pesado de Passageiros M3: I : Gasóleo : E6</v>
      </c>
      <c r="J2841" s="125">
        <v>61</v>
      </c>
      <c r="K2841" s="264">
        <v>2022</v>
      </c>
      <c r="L2841" s="129">
        <v>26109.1656</v>
      </c>
      <c r="M2841" s="85" t="s">
        <v>630</v>
      </c>
      <c r="N2841" s="128">
        <v>58884</v>
      </c>
      <c r="O2841" s="128">
        <f t="shared" si="115"/>
        <v>3591924</v>
      </c>
      <c r="P2841" s="125" t="s">
        <v>2025</v>
      </c>
      <c r="Q2841" s="85" t="s">
        <v>47</v>
      </c>
      <c r="R2841" s="220" t="s">
        <v>1888</v>
      </c>
      <c r="S2841" s="220" t="s">
        <v>1861</v>
      </c>
      <c r="T2841" s="85" t="s">
        <v>3979</v>
      </c>
    </row>
    <row r="2842" spans="1:20" ht="15.75" thickBot="1" x14ac:dyDescent="0.3">
      <c r="A2842" t="s">
        <v>1929</v>
      </c>
      <c r="B2842" t="s">
        <v>1929</v>
      </c>
      <c r="C2842" s="82" t="s">
        <v>1929</v>
      </c>
      <c r="D2842" s="83" t="s">
        <v>629</v>
      </c>
      <c r="E2842" s="262" t="s">
        <v>1970</v>
      </c>
      <c r="F2842" s="124" t="s">
        <v>620</v>
      </c>
      <c r="G2842" s="130">
        <v>2015</v>
      </c>
      <c r="H2842" s="125" t="s">
        <v>733</v>
      </c>
      <c r="I2842" s="340" t="str">
        <f t="shared" si="116"/>
        <v>Pesado de Passageiros M3: I : Gasóleo : E6</v>
      </c>
      <c r="J2842" s="125">
        <v>61</v>
      </c>
      <c r="K2842" s="264">
        <v>2022</v>
      </c>
      <c r="L2842" s="129">
        <v>27309.387599999998</v>
      </c>
      <c r="M2842" s="85" t="s">
        <v>630</v>
      </c>
      <c r="N2842" s="128">
        <v>61758</v>
      </c>
      <c r="O2842" s="128">
        <f t="shared" si="115"/>
        <v>3767238</v>
      </c>
      <c r="P2842" s="125" t="s">
        <v>2026</v>
      </c>
      <c r="Q2842" s="85" t="s">
        <v>47</v>
      </c>
      <c r="R2842" s="220" t="s">
        <v>1888</v>
      </c>
      <c r="S2842" s="220" t="s">
        <v>1861</v>
      </c>
      <c r="T2842" s="85" t="s">
        <v>3980</v>
      </c>
    </row>
    <row r="2843" spans="1:20" ht="15.75" thickBot="1" x14ac:dyDescent="0.3">
      <c r="A2843" t="s">
        <v>1929</v>
      </c>
      <c r="B2843" t="s">
        <v>1929</v>
      </c>
      <c r="C2843" s="82" t="s">
        <v>1929</v>
      </c>
      <c r="D2843" s="83" t="s">
        <v>629</v>
      </c>
      <c r="E2843" s="262" t="s">
        <v>1970</v>
      </c>
      <c r="F2843" s="124" t="s">
        <v>620</v>
      </c>
      <c r="G2843" s="130"/>
      <c r="H2843" s="125" t="s">
        <v>732</v>
      </c>
      <c r="I2843" s="340" t="str">
        <f t="shared" si="116"/>
        <v>Pesado de Passageiros M3: I : Gasóleo : E3</v>
      </c>
      <c r="J2843" s="125"/>
      <c r="K2843" s="264">
        <v>2022</v>
      </c>
      <c r="L2843" s="85">
        <v>10944.09</v>
      </c>
      <c r="M2843" s="85" t="s">
        <v>630</v>
      </c>
      <c r="N2843" s="128">
        <v>21459</v>
      </c>
      <c r="O2843" s="128">
        <f t="shared" si="115"/>
        <v>0</v>
      </c>
      <c r="P2843" s="125" t="s">
        <v>3405</v>
      </c>
      <c r="Q2843" s="85" t="s">
        <v>47</v>
      </c>
      <c r="R2843" s="220" t="s">
        <v>1888</v>
      </c>
      <c r="S2843" s="220" t="s">
        <v>1861</v>
      </c>
      <c r="T2843" s="85" t="s">
        <v>3981</v>
      </c>
    </row>
    <row r="2844" spans="1:20" ht="15.75" thickBot="1" x14ac:dyDescent="0.3">
      <c r="A2844" t="s">
        <v>1929</v>
      </c>
      <c r="B2844" t="s">
        <v>1929</v>
      </c>
      <c r="C2844" s="82" t="s">
        <v>1929</v>
      </c>
      <c r="D2844" s="83" t="s">
        <v>629</v>
      </c>
      <c r="E2844" s="262" t="s">
        <v>1970</v>
      </c>
      <c r="F2844" s="124" t="s">
        <v>620</v>
      </c>
      <c r="G2844" s="130">
        <v>2011</v>
      </c>
      <c r="H2844" s="125" t="s">
        <v>734</v>
      </c>
      <c r="I2844" s="340" t="str">
        <f t="shared" si="116"/>
        <v>Pesado de Passageiros M3: I : Gasóleo : E5</v>
      </c>
      <c r="J2844" s="125">
        <v>144</v>
      </c>
      <c r="K2844" s="264">
        <v>2022</v>
      </c>
      <c r="L2844" s="129">
        <v>45749.264400000007</v>
      </c>
      <c r="M2844" s="85" t="s">
        <v>630</v>
      </c>
      <c r="N2844" s="128">
        <v>71194</v>
      </c>
      <c r="O2844" s="128">
        <f t="shared" si="115"/>
        <v>10251936</v>
      </c>
      <c r="P2844" s="125" t="s">
        <v>2087</v>
      </c>
      <c r="Q2844" s="85" t="s">
        <v>47</v>
      </c>
      <c r="R2844" s="220" t="s">
        <v>1888</v>
      </c>
      <c r="S2844" s="220" t="s">
        <v>1861</v>
      </c>
      <c r="T2844" s="85" t="s">
        <v>3982</v>
      </c>
    </row>
    <row r="2845" spans="1:20" ht="15.75" thickBot="1" x14ac:dyDescent="0.3">
      <c r="A2845" t="s">
        <v>1929</v>
      </c>
      <c r="B2845" t="s">
        <v>1929</v>
      </c>
      <c r="C2845" s="82" t="s">
        <v>1929</v>
      </c>
      <c r="D2845" s="83" t="s">
        <v>629</v>
      </c>
      <c r="E2845" s="262" t="s">
        <v>1970</v>
      </c>
      <c r="F2845" s="124" t="s">
        <v>620</v>
      </c>
      <c r="G2845" s="130">
        <v>2003</v>
      </c>
      <c r="H2845" s="125" t="s">
        <v>732</v>
      </c>
      <c r="I2845" s="340" t="str">
        <f t="shared" si="116"/>
        <v>Pesado de Passageiros M3: I : Gasóleo : E3</v>
      </c>
      <c r="J2845" s="125">
        <v>77</v>
      </c>
      <c r="K2845" s="264">
        <v>2022</v>
      </c>
      <c r="L2845" s="129">
        <v>28369.097999999998</v>
      </c>
      <c r="M2845" s="85" t="s">
        <v>630</v>
      </c>
      <c r="N2845" s="128">
        <v>62487</v>
      </c>
      <c r="O2845" s="128">
        <f t="shared" si="115"/>
        <v>4811499</v>
      </c>
      <c r="P2845" s="125" t="s">
        <v>2093</v>
      </c>
      <c r="Q2845" s="85" t="s">
        <v>47</v>
      </c>
      <c r="R2845" s="220" t="s">
        <v>1888</v>
      </c>
      <c r="S2845" s="220" t="s">
        <v>1861</v>
      </c>
      <c r="T2845" s="85" t="s">
        <v>3983</v>
      </c>
    </row>
    <row r="2846" spans="1:20" ht="15.75" thickBot="1" x14ac:dyDescent="0.3">
      <c r="A2846" t="s">
        <v>1929</v>
      </c>
      <c r="B2846" t="s">
        <v>1929</v>
      </c>
      <c r="C2846" s="82" t="s">
        <v>1929</v>
      </c>
      <c r="D2846" s="83" t="s">
        <v>629</v>
      </c>
      <c r="E2846" s="262" t="s">
        <v>1970</v>
      </c>
      <c r="F2846" s="124" t="s">
        <v>620</v>
      </c>
      <c r="G2846" s="130">
        <v>2003</v>
      </c>
      <c r="H2846" s="125" t="s">
        <v>732</v>
      </c>
      <c r="I2846" s="340" t="str">
        <f t="shared" si="116"/>
        <v>Pesado de Passageiros M3: I : Gasóleo : E3</v>
      </c>
      <c r="J2846" s="125">
        <v>77</v>
      </c>
      <c r="K2846" s="264">
        <v>2022</v>
      </c>
      <c r="L2846" s="129">
        <v>10682.55</v>
      </c>
      <c r="M2846" s="85" t="s">
        <v>630</v>
      </c>
      <c r="N2846" s="128">
        <v>23739</v>
      </c>
      <c r="O2846" s="128">
        <f t="shared" si="115"/>
        <v>1827903</v>
      </c>
      <c r="P2846" s="125" t="s">
        <v>2092</v>
      </c>
      <c r="Q2846" s="85" t="s">
        <v>47</v>
      </c>
      <c r="R2846" s="220" t="s">
        <v>1888</v>
      </c>
      <c r="S2846" s="220" t="s">
        <v>1861</v>
      </c>
      <c r="T2846" s="85" t="s">
        <v>3984</v>
      </c>
    </row>
    <row r="2847" spans="1:20" ht="15.75" thickBot="1" x14ac:dyDescent="0.3">
      <c r="A2847" t="s">
        <v>1929</v>
      </c>
      <c r="B2847" t="s">
        <v>1929</v>
      </c>
      <c r="C2847" s="82" t="s">
        <v>1929</v>
      </c>
      <c r="D2847" s="83" t="s">
        <v>629</v>
      </c>
      <c r="E2847" s="262" t="s">
        <v>1970</v>
      </c>
      <c r="F2847" s="124" t="s">
        <v>620</v>
      </c>
      <c r="G2847" s="130">
        <v>2003</v>
      </c>
      <c r="H2847" s="125" t="s">
        <v>732</v>
      </c>
      <c r="I2847" s="340" t="str">
        <f t="shared" si="116"/>
        <v>Pesado de Passageiros M3: I : Gasóleo : E3</v>
      </c>
      <c r="J2847" s="125">
        <v>77</v>
      </c>
      <c r="K2847" s="264">
        <v>2022</v>
      </c>
      <c r="L2847" s="129">
        <v>21137.806799999998</v>
      </c>
      <c r="M2847" s="85" t="s">
        <v>630</v>
      </c>
      <c r="N2847" s="128">
        <v>38148</v>
      </c>
      <c r="O2847" s="128">
        <f t="shared" si="115"/>
        <v>2937396</v>
      </c>
      <c r="P2847" s="125" t="s">
        <v>2091</v>
      </c>
      <c r="Q2847" s="85" t="s">
        <v>47</v>
      </c>
      <c r="R2847" s="220" t="s">
        <v>1888</v>
      </c>
      <c r="S2847" s="220" t="s">
        <v>1861</v>
      </c>
      <c r="T2847" s="85" t="s">
        <v>3985</v>
      </c>
    </row>
    <row r="2848" spans="1:20" ht="15.75" thickBot="1" x14ac:dyDescent="0.3">
      <c r="A2848" t="s">
        <v>1929</v>
      </c>
      <c r="B2848" t="s">
        <v>1929</v>
      </c>
      <c r="C2848" s="82" t="s">
        <v>1929</v>
      </c>
      <c r="D2848" s="83" t="s">
        <v>629</v>
      </c>
      <c r="E2848" s="262" t="s">
        <v>1970</v>
      </c>
      <c r="F2848" s="124" t="s">
        <v>620</v>
      </c>
      <c r="G2848" s="130">
        <v>1997</v>
      </c>
      <c r="H2848" s="125" t="s">
        <v>735</v>
      </c>
      <c r="I2848" s="340" t="str">
        <f t="shared" si="116"/>
        <v>Pesado de Passageiros M3: I : Gasóleo : E2</v>
      </c>
      <c r="J2848" s="125">
        <v>84</v>
      </c>
      <c r="K2848" s="264">
        <v>2022</v>
      </c>
      <c r="L2848" s="129">
        <v>17907.314399999999</v>
      </c>
      <c r="M2848" s="85" t="s">
        <v>630</v>
      </c>
      <c r="N2848" s="128">
        <v>35786</v>
      </c>
      <c r="O2848" s="128">
        <f t="shared" si="115"/>
        <v>3006024</v>
      </c>
      <c r="P2848" s="125" t="s">
        <v>2019</v>
      </c>
      <c r="Q2848" s="85" t="s">
        <v>47</v>
      </c>
      <c r="R2848" s="220" t="s">
        <v>1888</v>
      </c>
      <c r="S2848" s="220" t="s">
        <v>1861</v>
      </c>
      <c r="T2848" s="85" t="s">
        <v>3986</v>
      </c>
    </row>
    <row r="2849" spans="1:20" ht="15.75" thickBot="1" x14ac:dyDescent="0.3">
      <c r="A2849" t="s">
        <v>1929</v>
      </c>
      <c r="B2849" t="s">
        <v>1929</v>
      </c>
      <c r="C2849" s="82" t="s">
        <v>1929</v>
      </c>
      <c r="D2849" s="83" t="s">
        <v>629</v>
      </c>
      <c r="E2849" s="262" t="s">
        <v>1970</v>
      </c>
      <c r="F2849" s="124" t="s">
        <v>620</v>
      </c>
      <c r="G2849" s="130">
        <v>1997</v>
      </c>
      <c r="H2849" s="125" t="s">
        <v>735</v>
      </c>
      <c r="I2849" s="340" t="str">
        <f t="shared" si="116"/>
        <v>Pesado de Passageiros M3: I : Gasóleo : E2</v>
      </c>
      <c r="J2849" s="125">
        <v>84</v>
      </c>
      <c r="K2849" s="264">
        <v>2022</v>
      </c>
      <c r="L2849" s="129">
        <v>18872.947799999998</v>
      </c>
      <c r="M2849" s="85" t="s">
        <v>630</v>
      </c>
      <c r="N2849" s="128">
        <v>37761</v>
      </c>
      <c r="O2849" s="128">
        <f t="shared" si="115"/>
        <v>3171924</v>
      </c>
      <c r="P2849" s="125" t="s">
        <v>2020</v>
      </c>
      <c r="Q2849" s="85" t="s">
        <v>47</v>
      </c>
      <c r="R2849" s="220" t="s">
        <v>1888</v>
      </c>
      <c r="S2849" s="220" t="s">
        <v>1861</v>
      </c>
      <c r="T2849" s="85" t="s">
        <v>3987</v>
      </c>
    </row>
    <row r="2850" spans="1:20" ht="15.75" thickBot="1" x14ac:dyDescent="0.3">
      <c r="A2850" t="s">
        <v>1929</v>
      </c>
      <c r="B2850" t="s">
        <v>1929</v>
      </c>
      <c r="C2850" s="82" t="s">
        <v>1929</v>
      </c>
      <c r="D2850" s="83" t="s">
        <v>629</v>
      </c>
      <c r="E2850" s="262" t="s">
        <v>1970</v>
      </c>
      <c r="F2850" s="124" t="s">
        <v>620</v>
      </c>
      <c r="G2850" s="130">
        <v>1997</v>
      </c>
      <c r="H2850" s="125" t="s">
        <v>735</v>
      </c>
      <c r="I2850" s="340" t="str">
        <f t="shared" si="116"/>
        <v>Pesado de Passageiros M3: I : Gasóleo : E2</v>
      </c>
      <c r="J2850" s="125">
        <v>84</v>
      </c>
      <c r="K2850" s="264">
        <v>2022</v>
      </c>
      <c r="L2850" s="129">
        <v>13533.478999999999</v>
      </c>
      <c r="M2850" s="85" t="s">
        <v>630</v>
      </c>
      <c r="N2850" s="128">
        <v>26986</v>
      </c>
      <c r="O2850" s="128">
        <f t="shared" si="115"/>
        <v>2266824</v>
      </c>
      <c r="P2850" s="125" t="s">
        <v>2006</v>
      </c>
      <c r="Q2850" s="85" t="s">
        <v>47</v>
      </c>
      <c r="R2850" s="220" t="s">
        <v>1888</v>
      </c>
      <c r="S2850" s="220" t="s">
        <v>1861</v>
      </c>
      <c r="T2850" s="85" t="s">
        <v>3988</v>
      </c>
    </row>
    <row r="2851" spans="1:20" ht="15.75" thickBot="1" x14ac:dyDescent="0.3">
      <c r="A2851" t="s">
        <v>1929</v>
      </c>
      <c r="B2851" t="s">
        <v>1929</v>
      </c>
      <c r="C2851" s="82" t="s">
        <v>1929</v>
      </c>
      <c r="D2851" s="83" t="s">
        <v>629</v>
      </c>
      <c r="E2851" s="262" t="s">
        <v>1970</v>
      </c>
      <c r="F2851" s="124" t="s">
        <v>620</v>
      </c>
      <c r="G2851" s="130">
        <v>1997</v>
      </c>
      <c r="H2851" s="125" t="s">
        <v>735</v>
      </c>
      <c r="I2851" s="340" t="str">
        <f t="shared" si="116"/>
        <v>Pesado de Passageiros M3: I : Gasóleo : E2</v>
      </c>
      <c r="J2851" s="125">
        <v>84</v>
      </c>
      <c r="K2851" s="264">
        <v>2022</v>
      </c>
      <c r="L2851" s="129">
        <v>15490.74</v>
      </c>
      <c r="M2851" s="85" t="s">
        <v>630</v>
      </c>
      <c r="N2851" s="128">
        <v>30374</v>
      </c>
      <c r="O2851" s="128">
        <f t="shared" si="115"/>
        <v>2551416</v>
      </c>
      <c r="P2851" s="125" t="s">
        <v>2022</v>
      </c>
      <c r="Q2851" s="85" t="s">
        <v>47</v>
      </c>
      <c r="R2851" s="220" t="s">
        <v>1888</v>
      </c>
      <c r="S2851" s="220" t="s">
        <v>1861</v>
      </c>
      <c r="T2851" s="85" t="s">
        <v>3989</v>
      </c>
    </row>
    <row r="2852" spans="1:20" ht="15.75" thickBot="1" x14ac:dyDescent="0.3">
      <c r="A2852" t="s">
        <v>1929</v>
      </c>
      <c r="B2852" t="s">
        <v>1929</v>
      </c>
      <c r="C2852" s="82" t="s">
        <v>1929</v>
      </c>
      <c r="D2852" s="83" t="s">
        <v>629</v>
      </c>
      <c r="E2852" s="262" t="s">
        <v>1970</v>
      </c>
      <c r="F2852" s="124" t="s">
        <v>620</v>
      </c>
      <c r="G2852" s="130">
        <v>1997</v>
      </c>
      <c r="H2852" s="125" t="s">
        <v>735</v>
      </c>
      <c r="I2852" s="340" t="str">
        <f t="shared" si="116"/>
        <v>Pesado de Passageiros M3: I : Gasóleo : E2</v>
      </c>
      <c r="J2852" s="125">
        <v>84</v>
      </c>
      <c r="K2852" s="264">
        <v>2022</v>
      </c>
      <c r="L2852" s="129">
        <v>20302.434499999999</v>
      </c>
      <c r="M2852" s="85" t="s">
        <v>630</v>
      </c>
      <c r="N2852" s="128">
        <v>37055</v>
      </c>
      <c r="O2852" s="128">
        <f t="shared" si="115"/>
        <v>3112620</v>
      </c>
      <c r="P2852" s="125" t="s">
        <v>2007</v>
      </c>
      <c r="Q2852" s="85" t="s">
        <v>47</v>
      </c>
      <c r="R2852" s="220" t="s">
        <v>1888</v>
      </c>
      <c r="S2852" s="220" t="s">
        <v>1861</v>
      </c>
      <c r="T2852" s="85" t="s">
        <v>3990</v>
      </c>
    </row>
    <row r="2853" spans="1:20" ht="15.75" thickBot="1" x14ac:dyDescent="0.3">
      <c r="A2853" t="s">
        <v>1929</v>
      </c>
      <c r="B2853" t="s">
        <v>1929</v>
      </c>
      <c r="C2853" s="82" t="s">
        <v>1929</v>
      </c>
      <c r="D2853" s="83" t="s">
        <v>629</v>
      </c>
      <c r="E2853" s="262" t="s">
        <v>1970</v>
      </c>
      <c r="F2853" s="124" t="s">
        <v>620</v>
      </c>
      <c r="G2853" s="130">
        <v>1997</v>
      </c>
      <c r="H2853" s="125" t="s">
        <v>735</v>
      </c>
      <c r="I2853" s="340" t="str">
        <f t="shared" si="116"/>
        <v>Pesado de Passageiros M3: I : Gasóleo : E2</v>
      </c>
      <c r="J2853" s="125">
        <v>84</v>
      </c>
      <c r="K2853" s="264">
        <v>2022</v>
      </c>
      <c r="L2853" s="129">
        <v>16549.967400000001</v>
      </c>
      <c r="M2853" s="85" t="s">
        <v>630</v>
      </c>
      <c r="N2853" s="128">
        <v>31422</v>
      </c>
      <c r="O2853" s="128">
        <f t="shared" si="115"/>
        <v>2639448</v>
      </c>
      <c r="P2853" s="125" t="s">
        <v>2021</v>
      </c>
      <c r="Q2853" s="85" t="s">
        <v>47</v>
      </c>
      <c r="R2853" s="220" t="s">
        <v>1888</v>
      </c>
      <c r="S2853" s="220" t="s">
        <v>1861</v>
      </c>
      <c r="T2853" s="85" t="s">
        <v>3991</v>
      </c>
    </row>
    <row r="2854" spans="1:20" ht="15.75" thickBot="1" x14ac:dyDescent="0.3">
      <c r="A2854" t="s">
        <v>1929</v>
      </c>
      <c r="B2854" t="s">
        <v>1929</v>
      </c>
      <c r="C2854" s="82" t="s">
        <v>1929</v>
      </c>
      <c r="D2854" s="83" t="s">
        <v>629</v>
      </c>
      <c r="E2854" s="262" t="s">
        <v>1970</v>
      </c>
      <c r="F2854" s="124" t="s">
        <v>620</v>
      </c>
      <c r="G2854" s="130"/>
      <c r="H2854" s="125" t="s">
        <v>731</v>
      </c>
      <c r="I2854" s="340" t="str">
        <f t="shared" si="116"/>
        <v>Pesado de Passageiros M3: I : Gasóleo : E4</v>
      </c>
      <c r="J2854" s="125"/>
      <c r="K2854" s="264">
        <v>2022</v>
      </c>
      <c r="L2854" s="85">
        <v>12500.58</v>
      </c>
      <c r="M2854" s="85" t="s">
        <v>630</v>
      </c>
      <c r="N2854" s="128">
        <v>23586</v>
      </c>
      <c r="O2854" s="128">
        <f t="shared" si="115"/>
        <v>0</v>
      </c>
      <c r="P2854" s="125" t="s">
        <v>3344</v>
      </c>
      <c r="Q2854" s="85" t="s">
        <v>47</v>
      </c>
      <c r="R2854" s="220" t="s">
        <v>1888</v>
      </c>
      <c r="S2854" s="220" t="s">
        <v>1861</v>
      </c>
      <c r="T2854" s="85" t="s">
        <v>3992</v>
      </c>
    </row>
    <row r="2855" spans="1:20" ht="15.75" thickBot="1" x14ac:dyDescent="0.3">
      <c r="A2855" t="s">
        <v>1929</v>
      </c>
      <c r="B2855" t="s">
        <v>1929</v>
      </c>
      <c r="C2855" s="82" t="s">
        <v>1929</v>
      </c>
      <c r="D2855" s="83" t="s">
        <v>629</v>
      </c>
      <c r="E2855" s="262" t="s">
        <v>1970</v>
      </c>
      <c r="F2855" s="124" t="s">
        <v>620</v>
      </c>
      <c r="G2855" s="130">
        <v>2005</v>
      </c>
      <c r="H2855" s="125" t="s">
        <v>732</v>
      </c>
      <c r="I2855" s="340" t="str">
        <f t="shared" si="116"/>
        <v>Pesado de Passageiros M3: I : Gasóleo : E3</v>
      </c>
      <c r="J2855" s="125">
        <v>89</v>
      </c>
      <c r="K2855" s="264">
        <v>2022</v>
      </c>
      <c r="L2855" s="129">
        <v>28780.155499999997</v>
      </c>
      <c r="M2855" s="85" t="s">
        <v>630</v>
      </c>
      <c r="N2855" s="128">
        <v>54251</v>
      </c>
      <c r="O2855" s="128">
        <f t="shared" si="115"/>
        <v>4828339</v>
      </c>
      <c r="P2855" s="125" t="s">
        <v>2140</v>
      </c>
      <c r="Q2855" s="85" t="s">
        <v>47</v>
      </c>
      <c r="R2855" s="220" t="s">
        <v>1888</v>
      </c>
      <c r="S2855" s="220" t="s">
        <v>1861</v>
      </c>
      <c r="T2855" s="85" t="s">
        <v>3993</v>
      </c>
    </row>
    <row r="2856" spans="1:20" ht="15.75" thickBot="1" x14ac:dyDescent="0.3">
      <c r="A2856" t="s">
        <v>1929</v>
      </c>
      <c r="B2856" t="s">
        <v>1929</v>
      </c>
      <c r="C2856" s="82" t="s">
        <v>1929</v>
      </c>
      <c r="D2856" s="83" t="s">
        <v>629</v>
      </c>
      <c r="E2856" s="262" t="s">
        <v>1970</v>
      </c>
      <c r="F2856" s="124" t="s">
        <v>620</v>
      </c>
      <c r="G2856" s="130"/>
      <c r="H2856" s="125" t="s">
        <v>732</v>
      </c>
      <c r="I2856" s="340" t="str">
        <f t="shared" si="116"/>
        <v>Pesado de Passageiros M3: I : Gasóleo : E3</v>
      </c>
      <c r="J2856" s="125"/>
      <c r="K2856" s="264">
        <v>2022</v>
      </c>
      <c r="L2856" s="85">
        <v>13318.56</v>
      </c>
      <c r="M2856" s="85" t="s">
        <v>630</v>
      </c>
      <c r="N2856" s="128">
        <v>27747</v>
      </c>
      <c r="O2856" s="128">
        <f t="shared" si="115"/>
        <v>0</v>
      </c>
      <c r="P2856" s="125" t="s">
        <v>3359</v>
      </c>
      <c r="Q2856" s="85" t="s">
        <v>47</v>
      </c>
      <c r="R2856" s="220" t="s">
        <v>1888</v>
      </c>
      <c r="S2856" s="220" t="s">
        <v>1861</v>
      </c>
      <c r="T2856" s="85" t="s">
        <v>3478</v>
      </c>
    </row>
    <row r="2857" spans="1:20" ht="15.75" thickBot="1" x14ac:dyDescent="0.3">
      <c r="A2857" t="s">
        <v>1929</v>
      </c>
      <c r="B2857" t="s">
        <v>1929</v>
      </c>
      <c r="C2857" s="82" t="s">
        <v>1929</v>
      </c>
      <c r="D2857" s="83" t="s">
        <v>629</v>
      </c>
      <c r="E2857" s="262" t="s">
        <v>1970</v>
      </c>
      <c r="F2857" s="124" t="s">
        <v>620</v>
      </c>
      <c r="G2857" s="130">
        <v>2005</v>
      </c>
      <c r="H2857" s="125" t="s">
        <v>732</v>
      </c>
      <c r="I2857" s="340" t="str">
        <f t="shared" si="116"/>
        <v>Pesado de Passageiros M3: I : Gasóleo : E3</v>
      </c>
      <c r="J2857" s="125">
        <v>89</v>
      </c>
      <c r="K2857" s="264">
        <v>2022</v>
      </c>
      <c r="L2857" s="129">
        <v>24397.895100000002</v>
      </c>
      <c r="M2857" s="85" t="s">
        <v>630</v>
      </c>
      <c r="N2857" s="128">
        <v>43889</v>
      </c>
      <c r="O2857" s="128">
        <f t="shared" si="115"/>
        <v>3906121</v>
      </c>
      <c r="P2857" s="125" t="s">
        <v>2141</v>
      </c>
      <c r="Q2857" s="85" t="s">
        <v>47</v>
      </c>
      <c r="R2857" s="220" t="s">
        <v>1888</v>
      </c>
      <c r="S2857" s="220" t="s">
        <v>1861</v>
      </c>
      <c r="T2857" s="85" t="s">
        <v>3994</v>
      </c>
    </row>
    <row r="2858" spans="1:20" ht="15.75" thickBot="1" x14ac:dyDescent="0.3">
      <c r="A2858" t="s">
        <v>1929</v>
      </c>
      <c r="B2858" t="s">
        <v>1929</v>
      </c>
      <c r="C2858" s="82" t="s">
        <v>1929</v>
      </c>
      <c r="D2858" s="83" t="s">
        <v>629</v>
      </c>
      <c r="E2858" s="262" t="s">
        <v>1970</v>
      </c>
      <c r="F2858" s="124" t="s">
        <v>620</v>
      </c>
      <c r="G2858" s="130">
        <v>2005</v>
      </c>
      <c r="H2858" s="125" t="s">
        <v>732</v>
      </c>
      <c r="I2858" s="340" t="str">
        <f t="shared" si="116"/>
        <v>Pesado de Passageiros M3: I : Gasóleo : E3</v>
      </c>
      <c r="J2858" s="125">
        <v>89</v>
      </c>
      <c r="K2858" s="264">
        <v>2022</v>
      </c>
      <c r="L2858" s="129">
        <v>19585.125</v>
      </c>
      <c r="M2858" s="85" t="s">
        <v>630</v>
      </c>
      <c r="N2858" s="128">
        <v>37305</v>
      </c>
      <c r="O2858" s="128">
        <f t="shared" si="115"/>
        <v>3320145</v>
      </c>
      <c r="P2858" s="125" t="s">
        <v>2142</v>
      </c>
      <c r="Q2858" s="85" t="s">
        <v>47</v>
      </c>
      <c r="R2858" s="220" t="s">
        <v>1888</v>
      </c>
      <c r="S2858" s="220" t="s">
        <v>1861</v>
      </c>
      <c r="T2858" s="85" t="s">
        <v>3995</v>
      </c>
    </row>
    <row r="2859" spans="1:20" ht="15.75" thickBot="1" x14ac:dyDescent="0.3">
      <c r="A2859" t="s">
        <v>1929</v>
      </c>
      <c r="B2859" t="s">
        <v>1929</v>
      </c>
      <c r="C2859" s="82" t="s">
        <v>1929</v>
      </c>
      <c r="D2859" s="83" t="s">
        <v>629</v>
      </c>
      <c r="E2859" s="262" t="s">
        <v>1970</v>
      </c>
      <c r="F2859" s="124" t="s">
        <v>620</v>
      </c>
      <c r="G2859" s="130"/>
      <c r="H2859" s="125" t="s">
        <v>732</v>
      </c>
      <c r="I2859" s="340" t="str">
        <f t="shared" si="116"/>
        <v>Pesado de Passageiros M3: I : Gasóleo : E3</v>
      </c>
      <c r="J2859" s="125"/>
      <c r="K2859" s="264">
        <v>2022</v>
      </c>
      <c r="L2859" s="85">
        <v>19484.64</v>
      </c>
      <c r="M2859" s="85" t="s">
        <v>630</v>
      </c>
      <c r="N2859" s="128">
        <v>40593</v>
      </c>
      <c r="O2859" s="128">
        <f t="shared" si="115"/>
        <v>0</v>
      </c>
      <c r="P2859" s="125" t="s">
        <v>3360</v>
      </c>
      <c r="Q2859" s="85" t="s">
        <v>47</v>
      </c>
      <c r="R2859" s="220" t="s">
        <v>1888</v>
      </c>
      <c r="S2859" s="220" t="s">
        <v>1861</v>
      </c>
      <c r="T2859" s="85" t="s">
        <v>3479</v>
      </c>
    </row>
    <row r="2860" spans="1:20" ht="15.75" thickBot="1" x14ac:dyDescent="0.3">
      <c r="A2860" t="s">
        <v>1929</v>
      </c>
      <c r="B2860" t="s">
        <v>1929</v>
      </c>
      <c r="C2860" s="82" t="s">
        <v>1929</v>
      </c>
      <c r="D2860" s="83" t="s">
        <v>629</v>
      </c>
      <c r="E2860" s="262" t="s">
        <v>1970</v>
      </c>
      <c r="F2860" s="124" t="s">
        <v>620</v>
      </c>
      <c r="G2860" s="130">
        <v>2005</v>
      </c>
      <c r="H2860" s="125" t="s">
        <v>732</v>
      </c>
      <c r="I2860" s="340" t="str">
        <f t="shared" si="116"/>
        <v>Pesado de Passageiros M3: I : Gasóleo : E3</v>
      </c>
      <c r="J2860" s="125">
        <v>89</v>
      </c>
      <c r="K2860" s="264">
        <v>2022</v>
      </c>
      <c r="L2860" s="129">
        <v>22445.665199999999</v>
      </c>
      <c r="M2860" s="85" t="s">
        <v>630</v>
      </c>
      <c r="N2860" s="128">
        <v>45612</v>
      </c>
      <c r="O2860" s="128">
        <f t="shared" si="115"/>
        <v>4059468</v>
      </c>
      <c r="P2860" s="125" t="s">
        <v>2143</v>
      </c>
      <c r="Q2860" s="85" t="s">
        <v>47</v>
      </c>
      <c r="R2860" s="220" t="s">
        <v>1888</v>
      </c>
      <c r="S2860" s="220" t="s">
        <v>1861</v>
      </c>
      <c r="T2860" s="85" t="s">
        <v>3996</v>
      </c>
    </row>
    <row r="2861" spans="1:20" ht="15.75" thickBot="1" x14ac:dyDescent="0.3">
      <c r="A2861" t="s">
        <v>1929</v>
      </c>
      <c r="B2861" t="s">
        <v>1929</v>
      </c>
      <c r="C2861" s="82" t="s">
        <v>1929</v>
      </c>
      <c r="D2861" s="83" t="s">
        <v>629</v>
      </c>
      <c r="E2861" s="262" t="s">
        <v>1970</v>
      </c>
      <c r="F2861" s="124" t="s">
        <v>620</v>
      </c>
      <c r="G2861" s="130">
        <v>1996</v>
      </c>
      <c r="H2861" s="125" t="s">
        <v>736</v>
      </c>
      <c r="I2861" s="340" t="str">
        <f t="shared" si="116"/>
        <v>Pesado de Passageiros M3: I : Gasóleo : E1</v>
      </c>
      <c r="J2861" s="125">
        <v>84</v>
      </c>
      <c r="K2861" s="264">
        <v>2022</v>
      </c>
      <c r="L2861" s="129">
        <v>13402.752</v>
      </c>
      <c r="M2861" s="85" t="s">
        <v>630</v>
      </c>
      <c r="N2861" s="128">
        <v>26752</v>
      </c>
      <c r="O2861" s="128">
        <f t="shared" si="115"/>
        <v>2247168</v>
      </c>
      <c r="P2861" s="125" t="s">
        <v>2156</v>
      </c>
      <c r="Q2861" s="85" t="s">
        <v>47</v>
      </c>
      <c r="R2861" s="220" t="s">
        <v>1888</v>
      </c>
      <c r="S2861" s="220" t="s">
        <v>1861</v>
      </c>
      <c r="T2861" s="85" t="s">
        <v>3997</v>
      </c>
    </row>
    <row r="2862" spans="1:20" ht="15.75" thickBot="1" x14ac:dyDescent="0.3">
      <c r="A2862" t="s">
        <v>1929</v>
      </c>
      <c r="B2862" t="s">
        <v>1929</v>
      </c>
      <c r="C2862" s="82" t="s">
        <v>1929</v>
      </c>
      <c r="D2862" s="83" t="s">
        <v>629</v>
      </c>
      <c r="E2862" s="262" t="s">
        <v>1970</v>
      </c>
      <c r="F2862" s="124" t="s">
        <v>620</v>
      </c>
      <c r="G2862" s="130">
        <v>2009</v>
      </c>
      <c r="H2862" s="125" t="s">
        <v>731</v>
      </c>
      <c r="I2862" s="340" t="str">
        <f t="shared" si="116"/>
        <v>Pesado de Passageiros M3: I : Gasóleo : E4</v>
      </c>
      <c r="J2862" s="125">
        <v>21</v>
      </c>
      <c r="K2862" s="264">
        <v>2022</v>
      </c>
      <c r="L2862" s="129">
        <v>9242.3485000000001</v>
      </c>
      <c r="M2862" s="85" t="s">
        <v>630</v>
      </c>
      <c r="N2862" s="128">
        <v>39413</v>
      </c>
      <c r="O2862" s="128">
        <f t="shared" si="115"/>
        <v>827673</v>
      </c>
      <c r="P2862" s="125" t="s">
        <v>1985</v>
      </c>
      <c r="Q2862" s="85" t="s">
        <v>47</v>
      </c>
      <c r="R2862" s="220" t="s">
        <v>1888</v>
      </c>
      <c r="S2862" s="220" t="s">
        <v>1861</v>
      </c>
      <c r="T2862" s="85" t="s">
        <v>3998</v>
      </c>
    </row>
    <row r="2863" spans="1:20" ht="15.75" thickBot="1" x14ac:dyDescent="0.3">
      <c r="A2863" t="s">
        <v>1929</v>
      </c>
      <c r="B2863" t="s">
        <v>1929</v>
      </c>
      <c r="C2863" s="82" t="s">
        <v>1929</v>
      </c>
      <c r="D2863" s="83" t="s">
        <v>629</v>
      </c>
      <c r="E2863" s="262" t="s">
        <v>1970</v>
      </c>
      <c r="F2863" s="124" t="s">
        <v>620</v>
      </c>
      <c r="G2863" s="130">
        <v>2005</v>
      </c>
      <c r="H2863" s="125" t="s">
        <v>732</v>
      </c>
      <c r="I2863" s="340" t="str">
        <f t="shared" si="116"/>
        <v>Pesado de Passageiros M3: I : Gasóleo : E3</v>
      </c>
      <c r="J2863" s="125">
        <v>93</v>
      </c>
      <c r="K2863" s="264">
        <v>2022</v>
      </c>
      <c r="L2863" s="129">
        <v>27955.572</v>
      </c>
      <c r="M2863" s="85" t="s">
        <v>630</v>
      </c>
      <c r="N2863" s="128">
        <v>58460</v>
      </c>
      <c r="O2863" s="128">
        <f t="shared" si="115"/>
        <v>5436780</v>
      </c>
      <c r="P2863" s="125" t="s">
        <v>2129</v>
      </c>
      <c r="Q2863" s="85" t="s">
        <v>47</v>
      </c>
      <c r="R2863" s="220" t="s">
        <v>1888</v>
      </c>
      <c r="S2863" s="220" t="s">
        <v>1861</v>
      </c>
      <c r="T2863" s="85" t="s">
        <v>3999</v>
      </c>
    </row>
    <row r="2864" spans="1:20" ht="15.75" thickBot="1" x14ac:dyDescent="0.3">
      <c r="A2864" t="s">
        <v>1929</v>
      </c>
      <c r="B2864" t="s">
        <v>1929</v>
      </c>
      <c r="C2864" s="82" t="s">
        <v>1929</v>
      </c>
      <c r="D2864" s="83" t="s">
        <v>629</v>
      </c>
      <c r="E2864" s="262" t="s">
        <v>1970</v>
      </c>
      <c r="F2864" s="124" t="s">
        <v>620</v>
      </c>
      <c r="G2864" s="130"/>
      <c r="H2864" s="125" t="s">
        <v>732</v>
      </c>
      <c r="I2864" s="340" t="str">
        <f t="shared" si="116"/>
        <v>Pesado de Passageiros M3: I : Gasóleo : E3</v>
      </c>
      <c r="J2864" s="125"/>
      <c r="K2864" s="264">
        <v>2022</v>
      </c>
      <c r="L2864" s="85">
        <v>25540.35</v>
      </c>
      <c r="M2864" s="85" t="s">
        <v>630</v>
      </c>
      <c r="N2864" s="128">
        <v>46437</v>
      </c>
      <c r="O2864" s="128">
        <f t="shared" si="115"/>
        <v>0</v>
      </c>
      <c r="P2864" s="125" t="s">
        <v>3357</v>
      </c>
      <c r="Q2864" s="85" t="s">
        <v>47</v>
      </c>
      <c r="R2864" s="220" t="s">
        <v>1888</v>
      </c>
      <c r="S2864" s="220" t="s">
        <v>1861</v>
      </c>
      <c r="T2864" s="85" t="s">
        <v>3477</v>
      </c>
    </row>
    <row r="2865" spans="1:20" ht="15.75" thickBot="1" x14ac:dyDescent="0.3">
      <c r="A2865" t="s">
        <v>1929</v>
      </c>
      <c r="B2865" t="s">
        <v>1929</v>
      </c>
      <c r="C2865" s="82" t="s">
        <v>1929</v>
      </c>
      <c r="D2865" s="83" t="s">
        <v>629</v>
      </c>
      <c r="E2865" s="262" t="s">
        <v>1970</v>
      </c>
      <c r="F2865" s="124" t="s">
        <v>620</v>
      </c>
      <c r="G2865" s="130"/>
      <c r="H2865" s="125" t="s">
        <v>731</v>
      </c>
      <c r="I2865" s="340" t="str">
        <f t="shared" si="116"/>
        <v>Pesado de Passageiros M3: I : Gasóleo : E4</v>
      </c>
      <c r="J2865" s="125"/>
      <c r="K2865" s="264">
        <v>2022</v>
      </c>
      <c r="L2865" s="85">
        <v>10402.98</v>
      </c>
      <c r="M2865" s="85" t="s">
        <v>630</v>
      </c>
      <c r="N2865" s="128">
        <v>20398</v>
      </c>
      <c r="O2865" s="128">
        <f t="shared" ref="O2865:O2928" si="117">N2865*J2865</f>
        <v>0</v>
      </c>
      <c r="P2865" s="125" t="s">
        <v>3377</v>
      </c>
      <c r="Q2865" s="85" t="s">
        <v>47</v>
      </c>
      <c r="R2865" s="220" t="s">
        <v>1888</v>
      </c>
      <c r="S2865" s="220" t="s">
        <v>1861</v>
      </c>
      <c r="T2865" s="85" t="s">
        <v>3487</v>
      </c>
    </row>
    <row r="2866" spans="1:20" ht="15.75" thickBot="1" x14ac:dyDescent="0.3">
      <c r="A2866" t="s">
        <v>1929</v>
      </c>
      <c r="B2866" t="s">
        <v>1929</v>
      </c>
      <c r="C2866" s="82" t="s">
        <v>1929</v>
      </c>
      <c r="D2866" s="83" t="s">
        <v>629</v>
      </c>
      <c r="E2866" s="262" t="s">
        <v>1970</v>
      </c>
      <c r="F2866" s="124" t="s">
        <v>620</v>
      </c>
      <c r="G2866" s="130"/>
      <c r="H2866" s="125" t="s">
        <v>732</v>
      </c>
      <c r="I2866" s="340" t="str">
        <f t="shared" si="116"/>
        <v>Pesado de Passageiros M3: I : Gasóleo : E3</v>
      </c>
      <c r="J2866" s="125"/>
      <c r="K2866" s="264">
        <v>2022</v>
      </c>
      <c r="L2866" s="253">
        <v>15634.65</v>
      </c>
      <c r="M2866" s="85" t="s">
        <v>630</v>
      </c>
      <c r="N2866" s="128">
        <v>31568</v>
      </c>
      <c r="O2866" s="128">
        <f t="shared" si="117"/>
        <v>0</v>
      </c>
      <c r="P2866" s="125" t="s">
        <v>3399</v>
      </c>
      <c r="Q2866" s="85" t="s">
        <v>47</v>
      </c>
      <c r="R2866" s="220" t="s">
        <v>1888</v>
      </c>
      <c r="S2866" s="220" t="s">
        <v>1861</v>
      </c>
      <c r="T2866" s="85" t="s">
        <v>3495</v>
      </c>
    </row>
    <row r="2867" spans="1:20" ht="15.75" thickBot="1" x14ac:dyDescent="0.3">
      <c r="A2867" t="s">
        <v>1929</v>
      </c>
      <c r="B2867" t="s">
        <v>1929</v>
      </c>
      <c r="C2867" s="82" t="s">
        <v>1929</v>
      </c>
      <c r="D2867" s="83" t="s">
        <v>629</v>
      </c>
      <c r="E2867" s="262" t="s">
        <v>1970</v>
      </c>
      <c r="F2867" s="124" t="s">
        <v>620</v>
      </c>
      <c r="G2867" s="130"/>
      <c r="H2867" s="125" t="s">
        <v>732</v>
      </c>
      <c r="I2867" s="340" t="str">
        <f t="shared" si="116"/>
        <v>Pesado de Passageiros M3: I : Gasóleo : E3</v>
      </c>
      <c r="J2867" s="125"/>
      <c r="K2867" s="264">
        <v>2022</v>
      </c>
      <c r="L2867" s="253">
        <v>4378.8999999999996</v>
      </c>
      <c r="M2867" s="85" t="s">
        <v>630</v>
      </c>
      <c r="N2867" s="128">
        <v>8861</v>
      </c>
      <c r="O2867" s="128">
        <f t="shared" si="117"/>
        <v>0</v>
      </c>
      <c r="P2867" s="125" t="s">
        <v>3408</v>
      </c>
      <c r="Q2867" s="85" t="s">
        <v>47</v>
      </c>
      <c r="R2867" s="220" t="s">
        <v>1888</v>
      </c>
      <c r="S2867" s="220" t="s">
        <v>1861</v>
      </c>
      <c r="T2867" s="85" t="s">
        <v>4000</v>
      </c>
    </row>
    <row r="2868" spans="1:20" ht="15.75" thickBot="1" x14ac:dyDescent="0.3">
      <c r="A2868" t="s">
        <v>1929</v>
      </c>
      <c r="B2868" t="s">
        <v>1929</v>
      </c>
      <c r="C2868" s="82" t="s">
        <v>1929</v>
      </c>
      <c r="D2868" s="83" t="s">
        <v>629</v>
      </c>
      <c r="E2868" s="262" t="s">
        <v>1970</v>
      </c>
      <c r="F2868" s="124" t="s">
        <v>620</v>
      </c>
      <c r="G2868" s="130">
        <v>2007</v>
      </c>
      <c r="H2868" s="125" t="s">
        <v>731</v>
      </c>
      <c r="I2868" s="340" t="str">
        <f t="shared" si="116"/>
        <v>Pesado de Passageiros M3: I : Gasóleo : E4</v>
      </c>
      <c r="J2868" s="125">
        <v>59</v>
      </c>
      <c r="K2868" s="264">
        <v>2022</v>
      </c>
      <c r="L2868" s="129">
        <v>32452.897399999998</v>
      </c>
      <c r="M2868" s="85" t="s">
        <v>630</v>
      </c>
      <c r="N2868" s="128">
        <v>66803</v>
      </c>
      <c r="O2868" s="128">
        <f t="shared" si="117"/>
        <v>3941377</v>
      </c>
      <c r="P2868" s="125" t="s">
        <v>2039</v>
      </c>
      <c r="Q2868" s="85" t="s">
        <v>47</v>
      </c>
      <c r="R2868" s="220" t="s">
        <v>1888</v>
      </c>
      <c r="S2868" s="220" t="s">
        <v>1861</v>
      </c>
      <c r="T2868" s="85" t="s">
        <v>4001</v>
      </c>
    </row>
    <row r="2869" spans="1:20" ht="15.75" thickBot="1" x14ac:dyDescent="0.3">
      <c r="A2869" t="s">
        <v>1929</v>
      </c>
      <c r="B2869" t="s">
        <v>1929</v>
      </c>
      <c r="C2869" s="82" t="s">
        <v>1929</v>
      </c>
      <c r="D2869" s="83" t="s">
        <v>629</v>
      </c>
      <c r="E2869" s="262" t="s">
        <v>1970</v>
      </c>
      <c r="F2869" s="124" t="s">
        <v>620</v>
      </c>
      <c r="G2869" s="130">
        <v>2007</v>
      </c>
      <c r="H2869" s="125" t="s">
        <v>731</v>
      </c>
      <c r="I2869" s="340" t="str">
        <f t="shared" si="116"/>
        <v>Pesado de Passageiros M3: I : Gasóleo : E4</v>
      </c>
      <c r="J2869" s="125">
        <v>59</v>
      </c>
      <c r="K2869" s="264">
        <v>2022</v>
      </c>
      <c r="L2869" s="129">
        <v>35760.452000000005</v>
      </c>
      <c r="M2869" s="85" t="s">
        <v>630</v>
      </c>
      <c r="N2869" s="128">
        <v>75127</v>
      </c>
      <c r="O2869" s="128">
        <f t="shared" si="117"/>
        <v>4432493</v>
      </c>
      <c r="P2869" s="125" t="s">
        <v>2042</v>
      </c>
      <c r="Q2869" s="85" t="s">
        <v>47</v>
      </c>
      <c r="R2869" s="220" t="s">
        <v>1888</v>
      </c>
      <c r="S2869" s="220" t="s">
        <v>1861</v>
      </c>
      <c r="T2869" s="85" t="s">
        <v>4002</v>
      </c>
    </row>
    <row r="2870" spans="1:20" ht="15.75" thickBot="1" x14ac:dyDescent="0.3">
      <c r="A2870" t="s">
        <v>1929</v>
      </c>
      <c r="B2870" t="s">
        <v>1929</v>
      </c>
      <c r="C2870" s="82" t="s">
        <v>1929</v>
      </c>
      <c r="D2870" s="83" t="s">
        <v>629</v>
      </c>
      <c r="E2870" s="262" t="s">
        <v>1970</v>
      </c>
      <c r="F2870" s="124" t="s">
        <v>620</v>
      </c>
      <c r="G2870" s="130">
        <v>2007</v>
      </c>
      <c r="H2870" s="125" t="s">
        <v>731</v>
      </c>
      <c r="I2870" s="340" t="str">
        <f t="shared" ref="I2870:I2933" si="118">D2870&amp;": "&amp;E2870&amp;" : "&amp;F2870&amp;" : "&amp;H2870</f>
        <v>Pesado de Passageiros M3: I : Gasóleo : E4</v>
      </c>
      <c r="J2870" s="125">
        <v>59</v>
      </c>
      <c r="K2870" s="264">
        <v>2022</v>
      </c>
      <c r="L2870" s="129">
        <v>29742.281999999996</v>
      </c>
      <c r="M2870" s="85" t="s">
        <v>630</v>
      </c>
      <c r="N2870" s="128">
        <v>64798</v>
      </c>
      <c r="O2870" s="128">
        <f t="shared" si="117"/>
        <v>3823082</v>
      </c>
      <c r="P2870" s="125" t="s">
        <v>2041</v>
      </c>
      <c r="Q2870" s="85" t="s">
        <v>47</v>
      </c>
      <c r="R2870" s="220" t="s">
        <v>1888</v>
      </c>
      <c r="S2870" s="220" t="s">
        <v>1861</v>
      </c>
      <c r="T2870" s="85" t="s">
        <v>4003</v>
      </c>
    </row>
    <row r="2871" spans="1:20" ht="15.75" thickBot="1" x14ac:dyDescent="0.3">
      <c r="A2871" t="s">
        <v>1929</v>
      </c>
      <c r="B2871" t="s">
        <v>1929</v>
      </c>
      <c r="C2871" s="82" t="s">
        <v>1929</v>
      </c>
      <c r="D2871" s="83" t="s">
        <v>629</v>
      </c>
      <c r="E2871" s="262" t="s">
        <v>1970</v>
      </c>
      <c r="F2871" s="124" t="s">
        <v>620</v>
      </c>
      <c r="G2871" s="130">
        <v>2002</v>
      </c>
      <c r="H2871" s="125" t="s">
        <v>732</v>
      </c>
      <c r="I2871" s="340" t="str">
        <f t="shared" si="118"/>
        <v>Pesado de Passageiros M3: I : Gasóleo : E3</v>
      </c>
      <c r="J2871" s="125">
        <v>97</v>
      </c>
      <c r="K2871" s="264">
        <v>2022</v>
      </c>
      <c r="L2871" s="129">
        <v>22845.0396</v>
      </c>
      <c r="M2871" s="85" t="s">
        <v>630</v>
      </c>
      <c r="N2871" s="128">
        <v>43899</v>
      </c>
      <c r="O2871" s="128">
        <f t="shared" si="117"/>
        <v>4258203</v>
      </c>
      <c r="P2871" s="125" t="s">
        <v>2126</v>
      </c>
      <c r="Q2871" s="85" t="s">
        <v>47</v>
      </c>
      <c r="R2871" s="220" t="s">
        <v>1888</v>
      </c>
      <c r="S2871" s="220" t="s">
        <v>1861</v>
      </c>
      <c r="T2871" s="85" t="s">
        <v>4004</v>
      </c>
    </row>
    <row r="2872" spans="1:20" ht="15.75" thickBot="1" x14ac:dyDescent="0.3">
      <c r="A2872" t="s">
        <v>1929</v>
      </c>
      <c r="B2872" t="s">
        <v>1929</v>
      </c>
      <c r="C2872" s="82" t="s">
        <v>1929</v>
      </c>
      <c r="D2872" s="83" t="s">
        <v>629</v>
      </c>
      <c r="E2872" s="262" t="s">
        <v>1970</v>
      </c>
      <c r="F2872" s="124" t="s">
        <v>620</v>
      </c>
      <c r="G2872" s="130">
        <v>2010</v>
      </c>
      <c r="H2872" s="125" t="s">
        <v>734</v>
      </c>
      <c r="I2872" s="340" t="str">
        <f t="shared" si="118"/>
        <v>Pesado de Passageiros M3: I : Gasóleo : E5</v>
      </c>
      <c r="J2872" s="125">
        <v>57</v>
      </c>
      <c r="K2872" s="264">
        <v>2022</v>
      </c>
      <c r="L2872" s="129">
        <v>9371.4599999999991</v>
      </c>
      <c r="M2872" s="85" t="s">
        <v>630</v>
      </c>
      <c r="N2872" s="128">
        <v>22313</v>
      </c>
      <c r="O2872" s="128">
        <f t="shared" si="117"/>
        <v>1271841</v>
      </c>
      <c r="P2872" s="125" t="s">
        <v>1974</v>
      </c>
      <c r="Q2872" s="85" t="s">
        <v>47</v>
      </c>
      <c r="R2872" s="220" t="s">
        <v>1888</v>
      </c>
      <c r="S2872" s="220" t="s">
        <v>1861</v>
      </c>
      <c r="T2872" s="85" t="s">
        <v>4005</v>
      </c>
    </row>
    <row r="2873" spans="1:20" ht="15.75" thickBot="1" x14ac:dyDescent="0.3">
      <c r="A2873" t="s">
        <v>1929</v>
      </c>
      <c r="B2873" t="s">
        <v>1929</v>
      </c>
      <c r="C2873" s="82" t="s">
        <v>1929</v>
      </c>
      <c r="D2873" s="83" t="s">
        <v>629</v>
      </c>
      <c r="E2873" s="262" t="s">
        <v>1970</v>
      </c>
      <c r="F2873" s="124" t="s">
        <v>620</v>
      </c>
      <c r="G2873" s="130">
        <v>2010</v>
      </c>
      <c r="H2873" s="125" t="s">
        <v>734</v>
      </c>
      <c r="I2873" s="340" t="str">
        <f t="shared" si="118"/>
        <v>Pesado de Passageiros M3: I : Gasóleo : E5</v>
      </c>
      <c r="J2873" s="125">
        <v>88</v>
      </c>
      <c r="K2873" s="264">
        <v>2022</v>
      </c>
      <c r="L2873" s="129">
        <v>32460.240000000002</v>
      </c>
      <c r="M2873" s="85" t="s">
        <v>630</v>
      </c>
      <c r="N2873" s="128">
        <v>64100</v>
      </c>
      <c r="O2873" s="128">
        <f t="shared" si="117"/>
        <v>5640800</v>
      </c>
      <c r="P2873" s="125" t="s">
        <v>2134</v>
      </c>
      <c r="Q2873" s="85" t="s">
        <v>47</v>
      </c>
      <c r="R2873" s="220" t="s">
        <v>1888</v>
      </c>
      <c r="S2873" s="220" t="s">
        <v>1861</v>
      </c>
      <c r="T2873" s="85" t="s">
        <v>4006</v>
      </c>
    </row>
    <row r="2874" spans="1:20" ht="15.75" thickBot="1" x14ac:dyDescent="0.3">
      <c r="A2874" t="s">
        <v>1929</v>
      </c>
      <c r="B2874" t="s">
        <v>1929</v>
      </c>
      <c r="C2874" s="82" t="s">
        <v>1929</v>
      </c>
      <c r="D2874" s="83" t="s">
        <v>629</v>
      </c>
      <c r="E2874" s="262" t="s">
        <v>1970</v>
      </c>
      <c r="F2874" s="124" t="s">
        <v>620</v>
      </c>
      <c r="G2874" s="130"/>
      <c r="H2874" s="125" t="s">
        <v>732</v>
      </c>
      <c r="I2874" s="340" t="str">
        <f t="shared" si="118"/>
        <v>Pesado de Passageiros M3: I : Gasóleo : E3</v>
      </c>
      <c r="J2874" s="125"/>
      <c r="K2874" s="264">
        <v>2022</v>
      </c>
      <c r="L2874" s="85">
        <v>15227.85</v>
      </c>
      <c r="M2874" s="85" t="s">
        <v>630</v>
      </c>
      <c r="N2874" s="128">
        <v>27687</v>
      </c>
      <c r="O2874" s="128">
        <f t="shared" si="117"/>
        <v>0</v>
      </c>
      <c r="P2874" s="125" t="s">
        <v>3403</v>
      </c>
      <c r="Q2874" s="85" t="s">
        <v>47</v>
      </c>
      <c r="R2874" s="220" t="s">
        <v>1888</v>
      </c>
      <c r="S2874" s="220" t="s">
        <v>1861</v>
      </c>
      <c r="T2874" s="85" t="s">
        <v>4007</v>
      </c>
    </row>
    <row r="2875" spans="1:20" ht="15.75" thickBot="1" x14ac:dyDescent="0.3">
      <c r="A2875" t="s">
        <v>1929</v>
      </c>
      <c r="B2875" t="s">
        <v>1929</v>
      </c>
      <c r="C2875" s="82" t="s">
        <v>1929</v>
      </c>
      <c r="D2875" s="83" t="s">
        <v>629</v>
      </c>
      <c r="E2875" s="262" t="s">
        <v>1970</v>
      </c>
      <c r="F2875" s="124" t="s">
        <v>620</v>
      </c>
      <c r="G2875" s="130">
        <v>2004</v>
      </c>
      <c r="H2875" s="125" t="s">
        <v>732</v>
      </c>
      <c r="I2875" s="340" t="str">
        <f t="shared" si="118"/>
        <v>Pesado de Passageiros M3: I : Gasóleo : E3</v>
      </c>
      <c r="J2875" s="125">
        <v>54</v>
      </c>
      <c r="K2875" s="264">
        <v>2022</v>
      </c>
      <c r="L2875" s="129">
        <v>11432.858999999999</v>
      </c>
      <c r="M2875" s="85" t="s">
        <v>630</v>
      </c>
      <c r="N2875" s="128">
        <v>24693</v>
      </c>
      <c r="O2875" s="128">
        <f t="shared" si="117"/>
        <v>1333422</v>
      </c>
      <c r="P2875" s="125" t="s">
        <v>1997</v>
      </c>
      <c r="Q2875" s="85" t="s">
        <v>47</v>
      </c>
      <c r="R2875" s="220" t="s">
        <v>1888</v>
      </c>
      <c r="S2875" s="220" t="s">
        <v>1861</v>
      </c>
      <c r="T2875" s="85" t="s">
        <v>4008</v>
      </c>
    </row>
    <row r="2876" spans="1:20" ht="15.75" thickBot="1" x14ac:dyDescent="0.3">
      <c r="A2876" t="s">
        <v>1929</v>
      </c>
      <c r="B2876" t="s">
        <v>1929</v>
      </c>
      <c r="C2876" s="82" t="s">
        <v>1929</v>
      </c>
      <c r="D2876" s="83" t="s">
        <v>629</v>
      </c>
      <c r="E2876" s="262" t="s">
        <v>1970</v>
      </c>
      <c r="F2876" s="124" t="s">
        <v>620</v>
      </c>
      <c r="G2876" s="130"/>
      <c r="H2876" s="125" t="s">
        <v>731</v>
      </c>
      <c r="I2876" s="340" t="str">
        <f t="shared" si="118"/>
        <v>Pesado de Passageiros M3: I : Gasóleo : E4</v>
      </c>
      <c r="J2876" s="125"/>
      <c r="K2876" s="264">
        <v>2022</v>
      </c>
      <c r="L2876" s="85">
        <v>10562.95</v>
      </c>
      <c r="M2876" s="85" t="s">
        <v>630</v>
      </c>
      <c r="N2876" s="128">
        <v>24565</v>
      </c>
      <c r="O2876" s="128">
        <f t="shared" si="117"/>
        <v>0</v>
      </c>
      <c r="P2876" s="125" t="s">
        <v>3337</v>
      </c>
      <c r="Q2876" s="85" t="s">
        <v>47</v>
      </c>
      <c r="R2876" s="220" t="s">
        <v>1888</v>
      </c>
      <c r="S2876" s="220" t="s">
        <v>1861</v>
      </c>
      <c r="T2876" s="85" t="s">
        <v>4009</v>
      </c>
    </row>
    <row r="2877" spans="1:20" ht="15.75" thickBot="1" x14ac:dyDescent="0.3">
      <c r="A2877" t="s">
        <v>1929</v>
      </c>
      <c r="B2877" t="s">
        <v>1929</v>
      </c>
      <c r="C2877" s="82" t="s">
        <v>1929</v>
      </c>
      <c r="D2877" s="83" t="s">
        <v>629</v>
      </c>
      <c r="E2877" s="262" t="s">
        <v>1970</v>
      </c>
      <c r="F2877" s="124" t="s">
        <v>620</v>
      </c>
      <c r="G2877" s="130">
        <v>2008</v>
      </c>
      <c r="H2877" s="125" t="s">
        <v>731</v>
      </c>
      <c r="I2877" s="340" t="str">
        <f t="shared" si="118"/>
        <v>Pesado de Passageiros M3: I : Gasóleo : E4</v>
      </c>
      <c r="J2877" s="125">
        <v>52</v>
      </c>
      <c r="K2877" s="264">
        <v>2022</v>
      </c>
      <c r="L2877" s="129">
        <v>15535.845300000001</v>
      </c>
      <c r="M2877" s="85" t="s">
        <v>630</v>
      </c>
      <c r="N2877" s="128">
        <v>35543</v>
      </c>
      <c r="O2877" s="128">
        <f t="shared" si="117"/>
        <v>1848236</v>
      </c>
      <c r="P2877" s="125" t="s">
        <v>1975</v>
      </c>
      <c r="Q2877" s="85" t="s">
        <v>47</v>
      </c>
      <c r="R2877" s="220" t="s">
        <v>1888</v>
      </c>
      <c r="S2877" s="220" t="s">
        <v>1861</v>
      </c>
      <c r="T2877" s="85" t="s">
        <v>4010</v>
      </c>
    </row>
    <row r="2878" spans="1:20" ht="15.75" thickBot="1" x14ac:dyDescent="0.3">
      <c r="A2878" t="s">
        <v>1929</v>
      </c>
      <c r="B2878" t="s">
        <v>1929</v>
      </c>
      <c r="C2878" s="82" t="s">
        <v>1929</v>
      </c>
      <c r="D2878" s="83" t="s">
        <v>629</v>
      </c>
      <c r="E2878" s="262" t="s">
        <v>1970</v>
      </c>
      <c r="F2878" s="124" t="s">
        <v>620</v>
      </c>
      <c r="G2878" s="130">
        <v>2008</v>
      </c>
      <c r="H2878" s="125" t="s">
        <v>731</v>
      </c>
      <c r="I2878" s="340" t="str">
        <f t="shared" si="118"/>
        <v>Pesado de Passageiros M3: I : Gasóleo : E4</v>
      </c>
      <c r="J2878" s="125">
        <v>21</v>
      </c>
      <c r="K2878" s="264">
        <v>2022</v>
      </c>
      <c r="L2878" s="129">
        <v>8742.1460000000006</v>
      </c>
      <c r="M2878" s="85" t="s">
        <v>630</v>
      </c>
      <c r="N2878" s="128">
        <v>36365</v>
      </c>
      <c r="O2878" s="128">
        <f t="shared" si="117"/>
        <v>763665</v>
      </c>
      <c r="P2878" s="125" t="s">
        <v>1977</v>
      </c>
      <c r="Q2878" s="85" t="s">
        <v>47</v>
      </c>
      <c r="R2878" s="220" t="s">
        <v>1888</v>
      </c>
      <c r="S2878" s="220" t="s">
        <v>1861</v>
      </c>
      <c r="T2878" s="85" t="s">
        <v>4011</v>
      </c>
    </row>
    <row r="2879" spans="1:20" ht="15.75" thickBot="1" x14ac:dyDescent="0.3">
      <c r="A2879" t="s">
        <v>1929</v>
      </c>
      <c r="B2879" t="s">
        <v>1929</v>
      </c>
      <c r="C2879" s="82" t="s">
        <v>1929</v>
      </c>
      <c r="D2879" s="83" t="s">
        <v>629</v>
      </c>
      <c r="E2879" s="262" t="s">
        <v>1970</v>
      </c>
      <c r="F2879" s="124" t="s">
        <v>620</v>
      </c>
      <c r="G2879" s="130"/>
      <c r="H2879" s="125" t="s">
        <v>732</v>
      </c>
      <c r="I2879" s="340" t="str">
        <f t="shared" si="118"/>
        <v>Pesado de Passageiros M3: I : Gasóleo : E3</v>
      </c>
      <c r="J2879" s="125"/>
      <c r="K2879" s="264">
        <v>2022</v>
      </c>
      <c r="L2879" s="85">
        <v>28078.6</v>
      </c>
      <c r="M2879" s="85" t="s">
        <v>630</v>
      </c>
      <c r="N2879" s="128">
        <v>51052</v>
      </c>
      <c r="O2879" s="128">
        <f t="shared" si="117"/>
        <v>0</v>
      </c>
      <c r="P2879" s="125" t="s">
        <v>3404</v>
      </c>
      <c r="Q2879" s="85" t="s">
        <v>47</v>
      </c>
      <c r="R2879" s="220" t="s">
        <v>1888</v>
      </c>
      <c r="S2879" s="220" t="s">
        <v>1861</v>
      </c>
      <c r="T2879" s="85" t="s">
        <v>4012</v>
      </c>
    </row>
    <row r="2880" spans="1:20" ht="15.75" thickBot="1" x14ac:dyDescent="0.3">
      <c r="A2880" t="s">
        <v>1929</v>
      </c>
      <c r="B2880" t="s">
        <v>1929</v>
      </c>
      <c r="C2880" s="82" t="s">
        <v>1929</v>
      </c>
      <c r="D2880" s="83" t="s">
        <v>629</v>
      </c>
      <c r="E2880" s="262" t="s">
        <v>1970</v>
      </c>
      <c r="F2880" s="124" t="s">
        <v>620</v>
      </c>
      <c r="G2880" s="130">
        <v>2009</v>
      </c>
      <c r="H2880" s="125" t="s">
        <v>731</v>
      </c>
      <c r="I2880" s="340" t="str">
        <f t="shared" si="118"/>
        <v>Pesado de Passageiros M3: I : Gasóleo : E4</v>
      </c>
      <c r="J2880" s="125">
        <v>56</v>
      </c>
      <c r="K2880" s="264">
        <v>2022</v>
      </c>
      <c r="L2880" s="129">
        <v>14531.97</v>
      </c>
      <c r="M2880" s="85" t="s">
        <v>630</v>
      </c>
      <c r="N2880" s="128">
        <v>39012</v>
      </c>
      <c r="O2880" s="128">
        <f t="shared" si="117"/>
        <v>2184672</v>
      </c>
      <c r="P2880" s="125" t="s">
        <v>1993</v>
      </c>
      <c r="Q2880" s="85" t="s">
        <v>47</v>
      </c>
      <c r="R2880" s="220" t="s">
        <v>1888</v>
      </c>
      <c r="S2880" s="220" t="s">
        <v>1861</v>
      </c>
      <c r="T2880" s="85" t="s">
        <v>4013</v>
      </c>
    </row>
    <row r="2881" spans="1:20" ht="15.75" thickBot="1" x14ac:dyDescent="0.3">
      <c r="A2881" t="s">
        <v>1929</v>
      </c>
      <c r="B2881" t="s">
        <v>1929</v>
      </c>
      <c r="C2881" s="82" t="s">
        <v>1929</v>
      </c>
      <c r="D2881" s="83" t="s">
        <v>629</v>
      </c>
      <c r="E2881" s="262" t="s">
        <v>1970</v>
      </c>
      <c r="F2881" s="124" t="s">
        <v>620</v>
      </c>
      <c r="G2881" s="130"/>
      <c r="H2881" s="125" t="s">
        <v>731</v>
      </c>
      <c r="I2881" s="340" t="str">
        <f t="shared" si="118"/>
        <v>Pesado de Passageiros M3: I : Gasóleo : E4</v>
      </c>
      <c r="J2881" s="125"/>
      <c r="K2881" s="264">
        <v>2022</v>
      </c>
      <c r="L2881" s="85">
        <v>2673.09</v>
      </c>
      <c r="M2881" s="85" t="s">
        <v>630</v>
      </c>
      <c r="N2881" s="128">
        <v>12729</v>
      </c>
      <c r="O2881" s="128">
        <f t="shared" si="117"/>
        <v>0</v>
      </c>
      <c r="P2881" s="125" t="s">
        <v>3329</v>
      </c>
      <c r="Q2881" s="85" t="s">
        <v>47</v>
      </c>
      <c r="R2881" s="220" t="s">
        <v>1888</v>
      </c>
      <c r="S2881" s="220" t="s">
        <v>1861</v>
      </c>
      <c r="T2881" s="85" t="s">
        <v>4014</v>
      </c>
    </row>
    <row r="2882" spans="1:20" ht="15.75" thickBot="1" x14ac:dyDescent="0.3">
      <c r="A2882" t="s">
        <v>1929</v>
      </c>
      <c r="B2882" t="s">
        <v>1929</v>
      </c>
      <c r="C2882" s="82" t="s">
        <v>1929</v>
      </c>
      <c r="D2882" s="83" t="s">
        <v>629</v>
      </c>
      <c r="E2882" s="262" t="s">
        <v>1970</v>
      </c>
      <c r="F2882" s="124" t="s">
        <v>620</v>
      </c>
      <c r="G2882" s="130"/>
      <c r="H2882" s="125" t="s">
        <v>731</v>
      </c>
      <c r="I2882" s="340" t="str">
        <f t="shared" si="118"/>
        <v>Pesado de Passageiros M3: I : Gasóleo : E4</v>
      </c>
      <c r="J2882" s="125"/>
      <c r="K2882" s="264">
        <v>2022</v>
      </c>
      <c r="L2882" s="85">
        <v>9269.0956000000006</v>
      </c>
      <c r="M2882" s="85" t="s">
        <v>630</v>
      </c>
      <c r="N2882" s="128">
        <v>21526</v>
      </c>
      <c r="O2882" s="128">
        <f t="shared" si="117"/>
        <v>0</v>
      </c>
      <c r="P2882" s="125" t="s">
        <v>2177</v>
      </c>
      <c r="Q2882" s="85" t="s">
        <v>47</v>
      </c>
      <c r="R2882" s="220" t="s">
        <v>1888</v>
      </c>
      <c r="S2882" s="220" t="s">
        <v>1861</v>
      </c>
      <c r="T2882" s="85" t="s">
        <v>4015</v>
      </c>
    </row>
    <row r="2883" spans="1:20" ht="15.75" thickBot="1" x14ac:dyDescent="0.3">
      <c r="A2883" t="s">
        <v>1929</v>
      </c>
      <c r="B2883" t="s">
        <v>1929</v>
      </c>
      <c r="C2883" s="82" t="s">
        <v>1929</v>
      </c>
      <c r="D2883" s="83" t="s">
        <v>629</v>
      </c>
      <c r="E2883" s="262" t="s">
        <v>1970</v>
      </c>
      <c r="F2883" s="124" t="s">
        <v>620</v>
      </c>
      <c r="G2883" s="130">
        <v>2001</v>
      </c>
      <c r="H2883" s="125" t="s">
        <v>732</v>
      </c>
      <c r="I2883" s="340" t="str">
        <f t="shared" si="118"/>
        <v>Pesado de Passageiros M3: I : Gasóleo : E3</v>
      </c>
      <c r="J2883" s="125">
        <v>73</v>
      </c>
      <c r="K2883" s="264">
        <v>2022</v>
      </c>
      <c r="L2883" s="421">
        <v>9164.5544000000009</v>
      </c>
      <c r="M2883" s="85" t="s">
        <v>630</v>
      </c>
      <c r="N2883" s="128">
        <v>18242</v>
      </c>
      <c r="O2883" s="128">
        <f t="shared" si="117"/>
        <v>1331666</v>
      </c>
      <c r="P2883" s="125" t="s">
        <v>2177</v>
      </c>
      <c r="Q2883" s="85" t="s">
        <v>47</v>
      </c>
      <c r="R2883" s="220" t="s">
        <v>1888</v>
      </c>
      <c r="S2883" s="220" t="s">
        <v>1861</v>
      </c>
      <c r="T2883" s="85" t="s">
        <v>4015</v>
      </c>
    </row>
    <row r="2884" spans="1:20" ht="15.75" thickBot="1" x14ac:dyDescent="0.3">
      <c r="A2884" t="s">
        <v>1929</v>
      </c>
      <c r="B2884" t="s">
        <v>1929</v>
      </c>
      <c r="C2884" s="82" t="s">
        <v>1929</v>
      </c>
      <c r="D2884" s="83" t="s">
        <v>629</v>
      </c>
      <c r="E2884" s="262" t="s">
        <v>1970</v>
      </c>
      <c r="F2884" s="124" t="s">
        <v>620</v>
      </c>
      <c r="G2884" s="130"/>
      <c r="H2884" s="125" t="s">
        <v>731</v>
      </c>
      <c r="I2884" s="340" t="str">
        <f t="shared" si="118"/>
        <v>Pesado de Passageiros M3: I : Gasóleo : E4</v>
      </c>
      <c r="J2884" s="125"/>
      <c r="K2884" s="264">
        <v>2022</v>
      </c>
      <c r="L2884" s="85">
        <v>4102.95</v>
      </c>
      <c r="M2884" s="85" t="s">
        <v>630</v>
      </c>
      <c r="N2884" s="128">
        <v>27353</v>
      </c>
      <c r="O2884" s="128">
        <f t="shared" si="117"/>
        <v>0</v>
      </c>
      <c r="P2884" s="125" t="s">
        <v>3334</v>
      </c>
      <c r="Q2884" s="85" t="s">
        <v>47</v>
      </c>
      <c r="R2884" s="220" t="s">
        <v>1888</v>
      </c>
      <c r="S2884" s="220" t="s">
        <v>1861</v>
      </c>
      <c r="T2884" s="85" t="s">
        <v>4016</v>
      </c>
    </row>
    <row r="2885" spans="1:20" ht="15.75" thickBot="1" x14ac:dyDescent="0.3">
      <c r="A2885" t="s">
        <v>1929</v>
      </c>
      <c r="B2885" t="s">
        <v>1929</v>
      </c>
      <c r="C2885" s="82" t="s">
        <v>1929</v>
      </c>
      <c r="D2885" s="83" t="s">
        <v>629</v>
      </c>
      <c r="E2885" s="262" t="s">
        <v>1970</v>
      </c>
      <c r="F2885" s="124" t="s">
        <v>620</v>
      </c>
      <c r="G2885" s="130"/>
      <c r="H2885" s="125" t="s">
        <v>731</v>
      </c>
      <c r="I2885" s="340" t="str">
        <f t="shared" si="118"/>
        <v>Pesado de Passageiros M3: I : Gasóleo : E4</v>
      </c>
      <c r="J2885" s="125"/>
      <c r="K2885" s="264">
        <v>2022</v>
      </c>
      <c r="L2885" s="85">
        <v>4565.7</v>
      </c>
      <c r="M2885" s="85" t="s">
        <v>630</v>
      </c>
      <c r="N2885" s="128">
        <v>30438</v>
      </c>
      <c r="O2885" s="128">
        <f t="shared" si="117"/>
        <v>0</v>
      </c>
      <c r="P2885" s="125" t="s">
        <v>3335</v>
      </c>
      <c r="Q2885" s="85" t="s">
        <v>47</v>
      </c>
      <c r="R2885" s="220" t="s">
        <v>1888</v>
      </c>
      <c r="S2885" s="220" t="s">
        <v>1861</v>
      </c>
      <c r="T2885" s="85" t="s">
        <v>3456</v>
      </c>
    </row>
    <row r="2886" spans="1:20" ht="15.75" thickBot="1" x14ac:dyDescent="0.3">
      <c r="A2886" t="s">
        <v>1929</v>
      </c>
      <c r="B2886" t="s">
        <v>1929</v>
      </c>
      <c r="C2886" s="82" t="s">
        <v>1929</v>
      </c>
      <c r="D2886" s="83" t="s">
        <v>629</v>
      </c>
      <c r="E2886" s="262" t="s">
        <v>1970</v>
      </c>
      <c r="F2886" s="124" t="s">
        <v>620</v>
      </c>
      <c r="G2886" s="130"/>
      <c r="H2886" s="125" t="s">
        <v>731</v>
      </c>
      <c r="I2886" s="340" t="str">
        <f t="shared" si="118"/>
        <v>Pesado de Passageiros M3: I : Gasóleo : E4</v>
      </c>
      <c r="J2886" s="125"/>
      <c r="K2886" s="264">
        <v>2022</v>
      </c>
      <c r="L2886" s="85">
        <v>6113.7</v>
      </c>
      <c r="M2886" s="85" t="s">
        <v>630</v>
      </c>
      <c r="N2886" s="128">
        <v>40758</v>
      </c>
      <c r="O2886" s="128">
        <f t="shared" si="117"/>
        <v>0</v>
      </c>
      <c r="P2886" s="125" t="s">
        <v>3336</v>
      </c>
      <c r="Q2886" s="85" t="s">
        <v>47</v>
      </c>
      <c r="R2886" s="220" t="s">
        <v>1888</v>
      </c>
      <c r="S2886" s="220" t="s">
        <v>1861</v>
      </c>
      <c r="T2886" s="85" t="s">
        <v>4017</v>
      </c>
    </row>
    <row r="2887" spans="1:20" ht="15.75" thickBot="1" x14ac:dyDescent="0.3">
      <c r="A2887" t="s">
        <v>1929</v>
      </c>
      <c r="B2887" t="s">
        <v>1929</v>
      </c>
      <c r="C2887" s="82" t="s">
        <v>1929</v>
      </c>
      <c r="D2887" s="83" t="s">
        <v>629</v>
      </c>
      <c r="E2887" s="262" t="s">
        <v>1970</v>
      </c>
      <c r="F2887" s="124" t="s">
        <v>620</v>
      </c>
      <c r="G2887" s="130">
        <v>2008</v>
      </c>
      <c r="H2887" s="125" t="s">
        <v>734</v>
      </c>
      <c r="I2887" s="340" t="str">
        <f t="shared" si="118"/>
        <v>Pesado de Passageiros M3: I : Gasóleo : E5</v>
      </c>
      <c r="J2887" s="125">
        <v>57</v>
      </c>
      <c r="K2887" s="264">
        <v>2022</v>
      </c>
      <c r="L2887" s="129">
        <v>32034.5389</v>
      </c>
      <c r="M2887" s="85" t="s">
        <v>630</v>
      </c>
      <c r="N2887" s="128">
        <v>78767</v>
      </c>
      <c r="O2887" s="128">
        <f t="shared" si="117"/>
        <v>4489719</v>
      </c>
      <c r="P2887" s="125" t="s">
        <v>2045</v>
      </c>
      <c r="Q2887" s="85" t="s">
        <v>47</v>
      </c>
      <c r="R2887" s="220" t="s">
        <v>1888</v>
      </c>
      <c r="S2887" s="220" t="s">
        <v>1861</v>
      </c>
      <c r="T2887" s="85" t="s">
        <v>4018</v>
      </c>
    </row>
    <row r="2888" spans="1:20" ht="15.75" thickBot="1" x14ac:dyDescent="0.3">
      <c r="A2888" t="s">
        <v>1929</v>
      </c>
      <c r="B2888" t="s">
        <v>1929</v>
      </c>
      <c r="C2888" s="82" t="s">
        <v>1929</v>
      </c>
      <c r="D2888" s="83" t="s">
        <v>629</v>
      </c>
      <c r="E2888" s="262" t="s">
        <v>1970</v>
      </c>
      <c r="F2888" s="124" t="s">
        <v>620</v>
      </c>
      <c r="G2888" s="130"/>
      <c r="H2888" s="125" t="s">
        <v>732</v>
      </c>
      <c r="I2888" s="340" t="str">
        <f t="shared" si="118"/>
        <v>Pesado de Passageiros M3: I : Gasóleo : E3</v>
      </c>
      <c r="J2888" s="125"/>
      <c r="K2888" s="264">
        <v>2022</v>
      </c>
      <c r="L2888" s="253">
        <v>1420.23</v>
      </c>
      <c r="M2888" s="85" t="s">
        <v>630</v>
      </c>
      <c r="N2888" s="128">
        <v>2733</v>
      </c>
      <c r="O2888" s="128">
        <f t="shared" si="117"/>
        <v>0</v>
      </c>
      <c r="P2888" s="125" t="s">
        <v>3346</v>
      </c>
      <c r="Q2888" s="85" t="s">
        <v>47</v>
      </c>
      <c r="R2888" s="220" t="s">
        <v>1888</v>
      </c>
      <c r="S2888" s="220" t="s">
        <v>1861</v>
      </c>
      <c r="T2888" s="85" t="s">
        <v>3465</v>
      </c>
    </row>
    <row r="2889" spans="1:20" ht="15.75" thickBot="1" x14ac:dyDescent="0.3">
      <c r="A2889" t="s">
        <v>1929</v>
      </c>
      <c r="B2889" t="s">
        <v>1929</v>
      </c>
      <c r="C2889" s="82" t="s">
        <v>1929</v>
      </c>
      <c r="D2889" s="83" t="s">
        <v>629</v>
      </c>
      <c r="E2889" s="262" t="s">
        <v>1970</v>
      </c>
      <c r="F2889" s="124" t="s">
        <v>620</v>
      </c>
      <c r="G2889" s="130"/>
      <c r="H2889" s="125" t="s">
        <v>732</v>
      </c>
      <c r="I2889" s="340" t="str">
        <f t="shared" si="118"/>
        <v>Pesado de Passageiros M3: I : Gasóleo : E3</v>
      </c>
      <c r="J2889" s="125"/>
      <c r="K2889" s="264">
        <v>2022</v>
      </c>
      <c r="L2889" s="85">
        <v>24520</v>
      </c>
      <c r="M2889" s="85" t="s">
        <v>630</v>
      </c>
      <c r="N2889" s="128">
        <v>49040</v>
      </c>
      <c r="O2889" s="128">
        <f t="shared" si="117"/>
        <v>0</v>
      </c>
      <c r="P2889" s="125" t="s">
        <v>3347</v>
      </c>
      <c r="Q2889" s="85" t="s">
        <v>47</v>
      </c>
      <c r="R2889" s="220" t="s">
        <v>1888</v>
      </c>
      <c r="S2889" s="220" t="s">
        <v>1861</v>
      </c>
      <c r="T2889" s="85" t="s">
        <v>3466</v>
      </c>
    </row>
    <row r="2890" spans="1:20" ht="15.75" thickBot="1" x14ac:dyDescent="0.3">
      <c r="A2890" t="s">
        <v>1929</v>
      </c>
      <c r="B2890" t="s">
        <v>1929</v>
      </c>
      <c r="C2890" s="82" t="s">
        <v>1929</v>
      </c>
      <c r="D2890" s="83" t="s">
        <v>629</v>
      </c>
      <c r="E2890" s="262" t="s">
        <v>1970</v>
      </c>
      <c r="F2890" s="124" t="s">
        <v>620</v>
      </c>
      <c r="G2890" s="130"/>
      <c r="H2890" s="125" t="s">
        <v>732</v>
      </c>
      <c r="I2890" s="340" t="str">
        <f t="shared" si="118"/>
        <v>Pesado de Passageiros M3: I : Gasóleo : E3</v>
      </c>
      <c r="J2890" s="125"/>
      <c r="K2890" s="264">
        <v>2022</v>
      </c>
      <c r="L2890" s="85">
        <v>10385.76</v>
      </c>
      <c r="M2890" s="85" t="s">
        <v>630</v>
      </c>
      <c r="N2890" s="128">
        <v>24728</v>
      </c>
      <c r="O2890" s="128">
        <f t="shared" si="117"/>
        <v>0</v>
      </c>
      <c r="P2890" s="125" t="s">
        <v>3373</v>
      </c>
      <c r="Q2890" s="85" t="s">
        <v>47</v>
      </c>
      <c r="R2890" s="220" t="s">
        <v>1888</v>
      </c>
      <c r="S2890" s="220" t="s">
        <v>1861</v>
      </c>
      <c r="T2890" s="85" t="s">
        <v>4019</v>
      </c>
    </row>
    <row r="2891" spans="1:20" ht="15.75" thickBot="1" x14ac:dyDescent="0.3">
      <c r="A2891" t="s">
        <v>1929</v>
      </c>
      <c r="B2891" t="s">
        <v>1929</v>
      </c>
      <c r="C2891" s="82" t="s">
        <v>1929</v>
      </c>
      <c r="D2891" s="83" t="s">
        <v>629</v>
      </c>
      <c r="E2891" s="262" t="s">
        <v>1970</v>
      </c>
      <c r="F2891" s="124" t="s">
        <v>620</v>
      </c>
      <c r="G2891" s="130">
        <v>1998</v>
      </c>
      <c r="H2891" s="125" t="s">
        <v>735</v>
      </c>
      <c r="I2891" s="340" t="str">
        <f t="shared" si="118"/>
        <v>Pesado de Passageiros M3: I : Gasóleo : E2</v>
      </c>
      <c r="J2891" s="125">
        <v>84</v>
      </c>
      <c r="K2891" s="264">
        <v>2022</v>
      </c>
      <c r="L2891" s="129">
        <v>18478.126799999998</v>
      </c>
      <c r="M2891" s="85" t="s">
        <v>630</v>
      </c>
      <c r="N2891" s="128">
        <v>33348</v>
      </c>
      <c r="O2891" s="128">
        <f t="shared" si="117"/>
        <v>2801232</v>
      </c>
      <c r="P2891" s="125" t="s">
        <v>2002</v>
      </c>
      <c r="Q2891" s="85" t="s">
        <v>47</v>
      </c>
      <c r="R2891" s="220" t="s">
        <v>1888</v>
      </c>
      <c r="S2891" s="220" t="s">
        <v>1861</v>
      </c>
      <c r="T2891" s="85" t="s">
        <v>4020</v>
      </c>
    </row>
    <row r="2892" spans="1:20" ht="15.75" thickBot="1" x14ac:dyDescent="0.3">
      <c r="A2892" t="s">
        <v>1929</v>
      </c>
      <c r="B2892" t="s">
        <v>1929</v>
      </c>
      <c r="C2892" s="82" t="s">
        <v>1929</v>
      </c>
      <c r="D2892" s="83" t="s">
        <v>629</v>
      </c>
      <c r="E2892" s="262" t="s">
        <v>1970</v>
      </c>
      <c r="F2892" s="124" t="s">
        <v>620</v>
      </c>
      <c r="G2892" s="130">
        <v>1998</v>
      </c>
      <c r="H2892" s="125" t="s">
        <v>735</v>
      </c>
      <c r="I2892" s="340" t="str">
        <f t="shared" si="118"/>
        <v>Pesado de Passageiros M3: I : Gasóleo : E2</v>
      </c>
      <c r="J2892" s="125">
        <v>84</v>
      </c>
      <c r="K2892" s="264">
        <v>2022</v>
      </c>
      <c r="L2892" s="129">
        <v>16675.640800000001</v>
      </c>
      <c r="M2892" s="85" t="s">
        <v>630</v>
      </c>
      <c r="N2892" s="128">
        <v>31304</v>
      </c>
      <c r="O2892" s="128">
        <f t="shared" si="117"/>
        <v>2629536</v>
      </c>
      <c r="P2892" s="125" t="s">
        <v>2003</v>
      </c>
      <c r="Q2892" s="85" t="s">
        <v>47</v>
      </c>
      <c r="R2892" s="220" t="s">
        <v>1888</v>
      </c>
      <c r="S2892" s="220" t="s">
        <v>1861</v>
      </c>
      <c r="T2892" s="85" t="s">
        <v>4021</v>
      </c>
    </row>
    <row r="2893" spans="1:20" ht="15.75" thickBot="1" x14ac:dyDescent="0.3">
      <c r="A2893" t="s">
        <v>1929</v>
      </c>
      <c r="B2893" t="s">
        <v>1929</v>
      </c>
      <c r="C2893" s="82" t="s">
        <v>1929</v>
      </c>
      <c r="D2893" s="83" t="s">
        <v>629</v>
      </c>
      <c r="E2893" s="262" t="s">
        <v>1970</v>
      </c>
      <c r="F2893" s="124" t="s">
        <v>620</v>
      </c>
      <c r="G2893" s="130">
        <v>1998</v>
      </c>
      <c r="H2893" s="125" t="s">
        <v>735</v>
      </c>
      <c r="I2893" s="340" t="str">
        <f t="shared" si="118"/>
        <v>Pesado de Passageiros M3: I : Gasóleo : E2</v>
      </c>
      <c r="J2893" s="125">
        <v>84</v>
      </c>
      <c r="K2893" s="264">
        <v>2022</v>
      </c>
      <c r="L2893" s="129">
        <v>19741.639800000001</v>
      </c>
      <c r="M2893" s="85" t="s">
        <v>630</v>
      </c>
      <c r="N2893" s="128">
        <v>33118</v>
      </c>
      <c r="O2893" s="128">
        <f t="shared" si="117"/>
        <v>2781912</v>
      </c>
      <c r="P2893" s="125" t="s">
        <v>2024</v>
      </c>
      <c r="Q2893" s="85" t="s">
        <v>47</v>
      </c>
      <c r="R2893" s="220" t="s">
        <v>1888</v>
      </c>
      <c r="S2893" s="220" t="s">
        <v>1861</v>
      </c>
      <c r="T2893" s="85" t="s">
        <v>4022</v>
      </c>
    </row>
    <row r="2894" spans="1:20" ht="15.75" thickBot="1" x14ac:dyDescent="0.3">
      <c r="A2894" t="s">
        <v>1929</v>
      </c>
      <c r="B2894" t="s">
        <v>1929</v>
      </c>
      <c r="C2894" s="82" t="s">
        <v>1929</v>
      </c>
      <c r="D2894" s="83" t="s">
        <v>629</v>
      </c>
      <c r="E2894" s="262" t="s">
        <v>1970</v>
      </c>
      <c r="F2894" s="124" t="s">
        <v>620</v>
      </c>
      <c r="G2894" s="130">
        <v>1997</v>
      </c>
      <c r="H2894" s="125" t="s">
        <v>735</v>
      </c>
      <c r="I2894" s="340" t="str">
        <f t="shared" si="118"/>
        <v>Pesado de Passageiros M3: I : Gasóleo : E2</v>
      </c>
      <c r="J2894" s="125">
        <v>84</v>
      </c>
      <c r="K2894" s="264">
        <v>2022</v>
      </c>
      <c r="L2894" s="129">
        <v>15919.275</v>
      </c>
      <c r="M2894" s="85" t="s">
        <v>630</v>
      </c>
      <c r="N2894" s="128">
        <v>31775</v>
      </c>
      <c r="O2894" s="128">
        <f t="shared" si="117"/>
        <v>2669100</v>
      </c>
      <c r="P2894" s="125" t="s">
        <v>2005</v>
      </c>
      <c r="Q2894" s="85" t="s">
        <v>47</v>
      </c>
      <c r="R2894" s="220" t="s">
        <v>1888</v>
      </c>
      <c r="S2894" s="220" t="s">
        <v>1861</v>
      </c>
      <c r="T2894" s="85" t="s">
        <v>4023</v>
      </c>
    </row>
    <row r="2895" spans="1:20" ht="15.75" thickBot="1" x14ac:dyDescent="0.3">
      <c r="A2895" t="s">
        <v>1929</v>
      </c>
      <c r="B2895" t="s">
        <v>1929</v>
      </c>
      <c r="C2895" s="82" t="s">
        <v>1929</v>
      </c>
      <c r="D2895" s="83" t="s">
        <v>629</v>
      </c>
      <c r="E2895" s="262" t="s">
        <v>1970</v>
      </c>
      <c r="F2895" s="124" t="s">
        <v>620</v>
      </c>
      <c r="G2895" s="130">
        <v>1997</v>
      </c>
      <c r="H2895" s="125" t="s">
        <v>735</v>
      </c>
      <c r="I2895" s="340" t="str">
        <f t="shared" si="118"/>
        <v>Pesado de Passageiros M3: I : Gasóleo : E2</v>
      </c>
      <c r="J2895" s="125">
        <v>84</v>
      </c>
      <c r="K2895" s="264">
        <v>2022</v>
      </c>
      <c r="L2895" s="129">
        <v>16641.606</v>
      </c>
      <c r="M2895" s="85" t="s">
        <v>630</v>
      </c>
      <c r="N2895" s="128">
        <v>30039</v>
      </c>
      <c r="O2895" s="128">
        <f t="shared" si="117"/>
        <v>2523276</v>
      </c>
      <c r="P2895" s="125" t="s">
        <v>2018</v>
      </c>
      <c r="Q2895" s="85" t="s">
        <v>47</v>
      </c>
      <c r="R2895" s="220" t="s">
        <v>1888</v>
      </c>
      <c r="S2895" s="220" t="s">
        <v>1861</v>
      </c>
      <c r="T2895" s="85" t="s">
        <v>4024</v>
      </c>
    </row>
    <row r="2896" spans="1:20" ht="15.75" thickBot="1" x14ac:dyDescent="0.3">
      <c r="A2896" t="s">
        <v>1929</v>
      </c>
      <c r="B2896" t="s">
        <v>1929</v>
      </c>
      <c r="C2896" s="82" t="s">
        <v>1929</v>
      </c>
      <c r="D2896" s="83" t="s">
        <v>629</v>
      </c>
      <c r="E2896" s="262" t="s">
        <v>1970</v>
      </c>
      <c r="F2896" s="124" t="s">
        <v>620</v>
      </c>
      <c r="G2896" s="130">
        <v>1997</v>
      </c>
      <c r="H2896" s="125" t="s">
        <v>735</v>
      </c>
      <c r="I2896" s="340" t="str">
        <f t="shared" si="118"/>
        <v>Pesado de Passageiros M3: I : Gasóleo : E2</v>
      </c>
      <c r="J2896" s="125">
        <v>84</v>
      </c>
      <c r="K2896" s="264">
        <v>2022</v>
      </c>
      <c r="L2896" s="129">
        <v>19956.583900000001</v>
      </c>
      <c r="M2896" s="85" t="s">
        <v>630</v>
      </c>
      <c r="N2896" s="128">
        <v>33167</v>
      </c>
      <c r="O2896" s="128">
        <f t="shared" si="117"/>
        <v>2786028</v>
      </c>
      <c r="P2896" s="125" t="s">
        <v>2012</v>
      </c>
      <c r="Q2896" s="85" t="s">
        <v>47</v>
      </c>
      <c r="R2896" s="220" t="s">
        <v>1888</v>
      </c>
      <c r="S2896" s="220" t="s">
        <v>1861</v>
      </c>
      <c r="T2896" s="85" t="s">
        <v>4025</v>
      </c>
    </row>
    <row r="2897" spans="1:20" ht="15.75" thickBot="1" x14ac:dyDescent="0.3">
      <c r="A2897" t="s">
        <v>1929</v>
      </c>
      <c r="B2897" t="s">
        <v>1929</v>
      </c>
      <c r="C2897" s="82" t="s">
        <v>1929</v>
      </c>
      <c r="D2897" s="83" t="s">
        <v>629</v>
      </c>
      <c r="E2897" s="262" t="s">
        <v>1970</v>
      </c>
      <c r="F2897" s="124" t="s">
        <v>620</v>
      </c>
      <c r="G2897" s="130">
        <v>1998</v>
      </c>
      <c r="H2897" s="125" t="s">
        <v>735</v>
      </c>
      <c r="I2897" s="340" t="str">
        <f t="shared" si="118"/>
        <v>Pesado de Passageiros M3: I : Gasóleo : E2</v>
      </c>
      <c r="J2897" s="125">
        <v>84</v>
      </c>
      <c r="K2897" s="264">
        <v>2022</v>
      </c>
      <c r="L2897" s="129">
        <v>18560.649600000001</v>
      </c>
      <c r="M2897" s="85" t="s">
        <v>630</v>
      </c>
      <c r="N2897" s="128">
        <v>32944</v>
      </c>
      <c r="O2897" s="128">
        <f t="shared" si="117"/>
        <v>2767296</v>
      </c>
      <c r="P2897" s="125" t="s">
        <v>2000</v>
      </c>
      <c r="Q2897" s="85" t="s">
        <v>47</v>
      </c>
      <c r="R2897" s="220" t="s">
        <v>1888</v>
      </c>
      <c r="S2897" s="220" t="s">
        <v>1861</v>
      </c>
      <c r="T2897" s="85" t="s">
        <v>4026</v>
      </c>
    </row>
    <row r="2898" spans="1:20" ht="15.75" thickBot="1" x14ac:dyDescent="0.3">
      <c r="A2898" t="s">
        <v>1929</v>
      </c>
      <c r="B2898" t="s">
        <v>1929</v>
      </c>
      <c r="C2898" s="82" t="s">
        <v>1929</v>
      </c>
      <c r="D2898" s="83" t="s">
        <v>629</v>
      </c>
      <c r="E2898" s="262" t="s">
        <v>1970</v>
      </c>
      <c r="F2898" s="124" t="s">
        <v>620</v>
      </c>
      <c r="G2898" s="130">
        <v>1998</v>
      </c>
      <c r="H2898" s="125" t="s">
        <v>735</v>
      </c>
      <c r="I2898" s="340" t="str">
        <f t="shared" si="118"/>
        <v>Pesado de Passageiros M3: I : Gasóleo : E2</v>
      </c>
      <c r="J2898" s="125">
        <v>84</v>
      </c>
      <c r="K2898" s="264">
        <v>2022</v>
      </c>
      <c r="L2898" s="129">
        <v>21195.763199999998</v>
      </c>
      <c r="M2898" s="85" t="s">
        <v>630</v>
      </c>
      <c r="N2898" s="128">
        <v>39456</v>
      </c>
      <c r="O2898" s="128">
        <f t="shared" si="117"/>
        <v>3314304</v>
      </c>
      <c r="P2898" s="125" t="s">
        <v>2023</v>
      </c>
      <c r="Q2898" s="85" t="s">
        <v>47</v>
      </c>
      <c r="R2898" s="220" t="s">
        <v>1888</v>
      </c>
      <c r="S2898" s="220" t="s">
        <v>1861</v>
      </c>
      <c r="T2898" s="85" t="s">
        <v>4027</v>
      </c>
    </row>
    <row r="2899" spans="1:20" ht="15.75" thickBot="1" x14ac:dyDescent="0.3">
      <c r="A2899" t="s">
        <v>1929</v>
      </c>
      <c r="B2899" t="s">
        <v>1929</v>
      </c>
      <c r="C2899" s="82" t="s">
        <v>1929</v>
      </c>
      <c r="D2899" s="83" t="s">
        <v>629</v>
      </c>
      <c r="E2899" s="262" t="s">
        <v>1970</v>
      </c>
      <c r="F2899" s="124" t="s">
        <v>620</v>
      </c>
      <c r="G2899" s="130">
        <v>1998</v>
      </c>
      <c r="H2899" s="125" t="s">
        <v>735</v>
      </c>
      <c r="I2899" s="340" t="str">
        <f t="shared" si="118"/>
        <v>Pesado de Passageiros M3: I : Gasóleo : E2</v>
      </c>
      <c r="J2899" s="125">
        <v>84</v>
      </c>
      <c r="K2899" s="264">
        <v>2022</v>
      </c>
      <c r="L2899" s="129">
        <v>17111.441699999999</v>
      </c>
      <c r="M2899" s="85" t="s">
        <v>630</v>
      </c>
      <c r="N2899" s="128">
        <v>33181</v>
      </c>
      <c r="O2899" s="128">
        <f t="shared" si="117"/>
        <v>2787204</v>
      </c>
      <c r="P2899" s="125" t="s">
        <v>2001</v>
      </c>
      <c r="Q2899" s="85" t="s">
        <v>47</v>
      </c>
      <c r="R2899" s="220" t="s">
        <v>1888</v>
      </c>
      <c r="S2899" s="220" t="s">
        <v>1861</v>
      </c>
      <c r="T2899" s="85" t="s">
        <v>4028</v>
      </c>
    </row>
    <row r="2900" spans="1:20" ht="15.75" thickBot="1" x14ac:dyDescent="0.3">
      <c r="A2900" t="s">
        <v>1929</v>
      </c>
      <c r="B2900" t="s">
        <v>1929</v>
      </c>
      <c r="C2900" s="82" t="s">
        <v>1929</v>
      </c>
      <c r="D2900" s="83" t="s">
        <v>629</v>
      </c>
      <c r="E2900" s="262" t="s">
        <v>1970</v>
      </c>
      <c r="F2900" s="124" t="s">
        <v>620</v>
      </c>
      <c r="G2900" s="130"/>
      <c r="H2900" s="125" t="s">
        <v>732</v>
      </c>
      <c r="I2900" s="340" t="str">
        <f t="shared" si="118"/>
        <v>Pesado de Passageiros M3: I : Gasóleo : E3</v>
      </c>
      <c r="J2900" s="125"/>
      <c r="K2900" s="264">
        <v>2022</v>
      </c>
      <c r="L2900" s="85">
        <v>25827</v>
      </c>
      <c r="M2900" s="85" t="s">
        <v>630</v>
      </c>
      <c r="N2900" s="128">
        <v>51654</v>
      </c>
      <c r="O2900" s="128">
        <f t="shared" si="117"/>
        <v>0</v>
      </c>
      <c r="P2900" s="125" t="s">
        <v>3354</v>
      </c>
      <c r="Q2900" s="85" t="s">
        <v>47</v>
      </c>
      <c r="R2900" s="220" t="s">
        <v>1888</v>
      </c>
      <c r="S2900" s="220" t="s">
        <v>1861</v>
      </c>
      <c r="T2900" s="85" t="s">
        <v>3473</v>
      </c>
    </row>
    <row r="2901" spans="1:20" ht="15.75" thickBot="1" x14ac:dyDescent="0.3">
      <c r="A2901" t="s">
        <v>1929</v>
      </c>
      <c r="B2901" t="s">
        <v>1929</v>
      </c>
      <c r="C2901" s="82" t="s">
        <v>1929</v>
      </c>
      <c r="D2901" s="83" t="s">
        <v>629</v>
      </c>
      <c r="E2901" s="262" t="s">
        <v>1970</v>
      </c>
      <c r="F2901" s="124" t="s">
        <v>620</v>
      </c>
      <c r="G2901" s="130"/>
      <c r="H2901" s="125" t="s">
        <v>732</v>
      </c>
      <c r="I2901" s="340" t="str">
        <f t="shared" si="118"/>
        <v>Pesado de Passageiros M3: I : Gasóleo : E3</v>
      </c>
      <c r="J2901" s="125"/>
      <c r="K2901" s="264">
        <v>2022</v>
      </c>
      <c r="L2901" s="85">
        <v>22007.5</v>
      </c>
      <c r="M2901" s="85" t="s">
        <v>630</v>
      </c>
      <c r="N2901" s="128">
        <v>44015</v>
      </c>
      <c r="O2901" s="128">
        <f t="shared" si="117"/>
        <v>0</v>
      </c>
      <c r="P2901" s="125" t="s">
        <v>3355</v>
      </c>
      <c r="Q2901" s="85" t="s">
        <v>47</v>
      </c>
      <c r="R2901" s="220" t="s">
        <v>1888</v>
      </c>
      <c r="S2901" s="220" t="s">
        <v>1861</v>
      </c>
      <c r="T2901" s="85" t="s">
        <v>3474</v>
      </c>
    </row>
    <row r="2902" spans="1:20" ht="15.75" thickBot="1" x14ac:dyDescent="0.3">
      <c r="A2902" t="s">
        <v>1929</v>
      </c>
      <c r="B2902" t="s">
        <v>1929</v>
      </c>
      <c r="C2902" s="82" t="s">
        <v>1929</v>
      </c>
      <c r="D2902" s="83" t="s">
        <v>629</v>
      </c>
      <c r="E2902" s="262" t="s">
        <v>1970</v>
      </c>
      <c r="F2902" s="124" t="s">
        <v>620</v>
      </c>
      <c r="G2902" s="130">
        <v>2005</v>
      </c>
      <c r="H2902" s="125" t="s">
        <v>732</v>
      </c>
      <c r="I2902" s="340" t="str">
        <f t="shared" si="118"/>
        <v>Pesado de Passageiros M3: I : Gasóleo : E3</v>
      </c>
      <c r="J2902" s="125">
        <v>95</v>
      </c>
      <c r="K2902" s="264">
        <v>2022</v>
      </c>
      <c r="L2902" s="129">
        <v>33011.364500000003</v>
      </c>
      <c r="M2902" s="85" t="s">
        <v>630</v>
      </c>
      <c r="N2902" s="128">
        <v>67577</v>
      </c>
      <c r="O2902" s="128">
        <f t="shared" si="117"/>
        <v>6419815</v>
      </c>
      <c r="P2902" s="125" t="s">
        <v>2124</v>
      </c>
      <c r="Q2902" s="85" t="s">
        <v>47</v>
      </c>
      <c r="R2902" s="220" t="s">
        <v>1888</v>
      </c>
      <c r="S2902" s="220" t="s">
        <v>1861</v>
      </c>
      <c r="T2902" s="85" t="s">
        <v>4029</v>
      </c>
    </row>
    <row r="2903" spans="1:20" ht="15.75" thickBot="1" x14ac:dyDescent="0.3">
      <c r="A2903" t="s">
        <v>1929</v>
      </c>
      <c r="B2903" t="s">
        <v>1929</v>
      </c>
      <c r="C2903" s="82" t="s">
        <v>1929</v>
      </c>
      <c r="D2903" s="83" t="s">
        <v>629</v>
      </c>
      <c r="E2903" s="262" t="s">
        <v>1970</v>
      </c>
      <c r="F2903" s="124" t="s">
        <v>620</v>
      </c>
      <c r="G2903" s="130"/>
      <c r="H2903" s="125" t="s">
        <v>731</v>
      </c>
      <c r="I2903" s="340" t="str">
        <f t="shared" si="118"/>
        <v>Pesado de Passageiros M3: I : Gasóleo : E4</v>
      </c>
      <c r="J2903" s="125"/>
      <c r="K2903" s="264">
        <v>2022</v>
      </c>
      <c r="L2903" s="85">
        <v>10312.709999999999</v>
      </c>
      <c r="M2903" s="85" t="s">
        <v>630</v>
      </c>
      <c r="N2903" s="128">
        <v>20221</v>
      </c>
      <c r="O2903" s="128">
        <f t="shared" si="117"/>
        <v>0</v>
      </c>
      <c r="P2903" s="125" t="s">
        <v>3381</v>
      </c>
      <c r="Q2903" s="85" t="s">
        <v>47</v>
      </c>
      <c r="R2903" s="220" t="s">
        <v>1888</v>
      </c>
      <c r="S2903" s="220" t="s">
        <v>1861</v>
      </c>
      <c r="T2903" s="85" t="s">
        <v>4030</v>
      </c>
    </row>
    <row r="2904" spans="1:20" ht="15.75" thickBot="1" x14ac:dyDescent="0.3">
      <c r="A2904" t="s">
        <v>1929</v>
      </c>
      <c r="B2904" t="s">
        <v>1929</v>
      </c>
      <c r="C2904" s="82" t="s">
        <v>1929</v>
      </c>
      <c r="D2904" s="83" t="s">
        <v>629</v>
      </c>
      <c r="E2904" s="262" t="s">
        <v>1970</v>
      </c>
      <c r="F2904" s="124" t="s">
        <v>620</v>
      </c>
      <c r="G2904" s="130">
        <v>1996</v>
      </c>
      <c r="H2904" s="125" t="s">
        <v>736</v>
      </c>
      <c r="I2904" s="340" t="str">
        <f t="shared" si="118"/>
        <v>Pesado de Passageiros M3: I : Gasóleo : E1</v>
      </c>
      <c r="J2904" s="125">
        <v>77</v>
      </c>
      <c r="K2904" s="264">
        <v>2022</v>
      </c>
      <c r="L2904" s="129">
        <v>16705.4175</v>
      </c>
      <c r="M2904" s="85" t="s">
        <v>630</v>
      </c>
      <c r="N2904" s="128">
        <v>32775</v>
      </c>
      <c r="O2904" s="128">
        <f t="shared" si="117"/>
        <v>2523675</v>
      </c>
      <c r="P2904" s="125" t="s">
        <v>2158</v>
      </c>
      <c r="Q2904" s="85" t="s">
        <v>47</v>
      </c>
      <c r="R2904" s="220" t="s">
        <v>1888</v>
      </c>
      <c r="S2904" s="220" t="s">
        <v>1861</v>
      </c>
      <c r="T2904" s="85" t="s">
        <v>4031</v>
      </c>
    </row>
    <row r="2905" spans="1:20" ht="15.75" thickBot="1" x14ac:dyDescent="0.3">
      <c r="A2905" t="s">
        <v>1929</v>
      </c>
      <c r="B2905" t="s">
        <v>1929</v>
      </c>
      <c r="C2905" s="82" t="s">
        <v>1929</v>
      </c>
      <c r="D2905" s="83" t="s">
        <v>629</v>
      </c>
      <c r="E2905" s="262" t="s">
        <v>1970</v>
      </c>
      <c r="F2905" s="124" t="s">
        <v>620</v>
      </c>
      <c r="G2905" s="130">
        <v>2000</v>
      </c>
      <c r="H2905" s="125" t="s">
        <v>732</v>
      </c>
      <c r="I2905" s="340" t="str">
        <f t="shared" si="118"/>
        <v>Pesado de Passageiros M3: I : Gasóleo : E3</v>
      </c>
      <c r="J2905" s="125">
        <v>64</v>
      </c>
      <c r="K2905" s="264">
        <v>2022</v>
      </c>
      <c r="L2905" s="129">
        <v>6686.55</v>
      </c>
      <c r="M2905" s="85" t="s">
        <v>630</v>
      </c>
      <c r="N2905" s="128">
        <v>14859</v>
      </c>
      <c r="O2905" s="128">
        <f t="shared" si="117"/>
        <v>950976</v>
      </c>
      <c r="P2905" s="125" t="s">
        <v>2188</v>
      </c>
      <c r="Q2905" s="85" t="s">
        <v>47</v>
      </c>
      <c r="R2905" s="220" t="s">
        <v>1888</v>
      </c>
      <c r="S2905" s="220" t="s">
        <v>1861</v>
      </c>
      <c r="T2905" s="85" t="s">
        <v>4032</v>
      </c>
    </row>
    <row r="2906" spans="1:20" ht="15.75" thickBot="1" x14ac:dyDescent="0.3">
      <c r="A2906" t="s">
        <v>1929</v>
      </c>
      <c r="B2906" t="s">
        <v>1929</v>
      </c>
      <c r="C2906" s="82" t="s">
        <v>1929</v>
      </c>
      <c r="D2906" s="83" t="s">
        <v>629</v>
      </c>
      <c r="E2906" s="262" t="s">
        <v>1970</v>
      </c>
      <c r="F2906" s="124" t="s">
        <v>620</v>
      </c>
      <c r="G2906" s="130">
        <v>2012</v>
      </c>
      <c r="H2906" s="125" t="s">
        <v>734</v>
      </c>
      <c r="I2906" s="340" t="str">
        <f t="shared" si="118"/>
        <v>Pesado de Passageiros M3: I : Gasóleo : E5</v>
      </c>
      <c r="J2906" s="125">
        <v>51</v>
      </c>
      <c r="K2906" s="264">
        <v>2022</v>
      </c>
      <c r="L2906" s="129">
        <v>13212.562200000002</v>
      </c>
      <c r="M2906" s="85" t="s">
        <v>630</v>
      </c>
      <c r="N2906" s="128">
        <v>33861</v>
      </c>
      <c r="O2906" s="128">
        <f t="shared" si="117"/>
        <v>1726911</v>
      </c>
      <c r="P2906" s="125" t="s">
        <v>1979</v>
      </c>
      <c r="Q2906" s="85" t="s">
        <v>47</v>
      </c>
      <c r="R2906" s="220" t="s">
        <v>1888</v>
      </c>
      <c r="S2906" s="220" t="s">
        <v>1861</v>
      </c>
      <c r="T2906" s="85" t="s">
        <v>4033</v>
      </c>
    </row>
    <row r="2907" spans="1:20" ht="15.75" thickBot="1" x14ac:dyDescent="0.3">
      <c r="A2907" t="s">
        <v>1929</v>
      </c>
      <c r="B2907" t="s">
        <v>1929</v>
      </c>
      <c r="C2907" s="82" t="s">
        <v>1929</v>
      </c>
      <c r="D2907" s="83" t="s">
        <v>629</v>
      </c>
      <c r="E2907" s="262" t="s">
        <v>1970</v>
      </c>
      <c r="F2907" s="124" t="s">
        <v>620</v>
      </c>
      <c r="G2907" s="130">
        <v>2012</v>
      </c>
      <c r="H2907" s="125" t="s">
        <v>734</v>
      </c>
      <c r="I2907" s="340" t="str">
        <f t="shared" si="118"/>
        <v>Pesado de Passageiros M3: I : Gasóleo : E5</v>
      </c>
      <c r="J2907" s="125">
        <v>51</v>
      </c>
      <c r="K2907" s="264">
        <v>2022</v>
      </c>
      <c r="L2907" s="129">
        <v>11766.972</v>
      </c>
      <c r="M2907" s="85" t="s">
        <v>630</v>
      </c>
      <c r="N2907" s="128">
        <v>29595</v>
      </c>
      <c r="O2907" s="128">
        <f t="shared" si="117"/>
        <v>1509345</v>
      </c>
      <c r="P2907" s="125" t="s">
        <v>1980</v>
      </c>
      <c r="Q2907" s="85" t="s">
        <v>47</v>
      </c>
      <c r="R2907" s="220" t="s">
        <v>1888</v>
      </c>
      <c r="S2907" s="220" t="s">
        <v>1861</v>
      </c>
      <c r="T2907" s="85" t="s">
        <v>4034</v>
      </c>
    </row>
    <row r="2908" spans="1:20" ht="15.75" thickBot="1" x14ac:dyDescent="0.3">
      <c r="A2908" t="s">
        <v>1929</v>
      </c>
      <c r="B2908" t="s">
        <v>1929</v>
      </c>
      <c r="C2908" s="82" t="s">
        <v>1929</v>
      </c>
      <c r="D2908" s="83" t="s">
        <v>629</v>
      </c>
      <c r="E2908" s="262" t="s">
        <v>1970</v>
      </c>
      <c r="F2908" s="124" t="s">
        <v>620</v>
      </c>
      <c r="G2908" s="130">
        <v>2004</v>
      </c>
      <c r="H2908" s="125" t="s">
        <v>732</v>
      </c>
      <c r="I2908" s="340" t="str">
        <f t="shared" si="118"/>
        <v>Pesado de Passageiros M3: I : Gasóleo : E3</v>
      </c>
      <c r="J2908" s="125">
        <v>68</v>
      </c>
      <c r="K2908" s="264">
        <v>2022</v>
      </c>
      <c r="L2908" s="129">
        <v>29864.924999999999</v>
      </c>
      <c r="M2908" s="85" t="s">
        <v>630</v>
      </c>
      <c r="N2908" s="128">
        <v>60030</v>
      </c>
      <c r="O2908" s="128">
        <f t="shared" si="117"/>
        <v>4082040</v>
      </c>
      <c r="P2908" s="125" t="s">
        <v>2204</v>
      </c>
      <c r="Q2908" s="85" t="s">
        <v>47</v>
      </c>
      <c r="R2908" s="220" t="s">
        <v>1888</v>
      </c>
      <c r="S2908" s="220" t="s">
        <v>1861</v>
      </c>
      <c r="T2908" s="85" t="s">
        <v>4035</v>
      </c>
    </row>
    <row r="2909" spans="1:20" ht="15.75" thickBot="1" x14ac:dyDescent="0.3">
      <c r="A2909" t="s">
        <v>1929</v>
      </c>
      <c r="B2909" t="s">
        <v>1929</v>
      </c>
      <c r="C2909" s="82" t="s">
        <v>1929</v>
      </c>
      <c r="D2909" s="83" t="s">
        <v>629</v>
      </c>
      <c r="E2909" s="262" t="s">
        <v>1970</v>
      </c>
      <c r="F2909" s="124" t="s">
        <v>620</v>
      </c>
      <c r="G2909" s="130"/>
      <c r="H2909" s="125" t="s">
        <v>732</v>
      </c>
      <c r="I2909" s="340" t="str">
        <f t="shared" si="118"/>
        <v>Pesado de Passageiros M3: I : Gasóleo : E3</v>
      </c>
      <c r="J2909" s="125"/>
      <c r="K2909" s="264">
        <v>2022</v>
      </c>
      <c r="L2909" s="85">
        <v>8298.6299999999992</v>
      </c>
      <c r="M2909" s="85" t="s">
        <v>630</v>
      </c>
      <c r="N2909" s="128">
        <v>14559</v>
      </c>
      <c r="O2909" s="128">
        <f t="shared" si="117"/>
        <v>0</v>
      </c>
      <c r="P2909" s="125" t="s">
        <v>3363</v>
      </c>
      <c r="Q2909" s="85" t="s">
        <v>47</v>
      </c>
      <c r="R2909" s="220" t="s">
        <v>1888</v>
      </c>
      <c r="S2909" s="220" t="s">
        <v>1861</v>
      </c>
      <c r="T2909" s="85" t="s">
        <v>3481</v>
      </c>
    </row>
    <row r="2910" spans="1:20" ht="15.75" thickBot="1" x14ac:dyDescent="0.3">
      <c r="A2910" t="s">
        <v>1929</v>
      </c>
      <c r="B2910" t="s">
        <v>1929</v>
      </c>
      <c r="C2910" s="82" t="s">
        <v>1929</v>
      </c>
      <c r="D2910" s="83" t="s">
        <v>629</v>
      </c>
      <c r="E2910" s="262" t="s">
        <v>1970</v>
      </c>
      <c r="F2910" s="124" t="s">
        <v>620</v>
      </c>
      <c r="G2910" s="130">
        <v>2005</v>
      </c>
      <c r="H2910" s="125" t="s">
        <v>732</v>
      </c>
      <c r="I2910" s="340" t="str">
        <f t="shared" si="118"/>
        <v>Pesado de Passageiros M3: I : Gasóleo : E3</v>
      </c>
      <c r="J2910" s="125">
        <v>93</v>
      </c>
      <c r="K2910" s="264">
        <v>2022</v>
      </c>
      <c r="L2910" s="129">
        <v>31685.1633</v>
      </c>
      <c r="M2910" s="85" t="s">
        <v>630</v>
      </c>
      <c r="N2910" s="128">
        <v>61873</v>
      </c>
      <c r="O2910" s="128">
        <f t="shared" si="117"/>
        <v>5754189</v>
      </c>
      <c r="P2910" s="125" t="s">
        <v>2132</v>
      </c>
      <c r="Q2910" s="85" t="s">
        <v>47</v>
      </c>
      <c r="R2910" s="220" t="s">
        <v>1888</v>
      </c>
      <c r="S2910" s="220" t="s">
        <v>1861</v>
      </c>
      <c r="T2910" s="85" t="s">
        <v>4036</v>
      </c>
    </row>
    <row r="2911" spans="1:20" ht="15.75" thickBot="1" x14ac:dyDescent="0.3">
      <c r="A2911" t="s">
        <v>1929</v>
      </c>
      <c r="B2911" t="s">
        <v>1929</v>
      </c>
      <c r="C2911" s="82" t="s">
        <v>1929</v>
      </c>
      <c r="D2911" s="83" t="s">
        <v>629</v>
      </c>
      <c r="E2911" s="262" t="s">
        <v>1970</v>
      </c>
      <c r="F2911" s="124" t="s">
        <v>620</v>
      </c>
      <c r="G2911" s="130"/>
      <c r="H2911" s="125" t="s">
        <v>731</v>
      </c>
      <c r="I2911" s="340" t="str">
        <f t="shared" si="118"/>
        <v>Pesado de Passageiros M3: I : Gasóleo : E4</v>
      </c>
      <c r="J2911" s="125"/>
      <c r="K2911" s="264">
        <v>2022</v>
      </c>
      <c r="L2911" s="85">
        <v>13841.7</v>
      </c>
      <c r="M2911" s="85" t="s">
        <v>630</v>
      </c>
      <c r="N2911" s="128">
        <v>32190</v>
      </c>
      <c r="O2911" s="128">
        <f t="shared" si="117"/>
        <v>0</v>
      </c>
      <c r="P2911" s="125" t="s">
        <v>3390</v>
      </c>
      <c r="Q2911" s="85" t="s">
        <v>47</v>
      </c>
      <c r="R2911" s="220" t="s">
        <v>1888</v>
      </c>
      <c r="S2911" s="220" t="s">
        <v>1861</v>
      </c>
      <c r="T2911" s="85" t="s">
        <v>3492</v>
      </c>
    </row>
    <row r="2912" spans="1:20" ht="15.75" thickBot="1" x14ac:dyDescent="0.3">
      <c r="A2912" t="s">
        <v>1929</v>
      </c>
      <c r="B2912" t="s">
        <v>1929</v>
      </c>
      <c r="C2912" s="82" t="s">
        <v>1929</v>
      </c>
      <c r="D2912" s="83" t="s">
        <v>629</v>
      </c>
      <c r="E2912" s="262" t="s">
        <v>1970</v>
      </c>
      <c r="F2912" s="124" t="s">
        <v>620</v>
      </c>
      <c r="G2912" s="130"/>
      <c r="H2912" s="125" t="s">
        <v>732</v>
      </c>
      <c r="I2912" s="340" t="str">
        <f t="shared" si="118"/>
        <v>Pesado de Passageiros M3: I : Gasóleo : E3</v>
      </c>
      <c r="J2912" s="125"/>
      <c r="K2912" s="264">
        <v>2022</v>
      </c>
      <c r="L2912" s="85">
        <v>14852.39</v>
      </c>
      <c r="M2912" s="85" t="s">
        <v>630</v>
      </c>
      <c r="N2912" s="128">
        <v>30311</v>
      </c>
      <c r="O2912" s="128">
        <f t="shared" si="117"/>
        <v>0</v>
      </c>
      <c r="P2912" s="125" t="s">
        <v>3400</v>
      </c>
      <c r="Q2912" s="85" t="s">
        <v>47</v>
      </c>
      <c r="R2912" s="220" t="s">
        <v>1888</v>
      </c>
      <c r="S2912" s="220" t="s">
        <v>1861</v>
      </c>
      <c r="T2912" s="85" t="s">
        <v>3496</v>
      </c>
    </row>
    <row r="2913" spans="1:20" ht="15.75" thickBot="1" x14ac:dyDescent="0.3">
      <c r="A2913" t="s">
        <v>1929</v>
      </c>
      <c r="B2913" t="s">
        <v>1929</v>
      </c>
      <c r="C2913" s="82" t="s">
        <v>1929</v>
      </c>
      <c r="D2913" s="83" t="s">
        <v>629</v>
      </c>
      <c r="E2913" s="262" t="s">
        <v>1970</v>
      </c>
      <c r="F2913" s="124" t="s">
        <v>620</v>
      </c>
      <c r="G2913" s="130">
        <v>2005</v>
      </c>
      <c r="H2913" s="125" t="s">
        <v>732</v>
      </c>
      <c r="I2913" s="340" t="str">
        <f t="shared" si="118"/>
        <v>Pesado de Passageiros M3: I : Gasóleo : E3</v>
      </c>
      <c r="J2913" s="125">
        <v>93</v>
      </c>
      <c r="K2913" s="264">
        <v>2022</v>
      </c>
      <c r="L2913" s="129">
        <v>24505.326699999998</v>
      </c>
      <c r="M2913" s="85" t="s">
        <v>630</v>
      </c>
      <c r="N2913" s="128">
        <v>52373</v>
      </c>
      <c r="O2913" s="128">
        <f t="shared" si="117"/>
        <v>4870689</v>
      </c>
      <c r="P2913" s="125" t="s">
        <v>2128</v>
      </c>
      <c r="Q2913" s="85" t="s">
        <v>47</v>
      </c>
      <c r="R2913" s="220" t="s">
        <v>1888</v>
      </c>
      <c r="S2913" s="220" t="s">
        <v>1861</v>
      </c>
      <c r="T2913" s="85" t="s">
        <v>4037</v>
      </c>
    </row>
    <row r="2914" spans="1:20" ht="15.75" thickBot="1" x14ac:dyDescent="0.3">
      <c r="A2914" t="s">
        <v>1929</v>
      </c>
      <c r="B2914" t="s">
        <v>1929</v>
      </c>
      <c r="C2914" s="82" t="s">
        <v>1929</v>
      </c>
      <c r="D2914" s="83" t="s">
        <v>629</v>
      </c>
      <c r="E2914" s="262" t="s">
        <v>1970</v>
      </c>
      <c r="F2914" s="124" t="s">
        <v>620</v>
      </c>
      <c r="G2914" s="130">
        <v>2005</v>
      </c>
      <c r="H2914" s="125" t="s">
        <v>732</v>
      </c>
      <c r="I2914" s="340" t="str">
        <f t="shared" si="118"/>
        <v>Pesado de Passageiros M3: I : Gasóleo : E3</v>
      </c>
      <c r="J2914" s="125">
        <v>93</v>
      </c>
      <c r="K2914" s="264">
        <v>2022</v>
      </c>
      <c r="L2914" s="129">
        <v>30858.93</v>
      </c>
      <c r="M2914" s="85" t="s">
        <v>630</v>
      </c>
      <c r="N2914" s="128">
        <v>62028</v>
      </c>
      <c r="O2914" s="128">
        <f t="shared" si="117"/>
        <v>5768604</v>
      </c>
      <c r="P2914" s="125" t="s">
        <v>2130</v>
      </c>
      <c r="Q2914" s="85" t="s">
        <v>47</v>
      </c>
      <c r="R2914" s="220" t="s">
        <v>1888</v>
      </c>
      <c r="S2914" s="220" t="s">
        <v>1861</v>
      </c>
      <c r="T2914" s="85" t="s">
        <v>4038</v>
      </c>
    </row>
    <row r="2915" spans="1:20" ht="15.75" thickBot="1" x14ac:dyDescent="0.3">
      <c r="A2915" t="s">
        <v>1929</v>
      </c>
      <c r="B2915" t="s">
        <v>1929</v>
      </c>
      <c r="C2915" s="82" t="s">
        <v>1929</v>
      </c>
      <c r="D2915" s="83" t="s">
        <v>629</v>
      </c>
      <c r="E2915" s="262" t="s">
        <v>1970</v>
      </c>
      <c r="F2915" s="124" t="s">
        <v>620</v>
      </c>
      <c r="G2915" s="130">
        <v>2009</v>
      </c>
      <c r="H2915" s="125" t="s">
        <v>734</v>
      </c>
      <c r="I2915" s="340" t="str">
        <f t="shared" si="118"/>
        <v>Pesado de Passageiros M3: I : Gasóleo : E5</v>
      </c>
      <c r="J2915" s="125">
        <v>80</v>
      </c>
      <c r="K2915" s="264">
        <v>2022</v>
      </c>
      <c r="L2915" s="129">
        <v>35755.306799999998</v>
      </c>
      <c r="M2915" s="85" t="s">
        <v>630</v>
      </c>
      <c r="N2915" s="128">
        <v>66361</v>
      </c>
      <c r="O2915" s="128">
        <f t="shared" si="117"/>
        <v>5308880</v>
      </c>
      <c r="P2915" s="125" t="s">
        <v>2186</v>
      </c>
      <c r="Q2915" s="85" t="s">
        <v>47</v>
      </c>
      <c r="R2915" s="220" t="s">
        <v>1888</v>
      </c>
      <c r="S2915" s="220" t="s">
        <v>1861</v>
      </c>
      <c r="T2915" s="85" t="s">
        <v>4039</v>
      </c>
    </row>
    <row r="2916" spans="1:20" ht="15.75" thickBot="1" x14ac:dyDescent="0.3">
      <c r="A2916" t="s">
        <v>1929</v>
      </c>
      <c r="B2916" t="s">
        <v>1929</v>
      </c>
      <c r="C2916" s="82" t="s">
        <v>1929</v>
      </c>
      <c r="D2916" s="83" t="s">
        <v>629</v>
      </c>
      <c r="E2916" s="262" t="s">
        <v>1970</v>
      </c>
      <c r="F2916" s="124" t="s">
        <v>620</v>
      </c>
      <c r="G2916" s="130">
        <v>1997</v>
      </c>
      <c r="H2916" s="125" t="s">
        <v>735</v>
      </c>
      <c r="I2916" s="340" t="str">
        <f t="shared" si="118"/>
        <v>Pesado de Passageiros M3: I : Gasóleo : E2</v>
      </c>
      <c r="J2916" s="125">
        <v>74</v>
      </c>
      <c r="K2916" s="264">
        <v>2022</v>
      </c>
      <c r="L2916" s="129">
        <v>18808.93</v>
      </c>
      <c r="M2916" s="85" t="s">
        <v>630</v>
      </c>
      <c r="N2916" s="128">
        <v>40019</v>
      </c>
      <c r="O2916" s="128">
        <f t="shared" si="117"/>
        <v>2961406</v>
      </c>
      <c r="P2916" s="125" t="s">
        <v>2167</v>
      </c>
      <c r="Q2916" s="85" t="s">
        <v>47</v>
      </c>
      <c r="R2916" s="220" t="s">
        <v>1888</v>
      </c>
      <c r="S2916" s="220" t="s">
        <v>1861</v>
      </c>
      <c r="T2916" s="85" t="s">
        <v>4040</v>
      </c>
    </row>
    <row r="2917" spans="1:20" ht="15.75" thickBot="1" x14ac:dyDescent="0.3">
      <c r="A2917" t="s">
        <v>1929</v>
      </c>
      <c r="B2917" t="s">
        <v>1929</v>
      </c>
      <c r="C2917" s="82" t="s">
        <v>1929</v>
      </c>
      <c r="D2917" s="83" t="s">
        <v>629</v>
      </c>
      <c r="E2917" s="262" t="s">
        <v>1970</v>
      </c>
      <c r="F2917" s="124" t="s">
        <v>620</v>
      </c>
      <c r="G2917" s="130"/>
      <c r="H2917" s="125" t="s">
        <v>732</v>
      </c>
      <c r="I2917" s="340" t="str">
        <f t="shared" si="118"/>
        <v>Pesado de Passageiros M3: I : Gasóleo : E3</v>
      </c>
      <c r="J2917" s="125"/>
      <c r="K2917" s="264">
        <v>2022</v>
      </c>
      <c r="L2917" s="85">
        <v>12538.8</v>
      </c>
      <c r="M2917" s="85" t="s">
        <v>630</v>
      </c>
      <c r="N2917" s="128">
        <v>27864</v>
      </c>
      <c r="O2917" s="128">
        <f t="shared" si="117"/>
        <v>0</v>
      </c>
      <c r="P2917" s="125" t="s">
        <v>3348</v>
      </c>
      <c r="Q2917" s="85" t="s">
        <v>47</v>
      </c>
      <c r="R2917" s="220" t="s">
        <v>1888</v>
      </c>
      <c r="S2917" s="220" t="s">
        <v>1861</v>
      </c>
      <c r="T2917" s="85" t="s">
        <v>3467</v>
      </c>
    </row>
    <row r="2918" spans="1:20" ht="15.75" thickBot="1" x14ac:dyDescent="0.3">
      <c r="A2918" t="s">
        <v>1929</v>
      </c>
      <c r="B2918" t="s">
        <v>1929</v>
      </c>
      <c r="C2918" s="82" t="s">
        <v>1929</v>
      </c>
      <c r="D2918" s="83" t="s">
        <v>629</v>
      </c>
      <c r="E2918" s="262" t="s">
        <v>1970</v>
      </c>
      <c r="F2918" s="124" t="s">
        <v>620</v>
      </c>
      <c r="G2918" s="130">
        <v>2003</v>
      </c>
      <c r="H2918" s="125" t="s">
        <v>732</v>
      </c>
      <c r="I2918" s="340" t="str">
        <f t="shared" si="118"/>
        <v>Pesado de Passageiros M3: I : Gasóleo : E3</v>
      </c>
      <c r="J2918" s="125">
        <v>62</v>
      </c>
      <c r="K2918" s="264">
        <v>2022</v>
      </c>
      <c r="L2918" s="129">
        <v>27049.5</v>
      </c>
      <c r="M2918" s="85" t="s">
        <v>630</v>
      </c>
      <c r="N2918" s="128">
        <v>54099</v>
      </c>
      <c r="O2918" s="128">
        <f t="shared" si="117"/>
        <v>3354138</v>
      </c>
      <c r="P2918" s="125" t="s">
        <v>2105</v>
      </c>
      <c r="Q2918" s="85" t="s">
        <v>47</v>
      </c>
      <c r="R2918" s="220" t="s">
        <v>1888</v>
      </c>
      <c r="S2918" s="220" t="s">
        <v>1861</v>
      </c>
      <c r="T2918" s="85" t="s">
        <v>4041</v>
      </c>
    </row>
    <row r="2919" spans="1:20" ht="15.75" thickBot="1" x14ac:dyDescent="0.3">
      <c r="A2919" t="s">
        <v>1929</v>
      </c>
      <c r="B2919" t="s">
        <v>1929</v>
      </c>
      <c r="C2919" s="82" t="s">
        <v>1929</v>
      </c>
      <c r="D2919" s="83" t="s">
        <v>629</v>
      </c>
      <c r="E2919" s="262" t="s">
        <v>1970</v>
      </c>
      <c r="F2919" s="124" t="s">
        <v>620</v>
      </c>
      <c r="G2919" s="130">
        <v>2013</v>
      </c>
      <c r="H2919" s="125" t="s">
        <v>733</v>
      </c>
      <c r="I2919" s="340" t="str">
        <f t="shared" si="118"/>
        <v>Pesado de Passageiros M3: I : Gasóleo : E6</v>
      </c>
      <c r="J2919" s="125">
        <v>96</v>
      </c>
      <c r="K2919" s="264">
        <v>2022</v>
      </c>
      <c r="L2919" s="129">
        <v>33307.275000000001</v>
      </c>
      <c r="M2919" s="85" t="s">
        <v>630</v>
      </c>
      <c r="N2919" s="128">
        <v>75750</v>
      </c>
      <c r="O2919" s="128">
        <f t="shared" si="117"/>
        <v>7272000</v>
      </c>
      <c r="P2919" s="125" t="s">
        <v>2055</v>
      </c>
      <c r="Q2919" s="85" t="s">
        <v>47</v>
      </c>
      <c r="R2919" s="220" t="s">
        <v>1888</v>
      </c>
      <c r="S2919" s="220" t="s">
        <v>1861</v>
      </c>
      <c r="T2919" s="85" t="s">
        <v>4042</v>
      </c>
    </row>
    <row r="2920" spans="1:20" ht="15.75" thickBot="1" x14ac:dyDescent="0.3">
      <c r="A2920" t="s">
        <v>1929</v>
      </c>
      <c r="B2920" t="s">
        <v>1929</v>
      </c>
      <c r="C2920" s="82" t="s">
        <v>1929</v>
      </c>
      <c r="D2920" s="83" t="s">
        <v>629</v>
      </c>
      <c r="E2920" s="262" t="s">
        <v>1970</v>
      </c>
      <c r="F2920" s="124" t="s">
        <v>620</v>
      </c>
      <c r="G2920" s="130">
        <v>2014</v>
      </c>
      <c r="H2920" s="125" t="s">
        <v>733</v>
      </c>
      <c r="I2920" s="340" t="str">
        <f t="shared" si="118"/>
        <v>Pesado de Passageiros M3: I : Gasóleo : E6</v>
      </c>
      <c r="J2920" s="125">
        <v>72</v>
      </c>
      <c r="K2920" s="264">
        <v>2022</v>
      </c>
      <c r="L2920" s="129">
        <v>27227.937599999997</v>
      </c>
      <c r="M2920" s="85" t="s">
        <v>630</v>
      </c>
      <c r="N2920" s="128">
        <v>65201</v>
      </c>
      <c r="O2920" s="128">
        <f t="shared" si="117"/>
        <v>4694472</v>
      </c>
      <c r="P2920" s="125" t="s">
        <v>2068</v>
      </c>
      <c r="Q2920" s="85" t="s">
        <v>47</v>
      </c>
      <c r="R2920" s="220" t="s">
        <v>1888</v>
      </c>
      <c r="S2920" s="220" t="s">
        <v>1861</v>
      </c>
      <c r="T2920" s="85" t="s">
        <v>4043</v>
      </c>
    </row>
    <row r="2921" spans="1:20" ht="15.75" thickBot="1" x14ac:dyDescent="0.3">
      <c r="A2921" t="s">
        <v>1929</v>
      </c>
      <c r="B2921" t="s">
        <v>1929</v>
      </c>
      <c r="C2921" s="82" t="s">
        <v>1929</v>
      </c>
      <c r="D2921" s="83" t="s">
        <v>629</v>
      </c>
      <c r="E2921" s="262" t="s">
        <v>1970</v>
      </c>
      <c r="F2921" s="124" t="s">
        <v>620</v>
      </c>
      <c r="G2921" s="130">
        <v>2009</v>
      </c>
      <c r="H2921" s="125" t="s">
        <v>731</v>
      </c>
      <c r="I2921" s="340" t="str">
        <f t="shared" si="118"/>
        <v>Pesado de Passageiros M3: I : Gasóleo : E4</v>
      </c>
      <c r="J2921" s="125">
        <v>21</v>
      </c>
      <c r="K2921" s="264">
        <v>2022</v>
      </c>
      <c r="L2921" s="129">
        <v>6486.3744000000006</v>
      </c>
      <c r="M2921" s="85" t="s">
        <v>630</v>
      </c>
      <c r="N2921" s="128">
        <v>30712</v>
      </c>
      <c r="O2921" s="128">
        <f t="shared" si="117"/>
        <v>644952</v>
      </c>
      <c r="P2921" s="125" t="s">
        <v>1984</v>
      </c>
      <c r="Q2921" s="85" t="s">
        <v>47</v>
      </c>
      <c r="R2921" s="220" t="s">
        <v>1888</v>
      </c>
      <c r="S2921" s="220" t="s">
        <v>1861</v>
      </c>
      <c r="T2921" s="85" t="s">
        <v>4044</v>
      </c>
    </row>
    <row r="2922" spans="1:20" ht="15.75" thickBot="1" x14ac:dyDescent="0.3">
      <c r="A2922" t="s">
        <v>1929</v>
      </c>
      <c r="B2922" t="s">
        <v>1929</v>
      </c>
      <c r="C2922" s="82" t="s">
        <v>1929</v>
      </c>
      <c r="D2922" s="83" t="s">
        <v>629</v>
      </c>
      <c r="E2922" s="262" t="s">
        <v>1970</v>
      </c>
      <c r="F2922" s="124" t="s">
        <v>620</v>
      </c>
      <c r="G2922" s="130">
        <v>2013</v>
      </c>
      <c r="H2922" s="125" t="s">
        <v>733</v>
      </c>
      <c r="I2922" s="340" t="str">
        <f t="shared" si="118"/>
        <v>Pesado de Passageiros M3: I : Gasóleo : E6</v>
      </c>
      <c r="J2922" s="125">
        <v>72</v>
      </c>
      <c r="K2922" s="264">
        <v>2022</v>
      </c>
      <c r="L2922" s="129">
        <v>23798.547299999998</v>
      </c>
      <c r="M2922" s="85" t="s">
        <v>630</v>
      </c>
      <c r="N2922" s="128">
        <v>55051</v>
      </c>
      <c r="O2922" s="128">
        <f t="shared" si="117"/>
        <v>3963672</v>
      </c>
      <c r="P2922" s="125" t="s">
        <v>2069</v>
      </c>
      <c r="Q2922" s="85" t="s">
        <v>47</v>
      </c>
      <c r="R2922" s="220" t="s">
        <v>1888</v>
      </c>
      <c r="S2922" s="220" t="s">
        <v>1861</v>
      </c>
      <c r="T2922" s="85" t="s">
        <v>4045</v>
      </c>
    </row>
    <row r="2923" spans="1:20" ht="15.75" thickBot="1" x14ac:dyDescent="0.3">
      <c r="A2923" t="s">
        <v>1929</v>
      </c>
      <c r="B2923" t="s">
        <v>1929</v>
      </c>
      <c r="C2923" s="82" t="s">
        <v>1929</v>
      </c>
      <c r="D2923" s="83" t="s">
        <v>629</v>
      </c>
      <c r="E2923" s="262" t="s">
        <v>1970</v>
      </c>
      <c r="F2923" s="124" t="s">
        <v>620</v>
      </c>
      <c r="G2923" s="130"/>
      <c r="H2923" s="125" t="s">
        <v>732</v>
      </c>
      <c r="I2923" s="340" t="str">
        <f t="shared" si="118"/>
        <v>Pesado de Passageiros M3: I : Gasóleo : E3</v>
      </c>
      <c r="J2923" s="125"/>
      <c r="K2923" s="264">
        <v>2022</v>
      </c>
      <c r="L2923" s="85">
        <v>6606.03</v>
      </c>
      <c r="M2923" s="85" t="s">
        <v>630</v>
      </c>
      <c r="N2923" s="128">
        <v>12953</v>
      </c>
      <c r="O2923" s="128">
        <f t="shared" si="117"/>
        <v>0</v>
      </c>
      <c r="P2923" s="125" t="s">
        <v>3411</v>
      </c>
      <c r="Q2923" s="85" t="s">
        <v>47</v>
      </c>
      <c r="R2923" s="220" t="s">
        <v>1888</v>
      </c>
      <c r="S2923" s="220" t="s">
        <v>1861</v>
      </c>
      <c r="T2923" s="85" t="s">
        <v>4046</v>
      </c>
    </row>
    <row r="2924" spans="1:20" ht="15.75" thickBot="1" x14ac:dyDescent="0.3">
      <c r="A2924" t="s">
        <v>1929</v>
      </c>
      <c r="B2924" t="s">
        <v>1929</v>
      </c>
      <c r="C2924" s="82" t="s">
        <v>1929</v>
      </c>
      <c r="D2924" s="83" t="s">
        <v>629</v>
      </c>
      <c r="E2924" s="262" t="s">
        <v>1970</v>
      </c>
      <c r="F2924" s="124" t="s">
        <v>620</v>
      </c>
      <c r="G2924" s="130">
        <v>2014</v>
      </c>
      <c r="H2924" s="125" t="s">
        <v>733</v>
      </c>
      <c r="I2924" s="340" t="str">
        <f t="shared" si="118"/>
        <v>Pesado de Passageiros M3: I : Gasóleo : E6</v>
      </c>
      <c r="J2924" s="125">
        <v>99</v>
      </c>
      <c r="K2924" s="264">
        <v>2022</v>
      </c>
      <c r="L2924" s="129">
        <v>35983.683400000002</v>
      </c>
      <c r="M2924" s="85" t="s">
        <v>630</v>
      </c>
      <c r="N2924" s="128">
        <v>89201</v>
      </c>
      <c r="O2924" s="128">
        <f t="shared" si="117"/>
        <v>8830899</v>
      </c>
      <c r="P2924" s="125" t="s">
        <v>2054</v>
      </c>
      <c r="Q2924" s="85" t="s">
        <v>47</v>
      </c>
      <c r="R2924" s="220" t="s">
        <v>1888</v>
      </c>
      <c r="S2924" s="220" t="s">
        <v>1861</v>
      </c>
      <c r="T2924" s="85" t="s">
        <v>4047</v>
      </c>
    </row>
    <row r="2925" spans="1:20" ht="15.75" thickBot="1" x14ac:dyDescent="0.3">
      <c r="A2925" t="s">
        <v>1929</v>
      </c>
      <c r="B2925" t="s">
        <v>1929</v>
      </c>
      <c r="C2925" s="82" t="s">
        <v>1929</v>
      </c>
      <c r="D2925" s="83" t="s">
        <v>629</v>
      </c>
      <c r="E2925" s="262" t="s">
        <v>1970</v>
      </c>
      <c r="F2925" s="124" t="s">
        <v>620</v>
      </c>
      <c r="G2925" s="130"/>
      <c r="H2925" s="125" t="s">
        <v>732</v>
      </c>
      <c r="I2925" s="340" t="str">
        <f t="shared" si="118"/>
        <v>Pesado de Passageiros M3: I : Gasóleo : E3</v>
      </c>
      <c r="J2925" s="125"/>
      <c r="K2925" s="264">
        <v>2022</v>
      </c>
      <c r="L2925" s="85">
        <v>8907.15</v>
      </c>
      <c r="M2925" s="85" t="s">
        <v>630</v>
      </c>
      <c r="N2925" s="128">
        <v>25449</v>
      </c>
      <c r="O2925" s="128">
        <f t="shared" si="117"/>
        <v>0</v>
      </c>
      <c r="P2925" s="125" t="s">
        <v>3368</v>
      </c>
      <c r="Q2925" s="85" t="s">
        <v>47</v>
      </c>
      <c r="R2925" s="220" t="s">
        <v>1888</v>
      </c>
      <c r="S2925" s="220" t="s">
        <v>1861</v>
      </c>
      <c r="T2925" s="85" t="s">
        <v>4048</v>
      </c>
    </row>
    <row r="2926" spans="1:20" ht="15.75" thickBot="1" x14ac:dyDescent="0.3">
      <c r="A2926" t="s">
        <v>1929</v>
      </c>
      <c r="B2926" t="s">
        <v>1929</v>
      </c>
      <c r="C2926" s="82" t="s">
        <v>1929</v>
      </c>
      <c r="D2926" s="83" t="s">
        <v>629</v>
      </c>
      <c r="E2926" s="262" t="s">
        <v>1970</v>
      </c>
      <c r="F2926" s="124" t="s">
        <v>620</v>
      </c>
      <c r="G2926" s="130"/>
      <c r="H2926" s="125" t="s">
        <v>732</v>
      </c>
      <c r="I2926" s="340" t="str">
        <f t="shared" si="118"/>
        <v>Pesado de Passageiros M3: I : Gasóleo : E3</v>
      </c>
      <c r="J2926" s="125"/>
      <c r="K2926" s="264">
        <v>2022</v>
      </c>
      <c r="L2926" s="85">
        <v>7312.2</v>
      </c>
      <c r="M2926" s="85" t="s">
        <v>630</v>
      </c>
      <c r="N2926" s="128">
        <v>20892</v>
      </c>
      <c r="O2926" s="128">
        <f t="shared" si="117"/>
        <v>0</v>
      </c>
      <c r="P2926" s="125" t="s">
        <v>3369</v>
      </c>
      <c r="Q2926" s="85" t="s">
        <v>47</v>
      </c>
      <c r="R2926" s="220" t="s">
        <v>1888</v>
      </c>
      <c r="S2926" s="220" t="s">
        <v>1861</v>
      </c>
      <c r="T2926" s="85" t="s">
        <v>3482</v>
      </c>
    </row>
    <row r="2927" spans="1:20" ht="15.75" thickBot="1" x14ac:dyDescent="0.3">
      <c r="A2927" t="s">
        <v>1929</v>
      </c>
      <c r="B2927" t="s">
        <v>1929</v>
      </c>
      <c r="C2927" s="82" t="s">
        <v>1929</v>
      </c>
      <c r="D2927" s="83" t="s">
        <v>629</v>
      </c>
      <c r="E2927" s="262" t="s">
        <v>1970</v>
      </c>
      <c r="F2927" s="124" t="s">
        <v>620</v>
      </c>
      <c r="G2927" s="130">
        <v>2003</v>
      </c>
      <c r="H2927" s="125" t="s">
        <v>732</v>
      </c>
      <c r="I2927" s="340" t="str">
        <f t="shared" si="118"/>
        <v>Pesado de Passageiros M3: I : Gasóleo : E3</v>
      </c>
      <c r="J2927" s="125">
        <v>106</v>
      </c>
      <c r="K2927" s="264">
        <v>2022</v>
      </c>
      <c r="L2927" s="129">
        <v>26908.044499999996</v>
      </c>
      <c r="M2927" s="85" t="s">
        <v>630</v>
      </c>
      <c r="N2927" s="128">
        <v>49655</v>
      </c>
      <c r="O2927" s="128">
        <f t="shared" si="117"/>
        <v>5263430</v>
      </c>
      <c r="P2927" s="125" t="s">
        <v>2168</v>
      </c>
      <c r="Q2927" s="85" t="s">
        <v>47</v>
      </c>
      <c r="R2927" s="220" t="s">
        <v>1888</v>
      </c>
      <c r="S2927" s="220" t="s">
        <v>1861</v>
      </c>
      <c r="T2927" s="85" t="s">
        <v>4049</v>
      </c>
    </row>
    <row r="2928" spans="1:20" ht="15.75" thickBot="1" x14ac:dyDescent="0.3">
      <c r="A2928" t="s">
        <v>1929</v>
      </c>
      <c r="B2928" t="s">
        <v>1929</v>
      </c>
      <c r="C2928" s="82" t="s">
        <v>1929</v>
      </c>
      <c r="D2928" s="83" t="s">
        <v>629</v>
      </c>
      <c r="E2928" s="262" t="s">
        <v>1970</v>
      </c>
      <c r="F2928" s="124" t="s">
        <v>620</v>
      </c>
      <c r="G2928" s="130">
        <v>2003</v>
      </c>
      <c r="H2928" s="125" t="s">
        <v>732</v>
      </c>
      <c r="I2928" s="340" t="str">
        <f t="shared" si="118"/>
        <v>Pesado de Passageiros M3: I : Gasóleo : E3</v>
      </c>
      <c r="J2928" s="125">
        <v>106</v>
      </c>
      <c r="K2928" s="264">
        <v>2022</v>
      </c>
      <c r="L2928" s="129">
        <v>25823.337500000001</v>
      </c>
      <c r="M2928" s="85" t="s">
        <v>630</v>
      </c>
      <c r="N2928" s="128">
        <v>50387</v>
      </c>
      <c r="O2928" s="128">
        <f t="shared" si="117"/>
        <v>5341022</v>
      </c>
      <c r="P2928" s="125" t="s">
        <v>2169</v>
      </c>
      <c r="Q2928" s="85" t="s">
        <v>47</v>
      </c>
      <c r="R2928" s="220" t="s">
        <v>1888</v>
      </c>
      <c r="S2928" s="220" t="s">
        <v>1861</v>
      </c>
      <c r="T2928" s="85" t="s">
        <v>4050</v>
      </c>
    </row>
    <row r="2929" spans="1:20" ht="15.75" thickBot="1" x14ac:dyDescent="0.3">
      <c r="A2929" t="s">
        <v>1929</v>
      </c>
      <c r="B2929" t="s">
        <v>1929</v>
      </c>
      <c r="C2929" s="82" t="s">
        <v>1929</v>
      </c>
      <c r="D2929" s="83" t="s">
        <v>629</v>
      </c>
      <c r="E2929" s="262" t="s">
        <v>1970</v>
      </c>
      <c r="F2929" s="124" t="s">
        <v>620</v>
      </c>
      <c r="G2929" s="130">
        <v>2003</v>
      </c>
      <c r="H2929" s="125" t="s">
        <v>732</v>
      </c>
      <c r="I2929" s="340" t="str">
        <f t="shared" si="118"/>
        <v>Pesado de Passageiros M3: I : Gasóleo : E3</v>
      </c>
      <c r="J2929" s="125">
        <v>106</v>
      </c>
      <c r="K2929" s="264">
        <v>2022</v>
      </c>
      <c r="L2929" s="129">
        <v>25489.764800000001</v>
      </c>
      <c r="M2929" s="85" t="s">
        <v>630</v>
      </c>
      <c r="N2929" s="128">
        <v>43409</v>
      </c>
      <c r="O2929" s="128">
        <f t="shared" ref="O2929:O2992" si="119">N2929*J2929</f>
        <v>4601354</v>
      </c>
      <c r="P2929" s="125" t="s">
        <v>2170</v>
      </c>
      <c r="Q2929" s="85" t="s">
        <v>47</v>
      </c>
      <c r="R2929" s="220" t="s">
        <v>1888</v>
      </c>
      <c r="S2929" s="220" t="s">
        <v>1861</v>
      </c>
      <c r="T2929" s="85" t="s">
        <v>4051</v>
      </c>
    </row>
    <row r="2930" spans="1:20" ht="15.75" thickBot="1" x14ac:dyDescent="0.3">
      <c r="A2930" t="s">
        <v>1929</v>
      </c>
      <c r="B2930" t="s">
        <v>1929</v>
      </c>
      <c r="C2930" s="82" t="s">
        <v>1929</v>
      </c>
      <c r="D2930" s="83" t="s">
        <v>629</v>
      </c>
      <c r="E2930" s="262" t="s">
        <v>1970</v>
      </c>
      <c r="F2930" s="124" t="s">
        <v>620</v>
      </c>
      <c r="G2930" s="130">
        <v>2004</v>
      </c>
      <c r="H2930" s="125" t="s">
        <v>732</v>
      </c>
      <c r="I2930" s="340" t="str">
        <f t="shared" si="118"/>
        <v>Pesado de Passageiros M3: I : Gasóleo : E3</v>
      </c>
      <c r="J2930" s="125">
        <v>84</v>
      </c>
      <c r="K2930" s="264">
        <v>2022</v>
      </c>
      <c r="L2930" s="129">
        <v>25543.591499999999</v>
      </c>
      <c r="M2930" s="85" t="s">
        <v>630</v>
      </c>
      <c r="N2930" s="128">
        <v>48981</v>
      </c>
      <c r="O2930" s="128">
        <f t="shared" si="119"/>
        <v>4114404</v>
      </c>
      <c r="P2930" s="125" t="s">
        <v>2208</v>
      </c>
      <c r="Q2930" s="85" t="s">
        <v>47</v>
      </c>
      <c r="R2930" s="220" t="s">
        <v>1888</v>
      </c>
      <c r="S2930" s="220" t="s">
        <v>1861</v>
      </c>
      <c r="T2930" s="85" t="s">
        <v>4052</v>
      </c>
    </row>
    <row r="2931" spans="1:20" ht="15.75" thickBot="1" x14ac:dyDescent="0.3">
      <c r="A2931" t="s">
        <v>1929</v>
      </c>
      <c r="B2931" t="s">
        <v>1929</v>
      </c>
      <c r="C2931" s="82" t="s">
        <v>1929</v>
      </c>
      <c r="D2931" s="83" t="s">
        <v>629</v>
      </c>
      <c r="E2931" s="262" t="s">
        <v>1970</v>
      </c>
      <c r="F2931" s="124" t="s">
        <v>620</v>
      </c>
      <c r="G2931" s="130">
        <v>2000</v>
      </c>
      <c r="H2931" s="125" t="s">
        <v>732</v>
      </c>
      <c r="I2931" s="340" t="str">
        <f t="shared" si="118"/>
        <v>Pesado de Passageiros M3: I : Gasóleo : E3</v>
      </c>
      <c r="J2931" s="125">
        <v>80</v>
      </c>
      <c r="K2931" s="264">
        <v>2022</v>
      </c>
      <c r="L2931" s="129">
        <v>13591.696800000002</v>
      </c>
      <c r="M2931" s="85" t="s">
        <v>630</v>
      </c>
      <c r="N2931" s="128">
        <v>28578</v>
      </c>
      <c r="O2931" s="128">
        <f t="shared" si="119"/>
        <v>2286240</v>
      </c>
      <c r="P2931" s="125" t="s">
        <v>2206</v>
      </c>
      <c r="Q2931" s="85" t="s">
        <v>47</v>
      </c>
      <c r="R2931" s="220" t="s">
        <v>1888</v>
      </c>
      <c r="S2931" s="220" t="s">
        <v>1861</v>
      </c>
      <c r="T2931" s="85" t="s">
        <v>4053</v>
      </c>
    </row>
    <row r="2932" spans="1:20" ht="15.75" thickBot="1" x14ac:dyDescent="0.3">
      <c r="A2932" t="s">
        <v>1929</v>
      </c>
      <c r="B2932" t="s">
        <v>1929</v>
      </c>
      <c r="C2932" s="82" t="s">
        <v>1929</v>
      </c>
      <c r="D2932" s="83" t="s">
        <v>629</v>
      </c>
      <c r="E2932" s="262" t="s">
        <v>1970</v>
      </c>
      <c r="F2932" s="124" t="s">
        <v>620</v>
      </c>
      <c r="G2932" s="130">
        <v>2000</v>
      </c>
      <c r="H2932" s="125" t="s">
        <v>732</v>
      </c>
      <c r="I2932" s="340" t="str">
        <f t="shared" si="118"/>
        <v>Pesado de Passageiros M3: I : Gasóleo : E3</v>
      </c>
      <c r="J2932" s="125">
        <v>80</v>
      </c>
      <c r="K2932" s="264">
        <v>2022</v>
      </c>
      <c r="L2932" s="129">
        <v>9588.3060000000005</v>
      </c>
      <c r="M2932" s="85" t="s">
        <v>630</v>
      </c>
      <c r="N2932" s="128">
        <v>23205</v>
      </c>
      <c r="O2932" s="128">
        <f t="shared" si="119"/>
        <v>1856400</v>
      </c>
      <c r="P2932" s="125" t="s">
        <v>2207</v>
      </c>
      <c r="Q2932" s="85" t="s">
        <v>47</v>
      </c>
      <c r="R2932" s="220" t="s">
        <v>1888</v>
      </c>
      <c r="S2932" s="220" t="s">
        <v>1861</v>
      </c>
      <c r="T2932" s="85" t="s">
        <v>4054</v>
      </c>
    </row>
    <row r="2933" spans="1:20" ht="15.75" thickBot="1" x14ac:dyDescent="0.3">
      <c r="A2933" t="s">
        <v>1929</v>
      </c>
      <c r="B2933" t="s">
        <v>1929</v>
      </c>
      <c r="C2933" s="82" t="s">
        <v>1929</v>
      </c>
      <c r="D2933" s="83" t="s">
        <v>629</v>
      </c>
      <c r="E2933" s="262" t="s">
        <v>1970</v>
      </c>
      <c r="F2933" s="124" t="s">
        <v>620</v>
      </c>
      <c r="G2933" s="130">
        <v>2005</v>
      </c>
      <c r="H2933" s="125" t="s">
        <v>732</v>
      </c>
      <c r="I2933" s="340" t="str">
        <f t="shared" si="118"/>
        <v>Pesado de Passageiros M3: I : Gasóleo : E3</v>
      </c>
      <c r="J2933" s="125">
        <v>69</v>
      </c>
      <c r="K2933" s="264">
        <v>2022</v>
      </c>
      <c r="L2933" s="129">
        <v>29344.14</v>
      </c>
      <c r="M2933" s="85" t="s">
        <v>630</v>
      </c>
      <c r="N2933" s="128">
        <v>55450</v>
      </c>
      <c r="O2933" s="128">
        <f t="shared" si="119"/>
        <v>3826050</v>
      </c>
      <c r="P2933" s="125" t="s">
        <v>2108</v>
      </c>
      <c r="Q2933" s="85" t="s">
        <v>47</v>
      </c>
      <c r="R2933" s="220" t="s">
        <v>1888</v>
      </c>
      <c r="S2933" s="220" t="s">
        <v>1861</v>
      </c>
      <c r="T2933" s="85" t="s">
        <v>4055</v>
      </c>
    </row>
    <row r="2934" spans="1:20" ht="15.75" thickBot="1" x14ac:dyDescent="0.3">
      <c r="A2934" t="s">
        <v>1929</v>
      </c>
      <c r="B2934" t="s">
        <v>1929</v>
      </c>
      <c r="C2934" s="82" t="s">
        <v>1929</v>
      </c>
      <c r="D2934" s="83" t="s">
        <v>629</v>
      </c>
      <c r="E2934" s="262" t="s">
        <v>1970</v>
      </c>
      <c r="F2934" s="124" t="s">
        <v>620</v>
      </c>
      <c r="G2934" s="130">
        <v>2005</v>
      </c>
      <c r="H2934" s="125" t="s">
        <v>732</v>
      </c>
      <c r="I2934" s="340" t="str">
        <f t="shared" ref="I2934:I2997" si="120">D2934&amp;": "&amp;E2934&amp;" : "&amp;F2934&amp;" : "&amp;H2934</f>
        <v>Pesado de Passageiros M3: I : Gasóleo : E3</v>
      </c>
      <c r="J2934" s="125">
        <v>69</v>
      </c>
      <c r="K2934" s="264">
        <v>2022</v>
      </c>
      <c r="L2934" s="129">
        <v>31860.6646</v>
      </c>
      <c r="M2934" s="85" t="s">
        <v>630</v>
      </c>
      <c r="N2934" s="128">
        <v>59821</v>
      </c>
      <c r="O2934" s="128">
        <f t="shared" si="119"/>
        <v>4127649</v>
      </c>
      <c r="P2934" s="125" t="s">
        <v>2109</v>
      </c>
      <c r="Q2934" s="85" t="s">
        <v>47</v>
      </c>
      <c r="R2934" s="220" t="s">
        <v>1888</v>
      </c>
      <c r="S2934" s="220" t="s">
        <v>1861</v>
      </c>
      <c r="T2934" s="85" t="s">
        <v>4056</v>
      </c>
    </row>
    <row r="2935" spans="1:20" ht="15.75" thickBot="1" x14ac:dyDescent="0.3">
      <c r="A2935" t="s">
        <v>1929</v>
      </c>
      <c r="B2935" t="s">
        <v>1929</v>
      </c>
      <c r="C2935" s="82" t="s">
        <v>1929</v>
      </c>
      <c r="D2935" s="83" t="s">
        <v>629</v>
      </c>
      <c r="E2935" s="262" t="s">
        <v>1970</v>
      </c>
      <c r="F2935" s="124" t="s">
        <v>620</v>
      </c>
      <c r="G2935" s="130">
        <v>2013</v>
      </c>
      <c r="H2935" s="125" t="s">
        <v>733</v>
      </c>
      <c r="I2935" s="340" t="str">
        <f t="shared" si="120"/>
        <v>Pesado de Passageiros M3: I : Gasóleo : E6</v>
      </c>
      <c r="J2935" s="125">
        <v>100</v>
      </c>
      <c r="K2935" s="264">
        <v>2022</v>
      </c>
      <c r="L2935" s="129">
        <v>14749.44</v>
      </c>
      <c r="M2935" s="85" t="s">
        <v>630</v>
      </c>
      <c r="N2935" s="128">
        <v>30728</v>
      </c>
      <c r="O2935" s="128">
        <f t="shared" si="119"/>
        <v>3072800</v>
      </c>
      <c r="P2935" s="125" t="s">
        <v>2058</v>
      </c>
      <c r="Q2935" s="85" t="s">
        <v>47</v>
      </c>
      <c r="R2935" s="220" t="s">
        <v>1888</v>
      </c>
      <c r="S2935" s="220" t="s">
        <v>1861</v>
      </c>
      <c r="T2935" s="85" t="s">
        <v>4057</v>
      </c>
    </row>
    <row r="2936" spans="1:20" ht="15.75" thickBot="1" x14ac:dyDescent="0.3">
      <c r="A2936" t="s">
        <v>1929</v>
      </c>
      <c r="B2936" t="s">
        <v>1929</v>
      </c>
      <c r="C2936" s="82" t="s">
        <v>1929</v>
      </c>
      <c r="D2936" s="83" t="s">
        <v>629</v>
      </c>
      <c r="E2936" s="262" t="s">
        <v>1970</v>
      </c>
      <c r="F2936" s="124" t="s">
        <v>620</v>
      </c>
      <c r="G2936" s="130">
        <v>2013</v>
      </c>
      <c r="H2936" s="125" t="s">
        <v>733</v>
      </c>
      <c r="I2936" s="340" t="str">
        <f t="shared" si="120"/>
        <v>Pesado de Passageiros M3: I : Gasóleo : E6</v>
      </c>
      <c r="J2936" s="125">
        <v>72</v>
      </c>
      <c r="K2936" s="264">
        <v>2022</v>
      </c>
      <c r="L2936" s="129">
        <v>33282.753700000001</v>
      </c>
      <c r="M2936" s="85" t="s">
        <v>630</v>
      </c>
      <c r="N2936" s="128">
        <v>79681</v>
      </c>
      <c r="O2936" s="128">
        <f t="shared" si="119"/>
        <v>5737032</v>
      </c>
      <c r="P2936" s="125" t="s">
        <v>2059</v>
      </c>
      <c r="Q2936" s="85" t="s">
        <v>47</v>
      </c>
      <c r="R2936" s="220" t="s">
        <v>1888</v>
      </c>
      <c r="S2936" s="220" t="s">
        <v>1861</v>
      </c>
      <c r="T2936" s="85" t="s">
        <v>4058</v>
      </c>
    </row>
    <row r="2937" spans="1:20" ht="15.75" thickBot="1" x14ac:dyDescent="0.3">
      <c r="A2937" t="s">
        <v>1929</v>
      </c>
      <c r="B2937" t="s">
        <v>1929</v>
      </c>
      <c r="C2937" s="82" t="s">
        <v>1929</v>
      </c>
      <c r="D2937" s="83" t="s">
        <v>629</v>
      </c>
      <c r="E2937" s="262" t="s">
        <v>1970</v>
      </c>
      <c r="F2937" s="124" t="s">
        <v>620</v>
      </c>
      <c r="G2937" s="130">
        <v>1994</v>
      </c>
      <c r="H2937" s="125" t="s">
        <v>736</v>
      </c>
      <c r="I2937" s="340" t="str">
        <f t="shared" si="120"/>
        <v>Pesado de Passageiros M3: I : Gasóleo : E1</v>
      </c>
      <c r="J2937" s="125">
        <v>70</v>
      </c>
      <c r="K2937" s="264">
        <v>2022</v>
      </c>
      <c r="L2937" s="129">
        <v>17320.1083</v>
      </c>
      <c r="M2937" s="85" t="s">
        <v>630</v>
      </c>
      <c r="N2937" s="128">
        <v>40477</v>
      </c>
      <c r="O2937" s="128">
        <f t="shared" si="119"/>
        <v>2833390</v>
      </c>
      <c r="P2937" s="125" t="s">
        <v>2211</v>
      </c>
      <c r="Q2937" s="85" t="s">
        <v>47</v>
      </c>
      <c r="R2937" s="220" t="s">
        <v>1888</v>
      </c>
      <c r="S2937" s="220" t="s">
        <v>1861</v>
      </c>
      <c r="T2937" s="85" t="s">
        <v>4059</v>
      </c>
    </row>
    <row r="2938" spans="1:20" ht="15.75" thickBot="1" x14ac:dyDescent="0.3">
      <c r="A2938" t="s">
        <v>1929</v>
      </c>
      <c r="B2938" t="s">
        <v>1929</v>
      </c>
      <c r="C2938" s="82" t="s">
        <v>1929</v>
      </c>
      <c r="D2938" s="83" t="s">
        <v>629</v>
      </c>
      <c r="E2938" s="262" t="s">
        <v>1970</v>
      </c>
      <c r="F2938" s="124" t="s">
        <v>620</v>
      </c>
      <c r="G2938" s="130">
        <v>2003</v>
      </c>
      <c r="H2938" s="125" t="s">
        <v>732</v>
      </c>
      <c r="I2938" s="340" t="str">
        <f t="shared" si="120"/>
        <v>Pesado de Passageiros M3: I : Gasóleo : E3</v>
      </c>
      <c r="J2938" s="125">
        <v>77</v>
      </c>
      <c r="K2938" s="264">
        <v>2022</v>
      </c>
      <c r="L2938" s="129">
        <v>33410.85</v>
      </c>
      <c r="M2938" s="85" t="s">
        <v>630</v>
      </c>
      <c r="N2938" s="128">
        <v>60747</v>
      </c>
      <c r="O2938" s="128">
        <f t="shared" si="119"/>
        <v>4677519</v>
      </c>
      <c r="P2938" s="125" t="s">
        <v>2099</v>
      </c>
      <c r="Q2938" s="85" t="s">
        <v>47</v>
      </c>
      <c r="R2938" s="220" t="s">
        <v>1888</v>
      </c>
      <c r="S2938" s="220" t="s">
        <v>1861</v>
      </c>
      <c r="T2938" s="85" t="s">
        <v>4060</v>
      </c>
    </row>
    <row r="2939" spans="1:20" ht="15.75" thickBot="1" x14ac:dyDescent="0.3">
      <c r="A2939" t="s">
        <v>1929</v>
      </c>
      <c r="B2939" t="s">
        <v>1929</v>
      </c>
      <c r="C2939" s="82" t="s">
        <v>1929</v>
      </c>
      <c r="D2939" s="83" t="s">
        <v>629</v>
      </c>
      <c r="E2939" s="262" t="s">
        <v>1970</v>
      </c>
      <c r="F2939" s="124" t="s">
        <v>620</v>
      </c>
      <c r="G2939" s="130">
        <v>2013</v>
      </c>
      <c r="H2939" s="125" t="s">
        <v>733</v>
      </c>
      <c r="I2939" s="340" t="str">
        <f t="shared" si="120"/>
        <v>Pesado de Passageiros M3: I : Gasóleo : E6</v>
      </c>
      <c r="J2939" s="125">
        <v>100</v>
      </c>
      <c r="K2939" s="264">
        <v>2022</v>
      </c>
      <c r="L2939" s="129">
        <v>24381.016</v>
      </c>
      <c r="M2939" s="85" t="s">
        <v>630</v>
      </c>
      <c r="N2939" s="128">
        <v>49808</v>
      </c>
      <c r="O2939" s="128">
        <f t="shared" si="119"/>
        <v>4980800</v>
      </c>
      <c r="P2939" s="125" t="s">
        <v>2061</v>
      </c>
      <c r="Q2939" s="85" t="s">
        <v>47</v>
      </c>
      <c r="R2939" s="220" t="s">
        <v>1888</v>
      </c>
      <c r="S2939" s="220" t="s">
        <v>1861</v>
      </c>
      <c r="T2939" s="85" t="s">
        <v>4061</v>
      </c>
    </row>
    <row r="2940" spans="1:20" ht="15.75" thickBot="1" x14ac:dyDescent="0.3">
      <c r="A2940" t="s">
        <v>1929</v>
      </c>
      <c r="B2940" t="s">
        <v>1929</v>
      </c>
      <c r="C2940" s="82" t="s">
        <v>1929</v>
      </c>
      <c r="D2940" s="83" t="s">
        <v>629</v>
      </c>
      <c r="E2940" s="262" t="s">
        <v>1970</v>
      </c>
      <c r="F2940" s="124" t="s">
        <v>620</v>
      </c>
      <c r="G2940" s="130">
        <v>2013</v>
      </c>
      <c r="H2940" s="125" t="s">
        <v>733</v>
      </c>
      <c r="I2940" s="340" t="str">
        <f t="shared" si="120"/>
        <v>Pesado de Passageiros M3: I : Gasóleo : E6</v>
      </c>
      <c r="J2940" s="125">
        <v>100</v>
      </c>
      <c r="K2940" s="264">
        <v>2022</v>
      </c>
      <c r="L2940" s="129">
        <v>12961.89</v>
      </c>
      <c r="M2940" s="85" t="s">
        <v>630</v>
      </c>
      <c r="N2940" s="128">
        <v>27450</v>
      </c>
      <c r="O2940" s="128">
        <f t="shared" si="119"/>
        <v>2745000</v>
      </c>
      <c r="P2940" s="125" t="s">
        <v>2060</v>
      </c>
      <c r="Q2940" s="85" t="s">
        <v>47</v>
      </c>
      <c r="R2940" s="220" t="s">
        <v>1888</v>
      </c>
      <c r="S2940" s="220" t="s">
        <v>1861</v>
      </c>
      <c r="T2940" s="85" t="s">
        <v>4062</v>
      </c>
    </row>
    <row r="2941" spans="1:20" ht="15.75" thickBot="1" x14ac:dyDescent="0.3">
      <c r="A2941" t="s">
        <v>1929</v>
      </c>
      <c r="B2941" t="s">
        <v>1929</v>
      </c>
      <c r="C2941" s="82" t="s">
        <v>1929</v>
      </c>
      <c r="D2941" s="83" t="s">
        <v>629</v>
      </c>
      <c r="E2941" s="262" t="s">
        <v>1970</v>
      </c>
      <c r="F2941" s="124" t="s">
        <v>620</v>
      </c>
      <c r="G2941" s="130">
        <v>2008</v>
      </c>
      <c r="H2941" s="125" t="s">
        <v>731</v>
      </c>
      <c r="I2941" s="340" t="str">
        <f t="shared" si="120"/>
        <v>Pesado de Passageiros M3: I : Gasóleo : E4</v>
      </c>
      <c r="J2941" s="125">
        <v>21</v>
      </c>
      <c r="K2941" s="264">
        <v>2022</v>
      </c>
      <c r="L2941" s="129">
        <v>9138.222600000001</v>
      </c>
      <c r="M2941" s="85" t="s">
        <v>630</v>
      </c>
      <c r="N2941" s="128">
        <v>37102</v>
      </c>
      <c r="O2941" s="128">
        <f t="shared" si="119"/>
        <v>779142</v>
      </c>
      <c r="P2941" s="125" t="s">
        <v>1978</v>
      </c>
      <c r="Q2941" s="85" t="s">
        <v>47</v>
      </c>
      <c r="R2941" s="220" t="s">
        <v>1888</v>
      </c>
      <c r="S2941" s="220" t="s">
        <v>1861</v>
      </c>
      <c r="T2941" s="85" t="s">
        <v>4063</v>
      </c>
    </row>
    <row r="2942" spans="1:20" ht="15.75" thickBot="1" x14ac:dyDescent="0.3">
      <c r="A2942" t="s">
        <v>1929</v>
      </c>
      <c r="B2942" t="s">
        <v>1929</v>
      </c>
      <c r="C2942" s="82" t="s">
        <v>1929</v>
      </c>
      <c r="D2942" s="83" t="s">
        <v>629</v>
      </c>
      <c r="E2942" s="262" t="s">
        <v>1970</v>
      </c>
      <c r="F2942" s="124" t="s">
        <v>620</v>
      </c>
      <c r="G2942" s="130">
        <v>2003</v>
      </c>
      <c r="H2942" s="125" t="s">
        <v>732</v>
      </c>
      <c r="I2942" s="340" t="str">
        <f t="shared" si="120"/>
        <v>Pesado de Passageiros M3: I : Gasóleo : E3</v>
      </c>
      <c r="J2942" s="125">
        <v>80</v>
      </c>
      <c r="K2942" s="264">
        <v>2022</v>
      </c>
      <c r="L2942" s="129">
        <v>29015.3</v>
      </c>
      <c r="M2942" s="85" t="s">
        <v>630</v>
      </c>
      <c r="N2942" s="128">
        <v>51400</v>
      </c>
      <c r="O2942" s="128">
        <f t="shared" si="119"/>
        <v>4112000</v>
      </c>
      <c r="P2942" s="125" t="s">
        <v>2193</v>
      </c>
      <c r="Q2942" s="85" t="s">
        <v>47</v>
      </c>
      <c r="R2942" s="220" t="s">
        <v>1888</v>
      </c>
      <c r="S2942" s="220" t="s">
        <v>1861</v>
      </c>
      <c r="T2942" s="85" t="s">
        <v>4064</v>
      </c>
    </row>
    <row r="2943" spans="1:20" ht="15.75" thickBot="1" x14ac:dyDescent="0.3">
      <c r="A2943" t="s">
        <v>1929</v>
      </c>
      <c r="B2943" t="s">
        <v>1929</v>
      </c>
      <c r="C2943" s="82" t="s">
        <v>1929</v>
      </c>
      <c r="D2943" s="83" t="s">
        <v>629</v>
      </c>
      <c r="E2943" s="262" t="s">
        <v>1970</v>
      </c>
      <c r="F2943" s="124" t="s">
        <v>620</v>
      </c>
      <c r="G2943" s="130">
        <v>2003</v>
      </c>
      <c r="H2943" s="125" t="s">
        <v>732</v>
      </c>
      <c r="I2943" s="340" t="str">
        <f t="shared" si="120"/>
        <v>Pesado de Passageiros M3: I : Gasóleo : E3</v>
      </c>
      <c r="J2943" s="125">
        <v>77</v>
      </c>
      <c r="K2943" s="264">
        <v>2022</v>
      </c>
      <c r="L2943" s="129">
        <v>29443.15</v>
      </c>
      <c r="M2943" s="85" t="s">
        <v>630</v>
      </c>
      <c r="N2943" s="128">
        <v>53533</v>
      </c>
      <c r="O2943" s="128">
        <f t="shared" si="119"/>
        <v>4122041</v>
      </c>
      <c r="P2943" s="125" t="s">
        <v>2100</v>
      </c>
      <c r="Q2943" s="85" t="s">
        <v>47</v>
      </c>
      <c r="R2943" s="220" t="s">
        <v>1888</v>
      </c>
      <c r="S2943" s="220" t="s">
        <v>1861</v>
      </c>
      <c r="T2943" s="85" t="s">
        <v>4065</v>
      </c>
    </row>
    <row r="2944" spans="1:20" ht="15.75" thickBot="1" x14ac:dyDescent="0.3">
      <c r="A2944" t="s">
        <v>1929</v>
      </c>
      <c r="B2944" t="s">
        <v>1929</v>
      </c>
      <c r="C2944" s="82" t="s">
        <v>1929</v>
      </c>
      <c r="D2944" s="83" t="s">
        <v>629</v>
      </c>
      <c r="E2944" s="262" t="s">
        <v>1970</v>
      </c>
      <c r="F2944" s="124" t="s">
        <v>620</v>
      </c>
      <c r="G2944" s="130"/>
      <c r="H2944" s="125" t="s">
        <v>732</v>
      </c>
      <c r="I2944" s="340" t="str">
        <f t="shared" si="120"/>
        <v>Pesado de Passageiros M3: I : Gasóleo : E3</v>
      </c>
      <c r="J2944" s="125"/>
      <c r="K2944" s="264">
        <v>2022</v>
      </c>
      <c r="L2944" s="253">
        <v>11609</v>
      </c>
      <c r="M2944" s="85" t="s">
        <v>630</v>
      </c>
      <c r="N2944" s="128">
        <v>23593</v>
      </c>
      <c r="O2944" s="128">
        <f t="shared" si="119"/>
        <v>0</v>
      </c>
      <c r="P2944" s="125" t="s">
        <v>3372</v>
      </c>
      <c r="Q2944" s="85" t="s">
        <v>47</v>
      </c>
      <c r="R2944" s="220" t="s">
        <v>1888</v>
      </c>
      <c r="S2944" s="220" t="s">
        <v>1861</v>
      </c>
      <c r="T2944" s="85" t="s">
        <v>3483</v>
      </c>
    </row>
    <row r="2945" spans="1:20" ht="15.75" thickBot="1" x14ac:dyDescent="0.3">
      <c r="A2945" t="s">
        <v>1929</v>
      </c>
      <c r="B2945" t="s">
        <v>1929</v>
      </c>
      <c r="C2945" s="82" t="s">
        <v>1929</v>
      </c>
      <c r="D2945" s="83" t="s">
        <v>629</v>
      </c>
      <c r="E2945" s="262" t="s">
        <v>1970</v>
      </c>
      <c r="F2945" s="124" t="s">
        <v>620</v>
      </c>
      <c r="G2945" s="130"/>
      <c r="H2945" s="125" t="s">
        <v>731</v>
      </c>
      <c r="I2945" s="340" t="str">
        <f t="shared" si="120"/>
        <v>Pesado de Passageiros M3: I : Gasóleo : E4</v>
      </c>
      <c r="J2945" s="125"/>
      <c r="K2945" s="264">
        <v>2022</v>
      </c>
      <c r="L2945" s="253">
        <v>8412.85</v>
      </c>
      <c r="M2945" s="85" t="s">
        <v>630</v>
      </c>
      <c r="N2945" s="128">
        <v>16410</v>
      </c>
      <c r="O2945" s="128">
        <f t="shared" si="119"/>
        <v>0</v>
      </c>
      <c r="P2945" s="125" t="s">
        <v>3345</v>
      </c>
      <c r="Q2945" s="85" t="s">
        <v>47</v>
      </c>
      <c r="R2945" s="220" t="s">
        <v>1888</v>
      </c>
      <c r="S2945" s="220" t="s">
        <v>1861</v>
      </c>
      <c r="T2945" s="85" t="s">
        <v>3460</v>
      </c>
    </row>
    <row r="2946" spans="1:20" ht="15.75" thickBot="1" x14ac:dyDescent="0.3">
      <c r="A2946" t="s">
        <v>1929</v>
      </c>
      <c r="B2946" t="s">
        <v>1929</v>
      </c>
      <c r="C2946" s="82" t="s">
        <v>1929</v>
      </c>
      <c r="D2946" s="83" t="s">
        <v>629</v>
      </c>
      <c r="E2946" s="262" t="s">
        <v>1970</v>
      </c>
      <c r="F2946" s="124" t="s">
        <v>620</v>
      </c>
      <c r="G2946" s="130">
        <v>1998</v>
      </c>
      <c r="H2946" s="125" t="s">
        <v>735</v>
      </c>
      <c r="I2946" s="340" t="str">
        <f t="shared" si="120"/>
        <v>Pesado de Passageiros M3: I : Gasóleo : E2</v>
      </c>
      <c r="J2946" s="125">
        <v>84</v>
      </c>
      <c r="K2946" s="264">
        <v>2022</v>
      </c>
      <c r="L2946" s="129">
        <v>13701.734199999999</v>
      </c>
      <c r="M2946" s="85" t="s">
        <v>630</v>
      </c>
      <c r="N2946" s="128">
        <v>25322</v>
      </c>
      <c r="O2946" s="128">
        <f t="shared" si="119"/>
        <v>2127048</v>
      </c>
      <c r="P2946" s="125" t="s">
        <v>2008</v>
      </c>
      <c r="Q2946" s="85" t="s">
        <v>47</v>
      </c>
      <c r="R2946" s="220" t="s">
        <v>1888</v>
      </c>
      <c r="S2946" s="220" t="s">
        <v>1861</v>
      </c>
      <c r="T2946" s="85" t="s">
        <v>4066</v>
      </c>
    </row>
    <row r="2947" spans="1:20" ht="15.75" thickBot="1" x14ac:dyDescent="0.3">
      <c r="A2947" t="s">
        <v>1929</v>
      </c>
      <c r="B2947" t="s">
        <v>1929</v>
      </c>
      <c r="C2947" s="82" t="s">
        <v>1929</v>
      </c>
      <c r="D2947" s="83" t="s">
        <v>629</v>
      </c>
      <c r="E2947" s="262" t="s">
        <v>1970</v>
      </c>
      <c r="F2947" s="124" t="s">
        <v>620</v>
      </c>
      <c r="G2947" s="130"/>
      <c r="H2947" s="125" t="s">
        <v>731</v>
      </c>
      <c r="I2947" s="340" t="str">
        <f t="shared" si="120"/>
        <v>Pesado de Passageiros M3: I : Gasóleo : E4</v>
      </c>
      <c r="J2947" s="125"/>
      <c r="K2947" s="264">
        <v>2022</v>
      </c>
      <c r="L2947" s="85">
        <v>4806.57</v>
      </c>
      <c r="M2947" s="85" t="s">
        <v>630</v>
      </c>
      <c r="N2947" s="128">
        <v>9069</v>
      </c>
      <c r="O2947" s="128">
        <f t="shared" si="119"/>
        <v>0</v>
      </c>
      <c r="P2947" s="125" t="s">
        <v>3340</v>
      </c>
      <c r="Q2947" s="85" t="s">
        <v>47</v>
      </c>
      <c r="R2947" s="220" t="s">
        <v>1888</v>
      </c>
      <c r="S2947" s="220" t="s">
        <v>1861</v>
      </c>
      <c r="T2947" s="85" t="s">
        <v>3458</v>
      </c>
    </row>
    <row r="2948" spans="1:20" ht="15.75" thickBot="1" x14ac:dyDescent="0.3">
      <c r="A2948" t="s">
        <v>1929</v>
      </c>
      <c r="B2948" t="s">
        <v>1929</v>
      </c>
      <c r="C2948" s="82" t="s">
        <v>1929</v>
      </c>
      <c r="D2948" s="83" t="s">
        <v>629</v>
      </c>
      <c r="E2948" s="262" t="s">
        <v>1970</v>
      </c>
      <c r="F2948" s="124" t="s">
        <v>620</v>
      </c>
      <c r="G2948" s="130"/>
      <c r="H2948" s="125" t="s">
        <v>731</v>
      </c>
      <c r="I2948" s="340" t="str">
        <f t="shared" si="120"/>
        <v>Pesado de Passageiros M3: I : Gasóleo : E4</v>
      </c>
      <c r="J2948" s="125"/>
      <c r="K2948" s="264">
        <v>2022</v>
      </c>
      <c r="L2948" s="85">
        <v>4704.24</v>
      </c>
      <c r="M2948" s="85" t="s">
        <v>630</v>
      </c>
      <c r="N2948" s="128">
        <v>9224</v>
      </c>
      <c r="O2948" s="128">
        <f t="shared" si="119"/>
        <v>0</v>
      </c>
      <c r="P2948" s="125" t="s">
        <v>3342</v>
      </c>
      <c r="Q2948" s="85" t="s">
        <v>47</v>
      </c>
      <c r="R2948" s="220" t="s">
        <v>1888</v>
      </c>
      <c r="S2948" s="220" t="s">
        <v>1861</v>
      </c>
      <c r="T2948" s="85" t="s">
        <v>3459</v>
      </c>
    </row>
    <row r="2949" spans="1:20" ht="15.75" thickBot="1" x14ac:dyDescent="0.3">
      <c r="A2949" t="s">
        <v>1929</v>
      </c>
      <c r="B2949" t="s">
        <v>1929</v>
      </c>
      <c r="C2949" s="82" t="s">
        <v>1929</v>
      </c>
      <c r="D2949" s="83" t="s">
        <v>629</v>
      </c>
      <c r="E2949" s="262" t="s">
        <v>1970</v>
      </c>
      <c r="F2949" s="124" t="s">
        <v>620</v>
      </c>
      <c r="G2949" s="130">
        <v>1998</v>
      </c>
      <c r="H2949" s="125" t="s">
        <v>735</v>
      </c>
      <c r="I2949" s="340" t="str">
        <f t="shared" si="120"/>
        <v>Pesado de Passageiros M3: I : Gasóleo : E2</v>
      </c>
      <c r="J2949" s="125">
        <v>84</v>
      </c>
      <c r="K2949" s="264">
        <v>2022</v>
      </c>
      <c r="L2949" s="129">
        <v>15217.682999999997</v>
      </c>
      <c r="M2949" s="85" t="s">
        <v>630</v>
      </c>
      <c r="N2949" s="128">
        <v>33046</v>
      </c>
      <c r="O2949" s="128">
        <f t="shared" si="119"/>
        <v>2775864</v>
      </c>
      <c r="P2949" s="125" t="s">
        <v>2004</v>
      </c>
      <c r="Q2949" s="85" t="s">
        <v>47</v>
      </c>
      <c r="R2949" s="220" t="s">
        <v>1888</v>
      </c>
      <c r="S2949" s="220" t="s">
        <v>1861</v>
      </c>
      <c r="T2949" s="85" t="s">
        <v>4067</v>
      </c>
    </row>
    <row r="2950" spans="1:20" ht="15.75" thickBot="1" x14ac:dyDescent="0.3">
      <c r="A2950" t="s">
        <v>1929</v>
      </c>
      <c r="B2950" t="s">
        <v>1929</v>
      </c>
      <c r="C2950" s="82" t="s">
        <v>1929</v>
      </c>
      <c r="D2950" s="83" t="s">
        <v>629</v>
      </c>
      <c r="E2950" s="262" t="s">
        <v>1970</v>
      </c>
      <c r="F2950" s="124" t="s">
        <v>620</v>
      </c>
      <c r="G2950" s="130"/>
      <c r="H2950" s="125" t="s">
        <v>731</v>
      </c>
      <c r="I2950" s="340" t="str">
        <f t="shared" si="120"/>
        <v>Pesado de Passageiros M3: I : Gasóleo : E4</v>
      </c>
      <c r="J2950" s="125"/>
      <c r="K2950" s="264">
        <v>2022</v>
      </c>
      <c r="L2950" s="85">
        <v>16653.03</v>
      </c>
      <c r="M2950" s="85" t="s">
        <v>630</v>
      </c>
      <c r="N2950" s="128">
        <v>32653</v>
      </c>
      <c r="O2950" s="128">
        <f t="shared" si="119"/>
        <v>0</v>
      </c>
      <c r="P2950" s="125" t="s">
        <v>3343</v>
      </c>
      <c r="Q2950" s="85" t="s">
        <v>47</v>
      </c>
      <c r="R2950" s="220" t="s">
        <v>1888</v>
      </c>
      <c r="S2950" s="220" t="s">
        <v>1861</v>
      </c>
      <c r="T2950" s="85" t="s">
        <v>4068</v>
      </c>
    </row>
    <row r="2951" spans="1:20" ht="15.75" thickBot="1" x14ac:dyDescent="0.3">
      <c r="A2951" t="s">
        <v>1929</v>
      </c>
      <c r="B2951" t="s">
        <v>1929</v>
      </c>
      <c r="C2951" s="82" t="s">
        <v>1929</v>
      </c>
      <c r="D2951" s="83" t="s">
        <v>629</v>
      </c>
      <c r="E2951" s="262" t="s">
        <v>1970</v>
      </c>
      <c r="F2951" s="124" t="s">
        <v>620</v>
      </c>
      <c r="G2951" s="130">
        <v>2006</v>
      </c>
      <c r="H2951" s="125" t="s">
        <v>732</v>
      </c>
      <c r="I2951" s="340" t="str">
        <f t="shared" si="120"/>
        <v>Pesado de Passageiros M3: I : Gasóleo : E3</v>
      </c>
      <c r="J2951" s="125">
        <v>53</v>
      </c>
      <c r="K2951" s="264">
        <v>2022</v>
      </c>
      <c r="L2951" s="129">
        <v>9798.3927999999996</v>
      </c>
      <c r="M2951" s="85" t="s">
        <v>630</v>
      </c>
      <c r="N2951" s="128">
        <v>23252</v>
      </c>
      <c r="O2951" s="128">
        <f t="shared" si="119"/>
        <v>1232356</v>
      </c>
      <c r="P2951" s="125" t="s">
        <v>2219</v>
      </c>
      <c r="Q2951" s="85" t="s">
        <v>47</v>
      </c>
      <c r="R2951" s="220" t="s">
        <v>1888</v>
      </c>
      <c r="S2951" s="220" t="s">
        <v>1861</v>
      </c>
      <c r="T2951" s="85" t="s">
        <v>4069</v>
      </c>
    </row>
    <row r="2952" spans="1:20" ht="15.75" thickBot="1" x14ac:dyDescent="0.3">
      <c r="A2952" t="s">
        <v>1929</v>
      </c>
      <c r="B2952" t="s">
        <v>1929</v>
      </c>
      <c r="C2952" s="82" t="s">
        <v>1929</v>
      </c>
      <c r="D2952" s="83" t="s">
        <v>629</v>
      </c>
      <c r="E2952" s="262" t="s">
        <v>1970</v>
      </c>
      <c r="F2952" s="124" t="s">
        <v>620</v>
      </c>
      <c r="G2952" s="130"/>
      <c r="H2952" s="125" t="s">
        <v>732</v>
      </c>
      <c r="I2952" s="340" t="str">
        <f t="shared" si="120"/>
        <v>Pesado de Passageiros M3: I : Gasóleo : E3</v>
      </c>
      <c r="J2952" s="125"/>
      <c r="K2952" s="264">
        <v>2022</v>
      </c>
      <c r="L2952" s="253">
        <v>8289.9500000000007</v>
      </c>
      <c r="M2952" s="85" t="s">
        <v>630</v>
      </c>
      <c r="N2952" s="128">
        <v>18243</v>
      </c>
      <c r="O2952" s="128">
        <f t="shared" si="119"/>
        <v>0</v>
      </c>
      <c r="P2952" s="125" t="s">
        <v>3358</v>
      </c>
      <c r="Q2952" s="85" t="s">
        <v>47</v>
      </c>
      <c r="R2952" s="220" t="s">
        <v>1888</v>
      </c>
      <c r="S2952" s="220" t="s">
        <v>1861</v>
      </c>
      <c r="T2952" s="85" t="s">
        <v>4070</v>
      </c>
    </row>
    <row r="2953" spans="1:20" ht="15.75" thickBot="1" x14ac:dyDescent="0.3">
      <c r="A2953" t="s">
        <v>1929</v>
      </c>
      <c r="B2953" t="s">
        <v>1929</v>
      </c>
      <c r="C2953" s="82" t="s">
        <v>1929</v>
      </c>
      <c r="D2953" s="83" t="s">
        <v>629</v>
      </c>
      <c r="E2953" s="262" t="s">
        <v>1970</v>
      </c>
      <c r="F2953" s="124" t="s">
        <v>620</v>
      </c>
      <c r="G2953" s="130"/>
      <c r="H2953" s="125" t="s">
        <v>731</v>
      </c>
      <c r="I2953" s="340" t="str">
        <f t="shared" si="120"/>
        <v>Pesado de Passageiros M3: I : Gasóleo : E4</v>
      </c>
      <c r="J2953" s="125"/>
      <c r="K2953" s="264">
        <v>2022</v>
      </c>
      <c r="L2953" s="85">
        <v>2312.16</v>
      </c>
      <c r="M2953" s="85" t="s">
        <v>630</v>
      </c>
      <c r="N2953" s="128">
        <v>4817</v>
      </c>
      <c r="O2953" s="128">
        <f t="shared" si="119"/>
        <v>0</v>
      </c>
      <c r="P2953" s="125" t="s">
        <v>3398</v>
      </c>
      <c r="Q2953" s="85" t="s">
        <v>47</v>
      </c>
      <c r="R2953" s="220" t="s">
        <v>1888</v>
      </c>
      <c r="S2953" s="220" t="s">
        <v>1861</v>
      </c>
      <c r="T2953" s="85" t="s">
        <v>3494</v>
      </c>
    </row>
    <row r="2954" spans="1:20" ht="15.75" thickBot="1" x14ac:dyDescent="0.3">
      <c r="A2954" t="s">
        <v>1929</v>
      </c>
      <c r="B2954" t="s">
        <v>1929</v>
      </c>
      <c r="C2954" s="82" t="s">
        <v>1929</v>
      </c>
      <c r="D2954" s="83" t="s">
        <v>629</v>
      </c>
      <c r="E2954" s="262" t="s">
        <v>1970</v>
      </c>
      <c r="F2954" s="124" t="s">
        <v>620</v>
      </c>
      <c r="G2954" s="130">
        <v>2000</v>
      </c>
      <c r="H2954" s="125" t="s">
        <v>732</v>
      </c>
      <c r="I2954" s="340" t="str">
        <f t="shared" si="120"/>
        <v>Pesado de Passageiros M3: I : Gasóleo : E3</v>
      </c>
      <c r="J2954" s="125">
        <v>81</v>
      </c>
      <c r="K2954" s="264">
        <v>2022</v>
      </c>
      <c r="L2954" s="129">
        <v>21990.001</v>
      </c>
      <c r="M2954" s="85" t="s">
        <v>630</v>
      </c>
      <c r="N2954" s="128">
        <v>41569</v>
      </c>
      <c r="O2954" s="128">
        <f t="shared" si="119"/>
        <v>3367089</v>
      </c>
      <c r="P2954" s="125" t="s">
        <v>2150</v>
      </c>
      <c r="Q2954" s="85" t="s">
        <v>47</v>
      </c>
      <c r="R2954" s="220" t="s">
        <v>1888</v>
      </c>
      <c r="S2954" s="220" t="s">
        <v>1861</v>
      </c>
      <c r="T2954" s="85" t="s">
        <v>4071</v>
      </c>
    </row>
    <row r="2955" spans="1:20" ht="15.75" thickBot="1" x14ac:dyDescent="0.3">
      <c r="A2955" t="s">
        <v>1929</v>
      </c>
      <c r="B2955" t="s">
        <v>1929</v>
      </c>
      <c r="C2955" s="82" t="s">
        <v>1929</v>
      </c>
      <c r="D2955" s="83" t="s">
        <v>629</v>
      </c>
      <c r="E2955" s="262" t="s">
        <v>1970</v>
      </c>
      <c r="F2955" s="124" t="s">
        <v>620</v>
      </c>
      <c r="G2955" s="130">
        <v>2010</v>
      </c>
      <c r="H2955" s="125" t="s">
        <v>734</v>
      </c>
      <c r="I2955" s="340" t="str">
        <f t="shared" si="120"/>
        <v>Pesado de Passageiros M3: I : Gasóleo : E5</v>
      </c>
      <c r="J2955" s="125">
        <v>90</v>
      </c>
      <c r="K2955" s="264">
        <v>2022</v>
      </c>
      <c r="L2955" s="129">
        <v>29551.502099999998</v>
      </c>
      <c r="M2955" s="85" t="s">
        <v>630</v>
      </c>
      <c r="N2955" s="128">
        <v>71157</v>
      </c>
      <c r="O2955" s="128">
        <f t="shared" si="119"/>
        <v>6404130</v>
      </c>
      <c r="P2955" s="125" t="s">
        <v>2133</v>
      </c>
      <c r="Q2955" s="85" t="s">
        <v>47</v>
      </c>
      <c r="R2955" s="220" t="s">
        <v>1888</v>
      </c>
      <c r="S2955" s="220" t="s">
        <v>1861</v>
      </c>
      <c r="T2955" s="85" t="s">
        <v>4072</v>
      </c>
    </row>
    <row r="2956" spans="1:20" ht="15.75" thickBot="1" x14ac:dyDescent="0.3">
      <c r="A2956" t="s">
        <v>1929</v>
      </c>
      <c r="B2956" t="s">
        <v>1929</v>
      </c>
      <c r="C2956" s="82" t="s">
        <v>1929</v>
      </c>
      <c r="D2956" s="83" t="s">
        <v>629</v>
      </c>
      <c r="E2956" s="262" t="s">
        <v>1970</v>
      </c>
      <c r="F2956" s="124" t="s">
        <v>620</v>
      </c>
      <c r="G2956" s="130">
        <v>1996</v>
      </c>
      <c r="H2956" s="125" t="s">
        <v>736</v>
      </c>
      <c r="I2956" s="340" t="str">
        <f t="shared" si="120"/>
        <v>Pesado de Passageiros M3: I : Gasóleo : E1</v>
      </c>
      <c r="J2956" s="125">
        <v>74</v>
      </c>
      <c r="K2956" s="264">
        <v>2022</v>
      </c>
      <c r="L2956" s="129">
        <v>23711.1</v>
      </c>
      <c r="M2956" s="85" t="s">
        <v>630</v>
      </c>
      <c r="N2956" s="128">
        <v>48390</v>
      </c>
      <c r="O2956" s="128">
        <f t="shared" si="119"/>
        <v>3580860</v>
      </c>
      <c r="P2956" s="125" t="s">
        <v>2212</v>
      </c>
      <c r="Q2956" s="85" t="s">
        <v>47</v>
      </c>
      <c r="R2956" s="220" t="s">
        <v>1888</v>
      </c>
      <c r="S2956" s="220" t="s">
        <v>1861</v>
      </c>
      <c r="T2956" s="85" t="s">
        <v>4073</v>
      </c>
    </row>
    <row r="2957" spans="1:20" ht="15.75" thickBot="1" x14ac:dyDescent="0.3">
      <c r="A2957" t="s">
        <v>1929</v>
      </c>
      <c r="B2957" t="s">
        <v>1929</v>
      </c>
      <c r="C2957" s="82" t="s">
        <v>1929</v>
      </c>
      <c r="D2957" s="83" t="s">
        <v>629</v>
      </c>
      <c r="E2957" s="262" t="s">
        <v>1970</v>
      </c>
      <c r="F2957" s="124" t="s">
        <v>620</v>
      </c>
      <c r="G2957" s="130"/>
      <c r="H2957" s="125" t="s">
        <v>731</v>
      </c>
      <c r="I2957" s="340" t="str">
        <f t="shared" si="120"/>
        <v>Pesado de Passageiros M3: I : Gasóleo : E4</v>
      </c>
      <c r="J2957" s="125"/>
      <c r="K2957" s="264">
        <v>2022</v>
      </c>
      <c r="L2957" s="85">
        <v>8707.23</v>
      </c>
      <c r="M2957" s="85" t="s">
        <v>630</v>
      </c>
      <c r="N2957" s="128">
        <v>17073</v>
      </c>
      <c r="O2957" s="128">
        <f t="shared" si="119"/>
        <v>0</v>
      </c>
      <c r="P2957" s="125" t="s">
        <v>3393</v>
      </c>
      <c r="Q2957" s="85" t="s">
        <v>47</v>
      </c>
      <c r="R2957" s="220" t="s">
        <v>1888</v>
      </c>
      <c r="S2957" s="220" t="s">
        <v>1861</v>
      </c>
      <c r="T2957" s="85" t="s">
        <v>4074</v>
      </c>
    </row>
    <row r="2958" spans="1:20" ht="15.75" thickBot="1" x14ac:dyDescent="0.3">
      <c r="A2958" t="s">
        <v>1929</v>
      </c>
      <c r="B2958" t="s">
        <v>1929</v>
      </c>
      <c r="C2958" s="82" t="s">
        <v>1929</v>
      </c>
      <c r="D2958" s="83" t="s">
        <v>629</v>
      </c>
      <c r="E2958" s="262" t="s">
        <v>1970</v>
      </c>
      <c r="F2958" s="124" t="s">
        <v>620</v>
      </c>
      <c r="G2958" s="130">
        <v>2013</v>
      </c>
      <c r="H2958" s="125" t="s">
        <v>733</v>
      </c>
      <c r="I2958" s="340" t="str">
        <f t="shared" si="120"/>
        <v>Pesado de Passageiros M3: I : Gasóleo : E6</v>
      </c>
      <c r="J2958" s="125">
        <v>72</v>
      </c>
      <c r="K2958" s="264">
        <v>2022</v>
      </c>
      <c r="L2958" s="129">
        <v>24662.65</v>
      </c>
      <c r="M2958" s="85" t="s">
        <v>630</v>
      </c>
      <c r="N2958" s="128">
        <v>57355</v>
      </c>
      <c r="O2958" s="128">
        <f t="shared" si="119"/>
        <v>4129560</v>
      </c>
      <c r="P2958" s="125" t="s">
        <v>2067</v>
      </c>
      <c r="Q2958" s="85" t="s">
        <v>47</v>
      </c>
      <c r="R2958" s="220" t="s">
        <v>1888</v>
      </c>
      <c r="S2958" s="220" t="s">
        <v>1861</v>
      </c>
      <c r="T2958" s="85" t="s">
        <v>4075</v>
      </c>
    </row>
    <row r="2959" spans="1:20" ht="15.75" thickBot="1" x14ac:dyDescent="0.3">
      <c r="A2959" t="s">
        <v>1929</v>
      </c>
      <c r="B2959" t="s">
        <v>1929</v>
      </c>
      <c r="C2959" s="82" t="s">
        <v>1929</v>
      </c>
      <c r="D2959" s="83" t="s">
        <v>629</v>
      </c>
      <c r="E2959" s="262" t="s">
        <v>1970</v>
      </c>
      <c r="F2959" s="124" t="s">
        <v>620</v>
      </c>
      <c r="G2959" s="130">
        <v>2014</v>
      </c>
      <c r="H2959" s="125" t="s">
        <v>733</v>
      </c>
      <c r="I2959" s="340" t="str">
        <f t="shared" si="120"/>
        <v>Pesado de Passageiros M3: I : Gasóleo : E6</v>
      </c>
      <c r="J2959" s="125">
        <v>72</v>
      </c>
      <c r="K2959" s="264">
        <v>2022</v>
      </c>
      <c r="L2959" s="129">
        <v>29812.519</v>
      </c>
      <c r="M2959" s="85" t="s">
        <v>630</v>
      </c>
      <c r="N2959" s="128">
        <v>71510</v>
      </c>
      <c r="O2959" s="128">
        <f t="shared" si="119"/>
        <v>5148720</v>
      </c>
      <c r="P2959" s="125" t="s">
        <v>2066</v>
      </c>
      <c r="Q2959" s="85" t="s">
        <v>47</v>
      </c>
      <c r="R2959" s="220" t="s">
        <v>1888</v>
      </c>
      <c r="S2959" s="220" t="s">
        <v>1861</v>
      </c>
      <c r="T2959" s="85" t="s">
        <v>4076</v>
      </c>
    </row>
    <row r="2960" spans="1:20" ht="15.75" thickBot="1" x14ac:dyDescent="0.3">
      <c r="A2960" t="s">
        <v>1929</v>
      </c>
      <c r="B2960" t="s">
        <v>1929</v>
      </c>
      <c r="C2960" s="82" t="s">
        <v>1929</v>
      </c>
      <c r="D2960" s="83" t="s">
        <v>629</v>
      </c>
      <c r="E2960" s="262" t="s">
        <v>1970</v>
      </c>
      <c r="F2960" s="124" t="s">
        <v>620</v>
      </c>
      <c r="G2960" s="130">
        <v>2013</v>
      </c>
      <c r="H2960" s="125" t="s">
        <v>733</v>
      </c>
      <c r="I2960" s="340" t="str">
        <f t="shared" si="120"/>
        <v>Pesado de Passageiros M3: I : Gasóleo : E6</v>
      </c>
      <c r="J2960" s="125">
        <v>72</v>
      </c>
      <c r="K2960" s="264">
        <v>2022</v>
      </c>
      <c r="L2960" s="129">
        <v>18434.775799999999</v>
      </c>
      <c r="M2960" s="85" t="s">
        <v>630</v>
      </c>
      <c r="N2960" s="128">
        <v>42301</v>
      </c>
      <c r="O2960" s="128">
        <f t="shared" si="119"/>
        <v>3045672</v>
      </c>
      <c r="P2960" s="125" t="s">
        <v>2065</v>
      </c>
      <c r="Q2960" s="85" t="s">
        <v>47</v>
      </c>
      <c r="R2960" s="220" t="s">
        <v>1888</v>
      </c>
      <c r="S2960" s="220" t="s">
        <v>1861</v>
      </c>
      <c r="T2960" s="85" t="s">
        <v>4077</v>
      </c>
    </row>
    <row r="2961" spans="1:20" ht="15.75" thickBot="1" x14ac:dyDescent="0.3">
      <c r="A2961" t="s">
        <v>1929</v>
      </c>
      <c r="B2961" t="s">
        <v>1929</v>
      </c>
      <c r="C2961" s="82" t="s">
        <v>1929</v>
      </c>
      <c r="D2961" s="83" t="s">
        <v>629</v>
      </c>
      <c r="E2961" s="262" t="s">
        <v>1970</v>
      </c>
      <c r="F2961" s="124" t="s">
        <v>620</v>
      </c>
      <c r="G2961" s="130">
        <v>2005</v>
      </c>
      <c r="H2961" s="125" t="s">
        <v>732</v>
      </c>
      <c r="I2961" s="340" t="str">
        <f t="shared" si="120"/>
        <v>Pesado de Passageiros M3: I : Gasóleo : E3</v>
      </c>
      <c r="J2961" s="125">
        <v>95</v>
      </c>
      <c r="K2961" s="264">
        <v>2022</v>
      </c>
      <c r="L2961" s="129">
        <v>25699.408500000001</v>
      </c>
      <c r="M2961" s="85" t="s">
        <v>630</v>
      </c>
      <c r="N2961" s="128">
        <v>55735</v>
      </c>
      <c r="O2961" s="128">
        <f t="shared" si="119"/>
        <v>5294825</v>
      </c>
      <c r="P2961" s="125" t="s">
        <v>2125</v>
      </c>
      <c r="Q2961" s="85" t="s">
        <v>47</v>
      </c>
      <c r="R2961" s="220" t="s">
        <v>1888</v>
      </c>
      <c r="S2961" s="220" t="s">
        <v>1861</v>
      </c>
      <c r="T2961" s="85" t="s">
        <v>4078</v>
      </c>
    </row>
    <row r="2962" spans="1:20" ht="15.75" thickBot="1" x14ac:dyDescent="0.3">
      <c r="A2962" t="s">
        <v>1929</v>
      </c>
      <c r="B2962" t="s">
        <v>1929</v>
      </c>
      <c r="C2962" s="82" t="s">
        <v>1929</v>
      </c>
      <c r="D2962" s="83" t="s">
        <v>629</v>
      </c>
      <c r="E2962" s="262" t="s">
        <v>1970</v>
      </c>
      <c r="F2962" s="124" t="s">
        <v>620</v>
      </c>
      <c r="G2962" s="130"/>
      <c r="H2962" s="125" t="s">
        <v>731</v>
      </c>
      <c r="I2962" s="340" t="str">
        <f t="shared" si="120"/>
        <v>Pesado de Passageiros M3: I : Gasóleo : E4</v>
      </c>
      <c r="J2962" s="125"/>
      <c r="K2962" s="264">
        <v>2022</v>
      </c>
      <c r="L2962" s="85">
        <v>23375</v>
      </c>
      <c r="M2962" s="85" t="s">
        <v>630</v>
      </c>
      <c r="N2962" s="128">
        <v>42500</v>
      </c>
      <c r="O2962" s="128">
        <f t="shared" si="119"/>
        <v>0</v>
      </c>
      <c r="P2962" s="125" t="s">
        <v>3378</v>
      </c>
      <c r="Q2962" s="85" t="s">
        <v>47</v>
      </c>
      <c r="R2962" s="220" t="s">
        <v>1888</v>
      </c>
      <c r="S2962" s="220" t="s">
        <v>1861</v>
      </c>
      <c r="T2962" s="85" t="s">
        <v>3488</v>
      </c>
    </row>
    <row r="2963" spans="1:20" ht="15.75" thickBot="1" x14ac:dyDescent="0.3">
      <c r="A2963" t="s">
        <v>1929</v>
      </c>
      <c r="B2963" t="s">
        <v>1929</v>
      </c>
      <c r="C2963" s="82" t="s">
        <v>1929</v>
      </c>
      <c r="D2963" s="83" t="s">
        <v>629</v>
      </c>
      <c r="E2963" s="262" t="s">
        <v>1970</v>
      </c>
      <c r="F2963" s="124" t="s">
        <v>620</v>
      </c>
      <c r="G2963" s="130">
        <v>2004</v>
      </c>
      <c r="H2963" s="125" t="s">
        <v>732</v>
      </c>
      <c r="I2963" s="340" t="str">
        <f t="shared" si="120"/>
        <v>Pesado de Passageiros M3: I : Gasóleo : E3</v>
      </c>
      <c r="J2963" s="125">
        <v>68</v>
      </c>
      <c r="K2963" s="264">
        <v>2022</v>
      </c>
      <c r="L2963" s="129">
        <v>23655.720600000001</v>
      </c>
      <c r="M2963" s="85" t="s">
        <v>630</v>
      </c>
      <c r="N2963" s="128">
        <v>44474</v>
      </c>
      <c r="O2963" s="128">
        <f t="shared" si="119"/>
        <v>3024232</v>
      </c>
      <c r="P2963" s="125" t="s">
        <v>2184</v>
      </c>
      <c r="Q2963" s="85" t="s">
        <v>47</v>
      </c>
      <c r="R2963" s="220" t="s">
        <v>1888</v>
      </c>
      <c r="S2963" s="220" t="s">
        <v>1861</v>
      </c>
      <c r="T2963" s="85" t="s">
        <v>4079</v>
      </c>
    </row>
    <row r="2964" spans="1:20" ht="15.75" thickBot="1" x14ac:dyDescent="0.3">
      <c r="A2964" t="s">
        <v>1929</v>
      </c>
      <c r="B2964" t="s">
        <v>1929</v>
      </c>
      <c r="C2964" s="82" t="s">
        <v>1929</v>
      </c>
      <c r="D2964" s="83" t="s">
        <v>629</v>
      </c>
      <c r="E2964" s="262" t="s">
        <v>1970</v>
      </c>
      <c r="F2964" s="124" t="s">
        <v>620</v>
      </c>
      <c r="G2964" s="130"/>
      <c r="H2964" s="125" t="s">
        <v>732</v>
      </c>
      <c r="I2964" s="340" t="str">
        <f t="shared" si="120"/>
        <v>Pesado de Passageiros M3: I : Gasóleo : E3</v>
      </c>
      <c r="J2964" s="125"/>
      <c r="K2964" s="264">
        <v>2022</v>
      </c>
      <c r="L2964" s="85">
        <v>2255.73</v>
      </c>
      <c r="M2964" s="85" t="s">
        <v>630</v>
      </c>
      <c r="N2964" s="128">
        <v>4423</v>
      </c>
      <c r="O2964" s="128">
        <f t="shared" si="119"/>
        <v>0</v>
      </c>
      <c r="P2964" s="125" t="s">
        <v>3410</v>
      </c>
      <c r="Q2964" s="85" t="s">
        <v>47</v>
      </c>
      <c r="R2964" s="220" t="s">
        <v>1888</v>
      </c>
      <c r="S2964" s="220" t="s">
        <v>1861</v>
      </c>
      <c r="T2964" s="85" t="s">
        <v>4080</v>
      </c>
    </row>
    <row r="2965" spans="1:20" ht="15.75" thickBot="1" x14ac:dyDescent="0.3">
      <c r="A2965" t="s">
        <v>1929</v>
      </c>
      <c r="B2965" t="s">
        <v>1929</v>
      </c>
      <c r="C2965" s="82" t="s">
        <v>1929</v>
      </c>
      <c r="D2965" s="83" t="s">
        <v>629</v>
      </c>
      <c r="E2965" s="262" t="s">
        <v>1970</v>
      </c>
      <c r="F2965" s="124" t="s">
        <v>620</v>
      </c>
      <c r="G2965" s="130">
        <v>2005</v>
      </c>
      <c r="H2965" s="125" t="s">
        <v>732</v>
      </c>
      <c r="I2965" s="340" t="str">
        <f t="shared" si="120"/>
        <v>Pesado de Passageiros M3: I : Gasóleo : E3</v>
      </c>
      <c r="J2965" s="125">
        <v>93</v>
      </c>
      <c r="K2965" s="264">
        <v>2022</v>
      </c>
      <c r="L2965" s="129">
        <v>15790.3274</v>
      </c>
      <c r="M2965" s="85" t="s">
        <v>630</v>
      </c>
      <c r="N2965" s="128">
        <v>34193</v>
      </c>
      <c r="O2965" s="128">
        <f t="shared" si="119"/>
        <v>3179949</v>
      </c>
      <c r="P2965" s="125" t="s">
        <v>2131</v>
      </c>
      <c r="Q2965" s="85" t="s">
        <v>47</v>
      </c>
      <c r="R2965" s="220" t="s">
        <v>1888</v>
      </c>
      <c r="S2965" s="220" t="s">
        <v>1861</v>
      </c>
      <c r="T2965" s="85" t="s">
        <v>4081</v>
      </c>
    </row>
    <row r="2966" spans="1:20" ht="15.75" thickBot="1" x14ac:dyDescent="0.3">
      <c r="A2966" t="s">
        <v>1929</v>
      </c>
      <c r="B2966" t="s">
        <v>1929</v>
      </c>
      <c r="C2966" s="82" t="s">
        <v>1929</v>
      </c>
      <c r="D2966" s="83" t="s">
        <v>629</v>
      </c>
      <c r="E2966" s="262" t="s">
        <v>1970</v>
      </c>
      <c r="F2966" s="124" t="s">
        <v>620</v>
      </c>
      <c r="G2966" s="130"/>
      <c r="H2966" s="125" t="s">
        <v>731</v>
      </c>
      <c r="I2966" s="340" t="str">
        <f t="shared" si="120"/>
        <v>Pesado de Passageiros M3: I : Gasóleo : E4</v>
      </c>
      <c r="J2966" s="125"/>
      <c r="K2966" s="264">
        <v>2022</v>
      </c>
      <c r="L2966" s="85">
        <v>11769.45</v>
      </c>
      <c r="M2966" s="85" t="s">
        <v>630</v>
      </c>
      <c r="N2966" s="128">
        <v>21399</v>
      </c>
      <c r="O2966" s="128">
        <f t="shared" si="119"/>
        <v>0</v>
      </c>
      <c r="P2966" s="125" t="s">
        <v>3379</v>
      </c>
      <c r="Q2966" s="85" t="s">
        <v>47</v>
      </c>
      <c r="R2966" s="220" t="s">
        <v>1888</v>
      </c>
      <c r="S2966" s="220" t="s">
        <v>1861</v>
      </c>
      <c r="T2966" s="85" t="s">
        <v>4082</v>
      </c>
    </row>
    <row r="2967" spans="1:20" ht="15.75" thickBot="1" x14ac:dyDescent="0.3">
      <c r="A2967" t="s">
        <v>1929</v>
      </c>
      <c r="B2967" t="s">
        <v>1929</v>
      </c>
      <c r="C2967" s="82" t="s">
        <v>1929</v>
      </c>
      <c r="D2967" s="83" t="s">
        <v>629</v>
      </c>
      <c r="E2967" s="262" t="s">
        <v>1970</v>
      </c>
      <c r="F2967" s="124" t="s">
        <v>620</v>
      </c>
      <c r="G2967" s="130">
        <v>2007</v>
      </c>
      <c r="H2967" s="125" t="s">
        <v>731</v>
      </c>
      <c r="I2967" s="340" t="str">
        <f t="shared" si="120"/>
        <v>Pesado de Passageiros M3: I : Gasóleo : E4</v>
      </c>
      <c r="J2967" s="125">
        <v>120</v>
      </c>
      <c r="K2967" s="264">
        <v>2022</v>
      </c>
      <c r="L2967" s="129">
        <v>35676.959999999999</v>
      </c>
      <c r="M2967" s="85" t="s">
        <v>630</v>
      </c>
      <c r="N2967" s="128">
        <v>54056</v>
      </c>
      <c r="O2967" s="128">
        <f t="shared" si="119"/>
        <v>6486720</v>
      </c>
      <c r="P2967" s="125" t="s">
        <v>2085</v>
      </c>
      <c r="Q2967" s="85" t="s">
        <v>47</v>
      </c>
      <c r="R2967" s="220" t="s">
        <v>1888</v>
      </c>
      <c r="S2967" s="220" t="s">
        <v>1861</v>
      </c>
      <c r="T2967" s="85" t="s">
        <v>4083</v>
      </c>
    </row>
    <row r="2968" spans="1:20" ht="15.75" thickBot="1" x14ac:dyDescent="0.3">
      <c r="A2968" t="s">
        <v>1929</v>
      </c>
      <c r="B2968" t="s">
        <v>1929</v>
      </c>
      <c r="C2968" s="82" t="s">
        <v>1929</v>
      </c>
      <c r="D2968" s="83" t="s">
        <v>629</v>
      </c>
      <c r="E2968" s="262" t="s">
        <v>1970</v>
      </c>
      <c r="F2968" s="124" t="s">
        <v>620</v>
      </c>
      <c r="G2968" s="130">
        <v>2003</v>
      </c>
      <c r="H2968" s="125" t="s">
        <v>732</v>
      </c>
      <c r="I2968" s="340" t="str">
        <f t="shared" si="120"/>
        <v>Pesado de Passageiros M3: I : Gasóleo : E3</v>
      </c>
      <c r="J2968" s="125">
        <v>77</v>
      </c>
      <c r="K2968" s="264">
        <v>2022</v>
      </c>
      <c r="L2968" s="129">
        <v>27436.582000000002</v>
      </c>
      <c r="M2968" s="85" t="s">
        <v>630</v>
      </c>
      <c r="N2968" s="128">
        <v>50621</v>
      </c>
      <c r="O2968" s="128">
        <f t="shared" si="119"/>
        <v>3897817</v>
      </c>
      <c r="P2968" s="125" t="s">
        <v>2096</v>
      </c>
      <c r="Q2968" s="85" t="s">
        <v>47</v>
      </c>
      <c r="R2968" s="220" t="s">
        <v>1888</v>
      </c>
      <c r="S2968" s="220" t="s">
        <v>1861</v>
      </c>
      <c r="T2968" s="85" t="s">
        <v>4084</v>
      </c>
    </row>
    <row r="2969" spans="1:20" ht="15.75" thickBot="1" x14ac:dyDescent="0.3">
      <c r="A2969" t="s">
        <v>1929</v>
      </c>
      <c r="B2969" t="s">
        <v>1929</v>
      </c>
      <c r="C2969" s="82" t="s">
        <v>1929</v>
      </c>
      <c r="D2969" s="83" t="s">
        <v>629</v>
      </c>
      <c r="E2969" s="262" t="s">
        <v>1970</v>
      </c>
      <c r="F2969" s="124" t="s">
        <v>620</v>
      </c>
      <c r="G2969" s="130">
        <v>2007</v>
      </c>
      <c r="H2969" s="125" t="s">
        <v>731</v>
      </c>
      <c r="I2969" s="340" t="str">
        <f t="shared" si="120"/>
        <v>Pesado de Passageiros M3: I : Gasóleo : E4</v>
      </c>
      <c r="J2969" s="125">
        <v>64</v>
      </c>
      <c r="K2969" s="264">
        <v>2022</v>
      </c>
      <c r="L2969" s="129">
        <v>28894.261200000001</v>
      </c>
      <c r="M2969" s="85" t="s">
        <v>630</v>
      </c>
      <c r="N2969" s="128">
        <v>57092</v>
      </c>
      <c r="O2969" s="128">
        <f t="shared" si="119"/>
        <v>3653888</v>
      </c>
      <c r="P2969" s="125" t="s">
        <v>2038</v>
      </c>
      <c r="Q2969" s="85" t="s">
        <v>47</v>
      </c>
      <c r="R2969" s="220" t="s">
        <v>1888</v>
      </c>
      <c r="S2969" s="220" t="s">
        <v>1861</v>
      </c>
      <c r="T2969" s="85" t="s">
        <v>4085</v>
      </c>
    </row>
    <row r="2970" spans="1:20" ht="15.75" thickBot="1" x14ac:dyDescent="0.3">
      <c r="A2970" t="s">
        <v>1929</v>
      </c>
      <c r="B2970" t="s">
        <v>1929</v>
      </c>
      <c r="C2970" s="82" t="s">
        <v>1929</v>
      </c>
      <c r="D2970" s="83" t="s">
        <v>629</v>
      </c>
      <c r="E2970" s="262" t="s">
        <v>1970</v>
      </c>
      <c r="F2970" s="124" t="s">
        <v>620</v>
      </c>
      <c r="G2970" s="130"/>
      <c r="H2970" s="125" t="s">
        <v>732</v>
      </c>
      <c r="I2970" s="340" t="str">
        <f t="shared" si="120"/>
        <v>Pesado de Passageiros M3: I : Gasóleo : E3</v>
      </c>
      <c r="J2970" s="125"/>
      <c r="K2970" s="264">
        <v>2022</v>
      </c>
      <c r="L2970" s="85">
        <v>9768.66</v>
      </c>
      <c r="M2970" s="85" t="s">
        <v>630</v>
      </c>
      <c r="N2970" s="128">
        <v>17138</v>
      </c>
      <c r="O2970" s="128">
        <f t="shared" si="119"/>
        <v>0</v>
      </c>
      <c r="P2970" s="125" t="s">
        <v>3362</v>
      </c>
      <c r="Q2970" s="85" t="s">
        <v>47</v>
      </c>
      <c r="R2970" s="220" t="s">
        <v>1888</v>
      </c>
      <c r="S2970" s="220" t="s">
        <v>1861</v>
      </c>
      <c r="T2970" s="85" t="s">
        <v>4086</v>
      </c>
    </row>
    <row r="2971" spans="1:20" ht="15.75" thickBot="1" x14ac:dyDescent="0.3">
      <c r="A2971" t="s">
        <v>1929</v>
      </c>
      <c r="B2971" t="s">
        <v>1929</v>
      </c>
      <c r="C2971" s="82" t="s">
        <v>1929</v>
      </c>
      <c r="D2971" s="83" t="s">
        <v>629</v>
      </c>
      <c r="E2971" s="262" t="s">
        <v>1970</v>
      </c>
      <c r="F2971" s="124" t="s">
        <v>620</v>
      </c>
      <c r="G2971" s="130">
        <v>2005</v>
      </c>
      <c r="H2971" s="125" t="s">
        <v>732</v>
      </c>
      <c r="I2971" s="340" t="str">
        <f t="shared" si="120"/>
        <v>Pesado de Passageiros M3: I : Gasóleo : E3</v>
      </c>
      <c r="J2971" s="125">
        <v>81</v>
      </c>
      <c r="K2971" s="264">
        <v>2022</v>
      </c>
      <c r="L2971" s="129">
        <v>13566.473100000001</v>
      </c>
      <c r="M2971" s="85" t="s">
        <v>630</v>
      </c>
      <c r="N2971" s="128">
        <v>22959</v>
      </c>
      <c r="O2971" s="128">
        <f t="shared" si="119"/>
        <v>1859679</v>
      </c>
      <c r="P2971" s="125" t="s">
        <v>2144</v>
      </c>
      <c r="Q2971" s="85" t="s">
        <v>47</v>
      </c>
      <c r="R2971" s="220" t="s">
        <v>1888</v>
      </c>
      <c r="S2971" s="220" t="s">
        <v>1861</v>
      </c>
      <c r="T2971" s="85" t="s">
        <v>4087</v>
      </c>
    </row>
    <row r="2972" spans="1:20" ht="15.75" thickBot="1" x14ac:dyDescent="0.3">
      <c r="A2972" t="s">
        <v>1929</v>
      </c>
      <c r="B2972" t="s">
        <v>1929</v>
      </c>
      <c r="C2972" s="82" t="s">
        <v>1929</v>
      </c>
      <c r="D2972" s="83" t="s">
        <v>629</v>
      </c>
      <c r="E2972" s="262" t="s">
        <v>1970</v>
      </c>
      <c r="F2972" s="124" t="s">
        <v>620</v>
      </c>
      <c r="G2972" s="130">
        <v>2005</v>
      </c>
      <c r="H2972" s="125" t="s">
        <v>732</v>
      </c>
      <c r="I2972" s="340" t="str">
        <f t="shared" si="120"/>
        <v>Pesado de Passageiros M3: I : Gasóleo : E3</v>
      </c>
      <c r="J2972" s="125">
        <v>81</v>
      </c>
      <c r="K2972" s="264">
        <v>2022</v>
      </c>
      <c r="L2972" s="129">
        <v>14072.6332</v>
      </c>
      <c r="M2972" s="85" t="s">
        <v>630</v>
      </c>
      <c r="N2972" s="128">
        <v>24551</v>
      </c>
      <c r="O2972" s="128">
        <f t="shared" si="119"/>
        <v>1988631</v>
      </c>
      <c r="P2972" s="125" t="s">
        <v>2145</v>
      </c>
      <c r="Q2972" s="85" t="s">
        <v>47</v>
      </c>
      <c r="R2972" s="220" t="s">
        <v>1888</v>
      </c>
      <c r="S2972" s="220" t="s">
        <v>1861</v>
      </c>
      <c r="T2972" s="85" t="s">
        <v>4088</v>
      </c>
    </row>
    <row r="2973" spans="1:20" ht="15.75" thickBot="1" x14ac:dyDescent="0.3">
      <c r="A2973" t="s">
        <v>1929</v>
      </c>
      <c r="B2973" t="s">
        <v>1929</v>
      </c>
      <c r="C2973" s="82" t="s">
        <v>1929</v>
      </c>
      <c r="D2973" s="83" t="s">
        <v>629</v>
      </c>
      <c r="E2973" s="262" t="s">
        <v>1970</v>
      </c>
      <c r="F2973" s="124" t="s">
        <v>620</v>
      </c>
      <c r="G2973" s="130">
        <v>2019</v>
      </c>
      <c r="H2973" s="125" t="s">
        <v>733</v>
      </c>
      <c r="I2973" s="340" t="str">
        <f t="shared" si="120"/>
        <v>Pesado de Passageiros M3: I : Gasóleo : E6</v>
      </c>
      <c r="J2973" s="125">
        <v>95</v>
      </c>
      <c r="K2973" s="264">
        <v>2022</v>
      </c>
      <c r="L2973" s="129">
        <v>26255.757199999996</v>
      </c>
      <c r="M2973" s="85" t="s">
        <v>630</v>
      </c>
      <c r="N2973" s="128">
        <v>65738</v>
      </c>
      <c r="O2973" s="128">
        <f t="shared" si="119"/>
        <v>6245110</v>
      </c>
      <c r="P2973" s="125" t="s">
        <v>2080</v>
      </c>
      <c r="Q2973" s="85" t="s">
        <v>47</v>
      </c>
      <c r="R2973" s="220" t="s">
        <v>1888</v>
      </c>
      <c r="S2973" s="220" t="s">
        <v>1861</v>
      </c>
      <c r="T2973" s="85" t="s">
        <v>4089</v>
      </c>
    </row>
    <row r="2974" spans="1:20" ht="15.75" thickBot="1" x14ac:dyDescent="0.3">
      <c r="A2974" t="s">
        <v>1929</v>
      </c>
      <c r="B2974" t="s">
        <v>1929</v>
      </c>
      <c r="C2974" s="82" t="s">
        <v>1929</v>
      </c>
      <c r="D2974" s="83" t="s">
        <v>629</v>
      </c>
      <c r="E2974" s="262" t="s">
        <v>1970</v>
      </c>
      <c r="F2974" s="124" t="s">
        <v>620</v>
      </c>
      <c r="G2974" s="130"/>
      <c r="H2974" s="125" t="s">
        <v>731</v>
      </c>
      <c r="I2974" s="340" t="str">
        <f t="shared" si="120"/>
        <v>Pesado de Passageiros M3: I : Gasóleo : E4</v>
      </c>
      <c r="J2974" s="125"/>
      <c r="K2974" s="264">
        <v>2022</v>
      </c>
      <c r="L2974" s="85">
        <v>12845.8</v>
      </c>
      <c r="M2974" s="85" t="s">
        <v>630</v>
      </c>
      <c r="N2974" s="128">
        <v>23356</v>
      </c>
      <c r="O2974" s="128">
        <f t="shared" si="119"/>
        <v>0</v>
      </c>
      <c r="P2974" s="125" t="s">
        <v>3383</v>
      </c>
      <c r="Q2974" s="85" t="s">
        <v>47</v>
      </c>
      <c r="R2974" s="220" t="s">
        <v>1888</v>
      </c>
      <c r="S2974" s="220" t="s">
        <v>1861</v>
      </c>
      <c r="T2974" s="85" t="s">
        <v>4090</v>
      </c>
    </row>
    <row r="2975" spans="1:20" ht="15.75" thickBot="1" x14ac:dyDescent="0.3">
      <c r="A2975" t="s">
        <v>1929</v>
      </c>
      <c r="B2975" t="s">
        <v>1929</v>
      </c>
      <c r="C2975" s="82" t="s">
        <v>1929</v>
      </c>
      <c r="D2975" s="83" t="s">
        <v>629</v>
      </c>
      <c r="E2975" s="262" t="s">
        <v>1970</v>
      </c>
      <c r="F2975" s="124" t="s">
        <v>620</v>
      </c>
      <c r="G2975" s="130">
        <v>2009</v>
      </c>
      <c r="H2975" s="125" t="s">
        <v>734</v>
      </c>
      <c r="I2975" s="340" t="str">
        <f t="shared" si="120"/>
        <v>Pesado de Passageiros M3: I : Gasóleo : E5</v>
      </c>
      <c r="J2975" s="125">
        <v>95</v>
      </c>
      <c r="K2975" s="264">
        <v>2022</v>
      </c>
      <c r="L2975" s="129">
        <v>24859.132800000003</v>
      </c>
      <c r="M2975" s="85" t="s">
        <v>630</v>
      </c>
      <c r="N2975" s="128">
        <v>53472</v>
      </c>
      <c r="O2975" s="128">
        <f t="shared" si="119"/>
        <v>5079840</v>
      </c>
      <c r="P2975" s="125" t="s">
        <v>2138</v>
      </c>
      <c r="Q2975" s="85" t="s">
        <v>47</v>
      </c>
      <c r="R2975" s="220" t="s">
        <v>1888</v>
      </c>
      <c r="S2975" s="220" t="s">
        <v>1861</v>
      </c>
      <c r="T2975" s="85" t="s">
        <v>4091</v>
      </c>
    </row>
    <row r="2976" spans="1:20" ht="15.75" thickBot="1" x14ac:dyDescent="0.3">
      <c r="A2976" t="s">
        <v>1929</v>
      </c>
      <c r="B2976" t="s">
        <v>1929</v>
      </c>
      <c r="C2976" s="82" t="s">
        <v>1929</v>
      </c>
      <c r="D2976" s="83" t="s">
        <v>629</v>
      </c>
      <c r="E2976" s="262" t="s">
        <v>1970</v>
      </c>
      <c r="F2976" s="124" t="s">
        <v>620</v>
      </c>
      <c r="G2976" s="130">
        <v>1995</v>
      </c>
      <c r="H2976" s="125" t="s">
        <v>736</v>
      </c>
      <c r="I2976" s="340" t="str">
        <f t="shared" si="120"/>
        <v>Pesado de Passageiros M3: I : Gasóleo : E1</v>
      </c>
      <c r="J2976" s="125">
        <v>78</v>
      </c>
      <c r="K2976" s="264">
        <v>2022</v>
      </c>
      <c r="L2976" s="129">
        <v>13867.5851</v>
      </c>
      <c r="M2976" s="85" t="s">
        <v>630</v>
      </c>
      <c r="N2976" s="128">
        <v>22933</v>
      </c>
      <c r="O2976" s="128">
        <f t="shared" si="119"/>
        <v>1788774</v>
      </c>
      <c r="P2976" s="125">
        <v>9116</v>
      </c>
      <c r="Q2976" s="85" t="s">
        <v>47</v>
      </c>
      <c r="R2976" s="220" t="s">
        <v>1888</v>
      </c>
      <c r="S2976" s="220" t="s">
        <v>1861</v>
      </c>
      <c r="T2976" s="85" t="s">
        <v>4092</v>
      </c>
    </row>
    <row r="2977" spans="1:20" ht="15.75" thickBot="1" x14ac:dyDescent="0.3">
      <c r="A2977" t="s">
        <v>1929</v>
      </c>
      <c r="B2977" t="s">
        <v>1929</v>
      </c>
      <c r="C2977" s="82" t="s">
        <v>1929</v>
      </c>
      <c r="D2977" s="83" t="s">
        <v>629</v>
      </c>
      <c r="E2977" s="262" t="s">
        <v>1970</v>
      </c>
      <c r="F2977" s="124" t="s">
        <v>620</v>
      </c>
      <c r="G2977" s="130">
        <v>2006</v>
      </c>
      <c r="H2977" s="125" t="s">
        <v>732</v>
      </c>
      <c r="I2977" s="340" t="str">
        <f t="shared" si="120"/>
        <v>Pesado de Passageiros M3: I : Gasóleo : E3</v>
      </c>
      <c r="J2977" s="125">
        <v>69</v>
      </c>
      <c r="K2977" s="264">
        <v>2022</v>
      </c>
      <c r="L2977" s="129">
        <v>31389.4362</v>
      </c>
      <c r="M2977" s="85" t="s">
        <v>630</v>
      </c>
      <c r="N2977" s="128">
        <v>58486</v>
      </c>
      <c r="O2977" s="128">
        <f t="shared" si="119"/>
        <v>4035534</v>
      </c>
      <c r="P2977" s="125" t="s">
        <v>2111</v>
      </c>
      <c r="Q2977" s="85" t="s">
        <v>47</v>
      </c>
      <c r="R2977" s="220" t="s">
        <v>1888</v>
      </c>
      <c r="S2977" s="220" t="s">
        <v>1861</v>
      </c>
      <c r="T2977" s="85" t="s">
        <v>4093</v>
      </c>
    </row>
    <row r="2978" spans="1:20" ht="15.75" thickBot="1" x14ac:dyDescent="0.3">
      <c r="A2978" t="s">
        <v>1929</v>
      </c>
      <c r="B2978" t="s">
        <v>1929</v>
      </c>
      <c r="C2978" s="82" t="s">
        <v>1929</v>
      </c>
      <c r="D2978" s="83" t="s">
        <v>629</v>
      </c>
      <c r="E2978" s="262" t="s">
        <v>1970</v>
      </c>
      <c r="F2978" s="124" t="s">
        <v>620</v>
      </c>
      <c r="G2978" s="130">
        <v>2013</v>
      </c>
      <c r="H2978" s="125" t="s">
        <v>733</v>
      </c>
      <c r="I2978" s="340" t="str">
        <f t="shared" si="120"/>
        <v>Pesado de Passageiros M3: I : Gasóleo : E6</v>
      </c>
      <c r="J2978" s="125">
        <v>72</v>
      </c>
      <c r="K2978" s="264">
        <v>2022</v>
      </c>
      <c r="L2978" s="129">
        <v>30524.13</v>
      </c>
      <c r="M2978" s="85" t="s">
        <v>630</v>
      </c>
      <c r="N2978" s="128">
        <v>74540</v>
      </c>
      <c r="O2978" s="128">
        <f t="shared" si="119"/>
        <v>5366880</v>
      </c>
      <c r="P2978" s="125" t="s">
        <v>2070</v>
      </c>
      <c r="Q2978" s="85" t="s">
        <v>47</v>
      </c>
      <c r="R2978" s="220" t="s">
        <v>1888</v>
      </c>
      <c r="S2978" s="220" t="s">
        <v>1861</v>
      </c>
      <c r="T2978" s="85" t="s">
        <v>4094</v>
      </c>
    </row>
    <row r="2979" spans="1:20" ht="15.75" thickBot="1" x14ac:dyDescent="0.3">
      <c r="A2979" t="s">
        <v>1929</v>
      </c>
      <c r="B2979" t="s">
        <v>1929</v>
      </c>
      <c r="C2979" s="82" t="s">
        <v>1929</v>
      </c>
      <c r="D2979" s="83" t="s">
        <v>629</v>
      </c>
      <c r="E2979" s="262" t="s">
        <v>1970</v>
      </c>
      <c r="F2979" s="124" t="s">
        <v>620</v>
      </c>
      <c r="G2979" s="130">
        <v>1997</v>
      </c>
      <c r="H2979" s="125" t="s">
        <v>735</v>
      </c>
      <c r="I2979" s="340" t="str">
        <f t="shared" si="120"/>
        <v>Pesado de Passageiros M3: I : Gasóleo : E2</v>
      </c>
      <c r="J2979" s="125">
        <v>84</v>
      </c>
      <c r="K2979" s="264">
        <v>2022</v>
      </c>
      <c r="L2979" s="129">
        <v>19601.922999999999</v>
      </c>
      <c r="M2979" s="85" t="s">
        <v>630</v>
      </c>
      <c r="N2979" s="128">
        <v>39955</v>
      </c>
      <c r="O2979" s="128">
        <f t="shared" si="119"/>
        <v>3356220</v>
      </c>
      <c r="P2979" s="125" t="s">
        <v>2009</v>
      </c>
      <c r="Q2979" s="85" t="s">
        <v>47</v>
      </c>
      <c r="R2979" s="220" t="s">
        <v>1888</v>
      </c>
      <c r="S2979" s="220" t="s">
        <v>1861</v>
      </c>
      <c r="T2979" s="85" t="s">
        <v>4095</v>
      </c>
    </row>
    <row r="2980" spans="1:20" ht="15.75" thickBot="1" x14ac:dyDescent="0.3">
      <c r="A2980" t="s">
        <v>1929</v>
      </c>
      <c r="B2980" t="s">
        <v>1929</v>
      </c>
      <c r="C2980" s="82" t="s">
        <v>1929</v>
      </c>
      <c r="D2980" s="83" t="s">
        <v>629</v>
      </c>
      <c r="E2980" s="262" t="s">
        <v>1970</v>
      </c>
      <c r="F2980" s="124" t="s">
        <v>620</v>
      </c>
      <c r="G2980" s="130">
        <v>1997</v>
      </c>
      <c r="H2980" s="125" t="s">
        <v>735</v>
      </c>
      <c r="I2980" s="340" t="str">
        <f t="shared" si="120"/>
        <v>Pesado de Passageiros M3: I : Gasóleo : E2</v>
      </c>
      <c r="J2980" s="125">
        <v>84</v>
      </c>
      <c r="K2980" s="264">
        <v>2022</v>
      </c>
      <c r="L2980" s="129">
        <v>16936.59</v>
      </c>
      <c r="M2980" s="85" t="s">
        <v>630</v>
      </c>
      <c r="N2980" s="128">
        <v>33209</v>
      </c>
      <c r="O2980" s="128">
        <f t="shared" si="119"/>
        <v>2789556</v>
      </c>
      <c r="P2980" s="125" t="s">
        <v>2013</v>
      </c>
      <c r="Q2980" s="85" t="s">
        <v>47</v>
      </c>
      <c r="R2980" s="220" t="s">
        <v>1888</v>
      </c>
      <c r="S2980" s="220" t="s">
        <v>1861</v>
      </c>
      <c r="T2980" s="85" t="s">
        <v>4096</v>
      </c>
    </row>
    <row r="2981" spans="1:20" ht="15.75" thickBot="1" x14ac:dyDescent="0.3">
      <c r="A2981" t="s">
        <v>1929</v>
      </c>
      <c r="B2981" t="s">
        <v>1929</v>
      </c>
      <c r="C2981" s="82" t="s">
        <v>1929</v>
      </c>
      <c r="D2981" s="83" t="s">
        <v>629</v>
      </c>
      <c r="E2981" s="262" t="s">
        <v>1970</v>
      </c>
      <c r="F2981" s="124" t="s">
        <v>620</v>
      </c>
      <c r="G2981" s="130">
        <v>2011</v>
      </c>
      <c r="H2981" s="125" t="s">
        <v>734</v>
      </c>
      <c r="I2981" s="340" t="str">
        <f t="shared" si="120"/>
        <v>Pesado de Passageiros M3: I : Gasóleo : E5</v>
      </c>
      <c r="J2981" s="125">
        <v>62</v>
      </c>
      <c r="K2981" s="264">
        <v>2022</v>
      </c>
      <c r="L2981" s="129">
        <v>3614.1</v>
      </c>
      <c r="M2981" s="85" t="s">
        <v>630</v>
      </c>
      <c r="N2981" s="128">
        <v>8605</v>
      </c>
      <c r="O2981" s="128">
        <f t="shared" si="119"/>
        <v>533510</v>
      </c>
      <c r="P2981" s="125" t="s">
        <v>1995</v>
      </c>
      <c r="Q2981" s="85" t="s">
        <v>47</v>
      </c>
      <c r="R2981" s="220" t="s">
        <v>1888</v>
      </c>
      <c r="S2981" s="220" t="s">
        <v>1861</v>
      </c>
      <c r="T2981" s="85" t="s">
        <v>4097</v>
      </c>
    </row>
    <row r="2982" spans="1:20" ht="15.75" thickBot="1" x14ac:dyDescent="0.3">
      <c r="A2982" t="s">
        <v>1929</v>
      </c>
      <c r="B2982" t="s">
        <v>1929</v>
      </c>
      <c r="C2982" s="82" t="s">
        <v>1929</v>
      </c>
      <c r="D2982" s="83" t="s">
        <v>629</v>
      </c>
      <c r="E2982" s="262" t="s">
        <v>1970</v>
      </c>
      <c r="F2982" s="124" t="s">
        <v>620</v>
      </c>
      <c r="G2982" s="130">
        <v>2011</v>
      </c>
      <c r="H2982" s="125" t="s">
        <v>734</v>
      </c>
      <c r="I2982" s="340" t="str">
        <f t="shared" si="120"/>
        <v>Pesado de Passageiros M3: I : Gasóleo : E5</v>
      </c>
      <c r="J2982" s="125">
        <v>144</v>
      </c>
      <c r="K2982" s="264">
        <v>2022</v>
      </c>
      <c r="L2982" s="129">
        <v>42671.380400000002</v>
      </c>
      <c r="M2982" s="85" t="s">
        <v>630</v>
      </c>
      <c r="N2982" s="128">
        <v>70114</v>
      </c>
      <c r="O2982" s="128">
        <f t="shared" si="119"/>
        <v>10096416</v>
      </c>
      <c r="P2982" s="125" t="s">
        <v>2088</v>
      </c>
      <c r="Q2982" s="85" t="s">
        <v>47</v>
      </c>
      <c r="R2982" s="220" t="s">
        <v>1888</v>
      </c>
      <c r="S2982" s="220" t="s">
        <v>1861</v>
      </c>
      <c r="T2982" s="85" t="s">
        <v>4098</v>
      </c>
    </row>
    <row r="2983" spans="1:20" ht="15.75" thickBot="1" x14ac:dyDescent="0.3">
      <c r="A2983" t="s">
        <v>1929</v>
      </c>
      <c r="B2983" t="s">
        <v>1929</v>
      </c>
      <c r="C2983" s="82" t="s">
        <v>1929</v>
      </c>
      <c r="D2983" s="83" t="s">
        <v>629</v>
      </c>
      <c r="E2983" s="262" t="s">
        <v>1970</v>
      </c>
      <c r="F2983" s="124" t="s">
        <v>620</v>
      </c>
      <c r="G2983" s="130">
        <v>2004</v>
      </c>
      <c r="H2983" s="125" t="s">
        <v>732</v>
      </c>
      <c r="I2983" s="340" t="str">
        <f t="shared" si="120"/>
        <v>Pesado de Passageiros M3: I : Gasóleo : E3</v>
      </c>
      <c r="J2983" s="125">
        <v>74</v>
      </c>
      <c r="K2983" s="264">
        <v>2022</v>
      </c>
      <c r="L2983" s="129">
        <v>25526.3148</v>
      </c>
      <c r="M2983" s="85" t="s">
        <v>630</v>
      </c>
      <c r="N2983" s="128">
        <v>46932</v>
      </c>
      <c r="O2983" s="128">
        <f t="shared" si="119"/>
        <v>3472968</v>
      </c>
      <c r="P2983" s="125" t="s">
        <v>2120</v>
      </c>
      <c r="Q2983" s="85" t="s">
        <v>47</v>
      </c>
      <c r="R2983" s="220" t="s">
        <v>1888</v>
      </c>
      <c r="S2983" s="220" t="s">
        <v>1861</v>
      </c>
      <c r="T2983" s="85" t="s">
        <v>4099</v>
      </c>
    </row>
    <row r="2984" spans="1:20" ht="15.75" thickBot="1" x14ac:dyDescent="0.3">
      <c r="A2984" t="s">
        <v>1929</v>
      </c>
      <c r="B2984" t="s">
        <v>1929</v>
      </c>
      <c r="C2984" s="82" t="s">
        <v>1929</v>
      </c>
      <c r="D2984" s="83" t="s">
        <v>629</v>
      </c>
      <c r="E2984" s="262" t="s">
        <v>1970</v>
      </c>
      <c r="F2984" s="124" t="s">
        <v>620</v>
      </c>
      <c r="G2984" s="130">
        <v>2004</v>
      </c>
      <c r="H2984" s="125" t="s">
        <v>732</v>
      </c>
      <c r="I2984" s="340" t="str">
        <f t="shared" si="120"/>
        <v>Pesado de Passageiros M3: I : Gasóleo : E3</v>
      </c>
      <c r="J2984" s="125">
        <v>72</v>
      </c>
      <c r="K2984" s="264">
        <v>2022</v>
      </c>
      <c r="L2984" s="129">
        <v>21346.214400000001</v>
      </c>
      <c r="M2984" s="85" t="s">
        <v>630</v>
      </c>
      <c r="N2984" s="128">
        <v>43176</v>
      </c>
      <c r="O2984" s="128">
        <f t="shared" si="119"/>
        <v>3108672</v>
      </c>
      <c r="P2984" s="125" t="s">
        <v>2118</v>
      </c>
      <c r="Q2984" s="85" t="s">
        <v>47</v>
      </c>
      <c r="R2984" s="220" t="s">
        <v>1888</v>
      </c>
      <c r="S2984" s="220" t="s">
        <v>1861</v>
      </c>
      <c r="T2984" s="85" t="s">
        <v>4100</v>
      </c>
    </row>
    <row r="2985" spans="1:20" ht="15.75" thickBot="1" x14ac:dyDescent="0.3">
      <c r="A2985" t="s">
        <v>1929</v>
      </c>
      <c r="B2985" t="s">
        <v>1929</v>
      </c>
      <c r="C2985" s="82" t="s">
        <v>1929</v>
      </c>
      <c r="D2985" s="83" t="s">
        <v>629</v>
      </c>
      <c r="E2985" s="262" t="s">
        <v>1970</v>
      </c>
      <c r="F2985" s="124" t="s">
        <v>620</v>
      </c>
      <c r="G2985" s="130">
        <v>2004</v>
      </c>
      <c r="H2985" s="125" t="s">
        <v>732</v>
      </c>
      <c r="I2985" s="340" t="str">
        <f t="shared" si="120"/>
        <v>Pesado de Passageiros M3: I : Gasóleo : E3</v>
      </c>
      <c r="J2985" s="125">
        <v>72</v>
      </c>
      <c r="K2985" s="264">
        <v>2022</v>
      </c>
      <c r="L2985" s="129">
        <v>24630.177500000002</v>
      </c>
      <c r="M2985" s="85" t="s">
        <v>630</v>
      </c>
      <c r="N2985" s="128">
        <v>51047</v>
      </c>
      <c r="O2985" s="128">
        <f t="shared" si="119"/>
        <v>3675384</v>
      </c>
      <c r="P2985" s="125" t="s">
        <v>2117</v>
      </c>
      <c r="Q2985" s="85" t="s">
        <v>47</v>
      </c>
      <c r="R2985" s="220" t="s">
        <v>1888</v>
      </c>
      <c r="S2985" s="220" t="s">
        <v>1861</v>
      </c>
      <c r="T2985" s="85" t="s">
        <v>4101</v>
      </c>
    </row>
    <row r="2986" spans="1:20" ht="15.75" thickBot="1" x14ac:dyDescent="0.3">
      <c r="A2986" t="s">
        <v>1929</v>
      </c>
      <c r="B2986" t="s">
        <v>1929</v>
      </c>
      <c r="C2986" s="82" t="s">
        <v>1929</v>
      </c>
      <c r="D2986" s="83" t="s">
        <v>629</v>
      </c>
      <c r="E2986" s="262" t="s">
        <v>1970</v>
      </c>
      <c r="F2986" s="124" t="s">
        <v>620</v>
      </c>
      <c r="G2986" s="130">
        <v>2004</v>
      </c>
      <c r="H2986" s="125" t="s">
        <v>732</v>
      </c>
      <c r="I2986" s="340" t="str">
        <f t="shared" si="120"/>
        <v>Pesado de Passageiros M3: I : Gasóleo : E3</v>
      </c>
      <c r="J2986" s="125">
        <v>74</v>
      </c>
      <c r="K2986" s="264">
        <v>2022</v>
      </c>
      <c r="L2986" s="129">
        <v>22316.963399999997</v>
      </c>
      <c r="M2986" s="85" t="s">
        <v>630</v>
      </c>
      <c r="N2986" s="128">
        <v>42219</v>
      </c>
      <c r="O2986" s="128">
        <f t="shared" si="119"/>
        <v>3124206</v>
      </c>
      <c r="P2986" s="125" t="s">
        <v>2119</v>
      </c>
      <c r="Q2986" s="85" t="s">
        <v>47</v>
      </c>
      <c r="R2986" s="220" t="s">
        <v>1888</v>
      </c>
      <c r="S2986" s="220" t="s">
        <v>1861</v>
      </c>
      <c r="T2986" s="85" t="s">
        <v>4102</v>
      </c>
    </row>
    <row r="2987" spans="1:20" ht="15.75" thickBot="1" x14ac:dyDescent="0.3">
      <c r="A2987" t="s">
        <v>1929</v>
      </c>
      <c r="B2987" t="s">
        <v>1929</v>
      </c>
      <c r="C2987" s="82" t="s">
        <v>1929</v>
      </c>
      <c r="D2987" s="83" t="s">
        <v>629</v>
      </c>
      <c r="E2987" s="262" t="s">
        <v>1970</v>
      </c>
      <c r="F2987" s="124" t="s">
        <v>620</v>
      </c>
      <c r="G2987" s="130"/>
      <c r="H2987" s="125" t="s">
        <v>732</v>
      </c>
      <c r="I2987" s="340" t="str">
        <f t="shared" si="120"/>
        <v>Pesado de Passageiros M3: I : Gasóleo : E3</v>
      </c>
      <c r="J2987" s="125"/>
      <c r="K2987" s="264">
        <v>2022</v>
      </c>
      <c r="L2987" s="85">
        <v>1497.36</v>
      </c>
      <c r="M2987" s="85" t="s">
        <v>630</v>
      </c>
      <c r="N2987" s="128">
        <v>2936</v>
      </c>
      <c r="O2987" s="128">
        <f t="shared" si="119"/>
        <v>0</v>
      </c>
      <c r="P2987" s="125" t="s">
        <v>3409</v>
      </c>
      <c r="Q2987" s="85" t="s">
        <v>47</v>
      </c>
      <c r="R2987" s="220" t="s">
        <v>1888</v>
      </c>
      <c r="S2987" s="220" t="s">
        <v>1861</v>
      </c>
      <c r="T2987" s="85" t="s">
        <v>4103</v>
      </c>
    </row>
    <row r="2988" spans="1:20" ht="15.75" thickBot="1" x14ac:dyDescent="0.3">
      <c r="A2988" t="s">
        <v>1929</v>
      </c>
      <c r="B2988" t="s">
        <v>1929</v>
      </c>
      <c r="C2988" s="82" t="s">
        <v>1929</v>
      </c>
      <c r="D2988" s="83" t="s">
        <v>629</v>
      </c>
      <c r="E2988" s="262" t="s">
        <v>1970</v>
      </c>
      <c r="F2988" s="124" t="s">
        <v>620</v>
      </c>
      <c r="G2988" s="130">
        <v>2003</v>
      </c>
      <c r="H2988" s="125" t="s">
        <v>732</v>
      </c>
      <c r="I2988" s="340" t="str">
        <f t="shared" si="120"/>
        <v>Pesado de Passageiros M3: I : Gasóleo : E3</v>
      </c>
      <c r="J2988" s="125">
        <v>77</v>
      </c>
      <c r="K2988" s="264">
        <v>2022</v>
      </c>
      <c r="L2988" s="129">
        <v>27463.827599999997</v>
      </c>
      <c r="M2988" s="85" t="s">
        <v>630</v>
      </c>
      <c r="N2988" s="128">
        <v>47466</v>
      </c>
      <c r="O2988" s="128">
        <f t="shared" si="119"/>
        <v>3654882</v>
      </c>
      <c r="P2988" s="125" t="s">
        <v>2095</v>
      </c>
      <c r="Q2988" s="85" t="s">
        <v>47</v>
      </c>
      <c r="R2988" s="220" t="s">
        <v>1888</v>
      </c>
      <c r="S2988" s="220" t="s">
        <v>1861</v>
      </c>
      <c r="T2988" s="85" t="s">
        <v>4104</v>
      </c>
    </row>
    <row r="2989" spans="1:20" ht="15.75" thickBot="1" x14ac:dyDescent="0.3">
      <c r="A2989" t="s">
        <v>1929</v>
      </c>
      <c r="B2989" t="s">
        <v>1929</v>
      </c>
      <c r="C2989" s="82" t="s">
        <v>1929</v>
      </c>
      <c r="D2989" s="83" t="s">
        <v>629</v>
      </c>
      <c r="E2989" s="262" t="s">
        <v>1970</v>
      </c>
      <c r="F2989" s="124" t="s">
        <v>620</v>
      </c>
      <c r="G2989" s="130">
        <v>2003</v>
      </c>
      <c r="H2989" s="125" t="s">
        <v>732</v>
      </c>
      <c r="I2989" s="340" t="str">
        <f t="shared" si="120"/>
        <v>Pesado de Passageiros M3: I : Gasóleo : E3</v>
      </c>
      <c r="J2989" s="125">
        <v>77</v>
      </c>
      <c r="K2989" s="264">
        <v>2022</v>
      </c>
      <c r="L2989" s="129">
        <v>28450.877</v>
      </c>
      <c r="M2989" s="85" t="s">
        <v>630</v>
      </c>
      <c r="N2989" s="128">
        <v>48230</v>
      </c>
      <c r="O2989" s="128">
        <f t="shared" si="119"/>
        <v>3713710</v>
      </c>
      <c r="P2989" s="125" t="s">
        <v>2094</v>
      </c>
      <c r="Q2989" s="85" t="s">
        <v>47</v>
      </c>
      <c r="R2989" s="220" t="s">
        <v>1888</v>
      </c>
      <c r="S2989" s="220" t="s">
        <v>1861</v>
      </c>
      <c r="T2989" s="85" t="s">
        <v>4105</v>
      </c>
    </row>
    <row r="2990" spans="1:20" ht="15.75" thickBot="1" x14ac:dyDescent="0.3">
      <c r="A2990" t="s">
        <v>1929</v>
      </c>
      <c r="B2990" t="s">
        <v>1929</v>
      </c>
      <c r="C2990" s="82" t="s">
        <v>1929</v>
      </c>
      <c r="D2990" s="83" t="s">
        <v>629</v>
      </c>
      <c r="E2990" s="262" t="s">
        <v>1970</v>
      </c>
      <c r="F2990" s="124" t="s">
        <v>620</v>
      </c>
      <c r="G2990" s="130">
        <v>2003</v>
      </c>
      <c r="H2990" s="125" t="s">
        <v>732</v>
      </c>
      <c r="I2990" s="340" t="str">
        <f t="shared" si="120"/>
        <v>Pesado de Passageiros M3: I : Gasóleo : E3</v>
      </c>
      <c r="J2990" s="125">
        <v>76</v>
      </c>
      <c r="K2990" s="264">
        <v>2022</v>
      </c>
      <c r="L2990" s="129">
        <v>34556.281199999998</v>
      </c>
      <c r="M2990" s="85" t="s">
        <v>630</v>
      </c>
      <c r="N2990" s="128">
        <v>80532</v>
      </c>
      <c r="O2990" s="128">
        <f t="shared" si="119"/>
        <v>6120432</v>
      </c>
      <c r="P2990" s="125" t="s">
        <v>2104</v>
      </c>
      <c r="Q2990" s="85" t="s">
        <v>47</v>
      </c>
      <c r="R2990" s="220" t="s">
        <v>1888</v>
      </c>
      <c r="S2990" s="220" t="s">
        <v>1861</v>
      </c>
      <c r="T2990" s="85" t="s">
        <v>4106</v>
      </c>
    </row>
    <row r="2991" spans="1:20" ht="15.75" thickBot="1" x14ac:dyDescent="0.3">
      <c r="A2991" t="s">
        <v>1929</v>
      </c>
      <c r="B2991" t="s">
        <v>1929</v>
      </c>
      <c r="C2991" s="82" t="s">
        <v>1929</v>
      </c>
      <c r="D2991" s="83" t="s">
        <v>629</v>
      </c>
      <c r="E2991" s="262" t="s">
        <v>1970</v>
      </c>
      <c r="F2991" s="124" t="s">
        <v>620</v>
      </c>
      <c r="G2991" s="130">
        <v>2009</v>
      </c>
      <c r="H2991" s="125" t="s">
        <v>734</v>
      </c>
      <c r="I2991" s="340" t="str">
        <f t="shared" si="120"/>
        <v>Pesado de Passageiros M3: I : Gasóleo : E5</v>
      </c>
      <c r="J2991" s="125">
        <v>72</v>
      </c>
      <c r="K2991" s="264">
        <v>2022</v>
      </c>
      <c r="L2991" s="129">
        <v>35809.753100000002</v>
      </c>
      <c r="M2991" s="85" t="s">
        <v>630</v>
      </c>
      <c r="N2991" s="128">
        <v>87277</v>
      </c>
      <c r="O2991" s="128">
        <f t="shared" si="119"/>
        <v>6283944</v>
      </c>
      <c r="P2991" s="125" t="s">
        <v>2048</v>
      </c>
      <c r="Q2991" s="85" t="s">
        <v>47</v>
      </c>
      <c r="R2991" s="220" t="s">
        <v>1888</v>
      </c>
      <c r="S2991" s="220" t="s">
        <v>1861</v>
      </c>
      <c r="T2991" s="85" t="s">
        <v>4107</v>
      </c>
    </row>
    <row r="2992" spans="1:20" ht="15.75" thickBot="1" x14ac:dyDescent="0.3">
      <c r="A2992" t="s">
        <v>1929</v>
      </c>
      <c r="B2992" t="s">
        <v>1929</v>
      </c>
      <c r="C2992" s="82" t="s">
        <v>1929</v>
      </c>
      <c r="D2992" s="83" t="s">
        <v>629</v>
      </c>
      <c r="E2992" s="262" t="s">
        <v>1970</v>
      </c>
      <c r="F2992" s="124" t="s">
        <v>620</v>
      </c>
      <c r="G2992" s="130">
        <v>2003</v>
      </c>
      <c r="H2992" s="125" t="s">
        <v>732</v>
      </c>
      <c r="I2992" s="340" t="str">
        <f t="shared" si="120"/>
        <v>Pesado de Passageiros M3: I : Gasóleo : E3</v>
      </c>
      <c r="J2992" s="125">
        <v>74</v>
      </c>
      <c r="K2992" s="264">
        <v>2022</v>
      </c>
      <c r="L2992" s="129">
        <v>28227.022599999997</v>
      </c>
      <c r="M2992" s="85" t="s">
        <v>630</v>
      </c>
      <c r="N2992" s="128">
        <v>52166</v>
      </c>
      <c r="O2992" s="128">
        <f t="shared" si="119"/>
        <v>3860284</v>
      </c>
      <c r="P2992" s="125" t="s">
        <v>2209</v>
      </c>
      <c r="Q2992" s="85" t="s">
        <v>47</v>
      </c>
      <c r="R2992" s="220" t="s">
        <v>1888</v>
      </c>
      <c r="S2992" s="220" t="s">
        <v>1861</v>
      </c>
      <c r="T2992" s="85" t="s">
        <v>4108</v>
      </c>
    </row>
    <row r="2993" spans="1:20" ht="15.75" thickBot="1" x14ac:dyDescent="0.3">
      <c r="A2993" t="s">
        <v>1929</v>
      </c>
      <c r="B2993" t="s">
        <v>1929</v>
      </c>
      <c r="C2993" s="82" t="s">
        <v>1929</v>
      </c>
      <c r="D2993" s="83" t="s">
        <v>629</v>
      </c>
      <c r="E2993" s="262" t="s">
        <v>1970</v>
      </c>
      <c r="F2993" s="124" t="s">
        <v>620</v>
      </c>
      <c r="G2993" s="130">
        <v>2007</v>
      </c>
      <c r="H2993" s="125" t="s">
        <v>731</v>
      </c>
      <c r="I2993" s="340" t="str">
        <f t="shared" si="120"/>
        <v>Pesado de Passageiros M3: I : Gasóleo : E4</v>
      </c>
      <c r="J2993" s="125">
        <v>59</v>
      </c>
      <c r="K2993" s="264">
        <v>2022</v>
      </c>
      <c r="L2993" s="129">
        <v>36061.4473</v>
      </c>
      <c r="M2993" s="85" t="s">
        <v>630</v>
      </c>
      <c r="N2993" s="128">
        <v>87337</v>
      </c>
      <c r="O2993" s="128">
        <f t="shared" ref="O2993:O3056" si="121">N2993*J2993</f>
        <v>5152883</v>
      </c>
      <c r="P2993" s="125" t="s">
        <v>2052</v>
      </c>
      <c r="Q2993" s="85" t="s">
        <v>47</v>
      </c>
      <c r="R2993" s="220" t="s">
        <v>1888</v>
      </c>
      <c r="S2993" s="220" t="s">
        <v>1861</v>
      </c>
      <c r="T2993" s="85" t="s">
        <v>4109</v>
      </c>
    </row>
    <row r="2994" spans="1:20" ht="15.75" thickBot="1" x14ac:dyDescent="0.3">
      <c r="A2994" t="s">
        <v>1929</v>
      </c>
      <c r="B2994" t="s">
        <v>1929</v>
      </c>
      <c r="C2994" s="82" t="s">
        <v>1929</v>
      </c>
      <c r="D2994" s="83" t="s">
        <v>629</v>
      </c>
      <c r="E2994" s="262" t="s">
        <v>1970</v>
      </c>
      <c r="F2994" s="124" t="s">
        <v>620</v>
      </c>
      <c r="G2994" s="130"/>
      <c r="H2994" s="125" t="s">
        <v>731</v>
      </c>
      <c r="I2994" s="340" t="str">
        <f t="shared" si="120"/>
        <v>Pesado de Passageiros M3: I : Gasóleo : E4</v>
      </c>
      <c r="J2994" s="125"/>
      <c r="K2994" s="264">
        <v>2022</v>
      </c>
      <c r="L2994" s="85">
        <v>14750.73</v>
      </c>
      <c r="M2994" s="85" t="s">
        <v>630</v>
      </c>
      <c r="N2994" s="128">
        <v>28923</v>
      </c>
      <c r="O2994" s="128">
        <f t="shared" si="121"/>
        <v>0</v>
      </c>
      <c r="P2994" s="125" t="s">
        <v>3376</v>
      </c>
      <c r="Q2994" s="85" t="s">
        <v>47</v>
      </c>
      <c r="R2994" s="220" t="s">
        <v>1888</v>
      </c>
      <c r="S2994" s="220" t="s">
        <v>1861</v>
      </c>
      <c r="T2994" s="85" t="s">
        <v>3486</v>
      </c>
    </row>
    <row r="2995" spans="1:20" ht="15.75" thickBot="1" x14ac:dyDescent="0.3">
      <c r="A2995" t="s">
        <v>1929</v>
      </c>
      <c r="B2995" t="s">
        <v>1929</v>
      </c>
      <c r="C2995" s="82" t="s">
        <v>1929</v>
      </c>
      <c r="D2995" s="83" t="s">
        <v>629</v>
      </c>
      <c r="E2995" s="262" t="s">
        <v>1970</v>
      </c>
      <c r="F2995" s="124" t="s">
        <v>620</v>
      </c>
      <c r="G2995" s="130"/>
      <c r="H2995" s="125" t="s">
        <v>731</v>
      </c>
      <c r="I2995" s="340" t="str">
        <f t="shared" si="120"/>
        <v>Pesado de Passageiros M3: I : Gasóleo : E4</v>
      </c>
      <c r="J2995" s="125"/>
      <c r="K2995" s="264">
        <v>2022</v>
      </c>
      <c r="L2995" s="85">
        <v>15778.38</v>
      </c>
      <c r="M2995" s="85" t="s">
        <v>630</v>
      </c>
      <c r="N2995" s="128">
        <v>30938</v>
      </c>
      <c r="O2995" s="128">
        <f t="shared" si="121"/>
        <v>0</v>
      </c>
      <c r="P2995" s="125" t="s">
        <v>3385</v>
      </c>
      <c r="Q2995" s="85" t="s">
        <v>47</v>
      </c>
      <c r="R2995" s="220" t="s">
        <v>1888</v>
      </c>
      <c r="S2995" s="220" t="s">
        <v>1861</v>
      </c>
      <c r="T2995" s="85" t="s">
        <v>4110</v>
      </c>
    </row>
    <row r="2996" spans="1:20" ht="15.75" thickBot="1" x14ac:dyDescent="0.3">
      <c r="A2996" t="s">
        <v>1929</v>
      </c>
      <c r="B2996" t="s">
        <v>1929</v>
      </c>
      <c r="C2996" s="82" t="s">
        <v>1929</v>
      </c>
      <c r="D2996" s="83" t="s">
        <v>629</v>
      </c>
      <c r="E2996" s="262" t="s">
        <v>1970</v>
      </c>
      <c r="F2996" s="124" t="s">
        <v>620</v>
      </c>
      <c r="G2996" s="130"/>
      <c r="H2996" s="125" t="s">
        <v>732</v>
      </c>
      <c r="I2996" s="340" t="str">
        <f t="shared" si="120"/>
        <v>Pesado de Passageiros M3: I : Gasóleo : E3</v>
      </c>
      <c r="J2996" s="125"/>
      <c r="K2996" s="264">
        <v>2022</v>
      </c>
      <c r="L2996" s="253">
        <v>14946.31</v>
      </c>
      <c r="M2996" s="85" t="s">
        <v>630</v>
      </c>
      <c r="N2996" s="128">
        <v>29108</v>
      </c>
      <c r="O2996" s="128">
        <f t="shared" si="121"/>
        <v>0</v>
      </c>
      <c r="P2996" s="125" t="s">
        <v>3356</v>
      </c>
      <c r="Q2996" s="85" t="s">
        <v>47</v>
      </c>
      <c r="R2996" s="220" t="s">
        <v>1888</v>
      </c>
      <c r="S2996" s="220" t="s">
        <v>1861</v>
      </c>
      <c r="T2996" s="85" t="s">
        <v>3476</v>
      </c>
    </row>
    <row r="2997" spans="1:20" ht="15.75" thickBot="1" x14ac:dyDescent="0.3">
      <c r="A2997" t="s">
        <v>1929</v>
      </c>
      <c r="B2997" t="s">
        <v>1929</v>
      </c>
      <c r="C2997" s="82" t="s">
        <v>1929</v>
      </c>
      <c r="D2997" s="83" t="s">
        <v>629</v>
      </c>
      <c r="E2997" s="262" t="s">
        <v>1970</v>
      </c>
      <c r="F2997" s="124" t="s">
        <v>620</v>
      </c>
      <c r="G2997" s="130">
        <v>1997</v>
      </c>
      <c r="H2997" s="125" t="s">
        <v>735</v>
      </c>
      <c r="I2997" s="340" t="str">
        <f t="shared" si="120"/>
        <v>Pesado de Passageiros M3: I : Gasóleo : E2</v>
      </c>
      <c r="J2997" s="125">
        <v>84</v>
      </c>
      <c r="K2997" s="264">
        <v>2022</v>
      </c>
      <c r="L2997" s="129">
        <v>8003.94</v>
      </c>
      <c r="M2997" s="85" t="s">
        <v>630</v>
      </c>
      <c r="N2997" s="128">
        <v>15694</v>
      </c>
      <c r="O2997" s="128">
        <f t="shared" si="121"/>
        <v>1318296</v>
      </c>
      <c r="P2997" s="125" t="s">
        <v>2014</v>
      </c>
      <c r="Q2997" s="85" t="s">
        <v>47</v>
      </c>
      <c r="R2997" s="220" t="s">
        <v>1888</v>
      </c>
      <c r="S2997" s="220" t="s">
        <v>1861</v>
      </c>
      <c r="T2997" s="85" t="s">
        <v>4111</v>
      </c>
    </row>
    <row r="2998" spans="1:20" ht="15.75" thickBot="1" x14ac:dyDescent="0.3">
      <c r="A2998" t="s">
        <v>1929</v>
      </c>
      <c r="B2998" t="s">
        <v>1929</v>
      </c>
      <c r="C2998" s="82" t="s">
        <v>1929</v>
      </c>
      <c r="D2998" s="83" t="s">
        <v>629</v>
      </c>
      <c r="E2998" s="262" t="s">
        <v>1970</v>
      </c>
      <c r="F2998" s="124" t="s">
        <v>620</v>
      </c>
      <c r="G2998" s="130">
        <v>1997</v>
      </c>
      <c r="H2998" s="125" t="s">
        <v>735</v>
      </c>
      <c r="I2998" s="340" t="str">
        <f t="shared" ref="I2998:I3061" si="122">D2998&amp;": "&amp;E2998&amp;" : "&amp;F2998&amp;" : "&amp;H2998</f>
        <v>Pesado de Passageiros M3: I : Gasóleo : E2</v>
      </c>
      <c r="J2998" s="125">
        <v>84</v>
      </c>
      <c r="K2998" s="264">
        <v>2022</v>
      </c>
      <c r="L2998" s="129">
        <v>14611.301100000001</v>
      </c>
      <c r="M2998" s="85" t="s">
        <v>630</v>
      </c>
      <c r="N2998" s="128">
        <v>28939</v>
      </c>
      <c r="O2998" s="128">
        <f t="shared" si="121"/>
        <v>2430876</v>
      </c>
      <c r="P2998" s="125" t="s">
        <v>2010</v>
      </c>
      <c r="Q2998" s="85" t="s">
        <v>47</v>
      </c>
      <c r="R2998" s="220" t="s">
        <v>1888</v>
      </c>
      <c r="S2998" s="220" t="s">
        <v>1861</v>
      </c>
      <c r="T2998" s="85" t="s">
        <v>4112</v>
      </c>
    </row>
    <row r="2999" spans="1:20" ht="15.75" thickBot="1" x14ac:dyDescent="0.3">
      <c r="A2999" t="s">
        <v>1929</v>
      </c>
      <c r="B2999" t="s">
        <v>1929</v>
      </c>
      <c r="C2999" s="82" t="s">
        <v>1929</v>
      </c>
      <c r="D2999" s="83" t="s">
        <v>629</v>
      </c>
      <c r="E2999" s="262" t="s">
        <v>1970</v>
      </c>
      <c r="F2999" s="124" t="s">
        <v>620</v>
      </c>
      <c r="G2999" s="130">
        <v>2014</v>
      </c>
      <c r="H2999" s="125" t="s">
        <v>733</v>
      </c>
      <c r="I2999" s="340" t="str">
        <f t="shared" si="122"/>
        <v>Pesado de Passageiros M3: I : Gasóleo : E6</v>
      </c>
      <c r="J2999" s="125">
        <v>96</v>
      </c>
      <c r="K2999" s="264">
        <v>2022</v>
      </c>
      <c r="L2999" s="129">
        <v>33675.333600000005</v>
      </c>
      <c r="M2999" s="85" t="s">
        <v>630</v>
      </c>
      <c r="N2999" s="128">
        <v>70806</v>
      </c>
      <c r="O2999" s="128">
        <f t="shared" si="121"/>
        <v>6797376</v>
      </c>
      <c r="P2999" s="125" t="s">
        <v>2057</v>
      </c>
      <c r="Q2999" s="85" t="s">
        <v>47</v>
      </c>
      <c r="R2999" s="220" t="s">
        <v>1888</v>
      </c>
      <c r="S2999" s="220" t="s">
        <v>1861</v>
      </c>
      <c r="T2999" s="85" t="s">
        <v>4113</v>
      </c>
    </row>
    <row r="3000" spans="1:20" ht="15.75" thickBot="1" x14ac:dyDescent="0.3">
      <c r="A3000" t="s">
        <v>1929</v>
      </c>
      <c r="B3000" t="s">
        <v>1929</v>
      </c>
      <c r="C3000" s="82" t="s">
        <v>1929</v>
      </c>
      <c r="D3000" s="83" t="s">
        <v>629</v>
      </c>
      <c r="E3000" s="262" t="s">
        <v>1970</v>
      </c>
      <c r="F3000" s="124" t="s">
        <v>620</v>
      </c>
      <c r="G3000" s="130"/>
      <c r="H3000" s="125" t="s">
        <v>731</v>
      </c>
      <c r="I3000" s="340" t="str">
        <f t="shared" si="122"/>
        <v>Pesado de Passageiros M3: I : Gasóleo : E4</v>
      </c>
      <c r="J3000" s="125"/>
      <c r="K3000" s="264">
        <v>2022</v>
      </c>
      <c r="L3000" s="85">
        <v>3125.5702999999999</v>
      </c>
      <c r="M3000" s="85" t="s">
        <v>630</v>
      </c>
      <c r="N3000" s="128">
        <v>4541</v>
      </c>
      <c r="O3000" s="128">
        <f t="shared" si="121"/>
        <v>0</v>
      </c>
      <c r="P3000" s="125" t="s">
        <v>2089</v>
      </c>
      <c r="Q3000" s="85" t="s">
        <v>47</v>
      </c>
      <c r="R3000" s="220" t="s">
        <v>1888</v>
      </c>
      <c r="S3000" s="220" t="s">
        <v>1861</v>
      </c>
      <c r="T3000" s="85" t="s">
        <v>3462</v>
      </c>
    </row>
    <row r="3001" spans="1:20" ht="15.75" thickBot="1" x14ac:dyDescent="0.3">
      <c r="A3001" t="s">
        <v>1929</v>
      </c>
      <c r="B3001" t="s">
        <v>1929</v>
      </c>
      <c r="C3001" s="82" t="s">
        <v>1929</v>
      </c>
      <c r="D3001" s="83" t="s">
        <v>629</v>
      </c>
      <c r="E3001" s="262" t="s">
        <v>1970</v>
      </c>
      <c r="F3001" s="124" t="s">
        <v>620</v>
      </c>
      <c r="G3001" s="130">
        <v>2011</v>
      </c>
      <c r="H3001" s="125" t="s">
        <v>734</v>
      </c>
      <c r="I3001" s="340" t="str">
        <f t="shared" si="122"/>
        <v>Pesado de Passageiros M3: I : Gasóleo : E5</v>
      </c>
      <c r="J3001" s="125">
        <v>147</v>
      </c>
      <c r="K3001" s="264">
        <v>2022</v>
      </c>
      <c r="L3001" s="421">
        <v>26844.429700000001</v>
      </c>
      <c r="M3001" s="85" t="s">
        <v>630</v>
      </c>
      <c r="N3001" s="128">
        <v>37962</v>
      </c>
      <c r="O3001" s="128">
        <f t="shared" si="121"/>
        <v>5580414</v>
      </c>
      <c r="P3001" s="125" t="s">
        <v>2089</v>
      </c>
      <c r="Q3001" s="85" t="s">
        <v>47</v>
      </c>
      <c r="R3001" s="220" t="s">
        <v>1888</v>
      </c>
      <c r="S3001" s="220" t="s">
        <v>1861</v>
      </c>
      <c r="T3001" s="85" t="s">
        <v>3462</v>
      </c>
    </row>
    <row r="3002" spans="1:20" ht="15.75" thickBot="1" x14ac:dyDescent="0.3">
      <c r="A3002" t="s">
        <v>1929</v>
      </c>
      <c r="B3002" t="s">
        <v>1929</v>
      </c>
      <c r="C3002" s="82" t="s">
        <v>1929</v>
      </c>
      <c r="D3002" s="83" t="s">
        <v>629</v>
      </c>
      <c r="E3002" s="262" t="s">
        <v>1970</v>
      </c>
      <c r="F3002" s="124" t="s">
        <v>620</v>
      </c>
      <c r="G3002" s="130">
        <v>2006</v>
      </c>
      <c r="H3002" s="125" t="s">
        <v>732</v>
      </c>
      <c r="I3002" s="340" t="str">
        <f t="shared" si="122"/>
        <v>Pesado de Passageiros M3: I : Gasóleo : E3</v>
      </c>
      <c r="J3002" s="125">
        <v>27</v>
      </c>
      <c r="K3002" s="264">
        <v>2022</v>
      </c>
      <c r="L3002" s="129">
        <v>9005.4071999999996</v>
      </c>
      <c r="M3002" s="85" t="s">
        <v>630</v>
      </c>
      <c r="N3002" s="128">
        <v>43886</v>
      </c>
      <c r="O3002" s="128">
        <f t="shared" si="121"/>
        <v>1184922</v>
      </c>
      <c r="P3002" s="125" t="s">
        <v>1982</v>
      </c>
      <c r="Q3002" s="85" t="s">
        <v>47</v>
      </c>
      <c r="R3002" s="220" t="s">
        <v>1888</v>
      </c>
      <c r="S3002" s="220" t="s">
        <v>1861</v>
      </c>
      <c r="T3002" s="85" t="s">
        <v>4114</v>
      </c>
    </row>
    <row r="3003" spans="1:20" ht="15.75" thickBot="1" x14ac:dyDescent="0.3">
      <c r="A3003" t="s">
        <v>1929</v>
      </c>
      <c r="B3003" t="s">
        <v>1929</v>
      </c>
      <c r="C3003" s="82" t="s">
        <v>1929</v>
      </c>
      <c r="D3003" s="83" t="s">
        <v>629</v>
      </c>
      <c r="E3003" s="262" t="s">
        <v>1970</v>
      </c>
      <c r="F3003" s="124" t="s">
        <v>620</v>
      </c>
      <c r="G3003" s="130">
        <v>2009</v>
      </c>
      <c r="H3003" s="125" t="s">
        <v>731</v>
      </c>
      <c r="I3003" s="340" t="str">
        <f t="shared" si="122"/>
        <v>Pesado de Passageiros M3: I : Gasóleo : E4</v>
      </c>
      <c r="J3003" s="125">
        <v>21</v>
      </c>
      <c r="K3003" s="264">
        <v>2022</v>
      </c>
      <c r="L3003" s="129">
        <v>13114.256400000002</v>
      </c>
      <c r="M3003" s="85" t="s">
        <v>630</v>
      </c>
      <c r="N3003" s="128">
        <v>58914</v>
      </c>
      <c r="O3003" s="128">
        <f t="shared" si="121"/>
        <v>1237194</v>
      </c>
      <c r="P3003" s="125" t="s">
        <v>1988</v>
      </c>
      <c r="Q3003" s="85" t="s">
        <v>47</v>
      </c>
      <c r="R3003" s="220" t="s">
        <v>1888</v>
      </c>
      <c r="S3003" s="220" t="s">
        <v>1861</v>
      </c>
      <c r="T3003" s="85" t="s">
        <v>4115</v>
      </c>
    </row>
    <row r="3004" spans="1:20" ht="15.75" thickBot="1" x14ac:dyDescent="0.3">
      <c r="A3004" t="s">
        <v>1929</v>
      </c>
      <c r="B3004" t="s">
        <v>1929</v>
      </c>
      <c r="C3004" s="82" t="s">
        <v>1929</v>
      </c>
      <c r="D3004" s="83" t="s">
        <v>629</v>
      </c>
      <c r="E3004" s="262" t="s">
        <v>1970</v>
      </c>
      <c r="F3004" s="124" t="s">
        <v>620</v>
      </c>
      <c r="G3004" s="130"/>
      <c r="H3004" s="125" t="s">
        <v>732</v>
      </c>
      <c r="I3004" s="340" t="str">
        <f t="shared" si="122"/>
        <v>Pesado de Passageiros M3: I : Gasóleo : E3</v>
      </c>
      <c r="J3004" s="125"/>
      <c r="K3004" s="264">
        <v>2022</v>
      </c>
      <c r="L3004" s="85">
        <v>18836.580000000002</v>
      </c>
      <c r="M3004" s="85" t="s">
        <v>630</v>
      </c>
      <c r="N3004" s="128">
        <v>38442</v>
      </c>
      <c r="O3004" s="128">
        <f t="shared" si="121"/>
        <v>0</v>
      </c>
      <c r="P3004" s="125" t="s">
        <v>3401</v>
      </c>
      <c r="Q3004" s="85" t="s">
        <v>47</v>
      </c>
      <c r="R3004" s="220" t="s">
        <v>1888</v>
      </c>
      <c r="S3004" s="220" t="s">
        <v>1861</v>
      </c>
      <c r="T3004" s="85" t="s">
        <v>4116</v>
      </c>
    </row>
    <row r="3005" spans="1:20" ht="15.75" thickBot="1" x14ac:dyDescent="0.3">
      <c r="A3005" t="s">
        <v>1929</v>
      </c>
      <c r="B3005" t="s">
        <v>1929</v>
      </c>
      <c r="C3005" s="82" t="s">
        <v>1929</v>
      </c>
      <c r="D3005" s="83" t="s">
        <v>629</v>
      </c>
      <c r="E3005" s="262" t="s">
        <v>1970</v>
      </c>
      <c r="F3005" s="124" t="s">
        <v>620</v>
      </c>
      <c r="G3005" s="130">
        <v>2002</v>
      </c>
      <c r="H3005" s="125" t="s">
        <v>732</v>
      </c>
      <c r="I3005" s="340" t="str">
        <f t="shared" si="122"/>
        <v>Pesado de Passageiros M3: I : Gasóleo : E3</v>
      </c>
      <c r="J3005" s="125">
        <v>64</v>
      </c>
      <c r="K3005" s="264">
        <v>2022</v>
      </c>
      <c r="L3005" s="129">
        <v>25405.160400000001</v>
      </c>
      <c r="M3005" s="85" t="s">
        <v>630</v>
      </c>
      <c r="N3005" s="128">
        <v>49436</v>
      </c>
      <c r="O3005" s="128">
        <f t="shared" si="121"/>
        <v>3163904</v>
      </c>
      <c r="P3005" s="125" t="s">
        <v>2191</v>
      </c>
      <c r="Q3005" s="85" t="s">
        <v>47</v>
      </c>
      <c r="R3005" s="220" t="s">
        <v>1888</v>
      </c>
      <c r="S3005" s="220" t="s">
        <v>1861</v>
      </c>
      <c r="T3005" s="85" t="s">
        <v>4117</v>
      </c>
    </row>
    <row r="3006" spans="1:20" ht="15.75" thickBot="1" x14ac:dyDescent="0.3">
      <c r="A3006" t="s">
        <v>1929</v>
      </c>
      <c r="B3006" t="s">
        <v>1929</v>
      </c>
      <c r="C3006" s="82" t="s">
        <v>1929</v>
      </c>
      <c r="D3006" s="83" t="s">
        <v>629</v>
      </c>
      <c r="E3006" s="262" t="s">
        <v>1970</v>
      </c>
      <c r="F3006" s="124" t="s">
        <v>620</v>
      </c>
      <c r="G3006" s="130">
        <v>2004</v>
      </c>
      <c r="H3006" s="125" t="s">
        <v>732</v>
      </c>
      <c r="I3006" s="340" t="str">
        <f t="shared" si="122"/>
        <v>Pesado de Passageiros M3: I : Gasóleo : E3</v>
      </c>
      <c r="J3006" s="125">
        <v>74</v>
      </c>
      <c r="K3006" s="264">
        <v>2022</v>
      </c>
      <c r="L3006" s="129">
        <v>25667.5288</v>
      </c>
      <c r="M3006" s="85" t="s">
        <v>630</v>
      </c>
      <c r="N3006" s="128">
        <v>49724</v>
      </c>
      <c r="O3006" s="128">
        <f t="shared" si="121"/>
        <v>3679576</v>
      </c>
      <c r="P3006" s="125" t="s">
        <v>2113</v>
      </c>
      <c r="Q3006" s="85" t="s">
        <v>47</v>
      </c>
      <c r="R3006" s="220" t="s">
        <v>1888</v>
      </c>
      <c r="S3006" s="220" t="s">
        <v>1861</v>
      </c>
      <c r="T3006" s="85" t="s">
        <v>4118</v>
      </c>
    </row>
    <row r="3007" spans="1:20" ht="15.75" thickBot="1" x14ac:dyDescent="0.3">
      <c r="A3007" t="s">
        <v>1929</v>
      </c>
      <c r="B3007" t="s">
        <v>1929</v>
      </c>
      <c r="C3007" s="82" t="s">
        <v>1929</v>
      </c>
      <c r="D3007" s="83" t="s">
        <v>629</v>
      </c>
      <c r="E3007" s="262" t="s">
        <v>1970</v>
      </c>
      <c r="F3007" s="124" t="s">
        <v>620</v>
      </c>
      <c r="G3007" s="130">
        <v>2004</v>
      </c>
      <c r="H3007" s="125" t="s">
        <v>732</v>
      </c>
      <c r="I3007" s="340" t="str">
        <f t="shared" si="122"/>
        <v>Pesado de Passageiros M3: I : Gasóleo : E3</v>
      </c>
      <c r="J3007" s="125">
        <v>74</v>
      </c>
      <c r="K3007" s="264">
        <v>2022</v>
      </c>
      <c r="L3007" s="129">
        <v>17878.518</v>
      </c>
      <c r="M3007" s="85" t="s">
        <v>630</v>
      </c>
      <c r="N3007" s="128">
        <v>36228</v>
      </c>
      <c r="O3007" s="128">
        <f t="shared" si="121"/>
        <v>2680872</v>
      </c>
      <c r="P3007" s="125" t="s">
        <v>2112</v>
      </c>
      <c r="Q3007" s="85" t="s">
        <v>47</v>
      </c>
      <c r="R3007" s="220" t="s">
        <v>1888</v>
      </c>
      <c r="S3007" s="220" t="s">
        <v>1861</v>
      </c>
      <c r="T3007" s="85" t="s">
        <v>4119</v>
      </c>
    </row>
    <row r="3008" spans="1:20" ht="15.75" thickBot="1" x14ac:dyDescent="0.3">
      <c r="A3008" t="s">
        <v>1929</v>
      </c>
      <c r="B3008" t="s">
        <v>1929</v>
      </c>
      <c r="C3008" s="82" t="s">
        <v>1929</v>
      </c>
      <c r="D3008" s="83" t="s">
        <v>629</v>
      </c>
      <c r="E3008" s="262" t="s">
        <v>1970</v>
      </c>
      <c r="F3008" s="124" t="s">
        <v>620</v>
      </c>
      <c r="G3008" s="130">
        <v>2011</v>
      </c>
      <c r="H3008" s="125" t="s">
        <v>734</v>
      </c>
      <c r="I3008" s="340" t="str">
        <f t="shared" si="122"/>
        <v>Pesado de Passageiros M3: I : Gasóleo : E5</v>
      </c>
      <c r="J3008" s="125">
        <v>144</v>
      </c>
      <c r="K3008" s="264">
        <v>2022</v>
      </c>
      <c r="L3008" s="129">
        <v>43312.354799999994</v>
      </c>
      <c r="M3008" s="85" t="s">
        <v>630</v>
      </c>
      <c r="N3008" s="128">
        <v>66902</v>
      </c>
      <c r="O3008" s="128">
        <f t="shared" si="121"/>
        <v>9633888</v>
      </c>
      <c r="P3008" s="125" t="s">
        <v>2086</v>
      </c>
      <c r="Q3008" s="85" t="s">
        <v>47</v>
      </c>
      <c r="R3008" s="220" t="s">
        <v>1888</v>
      </c>
      <c r="S3008" s="220" t="s">
        <v>1861</v>
      </c>
      <c r="T3008" s="85" t="s">
        <v>4120</v>
      </c>
    </row>
    <row r="3009" spans="1:20" ht="15.75" thickBot="1" x14ac:dyDescent="0.3">
      <c r="A3009" t="s">
        <v>1929</v>
      </c>
      <c r="B3009" t="s">
        <v>1929</v>
      </c>
      <c r="C3009" s="82" t="s">
        <v>1929</v>
      </c>
      <c r="D3009" s="83" t="s">
        <v>629</v>
      </c>
      <c r="E3009" s="262" t="s">
        <v>1970</v>
      </c>
      <c r="F3009" s="124" t="s">
        <v>620</v>
      </c>
      <c r="G3009" s="130"/>
      <c r="H3009" s="125" t="s">
        <v>731</v>
      </c>
      <c r="I3009" s="340" t="str">
        <f t="shared" si="122"/>
        <v>Pesado de Passageiros M3: I : Gasóleo : E4</v>
      </c>
      <c r="J3009" s="125"/>
      <c r="K3009" s="264">
        <v>2022</v>
      </c>
      <c r="L3009" s="253">
        <v>7812.23</v>
      </c>
      <c r="M3009" s="85" t="s">
        <v>630</v>
      </c>
      <c r="N3009" s="128">
        <v>15317</v>
      </c>
      <c r="O3009" s="128">
        <f t="shared" si="121"/>
        <v>0</v>
      </c>
      <c r="P3009" s="125" t="s">
        <v>3341</v>
      </c>
      <c r="Q3009" s="85" t="s">
        <v>47</v>
      </c>
      <c r="R3009" s="220" t="s">
        <v>1888</v>
      </c>
      <c r="S3009" s="220" t="s">
        <v>1861</v>
      </c>
      <c r="T3009" s="85" t="s">
        <v>4121</v>
      </c>
    </row>
    <row r="3010" spans="1:20" ht="15.75" thickBot="1" x14ac:dyDescent="0.3">
      <c r="A3010" t="s">
        <v>1929</v>
      </c>
      <c r="B3010" t="s">
        <v>1929</v>
      </c>
      <c r="C3010" s="82" t="s">
        <v>1929</v>
      </c>
      <c r="D3010" s="83" t="s">
        <v>629</v>
      </c>
      <c r="E3010" s="262" t="s">
        <v>1970</v>
      </c>
      <c r="F3010" s="124" t="s">
        <v>620</v>
      </c>
      <c r="G3010" s="130">
        <v>2009</v>
      </c>
      <c r="H3010" s="125" t="s">
        <v>734</v>
      </c>
      <c r="I3010" s="340" t="str">
        <f t="shared" si="122"/>
        <v>Pesado de Passageiros M3: I : Gasóleo : E5</v>
      </c>
      <c r="J3010" s="125">
        <v>97</v>
      </c>
      <c r="K3010" s="264">
        <v>2022</v>
      </c>
      <c r="L3010" s="129">
        <v>26511.298999999999</v>
      </c>
      <c r="M3010" s="85" t="s">
        <v>630</v>
      </c>
      <c r="N3010" s="128">
        <v>64426</v>
      </c>
      <c r="O3010" s="128">
        <f t="shared" si="121"/>
        <v>6249322</v>
      </c>
      <c r="P3010" s="125" t="s">
        <v>2137</v>
      </c>
      <c r="Q3010" s="85" t="s">
        <v>47</v>
      </c>
      <c r="R3010" s="220" t="s">
        <v>1888</v>
      </c>
      <c r="S3010" s="220" t="s">
        <v>1861</v>
      </c>
      <c r="T3010" s="85" t="s">
        <v>4122</v>
      </c>
    </row>
    <row r="3011" spans="1:20" ht="15.75" thickBot="1" x14ac:dyDescent="0.3">
      <c r="A3011" t="s">
        <v>1929</v>
      </c>
      <c r="B3011" t="s">
        <v>1929</v>
      </c>
      <c r="C3011" s="82" t="s">
        <v>1929</v>
      </c>
      <c r="D3011" s="83" t="s">
        <v>629</v>
      </c>
      <c r="E3011" s="262" t="s">
        <v>1970</v>
      </c>
      <c r="F3011" s="124" t="s">
        <v>620</v>
      </c>
      <c r="G3011" s="130">
        <v>2013</v>
      </c>
      <c r="H3011" s="125" t="s">
        <v>733</v>
      </c>
      <c r="I3011" s="340" t="str">
        <f t="shared" si="122"/>
        <v>Pesado de Passageiros M3: I : Gasóleo : E6</v>
      </c>
      <c r="J3011" s="125">
        <v>72</v>
      </c>
      <c r="K3011" s="264">
        <v>2022</v>
      </c>
      <c r="L3011" s="129">
        <v>26279.45</v>
      </c>
      <c r="M3011" s="85" t="s">
        <v>630</v>
      </c>
      <c r="N3011" s="128">
        <v>61115</v>
      </c>
      <c r="O3011" s="128">
        <f t="shared" si="121"/>
        <v>4400280</v>
      </c>
      <c r="P3011" s="125" t="s">
        <v>2073</v>
      </c>
      <c r="Q3011" s="85" t="s">
        <v>47</v>
      </c>
      <c r="R3011" s="220" t="s">
        <v>1888</v>
      </c>
      <c r="S3011" s="220" t="s">
        <v>1861</v>
      </c>
      <c r="T3011" s="85" t="s">
        <v>4123</v>
      </c>
    </row>
    <row r="3012" spans="1:20" ht="15.75" thickBot="1" x14ac:dyDescent="0.3">
      <c r="A3012" t="s">
        <v>1929</v>
      </c>
      <c r="B3012" t="s">
        <v>1929</v>
      </c>
      <c r="C3012" s="82" t="s">
        <v>1929</v>
      </c>
      <c r="D3012" s="83" t="s">
        <v>629</v>
      </c>
      <c r="E3012" s="262" t="s">
        <v>1970</v>
      </c>
      <c r="F3012" s="124" t="s">
        <v>620</v>
      </c>
      <c r="G3012" s="130"/>
      <c r="H3012" s="125" t="s">
        <v>732</v>
      </c>
      <c r="I3012" s="340" t="str">
        <f t="shared" si="122"/>
        <v>Pesado de Passageiros M3: I : Gasóleo : E3</v>
      </c>
      <c r="J3012" s="125"/>
      <c r="K3012" s="264">
        <v>2022</v>
      </c>
      <c r="L3012" s="85">
        <v>2953.8</v>
      </c>
      <c r="M3012" s="85" t="s">
        <v>630</v>
      </c>
      <c r="N3012" s="128">
        <v>5470</v>
      </c>
      <c r="O3012" s="128">
        <f t="shared" si="121"/>
        <v>0</v>
      </c>
      <c r="P3012" s="125" t="s">
        <v>3361</v>
      </c>
      <c r="Q3012" s="85" t="s">
        <v>47</v>
      </c>
      <c r="R3012" s="220" t="s">
        <v>1888</v>
      </c>
      <c r="S3012" s="220" t="s">
        <v>1861</v>
      </c>
      <c r="T3012" s="85" t="s">
        <v>3480</v>
      </c>
    </row>
    <row r="3013" spans="1:20" ht="15.75" thickBot="1" x14ac:dyDescent="0.3">
      <c r="A3013" t="s">
        <v>1929</v>
      </c>
      <c r="B3013" t="s">
        <v>1929</v>
      </c>
      <c r="C3013" s="82" t="s">
        <v>1929</v>
      </c>
      <c r="D3013" s="83" t="s">
        <v>629</v>
      </c>
      <c r="E3013" s="262" t="s">
        <v>1970</v>
      </c>
      <c r="F3013" s="124" t="s">
        <v>620</v>
      </c>
      <c r="G3013" s="130">
        <v>2001</v>
      </c>
      <c r="H3013" s="125" t="s">
        <v>732</v>
      </c>
      <c r="I3013" s="340" t="str">
        <f t="shared" si="122"/>
        <v>Pesado de Passageiros M3: I : Gasóleo : E3</v>
      </c>
      <c r="J3013" s="125">
        <v>72</v>
      </c>
      <c r="K3013" s="264">
        <v>2022</v>
      </c>
      <c r="L3013" s="129">
        <v>30607.220400000002</v>
      </c>
      <c r="M3013" s="85" t="s">
        <v>630</v>
      </c>
      <c r="N3013" s="128">
        <v>67506</v>
      </c>
      <c r="O3013" s="128">
        <f t="shared" si="121"/>
        <v>4860432</v>
      </c>
      <c r="P3013" s="125" t="s">
        <v>2159</v>
      </c>
      <c r="Q3013" s="85" t="s">
        <v>47</v>
      </c>
      <c r="R3013" s="220" t="s">
        <v>1888</v>
      </c>
      <c r="S3013" s="220" t="s">
        <v>1861</v>
      </c>
      <c r="T3013" s="85" t="s">
        <v>4124</v>
      </c>
    </row>
    <row r="3014" spans="1:20" ht="15.75" thickBot="1" x14ac:dyDescent="0.3">
      <c r="A3014" t="s">
        <v>1929</v>
      </c>
      <c r="B3014" t="s">
        <v>1929</v>
      </c>
      <c r="C3014" s="82" t="s">
        <v>1929</v>
      </c>
      <c r="D3014" s="83" t="s">
        <v>629</v>
      </c>
      <c r="E3014" s="262" t="s">
        <v>1970</v>
      </c>
      <c r="F3014" s="124" t="s">
        <v>620</v>
      </c>
      <c r="G3014" s="130">
        <v>2001</v>
      </c>
      <c r="H3014" s="125" t="s">
        <v>732</v>
      </c>
      <c r="I3014" s="340" t="str">
        <f t="shared" si="122"/>
        <v>Pesado de Passageiros M3: I : Gasóleo : E3</v>
      </c>
      <c r="J3014" s="125">
        <v>72</v>
      </c>
      <c r="K3014" s="264">
        <v>2022</v>
      </c>
      <c r="L3014" s="129">
        <v>28785.760899999997</v>
      </c>
      <c r="M3014" s="85" t="s">
        <v>630</v>
      </c>
      <c r="N3014" s="128">
        <v>52847</v>
      </c>
      <c r="O3014" s="128">
        <f t="shared" si="121"/>
        <v>3804984</v>
      </c>
      <c r="P3014" s="125" t="s">
        <v>2160</v>
      </c>
      <c r="Q3014" s="85" t="s">
        <v>47</v>
      </c>
      <c r="R3014" s="220" t="s">
        <v>1888</v>
      </c>
      <c r="S3014" s="220" t="s">
        <v>1861</v>
      </c>
      <c r="T3014" s="85" t="s">
        <v>4125</v>
      </c>
    </row>
    <row r="3015" spans="1:20" ht="15.75" thickBot="1" x14ac:dyDescent="0.3">
      <c r="A3015" t="s">
        <v>1929</v>
      </c>
      <c r="B3015" t="s">
        <v>1929</v>
      </c>
      <c r="C3015" s="82" t="s">
        <v>1929</v>
      </c>
      <c r="D3015" s="83" t="s">
        <v>629</v>
      </c>
      <c r="E3015" s="262" t="s">
        <v>1970</v>
      </c>
      <c r="F3015" s="124" t="s">
        <v>620</v>
      </c>
      <c r="G3015" s="130">
        <v>2001</v>
      </c>
      <c r="H3015" s="125" t="s">
        <v>732</v>
      </c>
      <c r="I3015" s="340" t="str">
        <f t="shared" si="122"/>
        <v>Pesado de Passageiros M3: I : Gasóleo : E3</v>
      </c>
      <c r="J3015" s="125">
        <v>72</v>
      </c>
      <c r="K3015" s="264">
        <v>2022</v>
      </c>
      <c r="L3015" s="129">
        <v>30096.625100000001</v>
      </c>
      <c r="M3015" s="85" t="s">
        <v>630</v>
      </c>
      <c r="N3015" s="128">
        <v>64049</v>
      </c>
      <c r="O3015" s="128">
        <f t="shared" si="121"/>
        <v>4611528</v>
      </c>
      <c r="P3015" s="125" t="s">
        <v>2161</v>
      </c>
      <c r="Q3015" s="85" t="s">
        <v>47</v>
      </c>
      <c r="R3015" s="220" t="s">
        <v>1888</v>
      </c>
      <c r="S3015" s="220" t="s">
        <v>1861</v>
      </c>
      <c r="T3015" s="85" t="s">
        <v>4126</v>
      </c>
    </row>
    <row r="3016" spans="1:20" ht="15.75" thickBot="1" x14ac:dyDescent="0.3">
      <c r="A3016" t="s">
        <v>1929</v>
      </c>
      <c r="B3016" t="s">
        <v>1929</v>
      </c>
      <c r="C3016" s="82" t="s">
        <v>1929</v>
      </c>
      <c r="D3016" s="83" t="s">
        <v>629</v>
      </c>
      <c r="E3016" s="262" t="s">
        <v>1970</v>
      </c>
      <c r="F3016" s="124" t="s">
        <v>620</v>
      </c>
      <c r="G3016" s="130">
        <v>2001</v>
      </c>
      <c r="H3016" s="125" t="s">
        <v>732</v>
      </c>
      <c r="I3016" s="340" t="str">
        <f t="shared" si="122"/>
        <v>Pesado de Passageiros M3: I : Gasóleo : E3</v>
      </c>
      <c r="J3016" s="125">
        <v>72</v>
      </c>
      <c r="K3016" s="264">
        <v>2022</v>
      </c>
      <c r="L3016" s="129">
        <v>25074.056099999998</v>
      </c>
      <c r="M3016" s="85" t="s">
        <v>630</v>
      </c>
      <c r="N3016" s="128">
        <v>48007</v>
      </c>
      <c r="O3016" s="128">
        <f t="shared" si="121"/>
        <v>3456504</v>
      </c>
      <c r="P3016" s="125" t="s">
        <v>2162</v>
      </c>
      <c r="Q3016" s="85" t="s">
        <v>47</v>
      </c>
      <c r="R3016" s="220" t="s">
        <v>1888</v>
      </c>
      <c r="S3016" s="220" t="s">
        <v>1861</v>
      </c>
      <c r="T3016" s="85" t="s">
        <v>4127</v>
      </c>
    </row>
    <row r="3017" spans="1:20" ht="15.75" thickBot="1" x14ac:dyDescent="0.3">
      <c r="A3017" t="s">
        <v>1929</v>
      </c>
      <c r="B3017" t="s">
        <v>1929</v>
      </c>
      <c r="C3017" s="82" t="s">
        <v>1929</v>
      </c>
      <c r="D3017" s="83" t="s">
        <v>629</v>
      </c>
      <c r="E3017" s="262" t="s">
        <v>1970</v>
      </c>
      <c r="F3017" s="124" t="s">
        <v>620</v>
      </c>
      <c r="G3017" s="130">
        <v>2001</v>
      </c>
      <c r="H3017" s="125" t="s">
        <v>732</v>
      </c>
      <c r="I3017" s="340" t="str">
        <f t="shared" si="122"/>
        <v>Pesado de Passageiros M3: I : Gasóleo : E3</v>
      </c>
      <c r="J3017" s="125">
        <v>72</v>
      </c>
      <c r="K3017" s="264">
        <v>2022</v>
      </c>
      <c r="L3017" s="129">
        <v>25291.342800000002</v>
      </c>
      <c r="M3017" s="85" t="s">
        <v>630</v>
      </c>
      <c r="N3017" s="128">
        <v>57822</v>
      </c>
      <c r="O3017" s="128">
        <f t="shared" si="121"/>
        <v>4163184</v>
      </c>
      <c r="P3017" s="125" t="s">
        <v>2163</v>
      </c>
      <c r="Q3017" s="85" t="s">
        <v>47</v>
      </c>
      <c r="R3017" s="220" t="s">
        <v>1888</v>
      </c>
      <c r="S3017" s="220" t="s">
        <v>1861</v>
      </c>
      <c r="T3017" s="85" t="s">
        <v>4128</v>
      </c>
    </row>
    <row r="3018" spans="1:20" ht="15.75" thickBot="1" x14ac:dyDescent="0.3">
      <c r="A3018" t="s">
        <v>1929</v>
      </c>
      <c r="B3018" t="s">
        <v>1929</v>
      </c>
      <c r="C3018" s="82" t="s">
        <v>1929</v>
      </c>
      <c r="D3018" s="83" t="s">
        <v>629</v>
      </c>
      <c r="E3018" s="262" t="s">
        <v>1970</v>
      </c>
      <c r="F3018" s="124" t="s">
        <v>620</v>
      </c>
      <c r="G3018" s="130">
        <v>2001</v>
      </c>
      <c r="H3018" s="125" t="s">
        <v>732</v>
      </c>
      <c r="I3018" s="340" t="str">
        <f t="shared" si="122"/>
        <v>Pesado de Passageiros M3: I : Gasóleo : E3</v>
      </c>
      <c r="J3018" s="125">
        <v>72</v>
      </c>
      <c r="K3018" s="264">
        <v>2022</v>
      </c>
      <c r="L3018" s="129">
        <v>29119.152300000002</v>
      </c>
      <c r="M3018" s="85" t="s">
        <v>630</v>
      </c>
      <c r="N3018" s="128">
        <v>62367</v>
      </c>
      <c r="O3018" s="128">
        <f t="shared" si="121"/>
        <v>4490424</v>
      </c>
      <c r="P3018" s="125" t="s">
        <v>2164</v>
      </c>
      <c r="Q3018" s="85" t="s">
        <v>47</v>
      </c>
      <c r="R3018" s="220" t="s">
        <v>1888</v>
      </c>
      <c r="S3018" s="220" t="s">
        <v>1861</v>
      </c>
      <c r="T3018" s="85" t="s">
        <v>4129</v>
      </c>
    </row>
    <row r="3019" spans="1:20" ht="15.75" thickBot="1" x14ac:dyDescent="0.3">
      <c r="A3019" t="s">
        <v>1929</v>
      </c>
      <c r="B3019" t="s">
        <v>1929</v>
      </c>
      <c r="C3019" s="82" t="s">
        <v>1929</v>
      </c>
      <c r="D3019" s="83" t="s">
        <v>629</v>
      </c>
      <c r="E3019" s="262" t="s">
        <v>1970</v>
      </c>
      <c r="F3019" s="124" t="s">
        <v>620</v>
      </c>
      <c r="G3019" s="130"/>
      <c r="H3019" s="125" t="s">
        <v>732</v>
      </c>
      <c r="I3019" s="340" t="str">
        <f t="shared" si="122"/>
        <v>Pesado de Passageiros M3: I : Gasóleo : E3</v>
      </c>
      <c r="J3019" s="125"/>
      <c r="K3019" s="264">
        <v>2022</v>
      </c>
      <c r="L3019" s="85">
        <v>11243.4</v>
      </c>
      <c r="M3019" s="85" t="s">
        <v>630</v>
      </c>
      <c r="N3019" s="128">
        <v>32124</v>
      </c>
      <c r="O3019" s="128">
        <f t="shared" si="121"/>
        <v>0</v>
      </c>
      <c r="P3019" s="125" t="s">
        <v>3365</v>
      </c>
      <c r="Q3019" s="85" t="s">
        <v>47</v>
      </c>
      <c r="R3019" s="220" t="s">
        <v>1888</v>
      </c>
      <c r="S3019" s="220" t="s">
        <v>1861</v>
      </c>
      <c r="T3019" s="85" t="s">
        <v>4130</v>
      </c>
    </row>
    <row r="3020" spans="1:20" ht="15.75" thickBot="1" x14ac:dyDescent="0.3">
      <c r="A3020" t="s">
        <v>1929</v>
      </c>
      <c r="B3020" t="s">
        <v>1929</v>
      </c>
      <c r="C3020" s="82" t="s">
        <v>1929</v>
      </c>
      <c r="D3020" s="83" t="s">
        <v>629</v>
      </c>
      <c r="E3020" s="262" t="s">
        <v>1970</v>
      </c>
      <c r="F3020" s="124" t="s">
        <v>620</v>
      </c>
      <c r="G3020" s="130"/>
      <c r="H3020" s="125" t="s">
        <v>731</v>
      </c>
      <c r="I3020" s="340" t="str">
        <f t="shared" si="122"/>
        <v>Pesado de Passageiros M3: I : Gasóleo : E4</v>
      </c>
      <c r="J3020" s="125"/>
      <c r="K3020" s="264">
        <v>2022</v>
      </c>
      <c r="L3020" s="85">
        <v>4552.21</v>
      </c>
      <c r="M3020" s="85" t="s">
        <v>630</v>
      </c>
      <c r="N3020" s="128">
        <v>23959</v>
      </c>
      <c r="O3020" s="128">
        <f t="shared" si="121"/>
        <v>0</v>
      </c>
      <c r="P3020" s="125" t="s">
        <v>3331</v>
      </c>
      <c r="Q3020" s="85" t="s">
        <v>47</v>
      </c>
      <c r="R3020" s="220" t="s">
        <v>1888</v>
      </c>
      <c r="S3020" s="220" t="s">
        <v>1861</v>
      </c>
      <c r="T3020" s="85" t="s">
        <v>4131</v>
      </c>
    </row>
    <row r="3021" spans="1:20" ht="15.75" thickBot="1" x14ac:dyDescent="0.3">
      <c r="A3021" t="s">
        <v>1929</v>
      </c>
      <c r="B3021" t="s">
        <v>1929</v>
      </c>
      <c r="C3021" s="82" t="s">
        <v>1929</v>
      </c>
      <c r="D3021" s="83" t="s">
        <v>629</v>
      </c>
      <c r="E3021" s="262" t="s">
        <v>1970</v>
      </c>
      <c r="F3021" s="124" t="s">
        <v>620</v>
      </c>
      <c r="G3021" s="130"/>
      <c r="H3021" s="125" t="s">
        <v>731</v>
      </c>
      <c r="I3021" s="340" t="str">
        <f t="shared" si="122"/>
        <v>Pesado de Passageiros M3: I : Gasóleo : E4</v>
      </c>
      <c r="J3021" s="125"/>
      <c r="K3021" s="264">
        <v>2022</v>
      </c>
      <c r="L3021" s="253">
        <v>4346.74</v>
      </c>
      <c r="M3021" s="85" t="s">
        <v>630</v>
      </c>
      <c r="N3021" s="128">
        <v>18105</v>
      </c>
      <c r="O3021" s="128">
        <f t="shared" si="121"/>
        <v>0</v>
      </c>
      <c r="P3021" s="125" t="s">
        <v>3330</v>
      </c>
      <c r="Q3021" s="85" t="s">
        <v>47</v>
      </c>
      <c r="R3021" s="220" t="s">
        <v>1888</v>
      </c>
      <c r="S3021" s="220" t="s">
        <v>1861</v>
      </c>
      <c r="T3021" s="85" t="s">
        <v>4132</v>
      </c>
    </row>
    <row r="3022" spans="1:20" ht="15.75" thickBot="1" x14ac:dyDescent="0.3">
      <c r="A3022" t="s">
        <v>1929</v>
      </c>
      <c r="B3022" t="s">
        <v>1929</v>
      </c>
      <c r="C3022" s="82" t="s">
        <v>1929</v>
      </c>
      <c r="D3022" s="83" t="s">
        <v>629</v>
      </c>
      <c r="E3022" s="262" t="s">
        <v>1970</v>
      </c>
      <c r="F3022" s="124" t="s">
        <v>620</v>
      </c>
      <c r="G3022" s="130">
        <v>1997</v>
      </c>
      <c r="H3022" s="125" t="s">
        <v>735</v>
      </c>
      <c r="I3022" s="340" t="str">
        <f t="shared" si="122"/>
        <v>Pesado de Passageiros M3: I : Gasóleo : E2</v>
      </c>
      <c r="J3022" s="125">
        <v>110</v>
      </c>
      <c r="K3022" s="264">
        <v>2022</v>
      </c>
      <c r="L3022" s="129">
        <v>16458.55</v>
      </c>
      <c r="M3022" s="85" t="s">
        <v>630</v>
      </c>
      <c r="N3022" s="128">
        <v>24565</v>
      </c>
      <c r="O3022" s="128">
        <f t="shared" si="121"/>
        <v>2702150</v>
      </c>
      <c r="P3022" s="125" t="s">
        <v>2216</v>
      </c>
      <c r="Q3022" s="85" t="s">
        <v>47</v>
      </c>
      <c r="R3022" s="220" t="s">
        <v>1888</v>
      </c>
      <c r="S3022" s="220" t="s">
        <v>1861</v>
      </c>
      <c r="T3022" s="85" t="s">
        <v>4133</v>
      </c>
    </row>
    <row r="3023" spans="1:20" ht="15.75" thickBot="1" x14ac:dyDescent="0.3">
      <c r="A3023" t="s">
        <v>1929</v>
      </c>
      <c r="B3023" t="s">
        <v>1929</v>
      </c>
      <c r="C3023" s="82" t="s">
        <v>1929</v>
      </c>
      <c r="D3023" s="83" t="s">
        <v>629</v>
      </c>
      <c r="E3023" s="262" t="s">
        <v>1970</v>
      </c>
      <c r="F3023" s="124" t="s">
        <v>620</v>
      </c>
      <c r="G3023" s="130">
        <v>2003</v>
      </c>
      <c r="H3023" s="125" t="s">
        <v>732</v>
      </c>
      <c r="I3023" s="340" t="str">
        <f t="shared" si="122"/>
        <v>Pesado de Passageiros M3: I : Gasóleo : E3</v>
      </c>
      <c r="J3023" s="125">
        <v>73</v>
      </c>
      <c r="K3023" s="264">
        <v>2022</v>
      </c>
      <c r="L3023" s="129">
        <v>15849.947099999999</v>
      </c>
      <c r="M3023" s="85" t="s">
        <v>630</v>
      </c>
      <c r="N3023" s="128">
        <v>30711</v>
      </c>
      <c r="O3023" s="128">
        <f t="shared" si="121"/>
        <v>2241903</v>
      </c>
      <c r="P3023" s="125" t="s">
        <v>2185</v>
      </c>
      <c r="Q3023" s="85" t="s">
        <v>47</v>
      </c>
      <c r="R3023" s="220" t="s">
        <v>1888</v>
      </c>
      <c r="S3023" s="220" t="s">
        <v>1861</v>
      </c>
      <c r="T3023" s="85" t="s">
        <v>4134</v>
      </c>
    </row>
    <row r="3024" spans="1:20" ht="15.75" thickBot="1" x14ac:dyDescent="0.3">
      <c r="A3024" t="s">
        <v>1929</v>
      </c>
      <c r="B3024" t="s">
        <v>1929</v>
      </c>
      <c r="C3024" s="82" t="s">
        <v>1929</v>
      </c>
      <c r="D3024" s="83" t="s">
        <v>629</v>
      </c>
      <c r="E3024" s="262" t="s">
        <v>1970</v>
      </c>
      <c r="F3024" s="124" t="s">
        <v>620</v>
      </c>
      <c r="G3024" s="130"/>
      <c r="H3024" s="125" t="s">
        <v>731</v>
      </c>
      <c r="I3024" s="340" t="str">
        <f t="shared" si="122"/>
        <v>Pesado de Passageiros M3: I : Gasóleo : E4</v>
      </c>
      <c r="J3024" s="125"/>
      <c r="K3024" s="264">
        <v>2022</v>
      </c>
      <c r="L3024" s="85">
        <v>46.92</v>
      </c>
      <c r="M3024" s="85" t="s">
        <v>630</v>
      </c>
      <c r="N3024" s="128">
        <v>102</v>
      </c>
      <c r="O3024" s="128">
        <f t="shared" si="121"/>
        <v>0</v>
      </c>
      <c r="P3024" s="125" t="s">
        <v>4494</v>
      </c>
      <c r="Q3024" s="85" t="s">
        <v>47</v>
      </c>
      <c r="R3024" s="220" t="s">
        <v>1888</v>
      </c>
      <c r="S3024" s="220" t="s">
        <v>1861</v>
      </c>
      <c r="T3024" s="85" t="s">
        <v>4135</v>
      </c>
    </row>
    <row r="3025" spans="1:20" ht="15.75" thickBot="1" x14ac:dyDescent="0.3">
      <c r="A3025" t="s">
        <v>1929</v>
      </c>
      <c r="B3025" t="s">
        <v>1929</v>
      </c>
      <c r="C3025" s="82" t="s">
        <v>1929</v>
      </c>
      <c r="D3025" s="83" t="s">
        <v>629</v>
      </c>
      <c r="E3025" s="262" t="s">
        <v>1970</v>
      </c>
      <c r="F3025" s="124" t="s">
        <v>620</v>
      </c>
      <c r="G3025" s="130">
        <v>1996</v>
      </c>
      <c r="H3025" s="125" t="s">
        <v>736</v>
      </c>
      <c r="I3025" s="340" t="str">
        <f t="shared" si="122"/>
        <v>Pesado de Passageiros M3: I : Gasóleo : E1</v>
      </c>
      <c r="J3025" s="125">
        <v>116</v>
      </c>
      <c r="K3025" s="264">
        <v>2022</v>
      </c>
      <c r="L3025" s="129">
        <v>21879.471599999997</v>
      </c>
      <c r="M3025" s="85" t="s">
        <v>630</v>
      </c>
      <c r="N3025" s="128">
        <v>31563</v>
      </c>
      <c r="O3025" s="128">
        <f t="shared" si="121"/>
        <v>3661308</v>
      </c>
      <c r="P3025" s="125" t="s">
        <v>2215</v>
      </c>
      <c r="Q3025" s="85" t="s">
        <v>47</v>
      </c>
      <c r="R3025" s="220" t="s">
        <v>1888</v>
      </c>
      <c r="S3025" s="220" t="s">
        <v>1861</v>
      </c>
      <c r="T3025" s="85" t="s">
        <v>4136</v>
      </c>
    </row>
    <row r="3026" spans="1:20" ht="15.75" thickBot="1" x14ac:dyDescent="0.3">
      <c r="A3026" t="s">
        <v>1929</v>
      </c>
      <c r="B3026" t="s">
        <v>1929</v>
      </c>
      <c r="C3026" s="82" t="s">
        <v>1929</v>
      </c>
      <c r="D3026" s="83" t="s">
        <v>629</v>
      </c>
      <c r="E3026" s="262" t="s">
        <v>1970</v>
      </c>
      <c r="F3026" s="124" t="s">
        <v>620</v>
      </c>
      <c r="G3026" s="130"/>
      <c r="H3026" s="125" t="s">
        <v>732</v>
      </c>
      <c r="I3026" s="340" t="str">
        <f t="shared" si="122"/>
        <v>Pesado de Passageiros M3: I : Gasóleo : E3</v>
      </c>
      <c r="J3026" s="125"/>
      <c r="K3026" s="264">
        <v>2022</v>
      </c>
      <c r="L3026" s="85">
        <v>9683.73</v>
      </c>
      <c r="M3026" s="85" t="s">
        <v>630</v>
      </c>
      <c r="N3026" s="128">
        <v>16989</v>
      </c>
      <c r="O3026" s="128">
        <f t="shared" si="121"/>
        <v>0</v>
      </c>
      <c r="P3026" s="125" t="s">
        <v>3364</v>
      </c>
      <c r="Q3026" s="85" t="s">
        <v>47</v>
      </c>
      <c r="R3026" s="220" t="s">
        <v>1888</v>
      </c>
      <c r="S3026" s="220" t="s">
        <v>1861</v>
      </c>
      <c r="T3026" s="85" t="s">
        <v>4137</v>
      </c>
    </row>
    <row r="3027" spans="1:20" ht="15.75" thickBot="1" x14ac:dyDescent="0.3">
      <c r="A3027" t="s">
        <v>1929</v>
      </c>
      <c r="B3027" t="s">
        <v>1929</v>
      </c>
      <c r="C3027" s="82" t="s">
        <v>1929</v>
      </c>
      <c r="D3027" s="83" t="s">
        <v>629</v>
      </c>
      <c r="E3027" s="262" t="s">
        <v>1970</v>
      </c>
      <c r="F3027" s="124" t="s">
        <v>620</v>
      </c>
      <c r="G3027" s="130">
        <v>2007</v>
      </c>
      <c r="H3027" s="125" t="s">
        <v>731</v>
      </c>
      <c r="I3027" s="340" t="str">
        <f t="shared" si="122"/>
        <v>Pesado de Passageiros M3: I : Gasóleo : E4</v>
      </c>
      <c r="J3027" s="125">
        <v>61</v>
      </c>
      <c r="K3027" s="264">
        <v>2022</v>
      </c>
      <c r="L3027" s="129">
        <v>32791.852500000001</v>
      </c>
      <c r="M3027" s="85" t="s">
        <v>630</v>
      </c>
      <c r="N3027" s="128">
        <v>62425</v>
      </c>
      <c r="O3027" s="128">
        <f t="shared" si="121"/>
        <v>3807925</v>
      </c>
      <c r="P3027" s="125" t="s">
        <v>2049</v>
      </c>
      <c r="Q3027" s="85" t="s">
        <v>47</v>
      </c>
      <c r="R3027" s="220" t="s">
        <v>1888</v>
      </c>
      <c r="S3027" s="220" t="s">
        <v>1861</v>
      </c>
      <c r="T3027" s="85" t="s">
        <v>4138</v>
      </c>
    </row>
    <row r="3028" spans="1:20" ht="15.75" thickBot="1" x14ac:dyDescent="0.3">
      <c r="A3028" t="s">
        <v>1929</v>
      </c>
      <c r="B3028" t="s">
        <v>1929</v>
      </c>
      <c r="C3028" s="82" t="s">
        <v>1929</v>
      </c>
      <c r="D3028" s="83" t="s">
        <v>629</v>
      </c>
      <c r="E3028" s="262" t="s">
        <v>1970</v>
      </c>
      <c r="F3028" s="124" t="s">
        <v>620</v>
      </c>
      <c r="G3028" s="130">
        <v>1997</v>
      </c>
      <c r="H3028" s="125" t="s">
        <v>735</v>
      </c>
      <c r="I3028" s="340" t="str">
        <f t="shared" si="122"/>
        <v>Pesado de Passageiros M3: I : Gasóleo : E2</v>
      </c>
      <c r="J3028" s="125">
        <v>72</v>
      </c>
      <c r="K3028" s="264">
        <v>2022</v>
      </c>
      <c r="L3028" s="129">
        <v>15074.4</v>
      </c>
      <c r="M3028" s="85" t="s">
        <v>630</v>
      </c>
      <c r="N3028" s="128">
        <v>31405</v>
      </c>
      <c r="O3028" s="128">
        <f t="shared" si="121"/>
        <v>2261160</v>
      </c>
      <c r="P3028" s="125" t="s">
        <v>2165</v>
      </c>
      <c r="Q3028" s="85" t="s">
        <v>47</v>
      </c>
      <c r="R3028" s="220" t="s">
        <v>1888</v>
      </c>
      <c r="S3028" s="220" t="s">
        <v>1861</v>
      </c>
      <c r="T3028" s="85" t="s">
        <v>4139</v>
      </c>
    </row>
    <row r="3029" spans="1:20" ht="15.75" thickBot="1" x14ac:dyDescent="0.3">
      <c r="A3029" t="s">
        <v>1929</v>
      </c>
      <c r="B3029" t="s">
        <v>1929</v>
      </c>
      <c r="C3029" s="82" t="s">
        <v>1929</v>
      </c>
      <c r="D3029" s="83" t="s">
        <v>629</v>
      </c>
      <c r="E3029" s="262" t="s">
        <v>1970</v>
      </c>
      <c r="F3029" s="124" t="s">
        <v>620</v>
      </c>
      <c r="G3029" s="130">
        <v>2006</v>
      </c>
      <c r="H3029" s="125" t="s">
        <v>731</v>
      </c>
      <c r="I3029" s="340" t="str">
        <f t="shared" si="122"/>
        <v>Pesado de Passageiros M3: I : Gasóleo : E4</v>
      </c>
      <c r="J3029" s="125">
        <v>137</v>
      </c>
      <c r="K3029" s="264">
        <v>2022</v>
      </c>
      <c r="L3029" s="129">
        <v>27824.203799999999</v>
      </c>
      <c r="M3029" s="85" t="s">
        <v>630</v>
      </c>
      <c r="N3029" s="128">
        <v>43866</v>
      </c>
      <c r="O3029" s="128">
        <f t="shared" si="121"/>
        <v>6009642</v>
      </c>
      <c r="P3029" s="125" t="s">
        <v>2083</v>
      </c>
      <c r="Q3029" s="85" t="s">
        <v>47</v>
      </c>
      <c r="R3029" s="220" t="s">
        <v>1888</v>
      </c>
      <c r="S3029" s="220" t="s">
        <v>1861</v>
      </c>
      <c r="T3029" s="85" t="s">
        <v>4140</v>
      </c>
    </row>
    <row r="3030" spans="1:20" ht="15.75" thickBot="1" x14ac:dyDescent="0.3">
      <c r="A3030" t="s">
        <v>1929</v>
      </c>
      <c r="B3030" t="s">
        <v>1929</v>
      </c>
      <c r="C3030" s="82" t="s">
        <v>1929</v>
      </c>
      <c r="D3030" s="83" t="s">
        <v>629</v>
      </c>
      <c r="E3030" s="262" t="s">
        <v>1970</v>
      </c>
      <c r="F3030" s="124" t="s">
        <v>620</v>
      </c>
      <c r="G3030" s="130">
        <v>2009</v>
      </c>
      <c r="H3030" s="125" t="s">
        <v>734</v>
      </c>
      <c r="I3030" s="340" t="str">
        <f t="shared" si="122"/>
        <v>Pesado de Passageiros M3: I : Gasóleo : E5</v>
      </c>
      <c r="J3030" s="125">
        <v>66</v>
      </c>
      <c r="K3030" s="264">
        <v>2022</v>
      </c>
      <c r="L3030" s="129">
        <v>22958.264999999999</v>
      </c>
      <c r="M3030" s="85" t="s">
        <v>630</v>
      </c>
      <c r="N3030" s="128">
        <v>50182</v>
      </c>
      <c r="O3030" s="128">
        <f t="shared" si="121"/>
        <v>3312012</v>
      </c>
      <c r="P3030" s="125" t="s">
        <v>2135</v>
      </c>
      <c r="Q3030" s="85" t="s">
        <v>47</v>
      </c>
      <c r="R3030" s="220" t="s">
        <v>1888</v>
      </c>
      <c r="S3030" s="220" t="s">
        <v>1861</v>
      </c>
      <c r="T3030" s="85" t="s">
        <v>4141</v>
      </c>
    </row>
    <row r="3031" spans="1:20" ht="15.75" thickBot="1" x14ac:dyDescent="0.3">
      <c r="A3031" t="s">
        <v>1929</v>
      </c>
      <c r="B3031" t="s">
        <v>1929</v>
      </c>
      <c r="C3031" s="82" t="s">
        <v>1929</v>
      </c>
      <c r="D3031" s="83" t="s">
        <v>629</v>
      </c>
      <c r="E3031" s="262" t="s">
        <v>1970</v>
      </c>
      <c r="F3031" s="124" t="s">
        <v>620</v>
      </c>
      <c r="G3031" s="130">
        <v>2000</v>
      </c>
      <c r="H3031" s="125" t="s">
        <v>732</v>
      </c>
      <c r="I3031" s="340" t="str">
        <f t="shared" si="122"/>
        <v>Pesado de Passageiros M3: I : Gasóleo : E3</v>
      </c>
      <c r="J3031" s="125">
        <v>81</v>
      </c>
      <c r="K3031" s="264">
        <v>2022</v>
      </c>
      <c r="L3031" s="129">
        <v>20843.52</v>
      </c>
      <c r="M3031" s="85" t="s">
        <v>630</v>
      </c>
      <c r="N3031" s="128">
        <v>43424</v>
      </c>
      <c r="O3031" s="128">
        <f t="shared" si="121"/>
        <v>3517344</v>
      </c>
      <c r="P3031" s="125" t="s">
        <v>2194</v>
      </c>
      <c r="Q3031" s="85" t="s">
        <v>47</v>
      </c>
      <c r="R3031" s="220" t="s">
        <v>1888</v>
      </c>
      <c r="S3031" s="220" t="s">
        <v>1861</v>
      </c>
      <c r="T3031" s="85" t="s">
        <v>4142</v>
      </c>
    </row>
    <row r="3032" spans="1:20" ht="15.75" thickBot="1" x14ac:dyDescent="0.3">
      <c r="A3032" t="s">
        <v>1929</v>
      </c>
      <c r="B3032" t="s">
        <v>1929</v>
      </c>
      <c r="C3032" s="82" t="s">
        <v>1929</v>
      </c>
      <c r="D3032" s="83" t="s">
        <v>629</v>
      </c>
      <c r="E3032" s="262" t="s">
        <v>1970</v>
      </c>
      <c r="F3032" s="124" t="s">
        <v>620</v>
      </c>
      <c r="G3032" s="130">
        <v>2000</v>
      </c>
      <c r="H3032" s="125" t="s">
        <v>732</v>
      </c>
      <c r="I3032" s="340" t="str">
        <f t="shared" si="122"/>
        <v>Pesado de Passageiros M3: I : Gasóleo : E3</v>
      </c>
      <c r="J3032" s="125">
        <v>81</v>
      </c>
      <c r="K3032" s="264">
        <v>2022</v>
      </c>
      <c r="L3032" s="129">
        <v>28055.147999999997</v>
      </c>
      <c r="M3032" s="85" t="s">
        <v>630</v>
      </c>
      <c r="N3032" s="128">
        <v>56540</v>
      </c>
      <c r="O3032" s="128">
        <f t="shared" si="121"/>
        <v>4579740</v>
      </c>
      <c r="P3032" s="125" t="s">
        <v>2171</v>
      </c>
      <c r="Q3032" s="85" t="s">
        <v>47</v>
      </c>
      <c r="R3032" s="220" t="s">
        <v>1888</v>
      </c>
      <c r="S3032" s="220" t="s">
        <v>1861</v>
      </c>
      <c r="T3032" s="85" t="s">
        <v>4143</v>
      </c>
    </row>
    <row r="3033" spans="1:20" ht="15.75" thickBot="1" x14ac:dyDescent="0.3">
      <c r="A3033" t="s">
        <v>1929</v>
      </c>
      <c r="B3033" t="s">
        <v>1929</v>
      </c>
      <c r="C3033" s="82" t="s">
        <v>1929</v>
      </c>
      <c r="D3033" s="83" t="s">
        <v>629</v>
      </c>
      <c r="E3033" s="262" t="s">
        <v>1970</v>
      </c>
      <c r="F3033" s="124" t="s">
        <v>620</v>
      </c>
      <c r="G3033" s="130">
        <v>2002</v>
      </c>
      <c r="H3033" s="125" t="s">
        <v>732</v>
      </c>
      <c r="I3033" s="340" t="str">
        <f t="shared" si="122"/>
        <v>Pesado de Passageiros M3: I : Gasóleo : E3</v>
      </c>
      <c r="J3033" s="125">
        <v>81</v>
      </c>
      <c r="K3033" s="264">
        <v>2022</v>
      </c>
      <c r="L3033" s="129">
        <v>25580.639800000001</v>
      </c>
      <c r="M3033" s="85" t="s">
        <v>630</v>
      </c>
      <c r="N3033" s="128">
        <v>55598</v>
      </c>
      <c r="O3033" s="128">
        <f t="shared" si="121"/>
        <v>4503438</v>
      </c>
      <c r="P3033" s="125" t="s">
        <v>2175</v>
      </c>
      <c r="Q3033" s="85" t="s">
        <v>47</v>
      </c>
      <c r="R3033" s="220" t="s">
        <v>1888</v>
      </c>
      <c r="S3033" s="220" t="s">
        <v>1861</v>
      </c>
      <c r="T3033" s="85" t="s">
        <v>4144</v>
      </c>
    </row>
    <row r="3034" spans="1:20" ht="15.75" thickBot="1" x14ac:dyDescent="0.3">
      <c r="A3034" t="s">
        <v>1929</v>
      </c>
      <c r="B3034" t="s">
        <v>1929</v>
      </c>
      <c r="C3034" s="82" t="s">
        <v>1929</v>
      </c>
      <c r="D3034" s="83" t="s">
        <v>629</v>
      </c>
      <c r="E3034" s="262" t="s">
        <v>1970</v>
      </c>
      <c r="F3034" s="124" t="s">
        <v>620</v>
      </c>
      <c r="G3034" s="130">
        <v>2000</v>
      </c>
      <c r="H3034" s="125" t="s">
        <v>732</v>
      </c>
      <c r="I3034" s="340" t="str">
        <f t="shared" si="122"/>
        <v>Pesado de Passageiros M3: I : Gasóleo : E3</v>
      </c>
      <c r="J3034" s="125">
        <v>73</v>
      </c>
      <c r="K3034" s="264">
        <v>2022</v>
      </c>
      <c r="L3034" s="129">
        <v>22848.995999999999</v>
      </c>
      <c r="M3034" s="85" t="s">
        <v>630</v>
      </c>
      <c r="N3034" s="128">
        <v>44281</v>
      </c>
      <c r="O3034" s="128">
        <f t="shared" si="121"/>
        <v>3232513</v>
      </c>
      <c r="P3034" s="125" t="s">
        <v>2176</v>
      </c>
      <c r="Q3034" s="85" t="s">
        <v>47</v>
      </c>
      <c r="R3034" s="220" t="s">
        <v>1888</v>
      </c>
      <c r="S3034" s="220" t="s">
        <v>1861</v>
      </c>
      <c r="T3034" s="85" t="s">
        <v>4145</v>
      </c>
    </row>
    <row r="3035" spans="1:20" ht="15.75" thickBot="1" x14ac:dyDescent="0.3">
      <c r="A3035" t="s">
        <v>1929</v>
      </c>
      <c r="B3035" t="s">
        <v>1929</v>
      </c>
      <c r="C3035" s="82" t="s">
        <v>1929</v>
      </c>
      <c r="D3035" s="83" t="s">
        <v>629</v>
      </c>
      <c r="E3035" s="262" t="s">
        <v>1970</v>
      </c>
      <c r="F3035" s="124" t="s">
        <v>620</v>
      </c>
      <c r="G3035" s="130">
        <v>2007</v>
      </c>
      <c r="H3035" s="125" t="s">
        <v>731</v>
      </c>
      <c r="I3035" s="340" t="str">
        <f t="shared" si="122"/>
        <v>Pesado de Passageiros M3: I : Gasóleo : E4</v>
      </c>
      <c r="J3035" s="125">
        <v>61</v>
      </c>
      <c r="K3035" s="264">
        <v>2022</v>
      </c>
      <c r="L3035" s="129">
        <v>31907.423599999998</v>
      </c>
      <c r="M3035" s="85" t="s">
        <v>630</v>
      </c>
      <c r="N3035" s="128">
        <v>64084</v>
      </c>
      <c r="O3035" s="128">
        <f t="shared" si="121"/>
        <v>3909124</v>
      </c>
      <c r="P3035" s="125" t="s">
        <v>2051</v>
      </c>
      <c r="Q3035" s="85" t="s">
        <v>47</v>
      </c>
      <c r="R3035" s="220" t="s">
        <v>1888</v>
      </c>
      <c r="S3035" s="220" t="s">
        <v>1861</v>
      </c>
      <c r="T3035" s="85" t="s">
        <v>4146</v>
      </c>
    </row>
    <row r="3036" spans="1:20" ht="15.75" thickBot="1" x14ac:dyDescent="0.3">
      <c r="A3036" t="s">
        <v>1929</v>
      </c>
      <c r="B3036" t="s">
        <v>1929</v>
      </c>
      <c r="C3036" s="82" t="s">
        <v>1929</v>
      </c>
      <c r="D3036" s="83" t="s">
        <v>629</v>
      </c>
      <c r="E3036" s="262" t="s">
        <v>1970</v>
      </c>
      <c r="F3036" s="124" t="s">
        <v>620</v>
      </c>
      <c r="G3036" s="130">
        <v>2001</v>
      </c>
      <c r="H3036" s="125" t="s">
        <v>732</v>
      </c>
      <c r="I3036" s="340" t="str">
        <f t="shared" si="122"/>
        <v>Pesado de Passageiros M3: I : Gasóleo : E3</v>
      </c>
      <c r="J3036" s="125">
        <v>64</v>
      </c>
      <c r="K3036" s="264">
        <v>2022</v>
      </c>
      <c r="L3036" s="129">
        <v>26122.105800000001</v>
      </c>
      <c r="M3036" s="85" t="s">
        <v>630</v>
      </c>
      <c r="N3036" s="128">
        <v>50841</v>
      </c>
      <c r="O3036" s="128">
        <f t="shared" si="121"/>
        <v>3253824</v>
      </c>
      <c r="P3036" s="125" t="s">
        <v>2190</v>
      </c>
      <c r="Q3036" s="85" t="s">
        <v>47</v>
      </c>
      <c r="R3036" s="220" t="s">
        <v>1888</v>
      </c>
      <c r="S3036" s="220" t="s">
        <v>1861</v>
      </c>
      <c r="T3036" s="85" t="s">
        <v>4147</v>
      </c>
    </row>
    <row r="3037" spans="1:20" ht="15.75" thickBot="1" x14ac:dyDescent="0.3">
      <c r="A3037" t="s">
        <v>1929</v>
      </c>
      <c r="B3037" t="s">
        <v>1929</v>
      </c>
      <c r="C3037" s="82" t="s">
        <v>1929</v>
      </c>
      <c r="D3037" s="83" t="s">
        <v>629</v>
      </c>
      <c r="E3037" s="262" t="s">
        <v>1970</v>
      </c>
      <c r="F3037" s="124" t="s">
        <v>620</v>
      </c>
      <c r="G3037" s="130">
        <v>2007</v>
      </c>
      <c r="H3037" s="125" t="s">
        <v>731</v>
      </c>
      <c r="I3037" s="340" t="str">
        <f t="shared" si="122"/>
        <v>Pesado de Passageiros M3: I : Gasóleo : E4</v>
      </c>
      <c r="J3037" s="125">
        <v>63</v>
      </c>
      <c r="K3037" s="264">
        <v>2022</v>
      </c>
      <c r="L3037" s="129">
        <v>32471.312399999999</v>
      </c>
      <c r="M3037" s="85" t="s">
        <v>630</v>
      </c>
      <c r="N3037" s="128">
        <v>58953</v>
      </c>
      <c r="O3037" s="128">
        <f t="shared" si="121"/>
        <v>3714039</v>
      </c>
      <c r="P3037" s="125" t="s">
        <v>2050</v>
      </c>
      <c r="Q3037" s="85" t="s">
        <v>47</v>
      </c>
      <c r="R3037" s="220" t="s">
        <v>1888</v>
      </c>
      <c r="S3037" s="220" t="s">
        <v>1861</v>
      </c>
      <c r="T3037" s="85" t="s">
        <v>4148</v>
      </c>
    </row>
    <row r="3038" spans="1:20" ht="15.75" thickBot="1" x14ac:dyDescent="0.3">
      <c r="A3038" t="s">
        <v>1929</v>
      </c>
      <c r="B3038" t="s">
        <v>1929</v>
      </c>
      <c r="C3038" s="82" t="s">
        <v>1929</v>
      </c>
      <c r="D3038" s="83" t="s">
        <v>629</v>
      </c>
      <c r="E3038" s="262" t="s">
        <v>1970</v>
      </c>
      <c r="F3038" s="124" t="s">
        <v>620</v>
      </c>
      <c r="G3038" s="130"/>
      <c r="H3038" s="125" t="s">
        <v>731</v>
      </c>
      <c r="I3038" s="340" t="str">
        <f t="shared" si="122"/>
        <v>Pesado de Passageiros M3: I : Gasóleo : E4</v>
      </c>
      <c r="J3038" s="125"/>
      <c r="K3038" s="264">
        <v>2022</v>
      </c>
      <c r="L3038" s="85">
        <v>17205.650000000001</v>
      </c>
      <c r="M3038" s="85" t="s">
        <v>630</v>
      </c>
      <c r="N3038" s="128">
        <v>31283</v>
      </c>
      <c r="O3038" s="128">
        <f t="shared" si="121"/>
        <v>0</v>
      </c>
      <c r="P3038" s="125" t="s">
        <v>3382</v>
      </c>
      <c r="Q3038" s="85" t="s">
        <v>47</v>
      </c>
      <c r="R3038" s="220" t="s">
        <v>1888</v>
      </c>
      <c r="S3038" s="220" t="s">
        <v>1861</v>
      </c>
      <c r="T3038" s="85" t="s">
        <v>4149</v>
      </c>
    </row>
    <row r="3039" spans="1:20" ht="15.75" thickBot="1" x14ac:dyDescent="0.3">
      <c r="A3039" t="s">
        <v>1929</v>
      </c>
      <c r="B3039" t="s">
        <v>1929</v>
      </c>
      <c r="C3039" s="82" t="s">
        <v>1929</v>
      </c>
      <c r="D3039" s="83" t="s">
        <v>629</v>
      </c>
      <c r="E3039" s="262" t="s">
        <v>1970</v>
      </c>
      <c r="F3039" s="124" t="s">
        <v>620</v>
      </c>
      <c r="G3039" s="130">
        <v>1998</v>
      </c>
      <c r="H3039" s="125" t="s">
        <v>735</v>
      </c>
      <c r="I3039" s="340" t="str">
        <f t="shared" si="122"/>
        <v>Pesado de Passageiros M3: I : Gasóleo : E2</v>
      </c>
      <c r="J3039" s="125">
        <v>78</v>
      </c>
      <c r="K3039" s="264">
        <v>2022</v>
      </c>
      <c r="L3039" s="129">
        <v>29916.066199999997</v>
      </c>
      <c r="M3039" s="85" t="s">
        <v>630</v>
      </c>
      <c r="N3039" s="128">
        <v>54482</v>
      </c>
      <c r="O3039" s="128">
        <f t="shared" si="121"/>
        <v>4249596</v>
      </c>
      <c r="P3039" s="125" t="s">
        <v>2157</v>
      </c>
      <c r="Q3039" s="85" t="s">
        <v>47</v>
      </c>
      <c r="R3039" s="220" t="s">
        <v>1888</v>
      </c>
      <c r="S3039" s="220" t="s">
        <v>1861</v>
      </c>
      <c r="T3039" s="85" t="s">
        <v>4150</v>
      </c>
    </row>
    <row r="3040" spans="1:20" ht="15.75" thickBot="1" x14ac:dyDescent="0.3">
      <c r="A3040" t="s">
        <v>1929</v>
      </c>
      <c r="B3040" t="s">
        <v>1929</v>
      </c>
      <c r="C3040" s="82" t="s">
        <v>1929</v>
      </c>
      <c r="D3040" s="83" t="s">
        <v>629</v>
      </c>
      <c r="E3040" s="262" t="s">
        <v>1970</v>
      </c>
      <c r="F3040" s="124" t="s">
        <v>620</v>
      </c>
      <c r="G3040" s="130">
        <v>2008</v>
      </c>
      <c r="H3040" s="125" t="s">
        <v>731</v>
      </c>
      <c r="I3040" s="340" t="str">
        <f t="shared" si="122"/>
        <v>Pesado de Passageiros M3: I : Gasóleo : E4</v>
      </c>
      <c r="J3040" s="125">
        <v>21</v>
      </c>
      <c r="K3040" s="264">
        <v>2022</v>
      </c>
      <c r="L3040" s="129">
        <v>9156.2425000000003</v>
      </c>
      <c r="M3040" s="85" t="s">
        <v>630</v>
      </c>
      <c r="N3040" s="128">
        <v>37145</v>
      </c>
      <c r="O3040" s="128">
        <f t="shared" si="121"/>
        <v>780045</v>
      </c>
      <c r="P3040" s="125" t="s">
        <v>1976</v>
      </c>
      <c r="Q3040" s="85" t="s">
        <v>47</v>
      </c>
      <c r="R3040" s="220" t="s">
        <v>1888</v>
      </c>
      <c r="S3040" s="220" t="s">
        <v>1861</v>
      </c>
      <c r="T3040" s="85" t="s">
        <v>4151</v>
      </c>
    </row>
    <row r="3041" spans="1:20" ht="15.75" thickBot="1" x14ac:dyDescent="0.3">
      <c r="A3041" t="s">
        <v>1929</v>
      </c>
      <c r="B3041" t="s">
        <v>1929</v>
      </c>
      <c r="C3041" s="82" t="s">
        <v>1929</v>
      </c>
      <c r="D3041" s="83" t="s">
        <v>629</v>
      </c>
      <c r="E3041" s="262" t="s">
        <v>1970</v>
      </c>
      <c r="F3041" s="124" t="s">
        <v>620</v>
      </c>
      <c r="G3041" s="130">
        <v>2010</v>
      </c>
      <c r="H3041" s="125" t="s">
        <v>734</v>
      </c>
      <c r="I3041" s="340" t="str">
        <f t="shared" si="122"/>
        <v>Pesado de Passageiros M3: I : Gasóleo : E5</v>
      </c>
      <c r="J3041" s="125">
        <v>56</v>
      </c>
      <c r="K3041" s="264">
        <v>2022</v>
      </c>
      <c r="L3041" s="129">
        <v>14780.326799999999</v>
      </c>
      <c r="M3041" s="85" t="s">
        <v>630</v>
      </c>
      <c r="N3041" s="128">
        <v>38074</v>
      </c>
      <c r="O3041" s="128">
        <f t="shared" si="121"/>
        <v>2132144</v>
      </c>
      <c r="P3041" s="125" t="s">
        <v>1994</v>
      </c>
      <c r="Q3041" s="85" t="s">
        <v>47</v>
      </c>
      <c r="R3041" s="220" t="s">
        <v>1888</v>
      </c>
      <c r="S3041" s="220" t="s">
        <v>1861</v>
      </c>
      <c r="T3041" s="85" t="s">
        <v>4152</v>
      </c>
    </row>
    <row r="3042" spans="1:20" ht="15.75" thickBot="1" x14ac:dyDescent="0.3">
      <c r="A3042" t="s">
        <v>1929</v>
      </c>
      <c r="B3042" t="s">
        <v>1929</v>
      </c>
      <c r="C3042" s="82" t="s">
        <v>1929</v>
      </c>
      <c r="D3042" s="83" t="s">
        <v>629</v>
      </c>
      <c r="E3042" s="262" t="s">
        <v>1970</v>
      </c>
      <c r="F3042" s="124" t="s">
        <v>620</v>
      </c>
      <c r="G3042" s="130"/>
      <c r="H3042" s="125" t="s">
        <v>732</v>
      </c>
      <c r="I3042" s="340" t="str">
        <f t="shared" si="122"/>
        <v>Pesado de Passageiros M3: I : Gasóleo : E3</v>
      </c>
      <c r="J3042" s="125"/>
      <c r="K3042" s="264">
        <v>2022</v>
      </c>
      <c r="L3042" s="85">
        <v>18288.8946</v>
      </c>
      <c r="M3042" s="85" t="s">
        <v>630</v>
      </c>
      <c r="N3042" s="128">
        <v>39129</v>
      </c>
      <c r="O3042" s="128">
        <f t="shared" si="121"/>
        <v>0</v>
      </c>
      <c r="P3042" s="125" t="s">
        <v>2098</v>
      </c>
      <c r="Q3042" s="85" t="s">
        <v>47</v>
      </c>
      <c r="R3042" s="220" t="s">
        <v>1888</v>
      </c>
      <c r="S3042" s="220" t="s">
        <v>1861</v>
      </c>
      <c r="T3042" s="85" t="s">
        <v>3464</v>
      </c>
    </row>
    <row r="3043" spans="1:20" ht="15.75" thickBot="1" x14ac:dyDescent="0.3">
      <c r="A3043" t="s">
        <v>1929</v>
      </c>
      <c r="B3043" t="s">
        <v>1929</v>
      </c>
      <c r="C3043" s="82" t="s">
        <v>1929</v>
      </c>
      <c r="D3043" s="83" t="s">
        <v>629</v>
      </c>
      <c r="E3043" s="262" t="s">
        <v>1970</v>
      </c>
      <c r="F3043" s="124" t="s">
        <v>620</v>
      </c>
      <c r="G3043" s="130">
        <v>2003</v>
      </c>
      <c r="H3043" s="125" t="s">
        <v>732</v>
      </c>
      <c r="I3043" s="340" t="str">
        <f t="shared" si="122"/>
        <v>Pesado de Passageiros M3: I : Gasóleo : E3</v>
      </c>
      <c r="J3043" s="125">
        <v>77</v>
      </c>
      <c r="K3043" s="264">
        <v>2022</v>
      </c>
      <c r="L3043" s="421">
        <v>5855.6054000000004</v>
      </c>
      <c r="M3043" s="85" t="s">
        <v>630</v>
      </c>
      <c r="N3043" s="128">
        <v>12642</v>
      </c>
      <c r="O3043" s="128">
        <f t="shared" si="121"/>
        <v>973434</v>
      </c>
      <c r="P3043" s="125" t="s">
        <v>2098</v>
      </c>
      <c r="Q3043" s="85" t="s">
        <v>47</v>
      </c>
      <c r="R3043" s="220" t="s">
        <v>1888</v>
      </c>
      <c r="S3043" s="220" t="s">
        <v>1861</v>
      </c>
      <c r="T3043" s="85" t="s">
        <v>3464</v>
      </c>
    </row>
    <row r="3044" spans="1:20" ht="15.75" thickBot="1" x14ac:dyDescent="0.3">
      <c r="A3044" t="s">
        <v>1929</v>
      </c>
      <c r="B3044" t="s">
        <v>1929</v>
      </c>
      <c r="C3044" s="82" t="s">
        <v>1929</v>
      </c>
      <c r="D3044" s="83" t="s">
        <v>629</v>
      </c>
      <c r="E3044" s="262" t="s">
        <v>1970</v>
      </c>
      <c r="F3044" s="124" t="s">
        <v>620</v>
      </c>
      <c r="G3044" s="130">
        <v>2003</v>
      </c>
      <c r="H3044" s="125" t="s">
        <v>732</v>
      </c>
      <c r="I3044" s="340" t="str">
        <f t="shared" si="122"/>
        <v>Pesado de Passageiros M3: I : Gasóleo : E3</v>
      </c>
      <c r="J3044" s="125">
        <v>77</v>
      </c>
      <c r="K3044" s="264">
        <v>2022</v>
      </c>
      <c r="L3044" s="129">
        <v>30455.428500000002</v>
      </c>
      <c r="M3044" s="85" t="s">
        <v>630</v>
      </c>
      <c r="N3044" s="128">
        <v>64785</v>
      </c>
      <c r="O3044" s="128">
        <f t="shared" si="121"/>
        <v>4988445</v>
      </c>
      <c r="P3044" s="125" t="s">
        <v>2097</v>
      </c>
      <c r="Q3044" s="85" t="s">
        <v>47</v>
      </c>
      <c r="R3044" s="220" t="s">
        <v>1888</v>
      </c>
      <c r="S3044" s="220" t="s">
        <v>1861</v>
      </c>
      <c r="T3044" s="85" t="s">
        <v>4153</v>
      </c>
    </row>
    <row r="3045" spans="1:20" ht="15.75" thickBot="1" x14ac:dyDescent="0.3">
      <c r="A3045" t="s">
        <v>1929</v>
      </c>
      <c r="B3045" t="s">
        <v>1929</v>
      </c>
      <c r="C3045" s="82" t="s">
        <v>1929</v>
      </c>
      <c r="D3045" s="83" t="s">
        <v>629</v>
      </c>
      <c r="E3045" s="262" t="s">
        <v>1970</v>
      </c>
      <c r="F3045" s="124" t="s">
        <v>620</v>
      </c>
      <c r="G3045" s="130">
        <v>2008</v>
      </c>
      <c r="H3045" s="125" t="s">
        <v>734</v>
      </c>
      <c r="I3045" s="340" t="str">
        <f t="shared" si="122"/>
        <v>Pesado de Passageiros M3: I : Gasóleo : E5</v>
      </c>
      <c r="J3045" s="125">
        <v>57</v>
      </c>
      <c r="K3045" s="264">
        <v>2022</v>
      </c>
      <c r="L3045" s="129">
        <v>34450.897600000004</v>
      </c>
      <c r="M3045" s="85" t="s">
        <v>630</v>
      </c>
      <c r="N3045" s="128">
        <v>75484</v>
      </c>
      <c r="O3045" s="128">
        <f t="shared" si="121"/>
        <v>4302588</v>
      </c>
      <c r="P3045" s="125" t="s">
        <v>2046</v>
      </c>
      <c r="Q3045" s="85" t="s">
        <v>47</v>
      </c>
      <c r="R3045" s="220" t="s">
        <v>1888</v>
      </c>
      <c r="S3045" s="220" t="s">
        <v>1861</v>
      </c>
      <c r="T3045" s="85" t="s">
        <v>4154</v>
      </c>
    </row>
    <row r="3046" spans="1:20" ht="15.75" thickBot="1" x14ac:dyDescent="0.3">
      <c r="A3046" t="s">
        <v>1929</v>
      </c>
      <c r="B3046" t="s">
        <v>1929</v>
      </c>
      <c r="C3046" s="82" t="s">
        <v>1929</v>
      </c>
      <c r="D3046" s="83" t="s">
        <v>629</v>
      </c>
      <c r="E3046" s="262" t="s">
        <v>1970</v>
      </c>
      <c r="F3046" s="124" t="s">
        <v>620</v>
      </c>
      <c r="G3046" s="130">
        <v>2008</v>
      </c>
      <c r="H3046" s="125" t="s">
        <v>734</v>
      </c>
      <c r="I3046" s="340" t="str">
        <f t="shared" si="122"/>
        <v>Pesado de Passageiros M3: I : Gasóleo : E5</v>
      </c>
      <c r="J3046" s="125">
        <v>61</v>
      </c>
      <c r="K3046" s="264">
        <v>2022</v>
      </c>
      <c r="L3046" s="129">
        <v>26528.575400000002</v>
      </c>
      <c r="M3046" s="85" t="s">
        <v>630</v>
      </c>
      <c r="N3046" s="128">
        <v>50234</v>
      </c>
      <c r="O3046" s="128">
        <f t="shared" si="121"/>
        <v>3064274</v>
      </c>
      <c r="P3046" s="125" t="s">
        <v>2047</v>
      </c>
      <c r="Q3046" s="85" t="s">
        <v>47</v>
      </c>
      <c r="R3046" s="220" t="s">
        <v>1888</v>
      </c>
      <c r="S3046" s="220" t="s">
        <v>1861</v>
      </c>
      <c r="T3046" s="85" t="s">
        <v>4155</v>
      </c>
    </row>
    <row r="3047" spans="1:20" ht="15.75" thickBot="1" x14ac:dyDescent="0.3">
      <c r="A3047" t="s">
        <v>1929</v>
      </c>
      <c r="B3047" t="s">
        <v>1929</v>
      </c>
      <c r="C3047" s="82" t="s">
        <v>1929</v>
      </c>
      <c r="D3047" s="83" t="s">
        <v>629</v>
      </c>
      <c r="E3047" s="262" t="s">
        <v>1970</v>
      </c>
      <c r="F3047" s="124" t="s">
        <v>620</v>
      </c>
      <c r="G3047" s="130">
        <v>2003</v>
      </c>
      <c r="H3047" s="125" t="s">
        <v>732</v>
      </c>
      <c r="I3047" s="340" t="str">
        <f t="shared" si="122"/>
        <v>Pesado de Passageiros M3: I : Gasóleo : E3</v>
      </c>
      <c r="J3047" s="125">
        <v>68</v>
      </c>
      <c r="K3047" s="264">
        <v>2022</v>
      </c>
      <c r="L3047" s="129">
        <v>32563.785599999996</v>
      </c>
      <c r="M3047" s="85" t="s">
        <v>630</v>
      </c>
      <c r="N3047" s="128">
        <v>59772</v>
      </c>
      <c r="O3047" s="128">
        <f t="shared" si="121"/>
        <v>4064496</v>
      </c>
      <c r="P3047" s="125" t="s">
        <v>2110</v>
      </c>
      <c r="Q3047" s="85" t="s">
        <v>47</v>
      </c>
      <c r="R3047" s="220" t="s">
        <v>1888</v>
      </c>
      <c r="S3047" s="220" t="s">
        <v>1861</v>
      </c>
      <c r="T3047" s="85" t="s">
        <v>4156</v>
      </c>
    </row>
    <row r="3048" spans="1:20" ht="15.75" thickBot="1" x14ac:dyDescent="0.3">
      <c r="A3048" t="s">
        <v>1929</v>
      </c>
      <c r="B3048" t="s">
        <v>1929</v>
      </c>
      <c r="C3048" s="82" t="s">
        <v>1929</v>
      </c>
      <c r="D3048" s="83" t="s">
        <v>629</v>
      </c>
      <c r="E3048" s="262" t="s">
        <v>1970</v>
      </c>
      <c r="F3048" s="124" t="s">
        <v>620</v>
      </c>
      <c r="G3048" s="130">
        <v>2004</v>
      </c>
      <c r="H3048" s="125" t="s">
        <v>732</v>
      </c>
      <c r="I3048" s="340" t="str">
        <f t="shared" si="122"/>
        <v>Pesado de Passageiros M3: I : Gasóleo : E3</v>
      </c>
      <c r="J3048" s="125">
        <v>74</v>
      </c>
      <c r="K3048" s="264">
        <v>2022</v>
      </c>
      <c r="L3048" s="129">
        <v>27881.4408</v>
      </c>
      <c r="M3048" s="85" t="s">
        <v>630</v>
      </c>
      <c r="N3048" s="128">
        <v>50264</v>
      </c>
      <c r="O3048" s="128">
        <f t="shared" si="121"/>
        <v>3719536</v>
      </c>
      <c r="P3048" s="125" t="s">
        <v>2123</v>
      </c>
      <c r="Q3048" s="85" t="s">
        <v>47</v>
      </c>
      <c r="R3048" s="220" t="s">
        <v>1888</v>
      </c>
      <c r="S3048" s="220" t="s">
        <v>1861</v>
      </c>
      <c r="T3048" s="85" t="s">
        <v>4157</v>
      </c>
    </row>
    <row r="3049" spans="1:20" ht="15.75" thickBot="1" x14ac:dyDescent="0.3">
      <c r="A3049" t="s">
        <v>1929</v>
      </c>
      <c r="B3049" t="s">
        <v>1929</v>
      </c>
      <c r="C3049" s="82" t="s">
        <v>1929</v>
      </c>
      <c r="D3049" s="83" t="s">
        <v>629</v>
      </c>
      <c r="E3049" s="262" t="s">
        <v>1970</v>
      </c>
      <c r="F3049" s="124" t="s">
        <v>620</v>
      </c>
      <c r="G3049" s="130">
        <v>2004</v>
      </c>
      <c r="H3049" s="125" t="s">
        <v>732</v>
      </c>
      <c r="I3049" s="340" t="str">
        <f t="shared" si="122"/>
        <v>Pesado de Passageiros M3: I : Gasóleo : E3</v>
      </c>
      <c r="J3049" s="125">
        <v>74</v>
      </c>
      <c r="K3049" s="264">
        <v>2022</v>
      </c>
      <c r="L3049" s="129">
        <v>25277.8848</v>
      </c>
      <c r="M3049" s="85" t="s">
        <v>630</v>
      </c>
      <c r="N3049" s="128">
        <v>47328</v>
      </c>
      <c r="O3049" s="128">
        <f t="shared" si="121"/>
        <v>3502272</v>
      </c>
      <c r="P3049" s="125" t="s">
        <v>2121</v>
      </c>
      <c r="Q3049" s="85" t="s">
        <v>47</v>
      </c>
      <c r="R3049" s="220" t="s">
        <v>1888</v>
      </c>
      <c r="S3049" s="220" t="s">
        <v>1861</v>
      </c>
      <c r="T3049" s="85" t="s">
        <v>4158</v>
      </c>
    </row>
    <row r="3050" spans="1:20" ht="15.75" thickBot="1" x14ac:dyDescent="0.3">
      <c r="A3050" t="s">
        <v>1929</v>
      </c>
      <c r="B3050" t="s">
        <v>1929</v>
      </c>
      <c r="C3050" s="82" t="s">
        <v>1929</v>
      </c>
      <c r="D3050" s="83" t="s">
        <v>629</v>
      </c>
      <c r="E3050" s="262" t="s">
        <v>1970</v>
      </c>
      <c r="F3050" s="124" t="s">
        <v>620</v>
      </c>
      <c r="G3050" s="130">
        <v>2004</v>
      </c>
      <c r="H3050" s="125" t="s">
        <v>732</v>
      </c>
      <c r="I3050" s="340" t="str">
        <f t="shared" si="122"/>
        <v>Pesado de Passageiros M3: I : Gasóleo : E3</v>
      </c>
      <c r="J3050" s="125">
        <v>74</v>
      </c>
      <c r="K3050" s="264">
        <v>2022</v>
      </c>
      <c r="L3050" s="129">
        <v>26428.109900000003</v>
      </c>
      <c r="M3050" s="85" t="s">
        <v>630</v>
      </c>
      <c r="N3050" s="128">
        <v>44801</v>
      </c>
      <c r="O3050" s="128">
        <f t="shared" si="121"/>
        <v>3315274</v>
      </c>
      <c r="P3050" s="125" t="s">
        <v>2122</v>
      </c>
      <c r="Q3050" s="85" t="s">
        <v>47</v>
      </c>
      <c r="R3050" s="220" t="s">
        <v>1888</v>
      </c>
      <c r="S3050" s="220" t="s">
        <v>1861</v>
      </c>
      <c r="T3050" s="85" t="s">
        <v>4159</v>
      </c>
    </row>
    <row r="3051" spans="1:20" ht="15.75" thickBot="1" x14ac:dyDescent="0.3">
      <c r="A3051" t="s">
        <v>1929</v>
      </c>
      <c r="B3051" t="s">
        <v>1929</v>
      </c>
      <c r="C3051" s="82" t="s">
        <v>1929</v>
      </c>
      <c r="D3051" s="83" t="s">
        <v>629</v>
      </c>
      <c r="E3051" s="262" t="s">
        <v>1970</v>
      </c>
      <c r="F3051" s="124" t="s">
        <v>620</v>
      </c>
      <c r="G3051" s="130"/>
      <c r="H3051" s="125" t="s">
        <v>731</v>
      </c>
      <c r="I3051" s="340" t="str">
        <f t="shared" si="122"/>
        <v>Pesado de Passageiros M3: I : Gasóleo : E4</v>
      </c>
      <c r="J3051" s="125"/>
      <c r="K3051" s="264">
        <v>2022</v>
      </c>
      <c r="L3051" s="253">
        <v>16661.07</v>
      </c>
      <c r="M3051" s="85" t="s">
        <v>630</v>
      </c>
      <c r="N3051" s="128">
        <v>33747</v>
      </c>
      <c r="O3051" s="128">
        <f t="shared" si="121"/>
        <v>0</v>
      </c>
      <c r="P3051" s="125" t="s">
        <v>3374</v>
      </c>
      <c r="Q3051" s="85" t="s">
        <v>47</v>
      </c>
      <c r="R3051" s="220" t="s">
        <v>1888</v>
      </c>
      <c r="S3051" s="220" t="s">
        <v>1861</v>
      </c>
      <c r="T3051" s="85" t="s">
        <v>3484</v>
      </c>
    </row>
    <row r="3052" spans="1:20" ht="15.75" thickBot="1" x14ac:dyDescent="0.3">
      <c r="A3052" t="s">
        <v>1929</v>
      </c>
      <c r="B3052" t="s">
        <v>1929</v>
      </c>
      <c r="C3052" s="82" t="s">
        <v>1929</v>
      </c>
      <c r="D3052" s="83" t="s">
        <v>629</v>
      </c>
      <c r="E3052" s="262" t="s">
        <v>1970</v>
      </c>
      <c r="F3052" s="124" t="s">
        <v>620</v>
      </c>
      <c r="G3052" s="130">
        <v>1997</v>
      </c>
      <c r="H3052" s="125" t="s">
        <v>735</v>
      </c>
      <c r="I3052" s="340" t="str">
        <f t="shared" si="122"/>
        <v>Pesado de Passageiros M3: I : Gasóleo : E2</v>
      </c>
      <c r="J3052" s="125">
        <v>74</v>
      </c>
      <c r="K3052" s="264">
        <v>2022</v>
      </c>
      <c r="L3052" s="129">
        <v>18098.368000000002</v>
      </c>
      <c r="M3052" s="85" t="s">
        <v>630</v>
      </c>
      <c r="N3052" s="128">
        <v>37760</v>
      </c>
      <c r="O3052" s="128">
        <f t="shared" si="121"/>
        <v>2794240</v>
      </c>
      <c r="P3052" s="125" t="s">
        <v>2153</v>
      </c>
      <c r="Q3052" s="85" t="s">
        <v>47</v>
      </c>
      <c r="R3052" s="220" t="s">
        <v>1888</v>
      </c>
      <c r="S3052" s="220" t="s">
        <v>1861</v>
      </c>
      <c r="T3052" s="85" t="s">
        <v>4160</v>
      </c>
    </row>
    <row r="3053" spans="1:20" ht="15.75" thickBot="1" x14ac:dyDescent="0.3">
      <c r="A3053" t="s">
        <v>1929</v>
      </c>
      <c r="B3053" t="s">
        <v>1929</v>
      </c>
      <c r="C3053" s="82" t="s">
        <v>1929</v>
      </c>
      <c r="D3053" s="83" t="s">
        <v>629</v>
      </c>
      <c r="E3053" s="262" t="s">
        <v>1970</v>
      </c>
      <c r="F3053" s="124" t="s">
        <v>620</v>
      </c>
      <c r="G3053" s="130">
        <v>1998</v>
      </c>
      <c r="H3053" s="125" t="s">
        <v>735</v>
      </c>
      <c r="I3053" s="340" t="str">
        <f t="shared" si="122"/>
        <v>Pesado de Passageiros M3: I : Gasóleo : E2</v>
      </c>
      <c r="J3053" s="125">
        <v>75</v>
      </c>
      <c r="K3053" s="264">
        <v>2022</v>
      </c>
      <c r="L3053" s="129">
        <v>13445.9776</v>
      </c>
      <c r="M3053" s="85" t="s">
        <v>630</v>
      </c>
      <c r="N3053" s="128">
        <v>26048</v>
      </c>
      <c r="O3053" s="128">
        <f t="shared" si="121"/>
        <v>1953600</v>
      </c>
      <c r="P3053" s="125" t="s">
        <v>2154</v>
      </c>
      <c r="Q3053" s="85" t="s">
        <v>47</v>
      </c>
      <c r="R3053" s="220" t="s">
        <v>1888</v>
      </c>
      <c r="S3053" s="220" t="s">
        <v>1861</v>
      </c>
      <c r="T3053" s="85" t="s">
        <v>4161</v>
      </c>
    </row>
    <row r="3054" spans="1:20" ht="15.75" thickBot="1" x14ac:dyDescent="0.3">
      <c r="A3054" t="s">
        <v>1929</v>
      </c>
      <c r="B3054" t="s">
        <v>1929</v>
      </c>
      <c r="C3054" s="82" t="s">
        <v>1929</v>
      </c>
      <c r="D3054" s="83" t="s">
        <v>629</v>
      </c>
      <c r="E3054" s="262" t="s">
        <v>1970</v>
      </c>
      <c r="F3054" s="124" t="s">
        <v>620</v>
      </c>
      <c r="G3054" s="130">
        <v>1997</v>
      </c>
      <c r="H3054" s="125" t="s">
        <v>735</v>
      </c>
      <c r="I3054" s="340" t="str">
        <f t="shared" si="122"/>
        <v>Pesado de Passageiros M3: I : Gasóleo : E2</v>
      </c>
      <c r="J3054" s="125">
        <v>74</v>
      </c>
      <c r="K3054" s="264">
        <v>2022</v>
      </c>
      <c r="L3054" s="129">
        <v>20932.0524</v>
      </c>
      <c r="M3054" s="85" t="s">
        <v>630</v>
      </c>
      <c r="N3054" s="128">
        <v>38003</v>
      </c>
      <c r="O3054" s="128">
        <f t="shared" si="121"/>
        <v>2812222</v>
      </c>
      <c r="P3054" s="125" t="s">
        <v>2166</v>
      </c>
      <c r="Q3054" s="85" t="s">
        <v>47</v>
      </c>
      <c r="R3054" s="220" t="s">
        <v>1888</v>
      </c>
      <c r="S3054" s="220" t="s">
        <v>1861</v>
      </c>
      <c r="T3054" s="85" t="s">
        <v>4162</v>
      </c>
    </row>
    <row r="3055" spans="1:20" ht="15.75" thickBot="1" x14ac:dyDescent="0.3">
      <c r="A3055" t="s">
        <v>1929</v>
      </c>
      <c r="B3055" t="s">
        <v>1929</v>
      </c>
      <c r="C3055" s="82" t="s">
        <v>1929</v>
      </c>
      <c r="D3055" s="83" t="s">
        <v>629</v>
      </c>
      <c r="E3055" s="262" t="s">
        <v>1970</v>
      </c>
      <c r="F3055" s="124" t="s">
        <v>620</v>
      </c>
      <c r="G3055" s="130">
        <v>2013</v>
      </c>
      <c r="H3055" s="125" t="s">
        <v>733</v>
      </c>
      <c r="I3055" s="340" t="str">
        <f t="shared" si="122"/>
        <v>Pesado de Passageiros M3: I : Gasóleo : E6</v>
      </c>
      <c r="J3055" s="125">
        <v>96</v>
      </c>
      <c r="K3055" s="264">
        <v>2022</v>
      </c>
      <c r="L3055" s="129">
        <v>15129.687000000002</v>
      </c>
      <c r="M3055" s="85" t="s">
        <v>630</v>
      </c>
      <c r="N3055" s="128">
        <v>36066</v>
      </c>
      <c r="O3055" s="128">
        <f t="shared" si="121"/>
        <v>3462336</v>
      </c>
      <c r="P3055" s="125" t="s">
        <v>2072</v>
      </c>
      <c r="Q3055" s="85" t="s">
        <v>47</v>
      </c>
      <c r="R3055" s="220" t="s">
        <v>1888</v>
      </c>
      <c r="S3055" s="220" t="s">
        <v>1861</v>
      </c>
      <c r="T3055" s="85" t="s">
        <v>4163</v>
      </c>
    </row>
    <row r="3056" spans="1:20" ht="15.75" thickBot="1" x14ac:dyDescent="0.3">
      <c r="A3056" t="s">
        <v>1929</v>
      </c>
      <c r="B3056" t="s">
        <v>1929</v>
      </c>
      <c r="C3056" s="82" t="s">
        <v>1929</v>
      </c>
      <c r="D3056" s="83" t="s">
        <v>629</v>
      </c>
      <c r="E3056" s="262" t="s">
        <v>1970</v>
      </c>
      <c r="F3056" s="124" t="s">
        <v>620</v>
      </c>
      <c r="G3056" s="130"/>
      <c r="H3056" s="125" t="s">
        <v>733</v>
      </c>
      <c r="I3056" s="340" t="str">
        <f t="shared" si="122"/>
        <v>Pesado de Passageiros M3: I : Gasóleo : E6</v>
      </c>
      <c r="J3056" s="125"/>
      <c r="K3056" s="264">
        <v>2022</v>
      </c>
      <c r="L3056" s="85">
        <v>151.62</v>
      </c>
      <c r="M3056" s="85" t="s">
        <v>630</v>
      </c>
      <c r="N3056" s="128">
        <v>266</v>
      </c>
      <c r="O3056" s="128">
        <f t="shared" si="121"/>
        <v>0</v>
      </c>
      <c r="P3056" s="125" t="s">
        <v>4495</v>
      </c>
      <c r="Q3056" s="85" t="s">
        <v>47</v>
      </c>
      <c r="R3056" s="220" t="s">
        <v>1888</v>
      </c>
      <c r="S3056" s="220" t="s">
        <v>1861</v>
      </c>
      <c r="T3056" s="85" t="s">
        <v>4164</v>
      </c>
    </row>
    <row r="3057" spans="1:20" ht="15.75" thickBot="1" x14ac:dyDescent="0.3">
      <c r="A3057" t="s">
        <v>1929</v>
      </c>
      <c r="B3057" t="s">
        <v>1929</v>
      </c>
      <c r="C3057" s="82" t="s">
        <v>1929</v>
      </c>
      <c r="D3057" s="83" t="s">
        <v>629</v>
      </c>
      <c r="E3057" s="262" t="s">
        <v>1970</v>
      </c>
      <c r="F3057" s="124" t="s">
        <v>620</v>
      </c>
      <c r="G3057" s="130">
        <v>2005</v>
      </c>
      <c r="H3057" s="125" t="s">
        <v>732</v>
      </c>
      <c r="I3057" s="340" t="str">
        <f t="shared" si="122"/>
        <v>Pesado de Passageiros M3: I : Gasóleo : E3</v>
      </c>
      <c r="J3057" s="125">
        <v>81</v>
      </c>
      <c r="K3057" s="264">
        <v>2022</v>
      </c>
      <c r="L3057" s="129">
        <v>16505.043400000002</v>
      </c>
      <c r="M3057" s="85" t="s">
        <v>630</v>
      </c>
      <c r="N3057" s="128">
        <v>29426</v>
      </c>
      <c r="O3057" s="128">
        <f t="shared" ref="O3057:O3120" si="123">N3057*J3057</f>
        <v>2383506</v>
      </c>
      <c r="P3057" s="125" t="s">
        <v>2146</v>
      </c>
      <c r="Q3057" s="85" t="s">
        <v>47</v>
      </c>
      <c r="R3057" s="220" t="s">
        <v>1888</v>
      </c>
      <c r="S3057" s="220" t="s">
        <v>1861</v>
      </c>
      <c r="T3057" s="85" t="s">
        <v>4165</v>
      </c>
    </row>
    <row r="3058" spans="1:20" ht="15.75" thickBot="1" x14ac:dyDescent="0.3">
      <c r="A3058" t="s">
        <v>1929</v>
      </c>
      <c r="B3058" t="s">
        <v>1929</v>
      </c>
      <c r="C3058" s="82" t="s">
        <v>1929</v>
      </c>
      <c r="D3058" s="83" t="s">
        <v>629</v>
      </c>
      <c r="E3058" s="262" t="s">
        <v>1970</v>
      </c>
      <c r="F3058" s="124" t="s">
        <v>620</v>
      </c>
      <c r="G3058" s="130">
        <v>2005</v>
      </c>
      <c r="H3058" s="125" t="s">
        <v>732</v>
      </c>
      <c r="I3058" s="340" t="str">
        <f t="shared" si="122"/>
        <v>Pesado de Passageiros M3: I : Gasóleo : E3</v>
      </c>
      <c r="J3058" s="125">
        <v>79</v>
      </c>
      <c r="K3058" s="264">
        <v>2022</v>
      </c>
      <c r="L3058" s="129">
        <v>13301.55</v>
      </c>
      <c r="M3058" s="85" t="s">
        <v>630</v>
      </c>
      <c r="N3058" s="128">
        <v>22545</v>
      </c>
      <c r="O3058" s="128">
        <f t="shared" si="123"/>
        <v>1781055</v>
      </c>
      <c r="P3058" s="125" t="s">
        <v>2147</v>
      </c>
      <c r="Q3058" s="85" t="s">
        <v>47</v>
      </c>
      <c r="R3058" s="220" t="s">
        <v>1888</v>
      </c>
      <c r="S3058" s="220" t="s">
        <v>1861</v>
      </c>
      <c r="T3058" s="85" t="s">
        <v>4166</v>
      </c>
    </row>
    <row r="3059" spans="1:20" ht="15.75" thickBot="1" x14ac:dyDescent="0.3">
      <c r="A3059" t="s">
        <v>1929</v>
      </c>
      <c r="B3059" t="s">
        <v>1929</v>
      </c>
      <c r="C3059" s="82" t="s">
        <v>1929</v>
      </c>
      <c r="D3059" s="83" t="s">
        <v>629</v>
      </c>
      <c r="E3059" s="262" t="s">
        <v>1970</v>
      </c>
      <c r="F3059" s="124" t="s">
        <v>620</v>
      </c>
      <c r="G3059" s="130"/>
      <c r="H3059" s="125" t="s">
        <v>732</v>
      </c>
      <c r="I3059" s="340" t="str">
        <f t="shared" si="122"/>
        <v>Pesado de Passageiros M3: I : Gasóleo : E3</v>
      </c>
      <c r="J3059" s="125"/>
      <c r="K3059" s="264">
        <v>2022</v>
      </c>
      <c r="L3059" s="253">
        <v>5870.3156999999992</v>
      </c>
      <c r="M3059" s="85" t="s">
        <v>630</v>
      </c>
      <c r="N3059" s="128">
        <v>15053</v>
      </c>
      <c r="O3059" s="128">
        <f t="shared" si="123"/>
        <v>0</v>
      </c>
      <c r="P3059" s="125" t="s">
        <v>2127</v>
      </c>
      <c r="Q3059" s="85" t="s">
        <v>47</v>
      </c>
      <c r="R3059" s="220" t="s">
        <v>1888</v>
      </c>
      <c r="S3059" s="220" t="s">
        <v>1861</v>
      </c>
      <c r="T3059" s="85" t="s">
        <v>3475</v>
      </c>
    </row>
    <row r="3060" spans="1:20" ht="15.75" thickBot="1" x14ac:dyDescent="0.3">
      <c r="A3060" t="s">
        <v>1929</v>
      </c>
      <c r="B3060" t="s">
        <v>1929</v>
      </c>
      <c r="C3060" s="82" t="s">
        <v>1929</v>
      </c>
      <c r="D3060" s="83" t="s">
        <v>629</v>
      </c>
      <c r="E3060" s="262" t="s">
        <v>1970</v>
      </c>
      <c r="F3060" s="124" t="s">
        <v>620</v>
      </c>
      <c r="G3060" s="130">
        <v>2004</v>
      </c>
      <c r="H3060" s="125" t="s">
        <v>732</v>
      </c>
      <c r="I3060" s="340" t="str">
        <f t="shared" si="122"/>
        <v>Pesado de Passageiros M3: I : Gasóleo : E3</v>
      </c>
      <c r="J3060" s="125">
        <v>97</v>
      </c>
      <c r="K3060" s="264">
        <v>2022</v>
      </c>
      <c r="L3060" s="129">
        <v>16674.034299999999</v>
      </c>
      <c r="M3060" s="85" t="s">
        <v>630</v>
      </c>
      <c r="N3060" s="128">
        <v>28391</v>
      </c>
      <c r="O3060" s="128">
        <f t="shared" si="123"/>
        <v>2753927</v>
      </c>
      <c r="P3060" s="125" t="s">
        <v>2127</v>
      </c>
      <c r="Q3060" s="85" t="s">
        <v>47</v>
      </c>
      <c r="R3060" s="220" t="s">
        <v>1888</v>
      </c>
      <c r="S3060" s="220" t="s">
        <v>1861</v>
      </c>
      <c r="T3060" s="85" t="s">
        <v>3475</v>
      </c>
    </row>
    <row r="3061" spans="1:20" ht="15.75" thickBot="1" x14ac:dyDescent="0.3">
      <c r="A3061" t="s">
        <v>1929</v>
      </c>
      <c r="B3061" t="s">
        <v>1929</v>
      </c>
      <c r="C3061" s="82" t="s">
        <v>1929</v>
      </c>
      <c r="D3061" s="83" t="s">
        <v>629</v>
      </c>
      <c r="E3061" s="262" t="s">
        <v>1970</v>
      </c>
      <c r="F3061" s="124" t="s">
        <v>620</v>
      </c>
      <c r="G3061" s="130">
        <v>2009</v>
      </c>
      <c r="H3061" s="125" t="s">
        <v>734</v>
      </c>
      <c r="I3061" s="340" t="str">
        <f t="shared" si="122"/>
        <v>Pesado de Passageiros M3: I : Gasóleo : E5</v>
      </c>
      <c r="J3061" s="125">
        <v>97</v>
      </c>
      <c r="K3061" s="264">
        <v>2022</v>
      </c>
      <c r="L3061" s="129">
        <v>28011.2196</v>
      </c>
      <c r="M3061" s="85" t="s">
        <v>630</v>
      </c>
      <c r="N3061" s="128">
        <v>69836</v>
      </c>
      <c r="O3061" s="128">
        <f t="shared" si="123"/>
        <v>6774092</v>
      </c>
      <c r="P3061" s="125" t="s">
        <v>2136</v>
      </c>
      <c r="Q3061" s="85" t="s">
        <v>47</v>
      </c>
      <c r="R3061" s="220" t="s">
        <v>1888</v>
      </c>
      <c r="S3061" s="220" t="s">
        <v>1861</v>
      </c>
      <c r="T3061" s="85" t="s">
        <v>4167</v>
      </c>
    </row>
    <row r="3062" spans="1:20" ht="15.75" thickBot="1" x14ac:dyDescent="0.3">
      <c r="A3062" t="s">
        <v>1929</v>
      </c>
      <c r="B3062" t="s">
        <v>1929</v>
      </c>
      <c r="C3062" s="82" t="s">
        <v>1929</v>
      </c>
      <c r="D3062" s="83" t="s">
        <v>629</v>
      </c>
      <c r="E3062" s="262" t="s">
        <v>1970</v>
      </c>
      <c r="F3062" s="124" t="s">
        <v>620</v>
      </c>
      <c r="G3062" s="130">
        <v>2013</v>
      </c>
      <c r="H3062" s="125" t="s">
        <v>733</v>
      </c>
      <c r="I3062" s="340" t="str">
        <f t="shared" ref="I3062:I3125" si="124">D3062&amp;": "&amp;E3062&amp;" : "&amp;F3062&amp;" : "&amp;H3062</f>
        <v>Pesado de Passageiros M3: I : Gasóleo : E6</v>
      </c>
      <c r="J3062" s="125">
        <v>73</v>
      </c>
      <c r="K3062" s="264">
        <v>2022</v>
      </c>
      <c r="L3062" s="129">
        <v>24677.913600000003</v>
      </c>
      <c r="M3062" s="85" t="s">
        <v>630</v>
      </c>
      <c r="N3062" s="128">
        <v>62208</v>
      </c>
      <c r="O3062" s="128">
        <f t="shared" si="123"/>
        <v>4541184</v>
      </c>
      <c r="P3062" s="125" t="s">
        <v>2071</v>
      </c>
      <c r="Q3062" s="85" t="s">
        <v>47</v>
      </c>
      <c r="R3062" s="220" t="s">
        <v>1888</v>
      </c>
      <c r="S3062" s="220" t="s">
        <v>1861</v>
      </c>
      <c r="T3062" s="85" t="s">
        <v>4168</v>
      </c>
    </row>
    <row r="3063" spans="1:20" ht="15.75" thickBot="1" x14ac:dyDescent="0.3">
      <c r="A3063" t="s">
        <v>1929</v>
      </c>
      <c r="B3063" t="s">
        <v>1929</v>
      </c>
      <c r="C3063" s="82" t="s">
        <v>1929</v>
      </c>
      <c r="D3063" s="83" t="s">
        <v>629</v>
      </c>
      <c r="E3063" s="262" t="s">
        <v>1970</v>
      </c>
      <c r="F3063" s="124" t="s">
        <v>620</v>
      </c>
      <c r="G3063" s="130">
        <v>2000</v>
      </c>
      <c r="H3063" s="125" t="s">
        <v>732</v>
      </c>
      <c r="I3063" s="340" t="str">
        <f t="shared" si="124"/>
        <v>Pesado de Passageiros M3: I : Gasóleo : E3</v>
      </c>
      <c r="J3063" s="125">
        <v>81</v>
      </c>
      <c r="K3063" s="264">
        <v>2022</v>
      </c>
      <c r="L3063" s="129">
        <v>22628.560000000001</v>
      </c>
      <c r="M3063" s="85" t="s">
        <v>630</v>
      </c>
      <c r="N3063" s="128">
        <v>46370</v>
      </c>
      <c r="O3063" s="128">
        <f t="shared" si="123"/>
        <v>3755970</v>
      </c>
      <c r="P3063" s="125" t="s">
        <v>2195</v>
      </c>
      <c r="Q3063" s="85" t="s">
        <v>47</v>
      </c>
      <c r="R3063" s="220" t="s">
        <v>1888</v>
      </c>
      <c r="S3063" s="220" t="s">
        <v>1861</v>
      </c>
      <c r="T3063" s="85" t="s">
        <v>4169</v>
      </c>
    </row>
    <row r="3064" spans="1:20" ht="15.75" thickBot="1" x14ac:dyDescent="0.3">
      <c r="A3064" t="s">
        <v>1929</v>
      </c>
      <c r="B3064" t="s">
        <v>1929</v>
      </c>
      <c r="C3064" s="82" t="s">
        <v>1929</v>
      </c>
      <c r="D3064" s="83" t="s">
        <v>629</v>
      </c>
      <c r="E3064" s="262" t="s">
        <v>1970</v>
      </c>
      <c r="F3064" s="124" t="s">
        <v>620</v>
      </c>
      <c r="G3064" s="130">
        <v>2000</v>
      </c>
      <c r="H3064" s="125" t="s">
        <v>732</v>
      </c>
      <c r="I3064" s="340" t="str">
        <f t="shared" si="124"/>
        <v>Pesado de Passageiros M3: I : Gasóleo : E3</v>
      </c>
      <c r="J3064" s="125">
        <v>81</v>
      </c>
      <c r="K3064" s="264">
        <v>2022</v>
      </c>
      <c r="L3064" s="129">
        <v>23333.183999999997</v>
      </c>
      <c r="M3064" s="85" t="s">
        <v>630</v>
      </c>
      <c r="N3064" s="128">
        <v>51440</v>
      </c>
      <c r="O3064" s="128">
        <f t="shared" si="123"/>
        <v>4166640</v>
      </c>
      <c r="P3064" s="125" t="s">
        <v>2196</v>
      </c>
      <c r="Q3064" s="85" t="s">
        <v>47</v>
      </c>
      <c r="R3064" s="220" t="s">
        <v>1888</v>
      </c>
      <c r="S3064" s="220" t="s">
        <v>1861</v>
      </c>
      <c r="T3064" s="85" t="s">
        <v>4170</v>
      </c>
    </row>
    <row r="3065" spans="1:20" ht="15.75" thickBot="1" x14ac:dyDescent="0.3">
      <c r="A3065" t="s">
        <v>1929</v>
      </c>
      <c r="B3065" t="s">
        <v>1929</v>
      </c>
      <c r="C3065" s="82" t="s">
        <v>1929</v>
      </c>
      <c r="D3065" s="83" t="s">
        <v>629</v>
      </c>
      <c r="E3065" s="262" t="s">
        <v>1970</v>
      </c>
      <c r="F3065" s="124" t="s">
        <v>620</v>
      </c>
      <c r="G3065" s="130">
        <v>2000</v>
      </c>
      <c r="H3065" s="125" t="s">
        <v>732</v>
      </c>
      <c r="I3065" s="340" t="str">
        <f t="shared" si="124"/>
        <v>Pesado de Passageiros M3: I : Gasóleo : E3</v>
      </c>
      <c r="J3065" s="125">
        <v>81</v>
      </c>
      <c r="K3065" s="264">
        <v>2022</v>
      </c>
      <c r="L3065" s="129">
        <v>20297.28</v>
      </c>
      <c r="M3065" s="85" t="s">
        <v>630</v>
      </c>
      <c r="N3065" s="128">
        <v>42286</v>
      </c>
      <c r="O3065" s="128">
        <f t="shared" si="123"/>
        <v>3425166</v>
      </c>
      <c r="P3065" s="125" t="s">
        <v>2197</v>
      </c>
      <c r="Q3065" s="85" t="s">
        <v>47</v>
      </c>
      <c r="R3065" s="220" t="s">
        <v>1888</v>
      </c>
      <c r="S3065" s="220" t="s">
        <v>1861</v>
      </c>
      <c r="T3065" s="85" t="s">
        <v>4171</v>
      </c>
    </row>
    <row r="3066" spans="1:20" ht="15.75" thickBot="1" x14ac:dyDescent="0.3">
      <c r="A3066" t="s">
        <v>1929</v>
      </c>
      <c r="B3066" t="s">
        <v>1929</v>
      </c>
      <c r="C3066" s="82" t="s">
        <v>1929</v>
      </c>
      <c r="D3066" s="83" t="s">
        <v>629</v>
      </c>
      <c r="E3066" s="262" t="s">
        <v>1970</v>
      </c>
      <c r="F3066" s="124" t="s">
        <v>620</v>
      </c>
      <c r="G3066" s="130">
        <v>2000</v>
      </c>
      <c r="H3066" s="125" t="s">
        <v>732</v>
      </c>
      <c r="I3066" s="340" t="str">
        <f t="shared" si="124"/>
        <v>Pesado de Passageiros M3: I : Gasóleo : E3</v>
      </c>
      <c r="J3066" s="125">
        <v>81</v>
      </c>
      <c r="K3066" s="264">
        <v>2022</v>
      </c>
      <c r="L3066" s="129">
        <v>29002.039199999999</v>
      </c>
      <c r="M3066" s="85" t="s">
        <v>630</v>
      </c>
      <c r="N3066" s="128">
        <v>55116</v>
      </c>
      <c r="O3066" s="128">
        <f t="shared" si="123"/>
        <v>4464396</v>
      </c>
      <c r="P3066" s="125" t="s">
        <v>2172</v>
      </c>
      <c r="Q3066" s="85" t="s">
        <v>47</v>
      </c>
      <c r="R3066" s="220" t="s">
        <v>1888</v>
      </c>
      <c r="S3066" s="220" t="s">
        <v>1861</v>
      </c>
      <c r="T3066" s="85" t="s">
        <v>4172</v>
      </c>
    </row>
    <row r="3067" spans="1:20" ht="15.75" thickBot="1" x14ac:dyDescent="0.3">
      <c r="A3067" t="s">
        <v>1929</v>
      </c>
      <c r="B3067" t="s">
        <v>1929</v>
      </c>
      <c r="C3067" s="82" t="s">
        <v>1929</v>
      </c>
      <c r="D3067" s="83" t="s">
        <v>629</v>
      </c>
      <c r="E3067" s="262" t="s">
        <v>1970</v>
      </c>
      <c r="F3067" s="124" t="s">
        <v>620</v>
      </c>
      <c r="G3067" s="130">
        <v>2008</v>
      </c>
      <c r="H3067" s="125" t="s">
        <v>734</v>
      </c>
      <c r="I3067" s="340" t="str">
        <f t="shared" si="124"/>
        <v>Pesado de Passageiros M3: I : Gasóleo : E5</v>
      </c>
      <c r="J3067" s="125">
        <v>57</v>
      </c>
      <c r="K3067" s="264">
        <v>2022</v>
      </c>
      <c r="L3067" s="129">
        <v>18948.531199999998</v>
      </c>
      <c r="M3067" s="85" t="s">
        <v>630</v>
      </c>
      <c r="N3067" s="128">
        <v>39296</v>
      </c>
      <c r="O3067" s="128">
        <f t="shared" si="123"/>
        <v>2239872</v>
      </c>
      <c r="P3067" s="125" t="s">
        <v>2044</v>
      </c>
      <c r="Q3067" s="85" t="s">
        <v>47</v>
      </c>
      <c r="R3067" s="220" t="s">
        <v>1888</v>
      </c>
      <c r="S3067" s="220" t="s">
        <v>1861</v>
      </c>
      <c r="T3067" s="85" t="s">
        <v>4173</v>
      </c>
    </row>
    <row r="3068" spans="1:20" ht="15.75" thickBot="1" x14ac:dyDescent="0.3">
      <c r="A3068" t="s">
        <v>1929</v>
      </c>
      <c r="B3068" t="s">
        <v>1929</v>
      </c>
      <c r="C3068" s="82" t="s">
        <v>1929</v>
      </c>
      <c r="D3068" s="83" t="s">
        <v>629</v>
      </c>
      <c r="E3068" s="262" t="s">
        <v>1970</v>
      </c>
      <c r="F3068" s="124" t="s">
        <v>620</v>
      </c>
      <c r="G3068" s="130"/>
      <c r="H3068" s="125" t="s">
        <v>731</v>
      </c>
      <c r="I3068" s="340" t="str">
        <f t="shared" si="124"/>
        <v>Pesado de Passageiros M3: I : Gasóleo : E4</v>
      </c>
      <c r="J3068" s="125"/>
      <c r="K3068" s="264">
        <v>2022</v>
      </c>
      <c r="L3068" s="85">
        <v>17713.5</v>
      </c>
      <c r="M3068" s="85" t="s">
        <v>630</v>
      </c>
      <c r="N3068" s="128">
        <v>36150</v>
      </c>
      <c r="O3068" s="128">
        <f t="shared" si="123"/>
        <v>0</v>
      </c>
      <c r="P3068" s="125" t="s">
        <v>3388</v>
      </c>
      <c r="Q3068" s="85" t="s">
        <v>47</v>
      </c>
      <c r="R3068" s="220" t="s">
        <v>1888</v>
      </c>
      <c r="S3068" s="220" t="s">
        <v>1861</v>
      </c>
      <c r="T3068" s="85" t="s">
        <v>3490</v>
      </c>
    </row>
    <row r="3069" spans="1:20" ht="15.75" thickBot="1" x14ac:dyDescent="0.3">
      <c r="A3069" t="s">
        <v>1929</v>
      </c>
      <c r="B3069" t="s">
        <v>1929</v>
      </c>
      <c r="C3069" s="82" t="s">
        <v>1929</v>
      </c>
      <c r="D3069" s="83" t="s">
        <v>629</v>
      </c>
      <c r="E3069" s="262" t="s">
        <v>1970</v>
      </c>
      <c r="F3069" s="124" t="s">
        <v>620</v>
      </c>
      <c r="G3069" s="130">
        <v>2010</v>
      </c>
      <c r="H3069" s="125" t="s">
        <v>734</v>
      </c>
      <c r="I3069" s="340" t="str">
        <f t="shared" si="124"/>
        <v>Pesado de Passageiros M3: I : Gasóleo : E5</v>
      </c>
      <c r="J3069" s="125">
        <v>29</v>
      </c>
      <c r="K3069" s="264">
        <v>2022</v>
      </c>
      <c r="L3069" s="129">
        <v>9184.3387999999995</v>
      </c>
      <c r="M3069" s="85" t="s">
        <v>630</v>
      </c>
      <c r="N3069" s="128">
        <v>30758</v>
      </c>
      <c r="O3069" s="128">
        <f t="shared" si="123"/>
        <v>891982</v>
      </c>
      <c r="P3069" s="125" t="s">
        <v>1991</v>
      </c>
      <c r="Q3069" s="85" t="s">
        <v>47</v>
      </c>
      <c r="R3069" s="220" t="s">
        <v>1888</v>
      </c>
      <c r="S3069" s="220" t="s">
        <v>1861</v>
      </c>
      <c r="T3069" s="85" t="s">
        <v>4174</v>
      </c>
    </row>
    <row r="3070" spans="1:20" ht="15.75" thickBot="1" x14ac:dyDescent="0.3">
      <c r="A3070" t="s">
        <v>1929</v>
      </c>
      <c r="B3070" t="s">
        <v>1929</v>
      </c>
      <c r="C3070" s="82" t="s">
        <v>1929</v>
      </c>
      <c r="D3070" s="83" t="s">
        <v>629</v>
      </c>
      <c r="E3070" s="262" t="s">
        <v>1970</v>
      </c>
      <c r="F3070" s="124" t="s">
        <v>620</v>
      </c>
      <c r="G3070" s="130">
        <v>2009</v>
      </c>
      <c r="H3070" s="125" t="s">
        <v>731</v>
      </c>
      <c r="I3070" s="340" t="str">
        <f t="shared" si="124"/>
        <v>Pesado de Passageiros M3: I : Gasóleo : E4</v>
      </c>
      <c r="J3070" s="125">
        <v>21</v>
      </c>
      <c r="K3070" s="264">
        <v>2022</v>
      </c>
      <c r="L3070" s="129">
        <v>8110.4655999999995</v>
      </c>
      <c r="M3070" s="85" t="s">
        <v>630</v>
      </c>
      <c r="N3070" s="128">
        <v>50564</v>
      </c>
      <c r="O3070" s="128">
        <f t="shared" si="123"/>
        <v>1061844</v>
      </c>
      <c r="P3070" s="125" t="s">
        <v>1983</v>
      </c>
      <c r="Q3070" s="85" t="s">
        <v>47</v>
      </c>
      <c r="R3070" s="220" t="s">
        <v>1888</v>
      </c>
      <c r="S3070" s="220" t="s">
        <v>1861</v>
      </c>
      <c r="T3070" s="85" t="s">
        <v>4175</v>
      </c>
    </row>
    <row r="3071" spans="1:20" ht="15.75" thickBot="1" x14ac:dyDescent="0.3">
      <c r="A3071" t="s">
        <v>1929</v>
      </c>
      <c r="B3071" t="s">
        <v>1929</v>
      </c>
      <c r="C3071" s="82" t="s">
        <v>1929</v>
      </c>
      <c r="D3071" s="83" t="s">
        <v>629</v>
      </c>
      <c r="E3071" s="262" t="s">
        <v>1970</v>
      </c>
      <c r="F3071" s="124" t="s">
        <v>620</v>
      </c>
      <c r="G3071" s="130">
        <v>2004</v>
      </c>
      <c r="H3071" s="125" t="s">
        <v>732</v>
      </c>
      <c r="I3071" s="340" t="str">
        <f t="shared" si="124"/>
        <v>Pesado de Passageiros M3: I : Gasóleo : E3</v>
      </c>
      <c r="J3071" s="125">
        <v>74</v>
      </c>
      <c r="K3071" s="264">
        <v>2022</v>
      </c>
      <c r="L3071" s="129">
        <v>25294.350200000001</v>
      </c>
      <c r="M3071" s="85" t="s">
        <v>630</v>
      </c>
      <c r="N3071" s="128">
        <v>50327</v>
      </c>
      <c r="O3071" s="128">
        <f t="shared" si="123"/>
        <v>3724198</v>
      </c>
      <c r="P3071" s="125" t="s">
        <v>2205</v>
      </c>
      <c r="Q3071" s="85" t="s">
        <v>47</v>
      </c>
      <c r="R3071" s="220" t="s">
        <v>1888</v>
      </c>
      <c r="S3071" s="220" t="s">
        <v>1861</v>
      </c>
      <c r="T3071" s="85" t="s">
        <v>4176</v>
      </c>
    </row>
    <row r="3072" spans="1:20" ht="15.75" thickBot="1" x14ac:dyDescent="0.3">
      <c r="A3072" t="s">
        <v>1929</v>
      </c>
      <c r="B3072" t="s">
        <v>1929</v>
      </c>
      <c r="C3072" s="82" t="s">
        <v>1929</v>
      </c>
      <c r="D3072" s="83" t="s">
        <v>629</v>
      </c>
      <c r="E3072" s="262" t="s">
        <v>1970</v>
      </c>
      <c r="F3072" s="124" t="s">
        <v>620</v>
      </c>
      <c r="G3072" s="130">
        <v>2003</v>
      </c>
      <c r="H3072" s="125" t="s">
        <v>732</v>
      </c>
      <c r="I3072" s="340" t="str">
        <f t="shared" si="124"/>
        <v>Pesado de Passageiros M3: I : Gasóleo : E3</v>
      </c>
      <c r="J3072" s="125">
        <v>78</v>
      </c>
      <c r="K3072" s="264">
        <v>2022</v>
      </c>
      <c r="L3072" s="129">
        <v>27703.845000000001</v>
      </c>
      <c r="M3072" s="85" t="s">
        <v>630</v>
      </c>
      <c r="N3072" s="128">
        <v>52026</v>
      </c>
      <c r="O3072" s="128">
        <f t="shared" si="123"/>
        <v>4058028</v>
      </c>
      <c r="P3072" s="125" t="s">
        <v>2106</v>
      </c>
      <c r="Q3072" s="85" t="s">
        <v>47</v>
      </c>
      <c r="R3072" s="220" t="s">
        <v>1888</v>
      </c>
      <c r="S3072" s="220" t="s">
        <v>1861</v>
      </c>
      <c r="T3072" s="85" t="s">
        <v>4177</v>
      </c>
    </row>
    <row r="3073" spans="1:20" ht="15.75" thickBot="1" x14ac:dyDescent="0.3">
      <c r="A3073" t="s">
        <v>1929</v>
      </c>
      <c r="B3073" t="s">
        <v>1929</v>
      </c>
      <c r="C3073" s="82" t="s">
        <v>1929</v>
      </c>
      <c r="D3073" s="83" t="s">
        <v>629</v>
      </c>
      <c r="E3073" s="262" t="s">
        <v>1970</v>
      </c>
      <c r="F3073" s="124" t="s">
        <v>620</v>
      </c>
      <c r="G3073" s="130">
        <v>2013</v>
      </c>
      <c r="H3073" s="125" t="s">
        <v>733</v>
      </c>
      <c r="I3073" s="340" t="str">
        <f t="shared" si="124"/>
        <v>Pesado de Passageiros M3: I : Gasóleo : E6</v>
      </c>
      <c r="J3073" s="125">
        <v>72</v>
      </c>
      <c r="K3073" s="264">
        <v>2022</v>
      </c>
      <c r="L3073" s="129">
        <v>12928.902900000001</v>
      </c>
      <c r="M3073" s="85" t="s">
        <v>630</v>
      </c>
      <c r="N3073" s="128">
        <v>31557</v>
      </c>
      <c r="O3073" s="128">
        <f t="shared" si="123"/>
        <v>2272104</v>
      </c>
      <c r="P3073" s="125" t="s">
        <v>2064</v>
      </c>
      <c r="Q3073" s="85" t="s">
        <v>47</v>
      </c>
      <c r="R3073" s="220" t="s">
        <v>1888</v>
      </c>
      <c r="S3073" s="220" t="s">
        <v>1861</v>
      </c>
      <c r="T3073" s="85" t="s">
        <v>4178</v>
      </c>
    </row>
    <row r="3074" spans="1:20" ht="15.75" thickBot="1" x14ac:dyDescent="0.3">
      <c r="A3074" t="s">
        <v>1929</v>
      </c>
      <c r="B3074" t="s">
        <v>1929</v>
      </c>
      <c r="C3074" s="82" t="s">
        <v>1929</v>
      </c>
      <c r="D3074" s="83" t="s">
        <v>629</v>
      </c>
      <c r="E3074" s="262" t="s">
        <v>1970</v>
      </c>
      <c r="F3074" s="124" t="s">
        <v>620</v>
      </c>
      <c r="G3074" s="130"/>
      <c r="H3074" s="125" t="s">
        <v>731</v>
      </c>
      <c r="I3074" s="340" t="str">
        <f t="shared" si="124"/>
        <v>Pesado de Passageiros M3: I : Gasóleo : E4</v>
      </c>
      <c r="J3074" s="125"/>
      <c r="K3074" s="264">
        <v>2022</v>
      </c>
      <c r="L3074" s="85">
        <v>17934.400000000001</v>
      </c>
      <c r="M3074" s="85" t="s">
        <v>630</v>
      </c>
      <c r="N3074" s="128">
        <v>32608</v>
      </c>
      <c r="O3074" s="128">
        <f t="shared" si="123"/>
        <v>0</v>
      </c>
      <c r="P3074" s="125" t="s">
        <v>3387</v>
      </c>
      <c r="Q3074" s="85" t="s">
        <v>47</v>
      </c>
      <c r="R3074" s="220" t="s">
        <v>1888</v>
      </c>
      <c r="S3074" s="220" t="s">
        <v>1861</v>
      </c>
      <c r="T3074" s="85" t="s">
        <v>3489</v>
      </c>
    </row>
    <row r="3075" spans="1:20" ht="15.75" thickBot="1" x14ac:dyDescent="0.3">
      <c r="A3075" t="s">
        <v>1929</v>
      </c>
      <c r="B3075" t="s">
        <v>1929</v>
      </c>
      <c r="C3075" s="82" t="s">
        <v>1929</v>
      </c>
      <c r="D3075" s="83" t="s">
        <v>629</v>
      </c>
      <c r="E3075" s="262" t="s">
        <v>1970</v>
      </c>
      <c r="F3075" s="124" t="s">
        <v>620</v>
      </c>
      <c r="G3075" s="130"/>
      <c r="H3075" s="125" t="s">
        <v>731</v>
      </c>
      <c r="I3075" s="340" t="str">
        <f t="shared" si="124"/>
        <v>Pesado de Passageiros M3: I : Gasóleo : E4</v>
      </c>
      <c r="J3075" s="125"/>
      <c r="K3075" s="264">
        <v>2022</v>
      </c>
      <c r="L3075" s="85">
        <v>13603.23</v>
      </c>
      <c r="M3075" s="85" t="s">
        <v>630</v>
      </c>
      <c r="N3075" s="128">
        <v>26673</v>
      </c>
      <c r="O3075" s="128">
        <f t="shared" si="123"/>
        <v>0</v>
      </c>
      <c r="P3075" s="125" t="s">
        <v>3394</v>
      </c>
      <c r="Q3075" s="85" t="s">
        <v>47</v>
      </c>
      <c r="R3075" s="220" t="s">
        <v>1888</v>
      </c>
      <c r="S3075" s="220" t="s">
        <v>1861</v>
      </c>
      <c r="T3075" s="85" t="s">
        <v>4179</v>
      </c>
    </row>
    <row r="3076" spans="1:20" ht="15.75" thickBot="1" x14ac:dyDescent="0.3">
      <c r="A3076" t="s">
        <v>1929</v>
      </c>
      <c r="B3076" t="s">
        <v>1929</v>
      </c>
      <c r="C3076" s="82" t="s">
        <v>1929</v>
      </c>
      <c r="D3076" s="83" t="s">
        <v>629</v>
      </c>
      <c r="E3076" s="262" t="s">
        <v>1970</v>
      </c>
      <c r="F3076" s="124" t="s">
        <v>620</v>
      </c>
      <c r="G3076" s="130"/>
      <c r="H3076" s="125" t="s">
        <v>731</v>
      </c>
      <c r="I3076" s="340" t="str">
        <f t="shared" si="124"/>
        <v>Pesado de Passageiros M3: I : Gasóleo : E4</v>
      </c>
      <c r="J3076" s="125"/>
      <c r="K3076" s="264">
        <v>2022</v>
      </c>
      <c r="L3076" s="85">
        <v>14553</v>
      </c>
      <c r="M3076" s="85" t="s">
        <v>630</v>
      </c>
      <c r="N3076" s="128">
        <v>26460</v>
      </c>
      <c r="O3076" s="128">
        <f t="shared" si="123"/>
        <v>0</v>
      </c>
      <c r="P3076" s="125" t="s">
        <v>3386</v>
      </c>
      <c r="Q3076" s="85" t="s">
        <v>47</v>
      </c>
      <c r="R3076" s="220" t="s">
        <v>1888</v>
      </c>
      <c r="S3076" s="220" t="s">
        <v>1861</v>
      </c>
      <c r="T3076" s="85" t="s">
        <v>4180</v>
      </c>
    </row>
    <row r="3077" spans="1:20" ht="15.75" thickBot="1" x14ac:dyDescent="0.3">
      <c r="A3077" t="s">
        <v>1929</v>
      </c>
      <c r="B3077" t="s">
        <v>1929</v>
      </c>
      <c r="C3077" s="82" t="s">
        <v>1929</v>
      </c>
      <c r="D3077" s="83" t="s">
        <v>629</v>
      </c>
      <c r="E3077" s="262" t="s">
        <v>1970</v>
      </c>
      <c r="F3077" s="124" t="s">
        <v>620</v>
      </c>
      <c r="G3077" s="130">
        <v>2014</v>
      </c>
      <c r="H3077" s="125" t="s">
        <v>733</v>
      </c>
      <c r="I3077" s="340" t="str">
        <f t="shared" si="124"/>
        <v>Pesado de Passageiros M3: I : Gasóleo : E6</v>
      </c>
      <c r="J3077" s="125">
        <v>72</v>
      </c>
      <c r="K3077" s="264">
        <v>2022</v>
      </c>
      <c r="L3077" s="129">
        <v>17815.551600000003</v>
      </c>
      <c r="M3077" s="85" t="s">
        <v>630</v>
      </c>
      <c r="N3077" s="128">
        <v>41998</v>
      </c>
      <c r="O3077" s="128">
        <f t="shared" si="123"/>
        <v>3023856</v>
      </c>
      <c r="P3077" s="125" t="s">
        <v>2063</v>
      </c>
      <c r="Q3077" s="85" t="s">
        <v>47</v>
      </c>
      <c r="R3077" s="220" t="s">
        <v>1888</v>
      </c>
      <c r="S3077" s="220" t="s">
        <v>1861</v>
      </c>
      <c r="T3077" s="85" t="s">
        <v>4181</v>
      </c>
    </row>
    <row r="3078" spans="1:20" ht="15.75" thickBot="1" x14ac:dyDescent="0.3">
      <c r="A3078" t="s">
        <v>1929</v>
      </c>
      <c r="B3078" t="s">
        <v>1929</v>
      </c>
      <c r="C3078" s="82" t="s">
        <v>1929</v>
      </c>
      <c r="D3078" s="83" t="s">
        <v>629</v>
      </c>
      <c r="E3078" s="262" t="s">
        <v>1970</v>
      </c>
      <c r="F3078" s="124" t="s">
        <v>620</v>
      </c>
      <c r="G3078" s="130">
        <v>2014</v>
      </c>
      <c r="H3078" s="125" t="s">
        <v>733</v>
      </c>
      <c r="I3078" s="340" t="str">
        <f t="shared" si="124"/>
        <v>Pesado de Passageiros M3: I : Gasóleo : E6</v>
      </c>
      <c r="J3078" s="125">
        <v>96</v>
      </c>
      <c r="K3078" s="264">
        <v>2022</v>
      </c>
      <c r="L3078" s="129">
        <v>28090.985099999998</v>
      </c>
      <c r="M3078" s="85" t="s">
        <v>630</v>
      </c>
      <c r="N3078" s="128">
        <v>56487</v>
      </c>
      <c r="O3078" s="128">
        <f t="shared" si="123"/>
        <v>5422752</v>
      </c>
      <c r="P3078" s="125" t="s">
        <v>2062</v>
      </c>
      <c r="Q3078" s="85" t="s">
        <v>47</v>
      </c>
      <c r="R3078" s="220" t="s">
        <v>1888</v>
      </c>
      <c r="S3078" s="220" t="s">
        <v>1861</v>
      </c>
      <c r="T3078" s="85" t="s">
        <v>4182</v>
      </c>
    </row>
    <row r="3079" spans="1:20" ht="15.75" thickBot="1" x14ac:dyDescent="0.3">
      <c r="A3079" t="s">
        <v>1929</v>
      </c>
      <c r="B3079" t="s">
        <v>1929</v>
      </c>
      <c r="C3079" s="82" t="s">
        <v>1929</v>
      </c>
      <c r="D3079" s="83" t="s">
        <v>629</v>
      </c>
      <c r="E3079" s="262" t="s">
        <v>1970</v>
      </c>
      <c r="F3079" s="124" t="s">
        <v>620</v>
      </c>
      <c r="G3079" s="130"/>
      <c r="H3079" s="125" t="s">
        <v>731</v>
      </c>
      <c r="I3079" s="340" t="str">
        <f t="shared" si="124"/>
        <v>Pesado de Passageiros M3: I : Gasóleo : E4</v>
      </c>
      <c r="J3079" s="125"/>
      <c r="K3079" s="264">
        <v>2022</v>
      </c>
      <c r="L3079" s="85">
        <v>9814.44</v>
      </c>
      <c r="M3079" s="85" t="s">
        <v>630</v>
      </c>
      <c r="N3079" s="128">
        <v>19244</v>
      </c>
      <c r="O3079" s="128">
        <f t="shared" si="123"/>
        <v>0</v>
      </c>
      <c r="P3079" s="125" t="s">
        <v>3384</v>
      </c>
      <c r="Q3079" s="85" t="s">
        <v>47</v>
      </c>
      <c r="R3079" s="220" t="s">
        <v>1888</v>
      </c>
      <c r="S3079" s="220" t="s">
        <v>1861</v>
      </c>
      <c r="T3079" s="85" t="s">
        <v>4183</v>
      </c>
    </row>
    <row r="3080" spans="1:20" ht="15.75" thickBot="1" x14ac:dyDescent="0.3">
      <c r="A3080" t="s">
        <v>1929</v>
      </c>
      <c r="B3080" t="s">
        <v>1929</v>
      </c>
      <c r="C3080" s="82" t="s">
        <v>1929</v>
      </c>
      <c r="D3080" s="83" t="s">
        <v>629</v>
      </c>
      <c r="E3080" s="262" t="s">
        <v>1970</v>
      </c>
      <c r="F3080" s="124" t="s">
        <v>620</v>
      </c>
      <c r="G3080" s="130">
        <v>2014</v>
      </c>
      <c r="H3080" s="125" t="s">
        <v>733</v>
      </c>
      <c r="I3080" s="340" t="str">
        <f t="shared" si="124"/>
        <v>Pesado de Passageiros M3: I : Gasóleo : E6</v>
      </c>
      <c r="J3080" s="125">
        <v>96</v>
      </c>
      <c r="K3080" s="264">
        <v>2022</v>
      </c>
      <c r="L3080" s="129">
        <v>25628.86</v>
      </c>
      <c r="M3080" s="85" t="s">
        <v>630</v>
      </c>
      <c r="N3080" s="128">
        <v>59602</v>
      </c>
      <c r="O3080" s="128">
        <f t="shared" si="123"/>
        <v>5721792</v>
      </c>
      <c r="P3080" s="125" t="s">
        <v>2053</v>
      </c>
      <c r="Q3080" s="85" t="s">
        <v>47</v>
      </c>
      <c r="R3080" s="220" t="s">
        <v>1888</v>
      </c>
      <c r="S3080" s="220" t="s">
        <v>1861</v>
      </c>
      <c r="T3080" s="85" t="s">
        <v>4184</v>
      </c>
    </row>
    <row r="3081" spans="1:20" ht="15.75" thickBot="1" x14ac:dyDescent="0.3">
      <c r="A3081" t="s">
        <v>1929</v>
      </c>
      <c r="B3081" t="s">
        <v>1929</v>
      </c>
      <c r="C3081" s="82" t="s">
        <v>1929</v>
      </c>
      <c r="D3081" s="83" t="s">
        <v>629</v>
      </c>
      <c r="E3081" s="262" t="s">
        <v>1970</v>
      </c>
      <c r="F3081" s="124" t="s">
        <v>620</v>
      </c>
      <c r="G3081" s="130"/>
      <c r="H3081" s="125" t="s">
        <v>732</v>
      </c>
      <c r="I3081" s="340" t="str">
        <f t="shared" si="124"/>
        <v>Pesado de Passageiros M3: I : Gasóleo : E3</v>
      </c>
      <c r="J3081" s="125"/>
      <c r="K3081" s="264">
        <v>2022</v>
      </c>
      <c r="L3081" s="85">
        <v>9534.35</v>
      </c>
      <c r="M3081" s="85" t="s">
        <v>630</v>
      </c>
      <c r="N3081" s="128">
        <v>27241</v>
      </c>
      <c r="O3081" s="128">
        <f t="shared" si="123"/>
        <v>0</v>
      </c>
      <c r="P3081" s="125" t="s">
        <v>3370</v>
      </c>
      <c r="Q3081" s="85" t="s">
        <v>47</v>
      </c>
      <c r="R3081" s="220" t="s">
        <v>1888</v>
      </c>
      <c r="S3081" s="220" t="s">
        <v>1861</v>
      </c>
      <c r="T3081" s="85" t="s">
        <v>4185</v>
      </c>
    </row>
    <row r="3082" spans="1:20" ht="15.75" thickBot="1" x14ac:dyDescent="0.3">
      <c r="A3082" t="s">
        <v>1929</v>
      </c>
      <c r="B3082" t="s">
        <v>1929</v>
      </c>
      <c r="C3082" s="82" t="s">
        <v>1929</v>
      </c>
      <c r="D3082" s="83" t="s">
        <v>629</v>
      </c>
      <c r="E3082" s="262" t="s">
        <v>1970</v>
      </c>
      <c r="F3082" s="124" t="s">
        <v>620</v>
      </c>
      <c r="G3082" s="130"/>
      <c r="H3082" s="125" t="s">
        <v>732</v>
      </c>
      <c r="I3082" s="340" t="str">
        <f t="shared" si="124"/>
        <v>Pesado de Passageiros M3: I : Gasóleo : E3</v>
      </c>
      <c r="J3082" s="125"/>
      <c r="K3082" s="264">
        <v>2022</v>
      </c>
      <c r="L3082" s="85">
        <v>11374.3</v>
      </c>
      <c r="M3082" s="85" t="s">
        <v>630</v>
      </c>
      <c r="N3082" s="128">
        <v>32498</v>
      </c>
      <c r="O3082" s="128">
        <f t="shared" si="123"/>
        <v>0</v>
      </c>
      <c r="P3082" s="125" t="s">
        <v>3366</v>
      </c>
      <c r="Q3082" s="85" t="s">
        <v>47</v>
      </c>
      <c r="R3082" s="220" t="s">
        <v>1888</v>
      </c>
      <c r="S3082" s="220" t="s">
        <v>1861</v>
      </c>
      <c r="T3082" s="85" t="s">
        <v>4186</v>
      </c>
    </row>
    <row r="3083" spans="1:20" ht="15.75" thickBot="1" x14ac:dyDescent="0.3">
      <c r="A3083" t="s">
        <v>1929</v>
      </c>
      <c r="B3083" t="s">
        <v>1929</v>
      </c>
      <c r="C3083" s="82" t="s">
        <v>1929</v>
      </c>
      <c r="D3083" s="83" t="s">
        <v>629</v>
      </c>
      <c r="E3083" s="262" t="s">
        <v>1970</v>
      </c>
      <c r="F3083" s="124" t="s">
        <v>620</v>
      </c>
      <c r="G3083" s="130">
        <v>2009</v>
      </c>
      <c r="H3083" s="125" t="s">
        <v>731</v>
      </c>
      <c r="I3083" s="340" t="str">
        <f t="shared" si="124"/>
        <v>Pesado de Passageiros M3: I : Gasóleo : E4</v>
      </c>
      <c r="J3083" s="125">
        <v>21</v>
      </c>
      <c r="K3083" s="264">
        <v>2022</v>
      </c>
      <c r="L3083" s="129">
        <v>10832.0049</v>
      </c>
      <c r="M3083" s="85" t="s">
        <v>630</v>
      </c>
      <c r="N3083" s="128">
        <v>41077</v>
      </c>
      <c r="O3083" s="128">
        <f t="shared" si="123"/>
        <v>862617</v>
      </c>
      <c r="P3083" s="125" t="s">
        <v>1989</v>
      </c>
      <c r="Q3083" s="85" t="s">
        <v>47</v>
      </c>
      <c r="R3083" s="220" t="s">
        <v>1888</v>
      </c>
      <c r="S3083" s="220" t="s">
        <v>1861</v>
      </c>
      <c r="T3083" s="85" t="s">
        <v>4187</v>
      </c>
    </row>
    <row r="3084" spans="1:20" ht="15.75" thickBot="1" x14ac:dyDescent="0.3">
      <c r="A3084" t="s">
        <v>1929</v>
      </c>
      <c r="B3084" t="s">
        <v>1929</v>
      </c>
      <c r="C3084" s="82" t="s">
        <v>1929</v>
      </c>
      <c r="D3084" s="83" t="s">
        <v>629</v>
      </c>
      <c r="E3084" s="262" t="s">
        <v>1970</v>
      </c>
      <c r="F3084" s="124" t="s">
        <v>620</v>
      </c>
      <c r="G3084" s="130">
        <v>1997</v>
      </c>
      <c r="H3084" s="125" t="s">
        <v>735</v>
      </c>
      <c r="I3084" s="340" t="str">
        <f t="shared" si="124"/>
        <v>Pesado de Passageiros M3: I : Gasóleo : E2</v>
      </c>
      <c r="J3084" s="125">
        <v>110</v>
      </c>
      <c r="K3084" s="264">
        <v>2022</v>
      </c>
      <c r="L3084" s="129">
        <v>20809.8488</v>
      </c>
      <c r="M3084" s="85" t="s">
        <v>630</v>
      </c>
      <c r="N3084" s="128">
        <v>25688</v>
      </c>
      <c r="O3084" s="128">
        <f t="shared" si="123"/>
        <v>2825680</v>
      </c>
      <c r="P3084" s="125" t="s">
        <v>2217</v>
      </c>
      <c r="Q3084" s="85" t="s">
        <v>47</v>
      </c>
      <c r="R3084" s="220" t="s">
        <v>1888</v>
      </c>
      <c r="S3084" s="220" t="s">
        <v>1861</v>
      </c>
      <c r="T3084" s="85" t="s">
        <v>4188</v>
      </c>
    </row>
    <row r="3085" spans="1:20" ht="15.75" thickBot="1" x14ac:dyDescent="0.3">
      <c r="A3085" t="s">
        <v>1929</v>
      </c>
      <c r="B3085" t="s">
        <v>1929</v>
      </c>
      <c r="C3085" s="82" t="s">
        <v>1929</v>
      </c>
      <c r="D3085" s="83" t="s">
        <v>629</v>
      </c>
      <c r="E3085" s="262" t="s">
        <v>1970</v>
      </c>
      <c r="F3085" s="124" t="s">
        <v>620</v>
      </c>
      <c r="G3085" s="130">
        <v>2004</v>
      </c>
      <c r="H3085" s="125" t="s">
        <v>732</v>
      </c>
      <c r="I3085" s="340" t="str">
        <f t="shared" si="124"/>
        <v>Pesado de Passageiros M3: I : Gasóleo : E3</v>
      </c>
      <c r="J3085" s="125">
        <v>88</v>
      </c>
      <c r="K3085" s="264">
        <v>2022</v>
      </c>
      <c r="L3085" s="129">
        <v>31925.995200000001</v>
      </c>
      <c r="M3085" s="85" t="s">
        <v>630</v>
      </c>
      <c r="N3085" s="128">
        <v>57816</v>
      </c>
      <c r="O3085" s="128">
        <f t="shared" si="123"/>
        <v>5087808</v>
      </c>
      <c r="P3085" s="125" t="s">
        <v>2179</v>
      </c>
      <c r="Q3085" s="85" t="s">
        <v>47</v>
      </c>
      <c r="R3085" s="220" t="s">
        <v>1888</v>
      </c>
      <c r="S3085" s="220" t="s">
        <v>1861</v>
      </c>
      <c r="T3085" s="85" t="s">
        <v>4189</v>
      </c>
    </row>
    <row r="3086" spans="1:20" ht="15.75" thickBot="1" x14ac:dyDescent="0.3">
      <c r="A3086" t="s">
        <v>1929</v>
      </c>
      <c r="B3086" t="s">
        <v>1929</v>
      </c>
      <c r="C3086" s="82" t="s">
        <v>1929</v>
      </c>
      <c r="D3086" s="83" t="s">
        <v>629</v>
      </c>
      <c r="E3086" s="262" t="s">
        <v>1970</v>
      </c>
      <c r="F3086" s="124" t="s">
        <v>620</v>
      </c>
      <c r="G3086" s="130">
        <v>2004</v>
      </c>
      <c r="H3086" s="125" t="s">
        <v>732</v>
      </c>
      <c r="I3086" s="340" t="str">
        <f t="shared" si="124"/>
        <v>Pesado de Passageiros M3: I : Gasóleo : E3</v>
      </c>
      <c r="J3086" s="125">
        <v>88</v>
      </c>
      <c r="K3086" s="264">
        <v>2022</v>
      </c>
      <c r="L3086" s="129">
        <v>34705.831600000005</v>
      </c>
      <c r="M3086" s="85" t="s">
        <v>630</v>
      </c>
      <c r="N3086" s="128">
        <v>62612</v>
      </c>
      <c r="O3086" s="128">
        <f t="shared" si="123"/>
        <v>5509856</v>
      </c>
      <c r="P3086" s="125" t="s">
        <v>2180</v>
      </c>
      <c r="Q3086" s="85" t="s">
        <v>47</v>
      </c>
      <c r="R3086" s="220" t="s">
        <v>1888</v>
      </c>
      <c r="S3086" s="220" t="s">
        <v>1861</v>
      </c>
      <c r="T3086" s="85" t="s">
        <v>4190</v>
      </c>
    </row>
    <row r="3087" spans="1:20" ht="15.75" thickBot="1" x14ac:dyDescent="0.3">
      <c r="A3087" t="s">
        <v>1929</v>
      </c>
      <c r="B3087" t="s">
        <v>1929</v>
      </c>
      <c r="C3087" s="82" t="s">
        <v>1929</v>
      </c>
      <c r="D3087" s="83" t="s">
        <v>629</v>
      </c>
      <c r="E3087" s="262" t="s">
        <v>1970</v>
      </c>
      <c r="F3087" s="124" t="s">
        <v>620</v>
      </c>
      <c r="G3087" s="130">
        <v>2004</v>
      </c>
      <c r="H3087" s="125" t="s">
        <v>732</v>
      </c>
      <c r="I3087" s="340" t="str">
        <f t="shared" si="124"/>
        <v>Pesado de Passageiros M3: I : Gasóleo : E3</v>
      </c>
      <c r="J3087" s="125">
        <v>92</v>
      </c>
      <c r="K3087" s="264">
        <v>2022</v>
      </c>
      <c r="L3087" s="129">
        <v>27299.624100000001</v>
      </c>
      <c r="M3087" s="85" t="s">
        <v>630</v>
      </c>
      <c r="N3087" s="128">
        <v>48207</v>
      </c>
      <c r="O3087" s="128">
        <f t="shared" si="123"/>
        <v>4435044</v>
      </c>
      <c r="P3087" s="125" t="s">
        <v>2182</v>
      </c>
      <c r="Q3087" s="85" t="s">
        <v>47</v>
      </c>
      <c r="R3087" s="220" t="s">
        <v>1888</v>
      </c>
      <c r="S3087" s="220" t="s">
        <v>1861</v>
      </c>
      <c r="T3087" s="85" t="s">
        <v>4191</v>
      </c>
    </row>
    <row r="3088" spans="1:20" ht="15.75" thickBot="1" x14ac:dyDescent="0.3">
      <c r="A3088" t="s">
        <v>1929</v>
      </c>
      <c r="B3088" t="s">
        <v>1929</v>
      </c>
      <c r="C3088" s="82" t="s">
        <v>1929</v>
      </c>
      <c r="D3088" s="83" t="s">
        <v>629</v>
      </c>
      <c r="E3088" s="262" t="s">
        <v>1970</v>
      </c>
      <c r="F3088" s="124" t="s">
        <v>620</v>
      </c>
      <c r="G3088" s="130">
        <v>2004</v>
      </c>
      <c r="H3088" s="125" t="s">
        <v>732</v>
      </c>
      <c r="I3088" s="340" t="str">
        <f t="shared" si="124"/>
        <v>Pesado de Passageiros M3: I : Gasóleo : E3</v>
      </c>
      <c r="J3088" s="125">
        <v>72</v>
      </c>
      <c r="K3088" s="264">
        <v>2022</v>
      </c>
      <c r="L3088" s="129">
        <v>25769.270100000002</v>
      </c>
      <c r="M3088" s="85" t="s">
        <v>630</v>
      </c>
      <c r="N3088" s="128">
        <v>54677</v>
      </c>
      <c r="O3088" s="128">
        <f t="shared" si="123"/>
        <v>3936744</v>
      </c>
      <c r="P3088" s="125" t="s">
        <v>2115</v>
      </c>
      <c r="Q3088" s="85" t="s">
        <v>47</v>
      </c>
      <c r="R3088" s="220" t="s">
        <v>1888</v>
      </c>
      <c r="S3088" s="220" t="s">
        <v>1861</v>
      </c>
      <c r="T3088" s="85" t="s">
        <v>4192</v>
      </c>
    </row>
    <row r="3089" spans="1:20" ht="15.75" thickBot="1" x14ac:dyDescent="0.3">
      <c r="A3089" t="s">
        <v>1929</v>
      </c>
      <c r="B3089" t="s">
        <v>1929</v>
      </c>
      <c r="C3089" s="82" t="s">
        <v>1929</v>
      </c>
      <c r="D3089" s="83" t="s">
        <v>629</v>
      </c>
      <c r="E3089" s="262" t="s">
        <v>1970</v>
      </c>
      <c r="F3089" s="124" t="s">
        <v>620</v>
      </c>
      <c r="G3089" s="130">
        <v>2004</v>
      </c>
      <c r="H3089" s="125" t="s">
        <v>732</v>
      </c>
      <c r="I3089" s="340" t="str">
        <f t="shared" si="124"/>
        <v>Pesado de Passageiros M3: I : Gasóleo : E3</v>
      </c>
      <c r="J3089" s="125">
        <v>74</v>
      </c>
      <c r="K3089" s="264">
        <v>2022</v>
      </c>
      <c r="L3089" s="129">
        <v>33130.151600000005</v>
      </c>
      <c r="M3089" s="85" t="s">
        <v>630</v>
      </c>
      <c r="N3089" s="128">
        <v>62699</v>
      </c>
      <c r="O3089" s="128">
        <f t="shared" si="123"/>
        <v>4639726</v>
      </c>
      <c r="P3089" s="125" t="s">
        <v>2116</v>
      </c>
      <c r="Q3089" s="85" t="s">
        <v>47</v>
      </c>
      <c r="R3089" s="220" t="s">
        <v>1888</v>
      </c>
      <c r="S3089" s="220" t="s">
        <v>1861</v>
      </c>
      <c r="T3089" s="85" t="s">
        <v>4193</v>
      </c>
    </row>
    <row r="3090" spans="1:20" ht="15.75" thickBot="1" x14ac:dyDescent="0.3">
      <c r="A3090" t="s">
        <v>1929</v>
      </c>
      <c r="B3090" t="s">
        <v>1929</v>
      </c>
      <c r="C3090" s="82" t="s">
        <v>1929</v>
      </c>
      <c r="D3090" s="83" t="s">
        <v>629</v>
      </c>
      <c r="E3090" s="262" t="s">
        <v>1970</v>
      </c>
      <c r="F3090" s="124" t="s">
        <v>620</v>
      </c>
      <c r="G3090" s="130">
        <v>1996</v>
      </c>
      <c r="H3090" s="125" t="s">
        <v>736</v>
      </c>
      <c r="I3090" s="340" t="str">
        <f t="shared" si="124"/>
        <v>Pesado de Passageiros M3: I : Gasóleo : E1</v>
      </c>
      <c r="J3090" s="125">
        <v>110</v>
      </c>
      <c r="K3090" s="264">
        <v>2022</v>
      </c>
      <c r="L3090" s="129">
        <v>17753.226000000002</v>
      </c>
      <c r="M3090" s="85" t="s">
        <v>630</v>
      </c>
      <c r="N3090" s="128">
        <v>27653</v>
      </c>
      <c r="O3090" s="128">
        <f t="shared" si="123"/>
        <v>3041830</v>
      </c>
      <c r="P3090" s="125" t="s">
        <v>2218</v>
      </c>
      <c r="Q3090" s="85" t="s">
        <v>47</v>
      </c>
      <c r="R3090" s="220" t="s">
        <v>1888</v>
      </c>
      <c r="S3090" s="220" t="s">
        <v>1861</v>
      </c>
      <c r="T3090" s="85" t="s">
        <v>4194</v>
      </c>
    </row>
    <row r="3091" spans="1:20" ht="15.75" thickBot="1" x14ac:dyDescent="0.3">
      <c r="A3091" t="s">
        <v>1929</v>
      </c>
      <c r="B3091" t="s">
        <v>1929</v>
      </c>
      <c r="C3091" s="82" t="s">
        <v>1929</v>
      </c>
      <c r="D3091" s="83" t="s">
        <v>629</v>
      </c>
      <c r="E3091" s="262" t="s">
        <v>1970</v>
      </c>
      <c r="F3091" s="124" t="s">
        <v>620</v>
      </c>
      <c r="G3091" s="130">
        <v>1995</v>
      </c>
      <c r="H3091" s="125" t="s">
        <v>736</v>
      </c>
      <c r="I3091" s="340" t="str">
        <f t="shared" si="124"/>
        <v>Pesado de Passageiros M3: I : Gasóleo : E1</v>
      </c>
      <c r="J3091" s="125">
        <v>120</v>
      </c>
      <c r="K3091" s="264">
        <v>2022</v>
      </c>
      <c r="L3091" s="129">
        <v>21585.39</v>
      </c>
      <c r="M3091" s="85" t="s">
        <v>630</v>
      </c>
      <c r="N3091" s="128">
        <v>32217</v>
      </c>
      <c r="O3091" s="128">
        <f t="shared" si="123"/>
        <v>3866040</v>
      </c>
      <c r="P3091" s="125" t="s">
        <v>2213</v>
      </c>
      <c r="Q3091" s="85" t="s">
        <v>47</v>
      </c>
      <c r="R3091" s="220" t="s">
        <v>1888</v>
      </c>
      <c r="S3091" s="220" t="s">
        <v>1861</v>
      </c>
      <c r="T3091" s="85" t="s">
        <v>4195</v>
      </c>
    </row>
    <row r="3092" spans="1:20" ht="15.75" thickBot="1" x14ac:dyDescent="0.3">
      <c r="A3092" t="s">
        <v>1929</v>
      </c>
      <c r="B3092" t="s">
        <v>1929</v>
      </c>
      <c r="C3092" s="82" t="s">
        <v>1929</v>
      </c>
      <c r="D3092" s="83" t="s">
        <v>629</v>
      </c>
      <c r="E3092" s="262" t="s">
        <v>1970</v>
      </c>
      <c r="F3092" s="124" t="s">
        <v>620</v>
      </c>
      <c r="G3092" s="130"/>
      <c r="H3092" s="125" t="s">
        <v>731</v>
      </c>
      <c r="I3092" s="340" t="str">
        <f t="shared" si="124"/>
        <v>Pesado de Passageiros M3: I : Gasóleo : E4</v>
      </c>
      <c r="J3092" s="125"/>
      <c r="K3092" s="264">
        <v>2022</v>
      </c>
      <c r="L3092" s="85">
        <v>8564.0499999999993</v>
      </c>
      <c r="M3092" s="85" t="s">
        <v>630</v>
      </c>
      <c r="N3092" s="128">
        <v>15571</v>
      </c>
      <c r="O3092" s="128">
        <f t="shared" si="123"/>
        <v>0</v>
      </c>
      <c r="P3092" s="125" t="s">
        <v>3396</v>
      </c>
      <c r="Q3092" s="85" t="s">
        <v>47</v>
      </c>
      <c r="R3092" s="220" t="s">
        <v>1888</v>
      </c>
      <c r="S3092" s="220" t="s">
        <v>1861</v>
      </c>
      <c r="T3092" s="85" t="s">
        <v>4196</v>
      </c>
    </row>
    <row r="3093" spans="1:20" ht="15.75" thickBot="1" x14ac:dyDescent="0.3">
      <c r="A3093" t="s">
        <v>1929</v>
      </c>
      <c r="B3093" t="s">
        <v>1929</v>
      </c>
      <c r="C3093" s="82" t="s">
        <v>1929</v>
      </c>
      <c r="D3093" s="83" t="s">
        <v>629</v>
      </c>
      <c r="E3093" s="262" t="s">
        <v>1970</v>
      </c>
      <c r="F3093" s="124" t="s">
        <v>620</v>
      </c>
      <c r="G3093" s="130"/>
      <c r="H3093" s="125" t="s">
        <v>731</v>
      </c>
      <c r="I3093" s="340" t="str">
        <f t="shared" si="124"/>
        <v>Pesado de Passageiros M3: I : Gasóleo : E4</v>
      </c>
      <c r="J3093" s="125"/>
      <c r="K3093" s="264">
        <v>2022</v>
      </c>
      <c r="L3093" s="85">
        <v>10393.9</v>
      </c>
      <c r="M3093" s="85" t="s">
        <v>630</v>
      </c>
      <c r="N3093" s="128">
        <v>18898</v>
      </c>
      <c r="O3093" s="128">
        <f t="shared" si="123"/>
        <v>0</v>
      </c>
      <c r="P3093" s="125" t="s">
        <v>3395</v>
      </c>
      <c r="Q3093" s="85" t="s">
        <v>47</v>
      </c>
      <c r="R3093" s="220" t="s">
        <v>1888</v>
      </c>
      <c r="S3093" s="220" t="s">
        <v>1861</v>
      </c>
      <c r="T3093" s="85" t="s">
        <v>3493</v>
      </c>
    </row>
    <row r="3094" spans="1:20" ht="15.75" thickBot="1" x14ac:dyDescent="0.3">
      <c r="A3094" t="s">
        <v>1929</v>
      </c>
      <c r="B3094" t="s">
        <v>1929</v>
      </c>
      <c r="C3094" s="82" t="s">
        <v>1929</v>
      </c>
      <c r="D3094" s="83" t="s">
        <v>629</v>
      </c>
      <c r="E3094" s="262" t="s">
        <v>1970</v>
      </c>
      <c r="F3094" s="124" t="s">
        <v>620</v>
      </c>
      <c r="G3094" s="130">
        <v>2004</v>
      </c>
      <c r="H3094" s="125" t="s">
        <v>732</v>
      </c>
      <c r="I3094" s="340" t="str">
        <f t="shared" si="124"/>
        <v>Pesado de Passageiros M3: I : Gasóleo : E3</v>
      </c>
      <c r="J3094" s="125">
        <v>72</v>
      </c>
      <c r="K3094" s="264">
        <v>2022</v>
      </c>
      <c r="L3094" s="129">
        <v>26729.751600000003</v>
      </c>
      <c r="M3094" s="85" t="s">
        <v>630</v>
      </c>
      <c r="N3094" s="128">
        <v>59638</v>
      </c>
      <c r="O3094" s="128">
        <f t="shared" si="123"/>
        <v>4293936</v>
      </c>
      <c r="P3094" s="125" t="s">
        <v>2114</v>
      </c>
      <c r="Q3094" s="85" t="s">
        <v>47</v>
      </c>
      <c r="R3094" s="220" t="s">
        <v>1888</v>
      </c>
      <c r="S3094" s="220" t="s">
        <v>1861</v>
      </c>
      <c r="T3094" s="85" t="s">
        <v>4197</v>
      </c>
    </row>
    <row r="3095" spans="1:20" ht="15.75" thickBot="1" x14ac:dyDescent="0.3">
      <c r="A3095" t="s">
        <v>1929</v>
      </c>
      <c r="B3095" t="s">
        <v>1929</v>
      </c>
      <c r="C3095" s="82" t="s">
        <v>1929</v>
      </c>
      <c r="D3095" s="83" t="s">
        <v>629</v>
      </c>
      <c r="E3095" s="262" t="s">
        <v>1970</v>
      </c>
      <c r="F3095" s="124" t="s">
        <v>620</v>
      </c>
      <c r="G3095" s="130">
        <v>2013</v>
      </c>
      <c r="H3095" s="125" t="s">
        <v>733</v>
      </c>
      <c r="I3095" s="340" t="str">
        <f t="shared" si="124"/>
        <v>Pesado de Passageiros M3: I : Gasóleo : E6</v>
      </c>
      <c r="J3095" s="125">
        <v>72</v>
      </c>
      <c r="K3095" s="264">
        <v>2022</v>
      </c>
      <c r="L3095" s="129">
        <v>29987.317500000001</v>
      </c>
      <c r="M3095" s="85" t="s">
        <v>630</v>
      </c>
      <c r="N3095" s="128">
        <v>70575</v>
      </c>
      <c r="O3095" s="128">
        <f t="shared" si="123"/>
        <v>5081400</v>
      </c>
      <c r="P3095" s="125" t="s">
        <v>2074</v>
      </c>
      <c r="Q3095" s="85" t="s">
        <v>47</v>
      </c>
      <c r="R3095" s="220" t="s">
        <v>1888</v>
      </c>
      <c r="S3095" s="220" t="s">
        <v>1861</v>
      </c>
      <c r="T3095" s="85" t="s">
        <v>4198</v>
      </c>
    </row>
    <row r="3096" spans="1:20" ht="15.75" thickBot="1" x14ac:dyDescent="0.3">
      <c r="A3096" t="s">
        <v>1929</v>
      </c>
      <c r="B3096" t="s">
        <v>1929</v>
      </c>
      <c r="C3096" s="82" t="s">
        <v>1929</v>
      </c>
      <c r="D3096" s="83" t="s">
        <v>629</v>
      </c>
      <c r="E3096" s="262" t="s">
        <v>1970</v>
      </c>
      <c r="F3096" s="124" t="s">
        <v>620</v>
      </c>
      <c r="G3096" s="130">
        <v>2000</v>
      </c>
      <c r="H3096" s="125" t="s">
        <v>732</v>
      </c>
      <c r="I3096" s="340" t="str">
        <f t="shared" si="124"/>
        <v>Pesado de Passageiros M3: I : Gasóleo : E3</v>
      </c>
      <c r="J3096" s="125">
        <v>81</v>
      </c>
      <c r="K3096" s="264">
        <v>2022</v>
      </c>
      <c r="L3096" s="129">
        <v>11524.957</v>
      </c>
      <c r="M3096" s="85" t="s">
        <v>630</v>
      </c>
      <c r="N3096" s="128">
        <v>23110</v>
      </c>
      <c r="O3096" s="128">
        <f t="shared" si="123"/>
        <v>1871910</v>
      </c>
      <c r="P3096" s="125" t="s">
        <v>2173</v>
      </c>
      <c r="Q3096" s="85" t="s">
        <v>47</v>
      </c>
      <c r="R3096" s="220" t="s">
        <v>1888</v>
      </c>
      <c r="S3096" s="220" t="s">
        <v>1861</v>
      </c>
      <c r="T3096" s="85" t="s">
        <v>4199</v>
      </c>
    </row>
    <row r="3097" spans="1:20" ht="15.75" thickBot="1" x14ac:dyDescent="0.3">
      <c r="A3097" t="s">
        <v>1929</v>
      </c>
      <c r="B3097" t="s">
        <v>1929</v>
      </c>
      <c r="C3097" s="82" t="s">
        <v>1929</v>
      </c>
      <c r="D3097" s="83" t="s">
        <v>629</v>
      </c>
      <c r="E3097" s="262" t="s">
        <v>1970</v>
      </c>
      <c r="F3097" s="124" t="s">
        <v>620</v>
      </c>
      <c r="G3097" s="130"/>
      <c r="H3097" s="125" t="s">
        <v>731</v>
      </c>
      <c r="I3097" s="340" t="str">
        <f t="shared" si="124"/>
        <v>Pesado de Passageiros M3: I : Gasóleo : E4</v>
      </c>
      <c r="J3097" s="125"/>
      <c r="K3097" s="264">
        <v>2022</v>
      </c>
      <c r="L3097" s="85">
        <v>7944.25</v>
      </c>
      <c r="M3097" s="85" t="s">
        <v>630</v>
      </c>
      <c r="N3097" s="128">
        <v>18475</v>
      </c>
      <c r="O3097" s="128">
        <f t="shared" si="123"/>
        <v>0</v>
      </c>
      <c r="P3097" s="125" t="s">
        <v>3389</v>
      </c>
      <c r="Q3097" s="85" t="s">
        <v>47</v>
      </c>
      <c r="R3097" s="220" t="s">
        <v>1888</v>
      </c>
      <c r="S3097" s="220" t="s">
        <v>1861</v>
      </c>
      <c r="T3097" s="85" t="s">
        <v>3491</v>
      </c>
    </row>
    <row r="3098" spans="1:20" ht="15.75" thickBot="1" x14ac:dyDescent="0.3">
      <c r="A3098" t="s">
        <v>1929</v>
      </c>
      <c r="B3098" t="s">
        <v>1929</v>
      </c>
      <c r="C3098" s="82" t="s">
        <v>1929</v>
      </c>
      <c r="D3098" s="83" t="s">
        <v>629</v>
      </c>
      <c r="E3098" s="262" t="s">
        <v>1970</v>
      </c>
      <c r="F3098" s="124" t="s">
        <v>620</v>
      </c>
      <c r="G3098" s="130"/>
      <c r="H3098" s="125" t="s">
        <v>731</v>
      </c>
      <c r="I3098" s="340" t="str">
        <f t="shared" si="124"/>
        <v>Pesado de Passageiros M3: I : Gasóleo : E4</v>
      </c>
      <c r="J3098" s="125"/>
      <c r="K3098" s="264">
        <v>2022</v>
      </c>
      <c r="L3098" s="85">
        <v>27616.6</v>
      </c>
      <c r="M3098" s="85" t="s">
        <v>630</v>
      </c>
      <c r="N3098" s="128">
        <v>50212</v>
      </c>
      <c r="O3098" s="128">
        <f t="shared" si="123"/>
        <v>0</v>
      </c>
      <c r="P3098" s="125" t="s">
        <v>3380</v>
      </c>
      <c r="Q3098" s="85" t="s">
        <v>47</v>
      </c>
      <c r="R3098" s="220" t="s">
        <v>1888</v>
      </c>
      <c r="S3098" s="220" t="s">
        <v>1861</v>
      </c>
      <c r="T3098" s="85" t="s">
        <v>4200</v>
      </c>
    </row>
    <row r="3099" spans="1:20" ht="15.75" thickBot="1" x14ac:dyDescent="0.3">
      <c r="A3099" t="s">
        <v>1929</v>
      </c>
      <c r="B3099" t="s">
        <v>1929</v>
      </c>
      <c r="C3099" s="82" t="s">
        <v>1929</v>
      </c>
      <c r="D3099" s="83" t="s">
        <v>629</v>
      </c>
      <c r="E3099" s="262" t="s">
        <v>1970</v>
      </c>
      <c r="F3099" s="124" t="s">
        <v>620</v>
      </c>
      <c r="G3099" s="130">
        <v>2020</v>
      </c>
      <c r="H3099" s="125" t="s">
        <v>733</v>
      </c>
      <c r="I3099" s="340" t="str">
        <f t="shared" si="124"/>
        <v>Pesado de Passageiros M3: I : Gasóleo : E6</v>
      </c>
      <c r="J3099" s="125">
        <v>108</v>
      </c>
      <c r="K3099" s="264">
        <v>2022</v>
      </c>
      <c r="L3099" s="129">
        <v>27477.19</v>
      </c>
      <c r="M3099" s="85" t="s">
        <v>630</v>
      </c>
      <c r="N3099" s="128">
        <v>63050</v>
      </c>
      <c r="O3099" s="128">
        <f t="shared" si="123"/>
        <v>6809400</v>
      </c>
      <c r="P3099" s="125" t="s">
        <v>2081</v>
      </c>
      <c r="Q3099" s="85" t="s">
        <v>47</v>
      </c>
      <c r="R3099" s="220" t="s">
        <v>1888</v>
      </c>
      <c r="S3099" s="220" t="s">
        <v>1861</v>
      </c>
      <c r="T3099" s="85" t="s">
        <v>4201</v>
      </c>
    </row>
    <row r="3100" spans="1:20" ht="15.75" thickBot="1" x14ac:dyDescent="0.3">
      <c r="A3100" t="s">
        <v>1929</v>
      </c>
      <c r="B3100" t="s">
        <v>1929</v>
      </c>
      <c r="C3100" s="82" t="s">
        <v>1929</v>
      </c>
      <c r="D3100" s="83" t="s">
        <v>629</v>
      </c>
      <c r="E3100" s="262" t="s">
        <v>1970</v>
      </c>
      <c r="F3100" s="124" t="s">
        <v>620</v>
      </c>
      <c r="G3100" s="130">
        <v>2020</v>
      </c>
      <c r="H3100" s="125" t="s">
        <v>733</v>
      </c>
      <c r="I3100" s="340" t="str">
        <f t="shared" si="124"/>
        <v>Pesado de Passageiros M3: I : Gasóleo : E6</v>
      </c>
      <c r="J3100" s="125">
        <v>108</v>
      </c>
      <c r="K3100" s="264">
        <v>2022</v>
      </c>
      <c r="L3100" s="129">
        <v>30274.3125</v>
      </c>
      <c r="M3100" s="85" t="s">
        <v>630</v>
      </c>
      <c r="N3100" s="128">
        <v>66875</v>
      </c>
      <c r="O3100" s="128">
        <f t="shared" si="123"/>
        <v>7222500</v>
      </c>
      <c r="P3100" s="125" t="s">
        <v>2082</v>
      </c>
      <c r="Q3100" s="85" t="s">
        <v>47</v>
      </c>
      <c r="R3100" s="220" t="s">
        <v>1888</v>
      </c>
      <c r="S3100" s="220" t="s">
        <v>1861</v>
      </c>
      <c r="T3100" s="85" t="s">
        <v>4202</v>
      </c>
    </row>
    <row r="3101" spans="1:20" ht="15.75" thickBot="1" x14ac:dyDescent="0.3">
      <c r="A3101" t="s">
        <v>1929</v>
      </c>
      <c r="B3101" t="s">
        <v>1929</v>
      </c>
      <c r="C3101" s="82" t="s">
        <v>1929</v>
      </c>
      <c r="D3101" s="83" t="s">
        <v>629</v>
      </c>
      <c r="E3101" s="262" t="s">
        <v>1970</v>
      </c>
      <c r="F3101" s="124" t="s">
        <v>620</v>
      </c>
      <c r="G3101" s="130">
        <v>1994</v>
      </c>
      <c r="H3101" s="125" t="s">
        <v>736</v>
      </c>
      <c r="I3101" s="340" t="str">
        <f t="shared" si="124"/>
        <v>Pesado de Passageiros M3: I : Gasóleo : E1</v>
      </c>
      <c r="J3101" s="125">
        <v>70</v>
      </c>
      <c r="K3101" s="264">
        <v>2022</v>
      </c>
      <c r="L3101" s="129">
        <v>16615.439999999999</v>
      </c>
      <c r="M3101" s="85" t="s">
        <v>630</v>
      </c>
      <c r="N3101" s="128">
        <v>35352</v>
      </c>
      <c r="O3101" s="128">
        <f t="shared" si="123"/>
        <v>2474640</v>
      </c>
      <c r="P3101" s="125" t="s">
        <v>2210</v>
      </c>
      <c r="Q3101" s="85" t="s">
        <v>47</v>
      </c>
      <c r="R3101" s="220" t="s">
        <v>1888</v>
      </c>
      <c r="S3101" s="220" t="s">
        <v>1861</v>
      </c>
      <c r="T3101" s="85" t="s">
        <v>4203</v>
      </c>
    </row>
    <row r="3102" spans="1:20" ht="15.75" thickBot="1" x14ac:dyDescent="0.3">
      <c r="A3102" t="s">
        <v>1929</v>
      </c>
      <c r="B3102" t="s">
        <v>1929</v>
      </c>
      <c r="C3102" s="82" t="s">
        <v>1929</v>
      </c>
      <c r="D3102" s="83" t="s">
        <v>629</v>
      </c>
      <c r="E3102" s="262" t="s">
        <v>1970</v>
      </c>
      <c r="F3102" s="124" t="s">
        <v>620</v>
      </c>
      <c r="G3102" s="130">
        <v>2007</v>
      </c>
      <c r="H3102" s="125" t="s">
        <v>731</v>
      </c>
      <c r="I3102" s="340" t="str">
        <f t="shared" si="124"/>
        <v>Pesado de Passageiros M3: I : Gasóleo : E4</v>
      </c>
      <c r="J3102" s="125">
        <v>54</v>
      </c>
      <c r="K3102" s="264">
        <v>2022</v>
      </c>
      <c r="L3102" s="129">
        <v>16053.056799999998</v>
      </c>
      <c r="M3102" s="85" t="s">
        <v>630</v>
      </c>
      <c r="N3102" s="128">
        <v>38258</v>
      </c>
      <c r="O3102" s="128">
        <f t="shared" si="123"/>
        <v>2065932</v>
      </c>
      <c r="P3102" s="125" t="s">
        <v>1998</v>
      </c>
      <c r="Q3102" s="85" t="s">
        <v>47</v>
      </c>
      <c r="R3102" s="220" t="s">
        <v>1888</v>
      </c>
      <c r="S3102" s="220" t="s">
        <v>1861</v>
      </c>
      <c r="T3102" s="85" t="s">
        <v>4204</v>
      </c>
    </row>
    <row r="3103" spans="1:20" ht="15.75" thickBot="1" x14ac:dyDescent="0.3">
      <c r="A3103" t="s">
        <v>1929</v>
      </c>
      <c r="B3103" t="s">
        <v>1929</v>
      </c>
      <c r="C3103" s="82" t="s">
        <v>1929</v>
      </c>
      <c r="D3103" s="83" t="s">
        <v>629</v>
      </c>
      <c r="E3103" s="262" t="s">
        <v>1970</v>
      </c>
      <c r="F3103" s="124" t="s">
        <v>620</v>
      </c>
      <c r="G3103" s="130"/>
      <c r="H3103" s="125" t="s">
        <v>731</v>
      </c>
      <c r="I3103" s="340" t="str">
        <f t="shared" si="124"/>
        <v>Pesado de Passageiros M3: I : Gasóleo : E4</v>
      </c>
      <c r="J3103" s="125"/>
      <c r="K3103" s="264">
        <v>2022</v>
      </c>
      <c r="L3103" s="85">
        <v>12968.78</v>
      </c>
      <c r="M3103" s="85" t="s">
        <v>630</v>
      </c>
      <c r="N3103" s="128">
        <v>28193</v>
      </c>
      <c r="O3103" s="128">
        <f t="shared" si="123"/>
        <v>0</v>
      </c>
      <c r="P3103" s="125" t="s">
        <v>3339</v>
      </c>
      <c r="Q3103" s="85" t="s">
        <v>47</v>
      </c>
      <c r="R3103" s="220" t="s">
        <v>1888</v>
      </c>
      <c r="S3103" s="220" t="s">
        <v>1861</v>
      </c>
      <c r="T3103" s="85" t="s">
        <v>3457</v>
      </c>
    </row>
    <row r="3104" spans="1:20" ht="15.75" thickBot="1" x14ac:dyDescent="0.3">
      <c r="A3104" t="s">
        <v>1929</v>
      </c>
      <c r="B3104" t="s">
        <v>1929</v>
      </c>
      <c r="C3104" s="82" t="s">
        <v>1929</v>
      </c>
      <c r="D3104" s="83" t="s">
        <v>629</v>
      </c>
      <c r="E3104" s="262" t="s">
        <v>1970</v>
      </c>
      <c r="F3104" s="124" t="s">
        <v>620</v>
      </c>
      <c r="G3104" s="130">
        <v>2007</v>
      </c>
      <c r="H3104" s="125" t="s">
        <v>731</v>
      </c>
      <c r="I3104" s="340" t="str">
        <f t="shared" si="124"/>
        <v>Pesado de Passageiros M3: I : Gasóleo : E4</v>
      </c>
      <c r="J3104" s="125">
        <v>54</v>
      </c>
      <c r="K3104" s="264">
        <v>2022</v>
      </c>
      <c r="L3104" s="129">
        <v>17639.184999999998</v>
      </c>
      <c r="M3104" s="85" t="s">
        <v>630</v>
      </c>
      <c r="N3104" s="128">
        <v>42970</v>
      </c>
      <c r="O3104" s="128">
        <f t="shared" si="123"/>
        <v>2320380</v>
      </c>
      <c r="P3104" s="125" t="s">
        <v>1999</v>
      </c>
      <c r="Q3104" s="85" t="s">
        <v>47</v>
      </c>
      <c r="R3104" s="220" t="s">
        <v>1888</v>
      </c>
      <c r="S3104" s="220" t="s">
        <v>1861</v>
      </c>
      <c r="T3104" s="85" t="s">
        <v>4205</v>
      </c>
    </row>
    <row r="3105" spans="1:20" ht="15.75" thickBot="1" x14ac:dyDescent="0.3">
      <c r="A3105" t="s">
        <v>1929</v>
      </c>
      <c r="B3105" t="s">
        <v>1929</v>
      </c>
      <c r="C3105" s="82" t="s">
        <v>1929</v>
      </c>
      <c r="D3105" s="83" t="s">
        <v>629</v>
      </c>
      <c r="E3105" s="262" t="s">
        <v>1970</v>
      </c>
      <c r="F3105" s="124" t="s">
        <v>620</v>
      </c>
      <c r="G3105" s="130"/>
      <c r="H3105" s="125" t="s">
        <v>731</v>
      </c>
      <c r="I3105" s="340" t="str">
        <f t="shared" si="124"/>
        <v>Pesado de Passageiros M3: I : Gasóleo : E4</v>
      </c>
      <c r="J3105" s="125"/>
      <c r="K3105" s="264">
        <v>2022</v>
      </c>
      <c r="L3105" s="85">
        <v>18744.54</v>
      </c>
      <c r="M3105" s="85" t="s">
        <v>630</v>
      </c>
      <c r="N3105" s="128">
        <v>40749</v>
      </c>
      <c r="O3105" s="128">
        <f t="shared" si="123"/>
        <v>0</v>
      </c>
      <c r="P3105" s="125" t="s">
        <v>3338</v>
      </c>
      <c r="Q3105" s="85" t="s">
        <v>47</v>
      </c>
      <c r="R3105" s="220" t="s">
        <v>1888</v>
      </c>
      <c r="S3105" s="220" t="s">
        <v>1861</v>
      </c>
      <c r="T3105" s="85" t="s">
        <v>4206</v>
      </c>
    </row>
    <row r="3106" spans="1:20" ht="15.75" thickBot="1" x14ac:dyDescent="0.3">
      <c r="A3106" t="s">
        <v>1929</v>
      </c>
      <c r="B3106" t="s">
        <v>1929</v>
      </c>
      <c r="C3106" s="82" t="s">
        <v>1929</v>
      </c>
      <c r="D3106" s="83" t="s">
        <v>629</v>
      </c>
      <c r="E3106" s="262" t="s">
        <v>1970</v>
      </c>
      <c r="F3106" s="124" t="s">
        <v>620</v>
      </c>
      <c r="G3106" s="130">
        <v>2005</v>
      </c>
      <c r="H3106" s="125" t="s">
        <v>732</v>
      </c>
      <c r="I3106" s="340" t="str">
        <f t="shared" si="124"/>
        <v>Pesado de Passageiros M3: I : Gasóleo : E3</v>
      </c>
      <c r="J3106" s="125">
        <v>79</v>
      </c>
      <c r="K3106" s="264">
        <v>2022</v>
      </c>
      <c r="L3106" s="129">
        <v>16044.364</v>
      </c>
      <c r="M3106" s="85" t="s">
        <v>630</v>
      </c>
      <c r="N3106" s="128">
        <v>26705</v>
      </c>
      <c r="O3106" s="128">
        <f t="shared" si="123"/>
        <v>2109695</v>
      </c>
      <c r="P3106" s="125" t="s">
        <v>2148</v>
      </c>
      <c r="Q3106" s="85" t="s">
        <v>47</v>
      </c>
      <c r="R3106" s="220" t="s">
        <v>1888</v>
      </c>
      <c r="S3106" s="220" t="s">
        <v>1861</v>
      </c>
      <c r="T3106" s="85" t="s">
        <v>4207</v>
      </c>
    </row>
    <row r="3107" spans="1:20" ht="15.75" thickBot="1" x14ac:dyDescent="0.3">
      <c r="A3107" t="s">
        <v>1929</v>
      </c>
      <c r="B3107" t="s">
        <v>1929</v>
      </c>
      <c r="C3107" s="82" t="s">
        <v>1929</v>
      </c>
      <c r="D3107" s="83" t="s">
        <v>629</v>
      </c>
      <c r="E3107" s="262" t="s">
        <v>1970</v>
      </c>
      <c r="F3107" s="124" t="s">
        <v>620</v>
      </c>
      <c r="G3107" s="130"/>
      <c r="H3107" s="125" t="s">
        <v>732</v>
      </c>
      <c r="I3107" s="340" t="str">
        <f t="shared" si="124"/>
        <v>Pesado de Passageiros M3: I : Gasóleo : E3</v>
      </c>
      <c r="J3107" s="125"/>
      <c r="K3107" s="264">
        <v>2022</v>
      </c>
      <c r="L3107" s="85">
        <v>3976.32</v>
      </c>
      <c r="M3107" s="85" t="s">
        <v>630</v>
      </c>
      <c r="N3107" s="128">
        <v>20928</v>
      </c>
      <c r="O3107" s="128">
        <f t="shared" si="123"/>
        <v>0</v>
      </c>
      <c r="P3107" s="125" t="s">
        <v>3371</v>
      </c>
      <c r="Q3107" s="85" t="s">
        <v>47</v>
      </c>
      <c r="R3107" s="220" t="s">
        <v>1888</v>
      </c>
      <c r="S3107" s="220" t="s">
        <v>1861</v>
      </c>
      <c r="T3107" s="85" t="s">
        <v>4208</v>
      </c>
    </row>
    <row r="3108" spans="1:20" ht="15.75" thickBot="1" x14ac:dyDescent="0.3">
      <c r="A3108" t="s">
        <v>1929</v>
      </c>
      <c r="B3108" t="s">
        <v>1929</v>
      </c>
      <c r="C3108" s="82" t="s">
        <v>1929</v>
      </c>
      <c r="D3108" s="83" t="s">
        <v>629</v>
      </c>
      <c r="E3108" s="262" t="s">
        <v>1970</v>
      </c>
      <c r="F3108" s="124" t="s">
        <v>620</v>
      </c>
      <c r="G3108" s="130">
        <v>1997</v>
      </c>
      <c r="H3108" s="125" t="s">
        <v>735</v>
      </c>
      <c r="I3108" s="340" t="str">
        <f t="shared" si="124"/>
        <v>Pesado de Passageiros M3: I : Gasóleo : E2</v>
      </c>
      <c r="J3108" s="125">
        <v>79</v>
      </c>
      <c r="K3108" s="264">
        <v>2022</v>
      </c>
      <c r="L3108" s="129">
        <v>19092.805400000001</v>
      </c>
      <c r="M3108" s="85" t="s">
        <v>630</v>
      </c>
      <c r="N3108" s="128">
        <v>39661</v>
      </c>
      <c r="O3108" s="128">
        <f t="shared" si="123"/>
        <v>3133219</v>
      </c>
      <c r="P3108" s="125" t="s">
        <v>2155</v>
      </c>
      <c r="Q3108" s="85" t="s">
        <v>47</v>
      </c>
      <c r="R3108" s="220" t="s">
        <v>1888</v>
      </c>
      <c r="S3108" s="220" t="s">
        <v>1861</v>
      </c>
      <c r="T3108" s="85" t="s">
        <v>4209</v>
      </c>
    </row>
    <row r="3109" spans="1:20" ht="15.75" thickBot="1" x14ac:dyDescent="0.3">
      <c r="A3109" t="s">
        <v>1929</v>
      </c>
      <c r="B3109" t="s">
        <v>1929</v>
      </c>
      <c r="C3109" s="82" t="s">
        <v>1929</v>
      </c>
      <c r="D3109" s="83" t="s">
        <v>629</v>
      </c>
      <c r="E3109" s="262" t="s">
        <v>1970</v>
      </c>
      <c r="F3109" s="124" t="s">
        <v>620</v>
      </c>
      <c r="G3109" s="130">
        <v>2004</v>
      </c>
      <c r="H3109" s="125" t="s">
        <v>732</v>
      </c>
      <c r="I3109" s="340" t="str">
        <f t="shared" si="124"/>
        <v>Pesado de Passageiros M3: I : Gasóleo : E3</v>
      </c>
      <c r="J3109" s="125">
        <v>69</v>
      </c>
      <c r="K3109" s="264">
        <v>2022</v>
      </c>
      <c r="L3109" s="129">
        <v>27761.714199999999</v>
      </c>
      <c r="M3109" s="85" t="s">
        <v>630</v>
      </c>
      <c r="N3109" s="128">
        <v>52799</v>
      </c>
      <c r="O3109" s="128">
        <f t="shared" si="123"/>
        <v>3643131</v>
      </c>
      <c r="P3109" s="125" t="s">
        <v>2192</v>
      </c>
      <c r="Q3109" s="85" t="s">
        <v>47</v>
      </c>
      <c r="R3109" s="220" t="s">
        <v>1888</v>
      </c>
      <c r="S3109" s="220" t="s">
        <v>1861</v>
      </c>
      <c r="T3109" s="85" t="s">
        <v>4210</v>
      </c>
    </row>
    <row r="3110" spans="1:20" ht="15.75" thickBot="1" x14ac:dyDescent="0.3">
      <c r="A3110" t="s">
        <v>1929</v>
      </c>
      <c r="B3110" t="s">
        <v>1929</v>
      </c>
      <c r="C3110" s="82" t="s">
        <v>1929</v>
      </c>
      <c r="D3110" s="83" t="s">
        <v>629</v>
      </c>
      <c r="E3110" s="262" t="s">
        <v>1970</v>
      </c>
      <c r="F3110" s="124" t="s">
        <v>620</v>
      </c>
      <c r="G3110" s="130">
        <v>2019</v>
      </c>
      <c r="H3110" s="125" t="s">
        <v>733</v>
      </c>
      <c r="I3110" s="340" t="str">
        <f t="shared" si="124"/>
        <v>Pesado de Passageiros M3: I : Gasóleo : E6</v>
      </c>
      <c r="J3110" s="125">
        <v>95</v>
      </c>
      <c r="K3110" s="264">
        <v>2022</v>
      </c>
      <c r="L3110" s="129">
        <v>28389.599999999999</v>
      </c>
      <c r="M3110" s="85" t="s">
        <v>630</v>
      </c>
      <c r="N3110" s="128">
        <v>63088</v>
      </c>
      <c r="O3110" s="128">
        <f t="shared" si="123"/>
        <v>5993360</v>
      </c>
      <c r="P3110" s="125" t="s">
        <v>2036</v>
      </c>
      <c r="Q3110" s="85" t="s">
        <v>47</v>
      </c>
      <c r="R3110" s="220" t="s">
        <v>1888</v>
      </c>
      <c r="S3110" s="220" t="s">
        <v>1861</v>
      </c>
      <c r="T3110" s="85" t="s">
        <v>4211</v>
      </c>
    </row>
    <row r="3111" spans="1:20" ht="15.75" thickBot="1" x14ac:dyDescent="0.3">
      <c r="A3111" t="s">
        <v>1929</v>
      </c>
      <c r="B3111" t="s">
        <v>1929</v>
      </c>
      <c r="C3111" s="82" t="s">
        <v>1929</v>
      </c>
      <c r="D3111" s="83" t="s">
        <v>629</v>
      </c>
      <c r="E3111" s="262" t="s">
        <v>1970</v>
      </c>
      <c r="F3111" s="124" t="s">
        <v>620</v>
      </c>
      <c r="G3111" s="130">
        <v>2003</v>
      </c>
      <c r="H3111" s="125" t="s">
        <v>732</v>
      </c>
      <c r="I3111" s="340" t="str">
        <f t="shared" si="124"/>
        <v>Pesado de Passageiros M3: I : Gasóleo : E3</v>
      </c>
      <c r="J3111" s="125">
        <v>77</v>
      </c>
      <c r="K3111" s="264">
        <v>2022</v>
      </c>
      <c r="L3111" s="129">
        <v>24614.785099999997</v>
      </c>
      <c r="M3111" s="85" t="s">
        <v>630</v>
      </c>
      <c r="N3111" s="128">
        <v>41869</v>
      </c>
      <c r="O3111" s="128">
        <f t="shared" si="123"/>
        <v>3223913</v>
      </c>
      <c r="P3111" s="125" t="s">
        <v>2101</v>
      </c>
      <c r="Q3111" s="85" t="s">
        <v>47</v>
      </c>
      <c r="R3111" s="220" t="s">
        <v>1888</v>
      </c>
      <c r="S3111" s="220" t="s">
        <v>1861</v>
      </c>
      <c r="T3111" s="85" t="s">
        <v>4212</v>
      </c>
    </row>
    <row r="3112" spans="1:20" ht="15.75" thickBot="1" x14ac:dyDescent="0.3">
      <c r="A3112" t="s">
        <v>1929</v>
      </c>
      <c r="B3112" t="s">
        <v>1929</v>
      </c>
      <c r="C3112" s="82" t="s">
        <v>1929</v>
      </c>
      <c r="D3112" s="83" t="s">
        <v>629</v>
      </c>
      <c r="E3112" s="262" t="s">
        <v>1970</v>
      </c>
      <c r="F3112" s="124" t="s">
        <v>620</v>
      </c>
      <c r="G3112" s="130">
        <v>2003</v>
      </c>
      <c r="H3112" s="125" t="s">
        <v>732</v>
      </c>
      <c r="I3112" s="340" t="str">
        <f t="shared" si="124"/>
        <v>Pesado de Passageiros M3: I : Gasóleo : E3</v>
      </c>
      <c r="J3112" s="125">
        <v>76</v>
      </c>
      <c r="K3112" s="264">
        <v>2022</v>
      </c>
      <c r="L3112" s="129">
        <v>28498.4352</v>
      </c>
      <c r="M3112" s="85" t="s">
        <v>630</v>
      </c>
      <c r="N3112" s="128">
        <v>57364</v>
      </c>
      <c r="O3112" s="128">
        <f t="shared" si="123"/>
        <v>4359664</v>
      </c>
      <c r="P3112" s="125" t="s">
        <v>2103</v>
      </c>
      <c r="Q3112" s="85" t="s">
        <v>47</v>
      </c>
      <c r="R3112" s="220" t="s">
        <v>1888</v>
      </c>
      <c r="S3112" s="220" t="s">
        <v>1861</v>
      </c>
      <c r="T3112" s="85" t="s">
        <v>4213</v>
      </c>
    </row>
    <row r="3113" spans="1:20" ht="15.75" thickBot="1" x14ac:dyDescent="0.3">
      <c r="A3113" t="s">
        <v>1929</v>
      </c>
      <c r="B3113" t="s">
        <v>1929</v>
      </c>
      <c r="C3113" s="82" t="s">
        <v>1929</v>
      </c>
      <c r="D3113" s="83" t="s">
        <v>629</v>
      </c>
      <c r="E3113" s="262" t="s">
        <v>1970</v>
      </c>
      <c r="F3113" s="124" t="s">
        <v>620</v>
      </c>
      <c r="G3113" s="130">
        <v>2008</v>
      </c>
      <c r="H3113" s="125" t="s">
        <v>734</v>
      </c>
      <c r="I3113" s="340" t="str">
        <f t="shared" si="124"/>
        <v>Pesado de Passageiros M3: I : Gasóleo : E5</v>
      </c>
      <c r="J3113" s="125">
        <v>57</v>
      </c>
      <c r="K3113" s="264">
        <v>2022</v>
      </c>
      <c r="L3113" s="129">
        <v>27066.971099999999</v>
      </c>
      <c r="M3113" s="85" t="s">
        <v>630</v>
      </c>
      <c r="N3113" s="128">
        <v>66651</v>
      </c>
      <c r="O3113" s="128">
        <f t="shared" si="123"/>
        <v>3799107</v>
      </c>
      <c r="P3113" s="125" t="s">
        <v>2043</v>
      </c>
      <c r="Q3113" s="85" t="s">
        <v>47</v>
      </c>
      <c r="R3113" s="220" t="s">
        <v>1888</v>
      </c>
      <c r="S3113" s="220" t="s">
        <v>1861</v>
      </c>
      <c r="T3113" s="85" t="s">
        <v>4214</v>
      </c>
    </row>
    <row r="3114" spans="1:20" ht="15.75" thickBot="1" x14ac:dyDescent="0.3">
      <c r="A3114" t="s">
        <v>1929</v>
      </c>
      <c r="B3114" t="s">
        <v>1929</v>
      </c>
      <c r="C3114" s="82" t="s">
        <v>1929</v>
      </c>
      <c r="D3114" s="83" t="s">
        <v>629</v>
      </c>
      <c r="E3114" s="262" t="s">
        <v>1970</v>
      </c>
      <c r="F3114" s="124" t="s">
        <v>620</v>
      </c>
      <c r="G3114" s="130">
        <v>2003</v>
      </c>
      <c r="H3114" s="125" t="s">
        <v>732</v>
      </c>
      <c r="I3114" s="340" t="str">
        <f t="shared" si="124"/>
        <v>Pesado de Passageiros M3: I : Gasóleo : E3</v>
      </c>
      <c r="J3114" s="125">
        <v>76</v>
      </c>
      <c r="K3114" s="264">
        <v>2022</v>
      </c>
      <c r="L3114" s="129">
        <v>25011.882399999999</v>
      </c>
      <c r="M3114" s="85" t="s">
        <v>630</v>
      </c>
      <c r="N3114" s="128">
        <v>52924</v>
      </c>
      <c r="O3114" s="128">
        <f t="shared" si="123"/>
        <v>4022224</v>
      </c>
      <c r="P3114" s="125" t="s">
        <v>2102</v>
      </c>
      <c r="Q3114" s="85" t="s">
        <v>47</v>
      </c>
      <c r="R3114" s="220" t="s">
        <v>1888</v>
      </c>
      <c r="S3114" s="220" t="s">
        <v>1861</v>
      </c>
      <c r="T3114" s="85" t="s">
        <v>4215</v>
      </c>
    </row>
    <row r="3115" spans="1:20" ht="15.75" thickBot="1" x14ac:dyDescent="0.3">
      <c r="A3115" t="s">
        <v>1929</v>
      </c>
      <c r="B3115" t="s">
        <v>1929</v>
      </c>
      <c r="C3115" s="82" t="s">
        <v>1929</v>
      </c>
      <c r="D3115" s="83" t="s">
        <v>629</v>
      </c>
      <c r="E3115" s="262" t="s">
        <v>1970</v>
      </c>
      <c r="F3115" s="124" t="s">
        <v>620</v>
      </c>
      <c r="G3115" s="130">
        <v>2019</v>
      </c>
      <c r="H3115" s="125" t="s">
        <v>733</v>
      </c>
      <c r="I3115" s="340" t="str">
        <f t="shared" si="124"/>
        <v>Pesado de Passageiros M3: I : Gasóleo : E6</v>
      </c>
      <c r="J3115" s="125">
        <v>95</v>
      </c>
      <c r="K3115" s="264">
        <v>2022</v>
      </c>
      <c r="L3115" s="129">
        <v>28648.163700000001</v>
      </c>
      <c r="M3115" s="85" t="s">
        <v>630</v>
      </c>
      <c r="N3115" s="128">
        <v>59721</v>
      </c>
      <c r="O3115" s="128">
        <f t="shared" si="123"/>
        <v>5673495</v>
      </c>
      <c r="P3115" s="125" t="s">
        <v>2034</v>
      </c>
      <c r="Q3115" s="85" t="s">
        <v>47</v>
      </c>
      <c r="R3115" s="220" t="s">
        <v>1888</v>
      </c>
      <c r="S3115" s="220" t="s">
        <v>1861</v>
      </c>
      <c r="T3115" s="85" t="s">
        <v>4216</v>
      </c>
    </row>
    <row r="3116" spans="1:20" ht="15.75" thickBot="1" x14ac:dyDescent="0.3">
      <c r="A3116" t="s">
        <v>1929</v>
      </c>
      <c r="B3116" t="s">
        <v>1929</v>
      </c>
      <c r="C3116" s="82" t="s">
        <v>1929</v>
      </c>
      <c r="D3116" s="83" t="s">
        <v>629</v>
      </c>
      <c r="E3116" s="262" t="s">
        <v>1970</v>
      </c>
      <c r="F3116" s="124" t="s">
        <v>620</v>
      </c>
      <c r="G3116" s="130">
        <v>2019</v>
      </c>
      <c r="H3116" s="125" t="s">
        <v>733</v>
      </c>
      <c r="I3116" s="340" t="str">
        <f t="shared" si="124"/>
        <v>Pesado de Passageiros M3: I : Gasóleo : E6</v>
      </c>
      <c r="J3116" s="125">
        <v>95</v>
      </c>
      <c r="K3116" s="264">
        <v>2022</v>
      </c>
      <c r="L3116" s="129">
        <v>21638.299199999998</v>
      </c>
      <c r="M3116" s="85" t="s">
        <v>630</v>
      </c>
      <c r="N3116" s="128">
        <v>46554</v>
      </c>
      <c r="O3116" s="128">
        <f t="shared" si="123"/>
        <v>4422630</v>
      </c>
      <c r="P3116" s="125" t="s">
        <v>2032</v>
      </c>
      <c r="Q3116" s="85" t="s">
        <v>47</v>
      </c>
      <c r="R3116" s="220" t="s">
        <v>1888</v>
      </c>
      <c r="S3116" s="220" t="s">
        <v>1861</v>
      </c>
      <c r="T3116" s="85" t="s">
        <v>4217</v>
      </c>
    </row>
    <row r="3117" spans="1:20" ht="15.75" thickBot="1" x14ac:dyDescent="0.3">
      <c r="A3117" t="s">
        <v>1929</v>
      </c>
      <c r="B3117" t="s">
        <v>1929</v>
      </c>
      <c r="C3117" s="82" t="s">
        <v>1929</v>
      </c>
      <c r="D3117" s="83" t="s">
        <v>629</v>
      </c>
      <c r="E3117" s="262" t="s">
        <v>1970</v>
      </c>
      <c r="F3117" s="124" t="s">
        <v>620</v>
      </c>
      <c r="G3117" s="130">
        <v>2007</v>
      </c>
      <c r="H3117" s="125" t="s">
        <v>731</v>
      </c>
      <c r="I3117" s="340" t="str">
        <f t="shared" si="124"/>
        <v>Pesado de Passageiros M3: I : Gasóleo : E4</v>
      </c>
      <c r="J3117" s="125">
        <v>21</v>
      </c>
      <c r="K3117" s="264">
        <v>2022</v>
      </c>
      <c r="L3117" s="129">
        <v>8138.9834999999994</v>
      </c>
      <c r="M3117" s="85" t="s">
        <v>630</v>
      </c>
      <c r="N3117" s="128">
        <v>33045</v>
      </c>
      <c r="O3117" s="128">
        <f t="shared" si="123"/>
        <v>693945</v>
      </c>
      <c r="P3117" s="125" t="s">
        <v>1996</v>
      </c>
      <c r="Q3117" s="85" t="s">
        <v>47</v>
      </c>
      <c r="R3117" s="220" t="s">
        <v>1888</v>
      </c>
      <c r="S3117" s="220" t="s">
        <v>1861</v>
      </c>
      <c r="T3117" s="85" t="s">
        <v>4218</v>
      </c>
    </row>
    <row r="3118" spans="1:20" ht="15.75" thickBot="1" x14ac:dyDescent="0.3">
      <c r="A3118" t="s">
        <v>1929</v>
      </c>
      <c r="B3118" t="s">
        <v>1929</v>
      </c>
      <c r="C3118" s="82" t="s">
        <v>1929</v>
      </c>
      <c r="D3118" s="83" t="s">
        <v>629</v>
      </c>
      <c r="E3118" s="262" t="s">
        <v>1970</v>
      </c>
      <c r="F3118" s="124" t="s">
        <v>620</v>
      </c>
      <c r="G3118" s="130">
        <v>2009</v>
      </c>
      <c r="H3118" s="125" t="s">
        <v>731</v>
      </c>
      <c r="I3118" s="340" t="str">
        <f t="shared" si="124"/>
        <v>Pesado de Passageiros M3: I : Gasóleo : E4</v>
      </c>
      <c r="J3118" s="125">
        <v>21</v>
      </c>
      <c r="K3118" s="264">
        <v>2022</v>
      </c>
      <c r="L3118" s="129">
        <v>7889.92</v>
      </c>
      <c r="M3118" s="85" t="s">
        <v>630</v>
      </c>
      <c r="N3118" s="128">
        <v>34304</v>
      </c>
      <c r="O3118" s="128">
        <f t="shared" si="123"/>
        <v>720384</v>
      </c>
      <c r="P3118" s="125" t="s">
        <v>1987</v>
      </c>
      <c r="Q3118" s="85" t="s">
        <v>47</v>
      </c>
      <c r="R3118" s="220" t="s">
        <v>1888</v>
      </c>
      <c r="S3118" s="220" t="s">
        <v>1861</v>
      </c>
      <c r="T3118" s="85" t="s">
        <v>4219</v>
      </c>
    </row>
    <row r="3119" spans="1:20" ht="15.75" thickBot="1" x14ac:dyDescent="0.3">
      <c r="A3119" t="s">
        <v>1929</v>
      </c>
      <c r="B3119" t="s">
        <v>1929</v>
      </c>
      <c r="C3119" s="82" t="s">
        <v>1929</v>
      </c>
      <c r="D3119" s="83" t="s">
        <v>629</v>
      </c>
      <c r="E3119" s="262" t="s">
        <v>1970</v>
      </c>
      <c r="F3119" s="124" t="s">
        <v>620</v>
      </c>
      <c r="G3119" s="130">
        <v>2009</v>
      </c>
      <c r="H3119" s="125" t="s">
        <v>731</v>
      </c>
      <c r="I3119" s="340" t="str">
        <f t="shared" si="124"/>
        <v>Pesado de Passageiros M3: I : Gasóleo : E4</v>
      </c>
      <c r="J3119" s="125">
        <v>21</v>
      </c>
      <c r="K3119" s="264">
        <v>2022</v>
      </c>
      <c r="L3119" s="129">
        <v>10479.905000000001</v>
      </c>
      <c r="M3119" s="85" t="s">
        <v>630</v>
      </c>
      <c r="N3119" s="128">
        <v>44350</v>
      </c>
      <c r="O3119" s="128">
        <f t="shared" si="123"/>
        <v>931350</v>
      </c>
      <c r="P3119" s="125" t="s">
        <v>1986</v>
      </c>
      <c r="Q3119" s="85" t="s">
        <v>47</v>
      </c>
      <c r="R3119" s="220" t="s">
        <v>1888</v>
      </c>
      <c r="S3119" s="220" t="s">
        <v>1861</v>
      </c>
      <c r="T3119" s="85" t="s">
        <v>4220</v>
      </c>
    </row>
    <row r="3120" spans="1:20" ht="15.75" thickBot="1" x14ac:dyDescent="0.3">
      <c r="A3120" t="s">
        <v>1929</v>
      </c>
      <c r="B3120" t="s">
        <v>1929</v>
      </c>
      <c r="C3120" s="82" t="s">
        <v>1929</v>
      </c>
      <c r="D3120" s="83" t="s">
        <v>629</v>
      </c>
      <c r="E3120" s="262" t="s">
        <v>1970</v>
      </c>
      <c r="F3120" s="124" t="s">
        <v>620</v>
      </c>
      <c r="G3120" s="130">
        <v>2005</v>
      </c>
      <c r="H3120" s="125" t="s">
        <v>732</v>
      </c>
      <c r="I3120" s="340" t="str">
        <f t="shared" si="124"/>
        <v>Pesado de Passageiros M3: I : Gasóleo : E3</v>
      </c>
      <c r="J3120" s="125">
        <v>79</v>
      </c>
      <c r="K3120" s="264">
        <v>2022</v>
      </c>
      <c r="L3120" s="129">
        <v>13920.36</v>
      </c>
      <c r="M3120" s="85" t="s">
        <v>630</v>
      </c>
      <c r="N3120" s="128">
        <v>24880</v>
      </c>
      <c r="O3120" s="128">
        <f t="shared" si="123"/>
        <v>1965520</v>
      </c>
      <c r="P3120" s="125" t="s">
        <v>2149</v>
      </c>
      <c r="Q3120" s="85" t="s">
        <v>47</v>
      </c>
      <c r="R3120" s="220" t="s">
        <v>1888</v>
      </c>
      <c r="S3120" s="220" t="s">
        <v>1861</v>
      </c>
      <c r="T3120" s="85" t="s">
        <v>4221</v>
      </c>
    </row>
    <row r="3121" spans="1:20" ht="15.75" thickBot="1" x14ac:dyDescent="0.3">
      <c r="A3121" t="s">
        <v>1929</v>
      </c>
      <c r="B3121" t="s">
        <v>1929</v>
      </c>
      <c r="C3121" s="82" t="s">
        <v>1929</v>
      </c>
      <c r="D3121" s="83" t="s">
        <v>629</v>
      </c>
      <c r="E3121" s="262" t="s">
        <v>1970</v>
      </c>
      <c r="F3121" s="124" t="s">
        <v>620</v>
      </c>
      <c r="G3121" s="130">
        <v>2019</v>
      </c>
      <c r="H3121" s="125" t="s">
        <v>733</v>
      </c>
      <c r="I3121" s="340" t="str">
        <f t="shared" si="124"/>
        <v>Pesado de Passageiros M3: I : Gasóleo : E6</v>
      </c>
      <c r="J3121" s="125">
        <v>95</v>
      </c>
      <c r="K3121" s="264">
        <v>2022</v>
      </c>
      <c r="L3121" s="129">
        <v>19169.757900000001</v>
      </c>
      <c r="M3121" s="85" t="s">
        <v>630</v>
      </c>
      <c r="N3121" s="128">
        <v>36327</v>
      </c>
      <c r="O3121" s="128">
        <f t="shared" ref="O3121:O3184" si="125">N3121*J3121</f>
        <v>3451065</v>
      </c>
      <c r="P3121" s="125" t="s">
        <v>2031</v>
      </c>
      <c r="Q3121" s="85" t="s">
        <v>47</v>
      </c>
      <c r="R3121" s="220" t="s">
        <v>1888</v>
      </c>
      <c r="S3121" s="220" t="s">
        <v>1861</v>
      </c>
      <c r="T3121" s="85" t="s">
        <v>4222</v>
      </c>
    </row>
    <row r="3122" spans="1:20" ht="15.75" thickBot="1" x14ac:dyDescent="0.3">
      <c r="A3122" t="s">
        <v>1929</v>
      </c>
      <c r="B3122" t="s">
        <v>1929</v>
      </c>
      <c r="C3122" s="82" t="s">
        <v>1929</v>
      </c>
      <c r="D3122" s="83" t="s">
        <v>629</v>
      </c>
      <c r="E3122" s="262" t="s">
        <v>1970</v>
      </c>
      <c r="F3122" s="124" t="s">
        <v>620</v>
      </c>
      <c r="G3122" s="130">
        <v>2019</v>
      </c>
      <c r="H3122" s="125" t="s">
        <v>733</v>
      </c>
      <c r="I3122" s="340" t="str">
        <f t="shared" si="124"/>
        <v>Pesado de Passageiros M3: I : Gasóleo : E6</v>
      </c>
      <c r="J3122" s="125">
        <v>95</v>
      </c>
      <c r="K3122" s="264">
        <v>2022</v>
      </c>
      <c r="L3122" s="129">
        <v>28641.435400000002</v>
      </c>
      <c r="M3122" s="85" t="s">
        <v>630</v>
      </c>
      <c r="N3122" s="128">
        <v>59018</v>
      </c>
      <c r="O3122" s="128">
        <f t="shared" si="125"/>
        <v>5606710</v>
      </c>
      <c r="P3122" s="125" t="s">
        <v>2035</v>
      </c>
      <c r="Q3122" s="85" t="s">
        <v>47</v>
      </c>
      <c r="R3122" s="220" t="s">
        <v>1888</v>
      </c>
      <c r="S3122" s="220" t="s">
        <v>1861</v>
      </c>
      <c r="T3122" s="85" t="s">
        <v>4223</v>
      </c>
    </row>
    <row r="3123" spans="1:20" ht="15.75" thickBot="1" x14ac:dyDescent="0.3">
      <c r="A3123" t="s">
        <v>1929</v>
      </c>
      <c r="B3123" t="s">
        <v>1929</v>
      </c>
      <c r="C3123" s="82" t="s">
        <v>1929</v>
      </c>
      <c r="D3123" s="83" t="s">
        <v>629</v>
      </c>
      <c r="E3123" s="262" t="s">
        <v>1970</v>
      </c>
      <c r="F3123" s="124" t="s">
        <v>620</v>
      </c>
      <c r="G3123" s="130">
        <v>2019</v>
      </c>
      <c r="H3123" s="125" t="s">
        <v>733</v>
      </c>
      <c r="I3123" s="340" t="str">
        <f t="shared" si="124"/>
        <v>Pesado de Passageiros M3: I : Gasóleo : E6</v>
      </c>
      <c r="J3123" s="125">
        <v>95</v>
      </c>
      <c r="K3123" s="264">
        <v>2022</v>
      </c>
      <c r="L3123" s="129">
        <v>20328.059400000002</v>
      </c>
      <c r="M3123" s="85" t="s">
        <v>630</v>
      </c>
      <c r="N3123" s="128">
        <v>38522</v>
      </c>
      <c r="O3123" s="128">
        <f t="shared" si="125"/>
        <v>3659590</v>
      </c>
      <c r="P3123" s="125" t="s">
        <v>2030</v>
      </c>
      <c r="Q3123" s="85" t="s">
        <v>47</v>
      </c>
      <c r="R3123" s="220" t="s">
        <v>1888</v>
      </c>
      <c r="S3123" s="220" t="s">
        <v>1861</v>
      </c>
      <c r="T3123" s="85" t="s">
        <v>4224</v>
      </c>
    </row>
    <row r="3124" spans="1:20" ht="15.75" thickBot="1" x14ac:dyDescent="0.3">
      <c r="A3124" t="s">
        <v>1929</v>
      </c>
      <c r="B3124" t="s">
        <v>1929</v>
      </c>
      <c r="C3124" s="82" t="s">
        <v>1929</v>
      </c>
      <c r="D3124" s="83" t="s">
        <v>629</v>
      </c>
      <c r="E3124" s="262" t="s">
        <v>1970</v>
      </c>
      <c r="F3124" s="124" t="s">
        <v>620</v>
      </c>
      <c r="G3124" s="130">
        <v>2019</v>
      </c>
      <c r="H3124" s="125" t="s">
        <v>733</v>
      </c>
      <c r="I3124" s="340" t="str">
        <f t="shared" si="124"/>
        <v>Pesado de Passageiros M3: I : Gasóleo : E6</v>
      </c>
      <c r="J3124" s="125">
        <v>95</v>
      </c>
      <c r="K3124" s="264">
        <v>2022</v>
      </c>
      <c r="L3124" s="129">
        <v>22250.782500000001</v>
      </c>
      <c r="M3124" s="85" t="s">
        <v>630</v>
      </c>
      <c r="N3124" s="128">
        <v>49173</v>
      </c>
      <c r="O3124" s="128">
        <f t="shared" si="125"/>
        <v>4671435</v>
      </c>
      <c r="P3124" s="125" t="s">
        <v>2037</v>
      </c>
      <c r="Q3124" s="85" t="s">
        <v>47</v>
      </c>
      <c r="R3124" s="220" t="s">
        <v>1888</v>
      </c>
      <c r="S3124" s="220" t="s">
        <v>1861</v>
      </c>
      <c r="T3124" s="85" t="s">
        <v>4225</v>
      </c>
    </row>
    <row r="3125" spans="1:20" ht="15.75" thickBot="1" x14ac:dyDescent="0.3">
      <c r="A3125" t="s">
        <v>1929</v>
      </c>
      <c r="B3125" t="s">
        <v>1929</v>
      </c>
      <c r="C3125" s="82" t="s">
        <v>1929</v>
      </c>
      <c r="D3125" s="83" t="s">
        <v>629</v>
      </c>
      <c r="E3125" s="262" t="s">
        <v>1970</v>
      </c>
      <c r="F3125" s="124" t="s">
        <v>620</v>
      </c>
      <c r="G3125" s="130">
        <v>2019</v>
      </c>
      <c r="H3125" s="125" t="s">
        <v>733</v>
      </c>
      <c r="I3125" s="340" t="str">
        <f t="shared" si="124"/>
        <v>Pesado de Passageiros M3: I : Gasóleo : E6</v>
      </c>
      <c r="J3125" s="125">
        <v>95</v>
      </c>
      <c r="K3125" s="264">
        <v>2022</v>
      </c>
      <c r="L3125" s="129">
        <v>20844.941599999998</v>
      </c>
      <c r="M3125" s="85" t="s">
        <v>630</v>
      </c>
      <c r="N3125" s="128">
        <v>38066</v>
      </c>
      <c r="O3125" s="128">
        <f t="shared" si="125"/>
        <v>3616270</v>
      </c>
      <c r="P3125" s="125" t="s">
        <v>2029</v>
      </c>
      <c r="Q3125" s="85" t="s">
        <v>47</v>
      </c>
      <c r="R3125" s="220" t="s">
        <v>1888</v>
      </c>
      <c r="S3125" s="220" t="s">
        <v>1861</v>
      </c>
      <c r="T3125" s="85" t="s">
        <v>4226</v>
      </c>
    </row>
    <row r="3126" spans="1:20" ht="15.75" thickBot="1" x14ac:dyDescent="0.3">
      <c r="A3126" t="s">
        <v>1929</v>
      </c>
      <c r="B3126" t="s">
        <v>1929</v>
      </c>
      <c r="C3126" s="82" t="s">
        <v>1929</v>
      </c>
      <c r="D3126" s="83" t="s">
        <v>629</v>
      </c>
      <c r="E3126" s="262" t="s">
        <v>1970</v>
      </c>
      <c r="F3126" s="124" t="s">
        <v>620</v>
      </c>
      <c r="G3126" s="130">
        <v>2019</v>
      </c>
      <c r="H3126" s="125" t="s">
        <v>733</v>
      </c>
      <c r="I3126" s="340" t="str">
        <f t="shared" ref="I3126:I3189" si="126">D3126&amp;": "&amp;E3126&amp;" : "&amp;F3126&amp;" : "&amp;H3126</f>
        <v>Pesado de Passageiros M3: I : Gasóleo : E6</v>
      </c>
      <c r="J3126" s="125">
        <v>95</v>
      </c>
      <c r="K3126" s="264">
        <v>2022</v>
      </c>
      <c r="L3126" s="129">
        <v>31899.429499999998</v>
      </c>
      <c r="M3126" s="85" t="s">
        <v>630</v>
      </c>
      <c r="N3126" s="128">
        <v>67799</v>
      </c>
      <c r="O3126" s="128">
        <f t="shared" si="125"/>
        <v>6440905</v>
      </c>
      <c r="P3126" s="125" t="s">
        <v>2033</v>
      </c>
      <c r="Q3126" s="85" t="s">
        <v>47</v>
      </c>
      <c r="R3126" s="220" t="s">
        <v>1888</v>
      </c>
      <c r="S3126" s="220" t="s">
        <v>1861</v>
      </c>
      <c r="T3126" s="85" t="s">
        <v>4227</v>
      </c>
    </row>
    <row r="3127" spans="1:20" ht="15.75" thickBot="1" x14ac:dyDescent="0.3">
      <c r="A3127" t="s">
        <v>1929</v>
      </c>
      <c r="B3127" t="s">
        <v>1929</v>
      </c>
      <c r="C3127" s="82" t="s">
        <v>1929</v>
      </c>
      <c r="D3127" s="83" t="s">
        <v>629</v>
      </c>
      <c r="E3127" s="262" t="s">
        <v>1970</v>
      </c>
      <c r="F3127" s="124" t="s">
        <v>620</v>
      </c>
      <c r="G3127" s="130"/>
      <c r="H3127" s="125" t="s">
        <v>733</v>
      </c>
      <c r="I3127" s="340" t="str">
        <f t="shared" si="126"/>
        <v>Pesado de Passageiros M3: I : Gasóleo : E6</v>
      </c>
      <c r="J3127" s="125"/>
      <c r="K3127" s="264">
        <v>2022</v>
      </c>
      <c r="L3127" s="85">
        <v>5500.5</v>
      </c>
      <c r="M3127" s="85" t="s">
        <v>630</v>
      </c>
      <c r="N3127" s="128">
        <v>9650</v>
      </c>
      <c r="O3127" s="128">
        <f t="shared" si="125"/>
        <v>0</v>
      </c>
      <c r="P3127" s="125" t="s">
        <v>4496</v>
      </c>
      <c r="Q3127" s="85" t="s">
        <v>47</v>
      </c>
      <c r="R3127" s="220" t="s">
        <v>1888</v>
      </c>
      <c r="S3127" s="220" t="s">
        <v>1861</v>
      </c>
      <c r="T3127" s="85" t="s">
        <v>2251</v>
      </c>
    </row>
    <row r="3128" spans="1:20" ht="15.75" thickBot="1" x14ac:dyDescent="0.3">
      <c r="A3128" t="s">
        <v>1929</v>
      </c>
      <c r="B3128" t="s">
        <v>1929</v>
      </c>
      <c r="C3128" s="82" t="s">
        <v>1929</v>
      </c>
      <c r="D3128" s="83" t="s">
        <v>629</v>
      </c>
      <c r="E3128" s="262" t="s">
        <v>1970</v>
      </c>
      <c r="F3128" s="124" t="s">
        <v>620</v>
      </c>
      <c r="G3128" s="130"/>
      <c r="H3128" s="125" t="s">
        <v>733</v>
      </c>
      <c r="I3128" s="340" t="str">
        <f t="shared" si="126"/>
        <v>Pesado de Passageiros M3: I : Gasóleo : E6</v>
      </c>
      <c r="J3128" s="125"/>
      <c r="K3128" s="264">
        <v>2022</v>
      </c>
      <c r="L3128" s="85">
        <v>5877.27</v>
      </c>
      <c r="M3128" s="85" t="s">
        <v>630</v>
      </c>
      <c r="N3128" s="128">
        <v>10311</v>
      </c>
      <c r="O3128" s="128">
        <f t="shared" si="125"/>
        <v>0</v>
      </c>
      <c r="P3128" s="125" t="s">
        <v>4497</v>
      </c>
      <c r="Q3128" s="85" t="s">
        <v>47</v>
      </c>
      <c r="R3128" s="220" t="s">
        <v>1888</v>
      </c>
      <c r="S3128" s="220" t="s">
        <v>1861</v>
      </c>
      <c r="T3128" s="85" t="s">
        <v>2252</v>
      </c>
    </row>
    <row r="3129" spans="1:20" ht="15.75" thickBot="1" x14ac:dyDescent="0.3">
      <c r="A3129" t="s">
        <v>1929</v>
      </c>
      <c r="B3129" t="s">
        <v>1929</v>
      </c>
      <c r="C3129" s="82" t="s">
        <v>1929</v>
      </c>
      <c r="D3129" s="83" t="s">
        <v>629</v>
      </c>
      <c r="E3129" s="262" t="s">
        <v>1970</v>
      </c>
      <c r="F3129" s="124" t="s">
        <v>620</v>
      </c>
      <c r="G3129" s="130"/>
      <c r="H3129" s="125" t="s">
        <v>733</v>
      </c>
      <c r="I3129" s="340" t="str">
        <f t="shared" si="126"/>
        <v>Pesado de Passageiros M3: I : Gasóleo : E6</v>
      </c>
      <c r="J3129" s="125"/>
      <c r="K3129" s="264">
        <v>2022</v>
      </c>
      <c r="L3129" s="85">
        <v>5207.5200000000004</v>
      </c>
      <c r="M3129" s="85" t="s">
        <v>630</v>
      </c>
      <c r="N3129" s="128">
        <v>9136</v>
      </c>
      <c r="O3129" s="128">
        <f t="shared" si="125"/>
        <v>0</v>
      </c>
      <c r="P3129" s="125" t="s">
        <v>4498</v>
      </c>
      <c r="Q3129" s="85" t="s">
        <v>47</v>
      </c>
      <c r="R3129" s="220" t="s">
        <v>1888</v>
      </c>
      <c r="S3129" s="220" t="s">
        <v>1861</v>
      </c>
      <c r="T3129" s="85" t="s">
        <v>2253</v>
      </c>
    </row>
    <row r="3130" spans="1:20" ht="15.75" thickBot="1" x14ac:dyDescent="0.3">
      <c r="A3130" t="s">
        <v>1929</v>
      </c>
      <c r="B3130" t="s">
        <v>1929</v>
      </c>
      <c r="C3130" s="82" t="s">
        <v>1929</v>
      </c>
      <c r="D3130" s="83" t="s">
        <v>629</v>
      </c>
      <c r="E3130" s="262" t="s">
        <v>1970</v>
      </c>
      <c r="F3130" s="124" t="s">
        <v>620</v>
      </c>
      <c r="G3130" s="130"/>
      <c r="H3130" s="125" t="s">
        <v>733</v>
      </c>
      <c r="I3130" s="340" t="str">
        <f t="shared" si="126"/>
        <v>Pesado de Passageiros M3: I : Gasóleo : E6</v>
      </c>
      <c r="J3130" s="125"/>
      <c r="K3130" s="264">
        <v>2022</v>
      </c>
      <c r="L3130" s="85">
        <v>4593.0600000000004</v>
      </c>
      <c r="M3130" s="85" t="s">
        <v>630</v>
      </c>
      <c r="N3130" s="128">
        <v>8058</v>
      </c>
      <c r="O3130" s="128">
        <f t="shared" si="125"/>
        <v>0</v>
      </c>
      <c r="P3130" s="125" t="s">
        <v>4499</v>
      </c>
      <c r="Q3130" s="85" t="s">
        <v>47</v>
      </c>
      <c r="R3130" s="220" t="s">
        <v>1888</v>
      </c>
      <c r="S3130" s="220" t="s">
        <v>1861</v>
      </c>
      <c r="T3130" s="85" t="s">
        <v>2475</v>
      </c>
    </row>
    <row r="3131" spans="1:20" ht="15.75" thickBot="1" x14ac:dyDescent="0.3">
      <c r="A3131" t="s">
        <v>1929</v>
      </c>
      <c r="B3131" t="s">
        <v>1929</v>
      </c>
      <c r="C3131" s="82" t="s">
        <v>1929</v>
      </c>
      <c r="D3131" s="83" t="s">
        <v>629</v>
      </c>
      <c r="E3131" s="262" t="s">
        <v>1970</v>
      </c>
      <c r="F3131" s="124" t="s">
        <v>620</v>
      </c>
      <c r="G3131" s="130"/>
      <c r="H3131" s="125" t="s">
        <v>733</v>
      </c>
      <c r="I3131" s="340" t="str">
        <f t="shared" si="126"/>
        <v>Pesado de Passageiros M3: I : Gasóleo : E6</v>
      </c>
      <c r="J3131" s="125"/>
      <c r="K3131" s="264">
        <v>2022</v>
      </c>
      <c r="L3131" s="85">
        <v>189.81</v>
      </c>
      <c r="M3131" s="85" t="s">
        <v>630</v>
      </c>
      <c r="N3131" s="128">
        <v>333</v>
      </c>
      <c r="O3131" s="128">
        <f t="shared" si="125"/>
        <v>0</v>
      </c>
      <c r="P3131" s="125" t="s">
        <v>4500</v>
      </c>
      <c r="Q3131" s="85" t="s">
        <v>47</v>
      </c>
      <c r="R3131" s="220" t="s">
        <v>1888</v>
      </c>
      <c r="S3131" s="220" t="s">
        <v>1861</v>
      </c>
      <c r="T3131" s="85" t="s">
        <v>2473</v>
      </c>
    </row>
    <row r="3132" spans="1:20" ht="15.75" thickBot="1" x14ac:dyDescent="0.3">
      <c r="A3132" t="s">
        <v>1929</v>
      </c>
      <c r="B3132" t="s">
        <v>1929</v>
      </c>
      <c r="C3132" s="82" t="s">
        <v>1929</v>
      </c>
      <c r="D3132" s="83" t="s">
        <v>629</v>
      </c>
      <c r="E3132" s="262" t="s">
        <v>1970</v>
      </c>
      <c r="F3132" s="124" t="s">
        <v>620</v>
      </c>
      <c r="G3132" s="130"/>
      <c r="H3132" s="125" t="s">
        <v>733</v>
      </c>
      <c r="I3132" s="340" t="str">
        <f t="shared" si="126"/>
        <v>Pesado de Passageiros M3: I : Gasóleo : E6</v>
      </c>
      <c r="J3132" s="125"/>
      <c r="K3132" s="264">
        <v>2022</v>
      </c>
      <c r="L3132" s="85">
        <v>5246.28</v>
      </c>
      <c r="M3132" s="85" t="s">
        <v>630</v>
      </c>
      <c r="N3132" s="128">
        <v>9204</v>
      </c>
      <c r="O3132" s="128">
        <f t="shared" si="125"/>
        <v>0</v>
      </c>
      <c r="P3132" s="125" t="s">
        <v>4501</v>
      </c>
      <c r="Q3132" s="85" t="s">
        <v>47</v>
      </c>
      <c r="R3132" s="220" t="s">
        <v>1888</v>
      </c>
      <c r="S3132" s="220" t="s">
        <v>1861</v>
      </c>
      <c r="T3132" s="85" t="s">
        <v>2474</v>
      </c>
    </row>
    <row r="3133" spans="1:20" ht="15.75" thickBot="1" x14ac:dyDescent="0.3">
      <c r="A3133" t="s">
        <v>1929</v>
      </c>
      <c r="B3133" t="s">
        <v>1929</v>
      </c>
      <c r="C3133" s="82" t="s">
        <v>1929</v>
      </c>
      <c r="D3133" s="83" t="s">
        <v>629</v>
      </c>
      <c r="E3133" s="262" t="s">
        <v>1970</v>
      </c>
      <c r="F3133" s="124" t="s">
        <v>620</v>
      </c>
      <c r="G3133" s="130"/>
      <c r="H3133" s="125" t="s">
        <v>731</v>
      </c>
      <c r="I3133" s="340" t="str">
        <f t="shared" si="126"/>
        <v>Pesado de Passageiros M3: I : Gasóleo : E4</v>
      </c>
      <c r="J3133" s="125"/>
      <c r="K3133" s="264">
        <v>2022</v>
      </c>
      <c r="L3133" s="85">
        <v>6137.78</v>
      </c>
      <c r="M3133" s="85" t="s">
        <v>630</v>
      </c>
      <c r="N3133" s="128">
        <v>26686</v>
      </c>
      <c r="O3133" s="128">
        <f t="shared" si="125"/>
        <v>0</v>
      </c>
      <c r="P3133" s="125" t="s">
        <v>3332</v>
      </c>
      <c r="Q3133" s="85" t="s">
        <v>47</v>
      </c>
      <c r="R3133" s="220" t="s">
        <v>1888</v>
      </c>
      <c r="S3133" s="220" t="s">
        <v>1861</v>
      </c>
      <c r="T3133" s="85" t="s">
        <v>4228</v>
      </c>
    </row>
    <row r="3134" spans="1:20" ht="15.75" thickBot="1" x14ac:dyDescent="0.3">
      <c r="A3134" t="s">
        <v>1929</v>
      </c>
      <c r="B3134" t="s">
        <v>1929</v>
      </c>
      <c r="C3134" s="82" t="s">
        <v>1929</v>
      </c>
      <c r="D3134" s="83" t="s">
        <v>629</v>
      </c>
      <c r="E3134" s="262" t="s">
        <v>1970</v>
      </c>
      <c r="F3134" s="124" t="s">
        <v>620</v>
      </c>
      <c r="G3134" s="130"/>
      <c r="H3134" s="125" t="s">
        <v>731</v>
      </c>
      <c r="I3134" s="340" t="str">
        <f t="shared" si="126"/>
        <v>Pesado de Passageiros M3: I : Gasóleo : E4</v>
      </c>
      <c r="J3134" s="125"/>
      <c r="K3134" s="264">
        <v>2022</v>
      </c>
      <c r="L3134" s="85">
        <v>3286.24</v>
      </c>
      <c r="M3134" s="85" t="s">
        <v>630</v>
      </c>
      <c r="N3134" s="128">
        <v>14288</v>
      </c>
      <c r="O3134" s="128">
        <f t="shared" si="125"/>
        <v>0</v>
      </c>
      <c r="P3134" s="125" t="s">
        <v>3333</v>
      </c>
      <c r="Q3134" s="85" t="s">
        <v>47</v>
      </c>
      <c r="R3134" s="220" t="s">
        <v>1888</v>
      </c>
      <c r="S3134" s="220" t="s">
        <v>1861</v>
      </c>
      <c r="T3134" s="85" t="s">
        <v>4229</v>
      </c>
    </row>
    <row r="3135" spans="1:20" ht="15.75" thickBot="1" x14ac:dyDescent="0.3">
      <c r="A3135" t="s">
        <v>1929</v>
      </c>
      <c r="B3135" t="s">
        <v>1929</v>
      </c>
      <c r="C3135" s="82" t="s">
        <v>1929</v>
      </c>
      <c r="D3135" s="83" t="s">
        <v>629</v>
      </c>
      <c r="E3135" s="262" t="s">
        <v>1970</v>
      </c>
      <c r="F3135" s="124" t="s">
        <v>620</v>
      </c>
      <c r="G3135" s="130">
        <v>2001</v>
      </c>
      <c r="H3135" s="125" t="s">
        <v>732</v>
      </c>
      <c r="I3135" s="340" t="str">
        <f t="shared" si="126"/>
        <v>Pesado de Passageiros M3: I : Gasóleo : E3</v>
      </c>
      <c r="J3135" s="125">
        <v>64</v>
      </c>
      <c r="K3135" s="264">
        <v>2022</v>
      </c>
      <c r="L3135" s="129">
        <v>14129.286</v>
      </c>
      <c r="M3135" s="85" t="s">
        <v>630</v>
      </c>
      <c r="N3135" s="128">
        <v>30165</v>
      </c>
      <c r="O3135" s="128">
        <f t="shared" si="125"/>
        <v>1930560</v>
      </c>
      <c r="P3135" s="125" t="s">
        <v>2189</v>
      </c>
      <c r="Q3135" s="85" t="s">
        <v>47</v>
      </c>
      <c r="R3135" s="220" t="s">
        <v>1888</v>
      </c>
      <c r="S3135" s="220" t="s">
        <v>1861</v>
      </c>
      <c r="T3135" s="85" t="s">
        <v>4230</v>
      </c>
    </row>
    <row r="3136" spans="1:20" ht="15.75" thickBot="1" x14ac:dyDescent="0.3">
      <c r="A3136" t="s">
        <v>1929</v>
      </c>
      <c r="B3136" t="s">
        <v>1929</v>
      </c>
      <c r="C3136" s="82" t="s">
        <v>1929</v>
      </c>
      <c r="D3136" s="83" t="s">
        <v>629</v>
      </c>
      <c r="E3136" s="262" t="s">
        <v>1970</v>
      </c>
      <c r="F3136" s="124" t="s">
        <v>620</v>
      </c>
      <c r="G3136" s="130">
        <v>2019</v>
      </c>
      <c r="H3136" s="125" t="s">
        <v>733</v>
      </c>
      <c r="I3136" s="340" t="str">
        <f t="shared" si="126"/>
        <v>Pesado de Passageiros M3: I : Gasóleo : E6</v>
      </c>
      <c r="J3136" s="125">
        <v>68</v>
      </c>
      <c r="K3136" s="264">
        <v>2022</v>
      </c>
      <c r="L3136" s="129">
        <v>11504.025600000001</v>
      </c>
      <c r="M3136" s="85" t="s">
        <v>630</v>
      </c>
      <c r="N3136" s="128">
        <v>24576</v>
      </c>
      <c r="O3136" s="128">
        <f t="shared" si="125"/>
        <v>1671168</v>
      </c>
      <c r="P3136" s="125" t="s">
        <v>2027</v>
      </c>
      <c r="Q3136" s="85" t="s">
        <v>47</v>
      </c>
      <c r="R3136" s="220" t="s">
        <v>1888</v>
      </c>
      <c r="S3136" s="220" t="s">
        <v>1861</v>
      </c>
      <c r="T3136" s="85" t="s">
        <v>4231</v>
      </c>
    </row>
    <row r="3137" spans="1:20" ht="15.75" thickBot="1" x14ac:dyDescent="0.3">
      <c r="A3137" t="s">
        <v>1929</v>
      </c>
      <c r="B3137" t="s">
        <v>1929</v>
      </c>
      <c r="C3137" s="82" t="s">
        <v>1929</v>
      </c>
      <c r="D3137" s="83" t="s">
        <v>629</v>
      </c>
      <c r="E3137" s="262" t="s">
        <v>1970</v>
      </c>
      <c r="F3137" s="124" t="s">
        <v>620</v>
      </c>
      <c r="G3137" s="130">
        <v>2019</v>
      </c>
      <c r="H3137" s="125" t="s">
        <v>733</v>
      </c>
      <c r="I3137" s="340" t="str">
        <f t="shared" si="126"/>
        <v>Pesado de Passageiros M3: I : Gasóleo : E6</v>
      </c>
      <c r="J3137" s="125">
        <v>68</v>
      </c>
      <c r="K3137" s="264">
        <v>2022</v>
      </c>
      <c r="L3137" s="129">
        <v>11599.1744</v>
      </c>
      <c r="M3137" s="85" t="s">
        <v>630</v>
      </c>
      <c r="N3137" s="128">
        <v>25696</v>
      </c>
      <c r="O3137" s="128">
        <f t="shared" si="125"/>
        <v>1747328</v>
      </c>
      <c r="P3137" s="125" t="s">
        <v>2028</v>
      </c>
      <c r="Q3137" s="85" t="s">
        <v>47</v>
      </c>
      <c r="R3137" s="220" t="s">
        <v>1888</v>
      </c>
      <c r="S3137" s="220" t="s">
        <v>1861</v>
      </c>
      <c r="T3137" s="85" t="s">
        <v>4232</v>
      </c>
    </row>
    <row r="3138" spans="1:20" ht="15.75" thickBot="1" x14ac:dyDescent="0.3">
      <c r="A3138" t="s">
        <v>1929</v>
      </c>
      <c r="B3138" t="s">
        <v>1929</v>
      </c>
      <c r="C3138" s="82" t="s">
        <v>1929</v>
      </c>
      <c r="D3138" s="83" t="s">
        <v>629</v>
      </c>
      <c r="E3138" s="262" t="s">
        <v>1970</v>
      </c>
      <c r="F3138" s="124" t="s">
        <v>620</v>
      </c>
      <c r="G3138" s="130"/>
      <c r="H3138" s="125" t="s">
        <v>732</v>
      </c>
      <c r="I3138" s="340" t="str">
        <f t="shared" si="126"/>
        <v>Pesado de Passageiros M3: I : Gasóleo : E3</v>
      </c>
      <c r="J3138" s="125"/>
      <c r="K3138" s="264">
        <v>2022</v>
      </c>
      <c r="L3138" s="85">
        <v>24025.65</v>
      </c>
      <c r="M3138" s="85" t="s">
        <v>630</v>
      </c>
      <c r="N3138" s="128">
        <v>43683</v>
      </c>
      <c r="O3138" s="128">
        <f t="shared" si="125"/>
        <v>0</v>
      </c>
      <c r="P3138" s="125" t="s">
        <v>3407</v>
      </c>
      <c r="Q3138" s="85" t="s">
        <v>47</v>
      </c>
      <c r="R3138" s="220" t="s">
        <v>1888</v>
      </c>
      <c r="S3138" s="220" t="s">
        <v>1861</v>
      </c>
      <c r="T3138" s="85" t="s">
        <v>4233</v>
      </c>
    </row>
    <row r="3139" spans="1:20" ht="15.75" thickBot="1" x14ac:dyDescent="0.3">
      <c r="A3139" t="s">
        <v>1929</v>
      </c>
      <c r="B3139" t="s">
        <v>1929</v>
      </c>
      <c r="C3139" s="82" t="s">
        <v>1929</v>
      </c>
      <c r="D3139" s="83" t="s">
        <v>629</v>
      </c>
      <c r="E3139" s="262" t="s">
        <v>1970</v>
      </c>
      <c r="F3139" s="124" t="s">
        <v>620</v>
      </c>
      <c r="G3139" s="130">
        <v>2006</v>
      </c>
      <c r="H3139" s="125" t="s">
        <v>732</v>
      </c>
      <c r="I3139" s="340" t="str">
        <f t="shared" si="126"/>
        <v>Pesado de Passageiros M3: I : Gasóleo : E3</v>
      </c>
      <c r="J3139" s="125">
        <v>149</v>
      </c>
      <c r="K3139" s="264">
        <v>2022</v>
      </c>
      <c r="L3139" s="129">
        <v>26044.141999999996</v>
      </c>
      <c r="M3139" s="85" t="s">
        <v>630</v>
      </c>
      <c r="N3139" s="128">
        <v>41170</v>
      </c>
      <c r="O3139" s="128">
        <f t="shared" si="125"/>
        <v>6134330</v>
      </c>
      <c r="P3139" s="125" t="s">
        <v>2084</v>
      </c>
      <c r="Q3139" s="85" t="s">
        <v>47</v>
      </c>
      <c r="R3139" s="220" t="s">
        <v>1888</v>
      </c>
      <c r="S3139" s="220" t="s">
        <v>1861</v>
      </c>
      <c r="T3139" s="85" t="s">
        <v>4234</v>
      </c>
    </row>
    <row r="3140" spans="1:20" ht="15.75" thickBot="1" x14ac:dyDescent="0.3">
      <c r="A3140" t="s">
        <v>1929</v>
      </c>
      <c r="B3140" t="s">
        <v>1929</v>
      </c>
      <c r="C3140" s="82" t="s">
        <v>1929</v>
      </c>
      <c r="D3140" s="83" t="s">
        <v>629</v>
      </c>
      <c r="E3140" s="262" t="s">
        <v>1970</v>
      </c>
      <c r="F3140" s="124" t="s">
        <v>620</v>
      </c>
      <c r="G3140" s="130">
        <v>2000</v>
      </c>
      <c r="H3140" s="125" t="s">
        <v>732</v>
      </c>
      <c r="I3140" s="340" t="str">
        <f t="shared" si="126"/>
        <v>Pesado de Passageiros M3: I : Gasóleo : E3</v>
      </c>
      <c r="J3140" s="125">
        <v>79</v>
      </c>
      <c r="K3140" s="264">
        <v>2022</v>
      </c>
      <c r="L3140" s="129">
        <v>22657.439999999999</v>
      </c>
      <c r="M3140" s="85" t="s">
        <v>630</v>
      </c>
      <c r="N3140" s="128">
        <v>47203</v>
      </c>
      <c r="O3140" s="128">
        <f t="shared" si="125"/>
        <v>3729037</v>
      </c>
      <c r="P3140" s="125" t="s">
        <v>2198</v>
      </c>
      <c r="Q3140" s="85" t="s">
        <v>47</v>
      </c>
      <c r="R3140" s="220" t="s">
        <v>1888</v>
      </c>
      <c r="S3140" s="220" t="s">
        <v>1861</v>
      </c>
      <c r="T3140" s="85" t="s">
        <v>4235</v>
      </c>
    </row>
    <row r="3141" spans="1:20" ht="15.75" thickBot="1" x14ac:dyDescent="0.3">
      <c r="A3141" t="s">
        <v>1929</v>
      </c>
      <c r="B3141" t="s">
        <v>1929</v>
      </c>
      <c r="C3141" s="82" t="s">
        <v>1929</v>
      </c>
      <c r="D3141" s="83" t="s">
        <v>629</v>
      </c>
      <c r="E3141" s="262" t="s">
        <v>1970</v>
      </c>
      <c r="F3141" s="124" t="s">
        <v>620</v>
      </c>
      <c r="G3141" s="130">
        <v>2000</v>
      </c>
      <c r="H3141" s="125" t="s">
        <v>732</v>
      </c>
      <c r="I3141" s="340" t="str">
        <f t="shared" si="126"/>
        <v>Pesado de Passageiros M3: I : Gasóleo : E3</v>
      </c>
      <c r="J3141" s="125">
        <v>79</v>
      </c>
      <c r="K3141" s="264">
        <v>2022</v>
      </c>
      <c r="L3141" s="129">
        <v>24513.383999999998</v>
      </c>
      <c r="M3141" s="85" t="s">
        <v>630</v>
      </c>
      <c r="N3141" s="128">
        <v>51716</v>
      </c>
      <c r="O3141" s="128">
        <f t="shared" si="125"/>
        <v>4085564</v>
      </c>
      <c r="P3141" s="125" t="s">
        <v>2199</v>
      </c>
      <c r="Q3141" s="85" t="s">
        <v>47</v>
      </c>
      <c r="R3141" s="220" t="s">
        <v>1888</v>
      </c>
      <c r="S3141" s="220" t="s">
        <v>1861</v>
      </c>
      <c r="T3141" s="85" t="s">
        <v>4236</v>
      </c>
    </row>
    <row r="3142" spans="1:20" ht="15.75" thickBot="1" x14ac:dyDescent="0.3">
      <c r="A3142" t="s">
        <v>1929</v>
      </c>
      <c r="B3142" t="s">
        <v>1929</v>
      </c>
      <c r="C3142" s="82" t="s">
        <v>1929</v>
      </c>
      <c r="D3142" s="83" t="s">
        <v>629</v>
      </c>
      <c r="E3142" s="262" t="s">
        <v>1970</v>
      </c>
      <c r="F3142" s="124" t="s">
        <v>620</v>
      </c>
      <c r="G3142" s="130">
        <v>2000</v>
      </c>
      <c r="H3142" s="125" t="s">
        <v>732</v>
      </c>
      <c r="I3142" s="340" t="str">
        <f t="shared" si="126"/>
        <v>Pesado de Passageiros M3: I : Gasóleo : E3</v>
      </c>
      <c r="J3142" s="125">
        <v>79</v>
      </c>
      <c r="K3142" s="264">
        <v>2022</v>
      </c>
      <c r="L3142" s="129">
        <v>21396.1594</v>
      </c>
      <c r="M3142" s="85" t="s">
        <v>630</v>
      </c>
      <c r="N3142" s="128">
        <v>45826</v>
      </c>
      <c r="O3142" s="128">
        <f t="shared" si="125"/>
        <v>3620254</v>
      </c>
      <c r="P3142" s="125" t="s">
        <v>2200</v>
      </c>
      <c r="Q3142" s="85" t="s">
        <v>47</v>
      </c>
      <c r="R3142" s="220" t="s">
        <v>1888</v>
      </c>
      <c r="S3142" s="220" t="s">
        <v>1861</v>
      </c>
      <c r="T3142" s="85" t="s">
        <v>4237</v>
      </c>
    </row>
    <row r="3143" spans="1:20" ht="15.75" thickBot="1" x14ac:dyDescent="0.3">
      <c r="A3143" t="s">
        <v>1929</v>
      </c>
      <c r="B3143" t="s">
        <v>1929</v>
      </c>
      <c r="C3143" s="82" t="s">
        <v>1929</v>
      </c>
      <c r="D3143" s="83" t="s">
        <v>629</v>
      </c>
      <c r="E3143" s="262" t="s">
        <v>1970</v>
      </c>
      <c r="F3143" s="124" t="s">
        <v>620</v>
      </c>
      <c r="G3143" s="130"/>
      <c r="H3143" s="125" t="s">
        <v>731</v>
      </c>
      <c r="I3143" s="340" t="str">
        <f t="shared" si="126"/>
        <v>Pesado de Passageiros M3: I : Gasóleo : E4</v>
      </c>
      <c r="J3143" s="125"/>
      <c r="K3143" s="264">
        <v>2022</v>
      </c>
      <c r="L3143" s="85">
        <v>4441.92</v>
      </c>
      <c r="M3143" s="85" t="s">
        <v>630</v>
      </c>
      <c r="N3143" s="128">
        <v>9254</v>
      </c>
      <c r="O3143" s="128">
        <f t="shared" si="125"/>
        <v>0</v>
      </c>
      <c r="P3143" s="125" t="s">
        <v>3375</v>
      </c>
      <c r="Q3143" s="85" t="s">
        <v>47</v>
      </c>
      <c r="R3143" s="220" t="s">
        <v>1888</v>
      </c>
      <c r="S3143" s="220" t="s">
        <v>1861</v>
      </c>
      <c r="T3143" s="85" t="s">
        <v>4238</v>
      </c>
    </row>
    <row r="3144" spans="1:20" ht="15.75" thickBot="1" x14ac:dyDescent="0.3">
      <c r="A3144" t="s">
        <v>1929</v>
      </c>
      <c r="B3144" t="s">
        <v>1929</v>
      </c>
      <c r="C3144" s="82" t="s">
        <v>1929</v>
      </c>
      <c r="D3144" s="83" t="s">
        <v>629</v>
      </c>
      <c r="E3144" s="262" t="s">
        <v>1970</v>
      </c>
      <c r="F3144" s="124" t="s">
        <v>620</v>
      </c>
      <c r="G3144" s="130"/>
      <c r="H3144" s="125" t="s">
        <v>731</v>
      </c>
      <c r="I3144" s="340" t="str">
        <f t="shared" si="126"/>
        <v>Pesado de Passageiros M3: I : Gasóleo : E4</v>
      </c>
      <c r="J3144" s="125"/>
      <c r="K3144" s="264">
        <v>2022</v>
      </c>
      <c r="L3144" s="85">
        <v>9599.2644</v>
      </c>
      <c r="M3144" s="85" t="s">
        <v>630</v>
      </c>
      <c r="N3144" s="128">
        <v>17737</v>
      </c>
      <c r="O3144" s="128">
        <f t="shared" si="125"/>
        <v>0</v>
      </c>
      <c r="P3144" s="125" t="s">
        <v>2178</v>
      </c>
      <c r="Q3144" s="85" t="s">
        <v>47</v>
      </c>
      <c r="R3144" s="220" t="s">
        <v>1888</v>
      </c>
      <c r="S3144" s="220" t="s">
        <v>1861</v>
      </c>
      <c r="T3144" s="85" t="s">
        <v>4239</v>
      </c>
    </row>
    <row r="3145" spans="1:20" ht="15.75" thickBot="1" x14ac:dyDescent="0.3">
      <c r="A3145" t="s">
        <v>1929</v>
      </c>
      <c r="B3145" t="s">
        <v>1929</v>
      </c>
      <c r="C3145" s="82" t="s">
        <v>1929</v>
      </c>
      <c r="D3145" s="83" t="s">
        <v>629</v>
      </c>
      <c r="E3145" s="262" t="s">
        <v>1970</v>
      </c>
      <c r="F3145" s="124" t="s">
        <v>620</v>
      </c>
      <c r="G3145" s="130">
        <v>2000</v>
      </c>
      <c r="H3145" s="125" t="s">
        <v>732</v>
      </c>
      <c r="I3145" s="340" t="str">
        <f t="shared" si="126"/>
        <v>Pesado de Passageiros M3: I : Gasóleo : E3</v>
      </c>
      <c r="J3145" s="125">
        <v>79</v>
      </c>
      <c r="K3145" s="264">
        <v>2022</v>
      </c>
      <c r="L3145" s="421">
        <v>8119.1656000000003</v>
      </c>
      <c r="M3145" s="85" t="s">
        <v>630</v>
      </c>
      <c r="N3145" s="128">
        <v>16288</v>
      </c>
      <c r="O3145" s="128">
        <f t="shared" si="125"/>
        <v>1286752</v>
      </c>
      <c r="P3145" s="125" t="s">
        <v>2178</v>
      </c>
      <c r="Q3145" s="85" t="s">
        <v>47</v>
      </c>
      <c r="R3145" s="220" t="s">
        <v>1888</v>
      </c>
      <c r="S3145" s="220" t="s">
        <v>1861</v>
      </c>
      <c r="T3145" s="85" t="s">
        <v>4239</v>
      </c>
    </row>
    <row r="3146" spans="1:20" ht="15.75" thickBot="1" x14ac:dyDescent="0.3">
      <c r="A3146" t="s">
        <v>1929</v>
      </c>
      <c r="B3146" t="s">
        <v>1929</v>
      </c>
      <c r="C3146" s="82" t="s">
        <v>1929</v>
      </c>
      <c r="D3146" s="83" t="s">
        <v>629</v>
      </c>
      <c r="E3146" s="262" t="s">
        <v>1970</v>
      </c>
      <c r="F3146" s="124" t="s">
        <v>620</v>
      </c>
      <c r="G3146" s="130"/>
      <c r="H3146" s="125" t="s">
        <v>732</v>
      </c>
      <c r="I3146" s="340" t="str">
        <f t="shared" si="126"/>
        <v>Pesado de Passageiros M3: I : Gasóleo : E3</v>
      </c>
      <c r="J3146" s="125"/>
      <c r="K3146" s="264">
        <v>2022</v>
      </c>
      <c r="L3146" s="85">
        <v>9633.4874999999993</v>
      </c>
      <c r="M3146" s="85" t="s">
        <v>630</v>
      </c>
      <c r="N3146" s="128">
        <v>19761</v>
      </c>
      <c r="O3146" s="128">
        <f t="shared" si="125"/>
        <v>0</v>
      </c>
      <c r="P3146" s="125" t="s">
        <v>2201</v>
      </c>
      <c r="Q3146" s="85" t="s">
        <v>47</v>
      </c>
      <c r="R3146" s="220" t="s">
        <v>1888</v>
      </c>
      <c r="S3146" s="220" t="s">
        <v>1861</v>
      </c>
      <c r="T3146" s="85" t="s">
        <v>4240</v>
      </c>
    </row>
    <row r="3147" spans="1:20" ht="15.75" thickBot="1" x14ac:dyDescent="0.3">
      <c r="A3147" t="s">
        <v>1929</v>
      </c>
      <c r="B3147" t="s">
        <v>1929</v>
      </c>
      <c r="C3147" s="82" t="s">
        <v>1929</v>
      </c>
      <c r="D3147" s="83" t="s">
        <v>629</v>
      </c>
      <c r="E3147" s="262" t="s">
        <v>1970</v>
      </c>
      <c r="F3147" s="124" t="s">
        <v>620</v>
      </c>
      <c r="G3147" s="130">
        <v>2003</v>
      </c>
      <c r="H3147" s="125" t="s">
        <v>732</v>
      </c>
      <c r="I3147" s="340" t="str">
        <f t="shared" si="126"/>
        <v>Pesado de Passageiros M3: I : Gasóleo : E3</v>
      </c>
      <c r="J3147" s="125">
        <v>81</v>
      </c>
      <c r="K3147" s="264">
        <v>2022</v>
      </c>
      <c r="L3147" s="421">
        <v>8901.6324999999997</v>
      </c>
      <c r="M3147" s="85" t="s">
        <v>630</v>
      </c>
      <c r="N3147" s="128">
        <v>21764</v>
      </c>
      <c r="O3147" s="128">
        <f t="shared" si="125"/>
        <v>1762884</v>
      </c>
      <c r="P3147" s="125" t="s">
        <v>2201</v>
      </c>
      <c r="Q3147" s="85" t="s">
        <v>47</v>
      </c>
      <c r="R3147" s="220" t="s">
        <v>1888</v>
      </c>
      <c r="S3147" s="220" t="s">
        <v>1861</v>
      </c>
      <c r="T3147" s="85" t="s">
        <v>4240</v>
      </c>
    </row>
    <row r="3148" spans="1:20" ht="15.75" thickBot="1" x14ac:dyDescent="0.3">
      <c r="A3148" t="s">
        <v>1929</v>
      </c>
      <c r="B3148" t="s">
        <v>1929</v>
      </c>
      <c r="C3148" s="82" t="s">
        <v>1929</v>
      </c>
      <c r="D3148" s="83" t="s">
        <v>629</v>
      </c>
      <c r="E3148" s="262" t="s">
        <v>1970</v>
      </c>
      <c r="F3148" s="124" t="s">
        <v>620</v>
      </c>
      <c r="G3148" s="130"/>
      <c r="H3148" s="125" t="s">
        <v>732</v>
      </c>
      <c r="I3148" s="340" t="str">
        <f t="shared" si="126"/>
        <v>Pesado de Passageiros M3: I : Gasóleo : E3</v>
      </c>
      <c r="J3148" s="125"/>
      <c r="K3148" s="264">
        <v>2022</v>
      </c>
      <c r="L3148" s="85">
        <v>23104.36</v>
      </c>
      <c r="M3148" s="85" t="s">
        <v>630</v>
      </c>
      <c r="N3148" s="128">
        <v>37876</v>
      </c>
      <c r="O3148" s="128">
        <f t="shared" si="125"/>
        <v>0</v>
      </c>
      <c r="P3148" s="125" t="s">
        <v>3402</v>
      </c>
      <c r="Q3148" s="85" t="s">
        <v>47</v>
      </c>
      <c r="R3148" s="220" t="s">
        <v>1888</v>
      </c>
      <c r="S3148" s="220" t="s">
        <v>1861</v>
      </c>
      <c r="T3148" s="85" t="s">
        <v>4241</v>
      </c>
    </row>
    <row r="3149" spans="1:20" ht="15.75" thickBot="1" x14ac:dyDescent="0.3">
      <c r="A3149" t="s">
        <v>1929</v>
      </c>
      <c r="B3149" t="s">
        <v>1929</v>
      </c>
      <c r="C3149" s="82" t="s">
        <v>1929</v>
      </c>
      <c r="D3149" s="83" t="s">
        <v>629</v>
      </c>
      <c r="E3149" s="262" t="s">
        <v>1970</v>
      </c>
      <c r="F3149" s="124" t="s">
        <v>620</v>
      </c>
      <c r="G3149" s="130">
        <v>2000</v>
      </c>
      <c r="H3149" s="125" t="s">
        <v>732</v>
      </c>
      <c r="I3149" s="340" t="str">
        <f t="shared" si="126"/>
        <v>Pesado de Passageiros M3: I : Gasóleo : E3</v>
      </c>
      <c r="J3149" s="125">
        <v>74</v>
      </c>
      <c r="K3149" s="264">
        <v>2022</v>
      </c>
      <c r="L3149" s="129">
        <v>28426.277099999999</v>
      </c>
      <c r="M3149" s="85" t="s">
        <v>630</v>
      </c>
      <c r="N3149" s="128">
        <v>53463</v>
      </c>
      <c r="O3149" s="128">
        <f t="shared" si="125"/>
        <v>3956262</v>
      </c>
      <c r="P3149" s="125" t="s">
        <v>2139</v>
      </c>
      <c r="Q3149" s="85" t="s">
        <v>47</v>
      </c>
      <c r="R3149" s="220" t="s">
        <v>1888</v>
      </c>
      <c r="S3149" s="220" t="s">
        <v>1861</v>
      </c>
      <c r="T3149" s="85" t="s">
        <v>4242</v>
      </c>
    </row>
    <row r="3150" spans="1:20" ht="15.75" thickBot="1" x14ac:dyDescent="0.3">
      <c r="A3150" t="s">
        <v>1929</v>
      </c>
      <c r="B3150" t="s">
        <v>1929</v>
      </c>
      <c r="C3150" s="82" t="s">
        <v>1929</v>
      </c>
      <c r="D3150" s="83" t="s">
        <v>629</v>
      </c>
      <c r="E3150" s="262" t="s">
        <v>1970</v>
      </c>
      <c r="F3150" s="124" t="s">
        <v>620</v>
      </c>
      <c r="G3150" s="130">
        <v>2010</v>
      </c>
      <c r="H3150" s="125" t="s">
        <v>731</v>
      </c>
      <c r="I3150" s="340" t="str">
        <f t="shared" si="126"/>
        <v>Pesado de Passageiros M3: I : Gasóleo : E4</v>
      </c>
      <c r="J3150" s="125">
        <v>52</v>
      </c>
      <c r="K3150" s="264">
        <v>2022</v>
      </c>
      <c r="L3150" s="129">
        <v>12243.0105</v>
      </c>
      <c r="M3150" s="85" t="s">
        <v>630</v>
      </c>
      <c r="N3150" s="128">
        <v>29005</v>
      </c>
      <c r="O3150" s="128">
        <f t="shared" si="125"/>
        <v>1508260</v>
      </c>
      <c r="P3150" s="125" t="s">
        <v>1990</v>
      </c>
      <c r="Q3150" s="85" t="s">
        <v>47</v>
      </c>
      <c r="R3150" s="220" t="s">
        <v>1888</v>
      </c>
      <c r="S3150" s="220" t="s">
        <v>1861</v>
      </c>
      <c r="T3150" s="85" t="s">
        <v>4243</v>
      </c>
    </row>
    <row r="3151" spans="1:20" ht="15.75" thickBot="1" x14ac:dyDescent="0.3">
      <c r="A3151" t="s">
        <v>1929</v>
      </c>
      <c r="B3151" t="s">
        <v>1929</v>
      </c>
      <c r="C3151" s="82" t="s">
        <v>1929</v>
      </c>
      <c r="D3151" s="83" t="s">
        <v>629</v>
      </c>
      <c r="E3151" s="262" t="s">
        <v>1970</v>
      </c>
      <c r="F3151" s="124" t="s">
        <v>620</v>
      </c>
      <c r="G3151" s="130">
        <v>2004</v>
      </c>
      <c r="H3151" s="125" t="s">
        <v>732</v>
      </c>
      <c r="I3151" s="340" t="str">
        <f t="shared" si="126"/>
        <v>Pesado de Passageiros M3: I : Gasóleo : E3</v>
      </c>
      <c r="J3151" s="125">
        <v>74</v>
      </c>
      <c r="K3151" s="264">
        <v>2022</v>
      </c>
      <c r="L3151" s="129">
        <v>24822.849600000001</v>
      </c>
      <c r="M3151" s="85" t="s">
        <v>630</v>
      </c>
      <c r="N3151" s="128">
        <v>48558</v>
      </c>
      <c r="O3151" s="128">
        <f t="shared" si="125"/>
        <v>3593292</v>
      </c>
      <c r="P3151" s="125" t="s">
        <v>2203</v>
      </c>
      <c r="Q3151" s="85" t="s">
        <v>47</v>
      </c>
      <c r="R3151" s="220" t="s">
        <v>1888</v>
      </c>
      <c r="S3151" s="220" t="s">
        <v>1861</v>
      </c>
      <c r="T3151" s="85" t="s">
        <v>4244</v>
      </c>
    </row>
    <row r="3152" spans="1:20" ht="15.75" thickBot="1" x14ac:dyDescent="0.3">
      <c r="A3152" t="s">
        <v>1929</v>
      </c>
      <c r="B3152" t="s">
        <v>1929</v>
      </c>
      <c r="C3152" s="82" t="s">
        <v>1929</v>
      </c>
      <c r="D3152" s="83" t="s">
        <v>629</v>
      </c>
      <c r="E3152" s="262" t="s">
        <v>1970</v>
      </c>
      <c r="F3152" s="124" t="s">
        <v>620</v>
      </c>
      <c r="G3152" s="130">
        <v>2004</v>
      </c>
      <c r="H3152" s="125" t="s">
        <v>732</v>
      </c>
      <c r="I3152" s="340" t="str">
        <f t="shared" si="126"/>
        <v>Pesado de Passageiros M3: I : Gasóleo : E3</v>
      </c>
      <c r="J3152" s="125">
        <v>74</v>
      </c>
      <c r="K3152" s="264">
        <v>2022</v>
      </c>
      <c r="L3152" s="129">
        <v>20841.981600000003</v>
      </c>
      <c r="M3152" s="85" t="s">
        <v>630</v>
      </c>
      <c r="N3152" s="128">
        <v>42674</v>
      </c>
      <c r="O3152" s="128">
        <f t="shared" si="125"/>
        <v>3157876</v>
      </c>
      <c r="P3152" s="125" t="s">
        <v>2202</v>
      </c>
      <c r="Q3152" s="85" t="s">
        <v>47</v>
      </c>
      <c r="R3152" s="220" t="s">
        <v>1888</v>
      </c>
      <c r="S3152" s="220" t="s">
        <v>1861</v>
      </c>
      <c r="T3152" s="85" t="s">
        <v>4245</v>
      </c>
    </row>
    <row r="3153" spans="1:20" ht="15.75" thickBot="1" x14ac:dyDescent="0.3">
      <c r="A3153" t="s">
        <v>1929</v>
      </c>
      <c r="B3153" t="s">
        <v>1929</v>
      </c>
      <c r="C3153" s="82" t="s">
        <v>1929</v>
      </c>
      <c r="D3153" s="83" t="s">
        <v>629</v>
      </c>
      <c r="E3153" s="262" t="s">
        <v>1970</v>
      </c>
      <c r="F3153" s="124" t="s">
        <v>620</v>
      </c>
      <c r="G3153" s="130">
        <v>2004</v>
      </c>
      <c r="H3153" s="125" t="s">
        <v>732</v>
      </c>
      <c r="I3153" s="340" t="str">
        <f t="shared" si="126"/>
        <v>Pesado de Passageiros M3: I : Gasóleo : E3</v>
      </c>
      <c r="J3153" s="125">
        <v>73</v>
      </c>
      <c r="K3153" s="264">
        <v>2022</v>
      </c>
      <c r="L3153" s="129">
        <v>21191.519699999997</v>
      </c>
      <c r="M3153" s="85" t="s">
        <v>630</v>
      </c>
      <c r="N3153" s="128">
        <v>44343</v>
      </c>
      <c r="O3153" s="128">
        <f t="shared" si="125"/>
        <v>3237039</v>
      </c>
      <c r="P3153" s="125" t="s">
        <v>2183</v>
      </c>
      <c r="Q3153" s="85" t="s">
        <v>47</v>
      </c>
      <c r="R3153" s="220" t="s">
        <v>1888</v>
      </c>
      <c r="S3153" s="220" t="s">
        <v>1861</v>
      </c>
      <c r="T3153" s="85" t="s">
        <v>4246</v>
      </c>
    </row>
    <row r="3154" spans="1:20" ht="15.75" thickBot="1" x14ac:dyDescent="0.3">
      <c r="A3154" t="s">
        <v>1929</v>
      </c>
      <c r="B3154" t="s">
        <v>1929</v>
      </c>
      <c r="C3154" s="82" t="s">
        <v>1929</v>
      </c>
      <c r="D3154" s="83" t="s">
        <v>629</v>
      </c>
      <c r="E3154" s="262" t="s">
        <v>1970</v>
      </c>
      <c r="F3154" s="124" t="s">
        <v>620</v>
      </c>
      <c r="G3154" s="130">
        <v>2004</v>
      </c>
      <c r="H3154" s="125" t="s">
        <v>732</v>
      </c>
      <c r="I3154" s="340" t="str">
        <f t="shared" si="126"/>
        <v>Pesado de Passageiros M3: I : Gasóleo : E3</v>
      </c>
      <c r="J3154" s="125">
        <v>77</v>
      </c>
      <c r="K3154" s="264">
        <v>2022</v>
      </c>
      <c r="L3154" s="129">
        <v>28597.374</v>
      </c>
      <c r="M3154" s="85" t="s">
        <v>630</v>
      </c>
      <c r="N3154" s="128">
        <v>51948</v>
      </c>
      <c r="O3154" s="128">
        <f t="shared" si="125"/>
        <v>3999996</v>
      </c>
      <c r="P3154" s="125" t="s">
        <v>2107</v>
      </c>
      <c r="Q3154" s="85" t="s">
        <v>47</v>
      </c>
      <c r="R3154" s="220" t="s">
        <v>1888</v>
      </c>
      <c r="S3154" s="220" t="s">
        <v>1861</v>
      </c>
      <c r="T3154" s="85" t="s">
        <v>4247</v>
      </c>
    </row>
    <row r="3155" spans="1:20" ht="15.75" thickBot="1" x14ac:dyDescent="0.3">
      <c r="A3155" t="s">
        <v>1929</v>
      </c>
      <c r="B3155" t="s">
        <v>1929</v>
      </c>
      <c r="C3155" s="82" t="s">
        <v>1929</v>
      </c>
      <c r="D3155" s="83" t="s">
        <v>629</v>
      </c>
      <c r="E3155" s="262" t="s">
        <v>1970</v>
      </c>
      <c r="F3155" s="124" t="s">
        <v>620</v>
      </c>
      <c r="G3155" s="130"/>
      <c r="H3155" s="125" t="s">
        <v>732</v>
      </c>
      <c r="I3155" s="340" t="str">
        <f t="shared" si="126"/>
        <v>Pesado de Passageiros M3: I : Gasóleo : E3</v>
      </c>
      <c r="J3155" s="125"/>
      <c r="K3155" s="264">
        <v>2022</v>
      </c>
      <c r="L3155" s="85">
        <v>37125.160000000003</v>
      </c>
      <c r="M3155" s="85" t="s">
        <v>630</v>
      </c>
      <c r="N3155" s="128">
        <v>62924</v>
      </c>
      <c r="O3155" s="128">
        <f t="shared" si="125"/>
        <v>0</v>
      </c>
      <c r="P3155" s="125" t="s">
        <v>3350</v>
      </c>
      <c r="Q3155" s="85" t="s">
        <v>47</v>
      </c>
      <c r="R3155" s="220" t="s">
        <v>1888</v>
      </c>
      <c r="S3155" s="220" t="s">
        <v>1861</v>
      </c>
      <c r="T3155" s="85" t="s">
        <v>3469</v>
      </c>
    </row>
    <row r="3156" spans="1:20" ht="15.75" thickBot="1" x14ac:dyDescent="0.3">
      <c r="A3156" t="s">
        <v>1929</v>
      </c>
      <c r="B3156" t="s">
        <v>1929</v>
      </c>
      <c r="C3156" s="82" t="s">
        <v>1929</v>
      </c>
      <c r="D3156" s="83" t="s">
        <v>629</v>
      </c>
      <c r="E3156" s="262" t="s">
        <v>1970</v>
      </c>
      <c r="F3156" s="124" t="s">
        <v>620</v>
      </c>
      <c r="G3156" s="130"/>
      <c r="H3156" s="125" t="s">
        <v>732</v>
      </c>
      <c r="I3156" s="340" t="str">
        <f t="shared" si="126"/>
        <v>Pesado de Passageiros M3: I : Gasóleo : E3</v>
      </c>
      <c r="J3156" s="125"/>
      <c r="K3156" s="264">
        <v>2022</v>
      </c>
      <c r="L3156" s="85">
        <v>29630.788500000002</v>
      </c>
      <c r="M3156" s="85" t="s">
        <v>630</v>
      </c>
      <c r="N3156" s="128">
        <v>52121</v>
      </c>
      <c r="O3156" s="128">
        <f t="shared" si="125"/>
        <v>0</v>
      </c>
      <c r="P3156" s="125" t="s">
        <v>3352</v>
      </c>
      <c r="Q3156" s="85" t="s">
        <v>47</v>
      </c>
      <c r="R3156" s="220" t="s">
        <v>1888</v>
      </c>
      <c r="S3156" s="220" t="s">
        <v>1861</v>
      </c>
      <c r="T3156" s="85" t="s">
        <v>3471</v>
      </c>
    </row>
    <row r="3157" spans="1:20" ht="15.75" thickBot="1" x14ac:dyDescent="0.3">
      <c r="A3157" t="s">
        <v>1929</v>
      </c>
      <c r="B3157" t="s">
        <v>1929</v>
      </c>
      <c r="C3157" s="82" t="s">
        <v>1929</v>
      </c>
      <c r="D3157" s="83" t="s">
        <v>629</v>
      </c>
      <c r="E3157" s="262" t="s">
        <v>1970</v>
      </c>
      <c r="F3157" s="124" t="s">
        <v>620</v>
      </c>
      <c r="G3157" s="130"/>
      <c r="H3157" s="125" t="s">
        <v>732</v>
      </c>
      <c r="I3157" s="340" t="str">
        <f t="shared" si="126"/>
        <v>Pesado de Passageiros M3: I : Gasóleo : E3</v>
      </c>
      <c r="J3157" s="125"/>
      <c r="K3157" s="264">
        <v>2022</v>
      </c>
      <c r="L3157" s="85">
        <v>28957.217999999997</v>
      </c>
      <c r="M3157" s="85" t="s">
        <v>630</v>
      </c>
      <c r="N3157" s="128">
        <v>56337</v>
      </c>
      <c r="O3157" s="128">
        <f t="shared" si="125"/>
        <v>0</v>
      </c>
      <c r="P3157" s="125" t="s">
        <v>3351</v>
      </c>
      <c r="Q3157" s="85" t="s">
        <v>47</v>
      </c>
      <c r="R3157" s="220" t="s">
        <v>1888</v>
      </c>
      <c r="S3157" s="220" t="s">
        <v>1861</v>
      </c>
      <c r="T3157" s="85" t="s">
        <v>3470</v>
      </c>
    </row>
    <row r="3158" spans="1:20" ht="15.75" thickBot="1" x14ac:dyDescent="0.3">
      <c r="A3158" t="s">
        <v>1929</v>
      </c>
      <c r="B3158" t="s">
        <v>1929</v>
      </c>
      <c r="C3158" s="82" t="s">
        <v>1929</v>
      </c>
      <c r="D3158" s="83" t="s">
        <v>629</v>
      </c>
      <c r="E3158" s="262" t="s">
        <v>1970</v>
      </c>
      <c r="F3158" s="124" t="s">
        <v>620</v>
      </c>
      <c r="G3158" s="130"/>
      <c r="H3158" s="125" t="s">
        <v>732</v>
      </c>
      <c r="I3158" s="340" t="str">
        <f t="shared" si="126"/>
        <v>Pesado de Passageiros M3: I : Gasóleo : E3</v>
      </c>
      <c r="J3158" s="125"/>
      <c r="K3158" s="264">
        <v>2022</v>
      </c>
      <c r="L3158" s="85">
        <v>32805.306299999997</v>
      </c>
      <c r="M3158" s="85" t="s">
        <v>630</v>
      </c>
      <c r="N3158" s="128">
        <v>62049</v>
      </c>
      <c r="O3158" s="128">
        <f t="shared" si="125"/>
        <v>0</v>
      </c>
      <c r="P3158" s="125" t="s">
        <v>3353</v>
      </c>
      <c r="Q3158" s="85" t="s">
        <v>47</v>
      </c>
      <c r="R3158" s="220" t="s">
        <v>1888</v>
      </c>
      <c r="S3158" s="220" t="s">
        <v>1861</v>
      </c>
      <c r="T3158" s="85" t="s">
        <v>3472</v>
      </c>
    </row>
    <row r="3159" spans="1:20" ht="15.75" thickBot="1" x14ac:dyDescent="0.3">
      <c r="A3159" t="s">
        <v>1929</v>
      </c>
      <c r="B3159" t="s">
        <v>1929</v>
      </c>
      <c r="C3159" s="82" t="s">
        <v>1929</v>
      </c>
      <c r="D3159" s="83" t="s">
        <v>629</v>
      </c>
      <c r="E3159" s="262" t="s">
        <v>1970</v>
      </c>
      <c r="F3159" s="124" t="s">
        <v>620</v>
      </c>
      <c r="G3159" s="130"/>
      <c r="H3159" s="125" t="s">
        <v>732</v>
      </c>
      <c r="I3159" s="340" t="str">
        <f t="shared" si="126"/>
        <v>Pesado de Passageiros M3: I : Gasóleo : E3</v>
      </c>
      <c r="J3159" s="125"/>
      <c r="K3159" s="264">
        <v>2022</v>
      </c>
      <c r="L3159" s="85">
        <v>30820</v>
      </c>
      <c r="M3159" s="85" t="s">
        <v>630</v>
      </c>
      <c r="N3159" s="128">
        <v>61640</v>
      </c>
      <c r="O3159" s="128">
        <f t="shared" si="125"/>
        <v>0</v>
      </c>
      <c r="P3159" s="125" t="s">
        <v>3349</v>
      </c>
      <c r="Q3159" s="85" t="s">
        <v>47</v>
      </c>
      <c r="R3159" s="220" t="s">
        <v>1888</v>
      </c>
      <c r="S3159" s="220" t="s">
        <v>1861</v>
      </c>
      <c r="T3159" s="85" t="s">
        <v>3468</v>
      </c>
    </row>
    <row r="3160" spans="1:20" ht="15.75" thickBot="1" x14ac:dyDescent="0.3">
      <c r="A3160" t="s">
        <v>1929</v>
      </c>
      <c r="B3160" t="s">
        <v>1929</v>
      </c>
      <c r="C3160" s="82" t="s">
        <v>1929</v>
      </c>
      <c r="D3160" s="83" t="s">
        <v>629</v>
      </c>
      <c r="E3160" s="262" t="s">
        <v>1970</v>
      </c>
      <c r="F3160" s="124" t="s">
        <v>620</v>
      </c>
      <c r="G3160" s="130">
        <v>1997</v>
      </c>
      <c r="H3160" s="125" t="s">
        <v>735</v>
      </c>
      <c r="I3160" s="340" t="str">
        <f t="shared" si="126"/>
        <v>Pesado de Passageiros M3: I : Gasóleo : E2</v>
      </c>
      <c r="J3160" s="125">
        <v>121</v>
      </c>
      <c r="K3160" s="264">
        <v>2022</v>
      </c>
      <c r="L3160" s="129">
        <v>21279.390599999999</v>
      </c>
      <c r="M3160" s="85" t="s">
        <v>630</v>
      </c>
      <c r="N3160" s="128">
        <v>32869</v>
      </c>
      <c r="O3160" s="128">
        <f t="shared" si="125"/>
        <v>3977149</v>
      </c>
      <c r="P3160" s="125" t="s">
        <v>2214</v>
      </c>
      <c r="Q3160" s="85" t="s">
        <v>47</v>
      </c>
      <c r="R3160" s="220" t="s">
        <v>1888</v>
      </c>
      <c r="S3160" s="220" t="s">
        <v>1861</v>
      </c>
      <c r="T3160" s="85" t="s">
        <v>4248</v>
      </c>
    </row>
    <row r="3161" spans="1:20" ht="15.75" thickBot="1" x14ac:dyDescent="0.3">
      <c r="A3161" t="s">
        <v>1929</v>
      </c>
      <c r="B3161" t="s">
        <v>1929</v>
      </c>
      <c r="C3161" s="82" t="s">
        <v>1929</v>
      </c>
      <c r="D3161" s="83" t="s">
        <v>629</v>
      </c>
      <c r="E3161" s="262" t="s">
        <v>1970</v>
      </c>
      <c r="F3161" s="124" t="s">
        <v>620</v>
      </c>
      <c r="G3161" s="130"/>
      <c r="H3161" s="125" t="s">
        <v>731</v>
      </c>
      <c r="I3161" s="340" t="str">
        <f t="shared" si="126"/>
        <v>Pesado de Passageiros M3: I : Gasóleo : E4</v>
      </c>
      <c r="J3161" s="125"/>
      <c r="K3161" s="264">
        <v>2022</v>
      </c>
      <c r="L3161" s="85">
        <v>6561.15</v>
      </c>
      <c r="M3161" s="85" t="s">
        <v>630</v>
      </c>
      <c r="N3161" s="128">
        <v>12865</v>
      </c>
      <c r="O3161" s="128">
        <f t="shared" si="125"/>
        <v>0</v>
      </c>
      <c r="P3161" s="125" t="s">
        <v>3397</v>
      </c>
      <c r="Q3161" s="85" t="s">
        <v>47</v>
      </c>
      <c r="R3161" s="220" t="s">
        <v>1888</v>
      </c>
      <c r="S3161" s="220" t="s">
        <v>1861</v>
      </c>
      <c r="T3161" s="85" t="s">
        <v>4249</v>
      </c>
    </row>
    <row r="3162" spans="1:20" ht="15.75" thickBot="1" x14ac:dyDescent="0.3">
      <c r="A3162" t="s">
        <v>1929</v>
      </c>
      <c r="B3162" t="s">
        <v>1929</v>
      </c>
      <c r="C3162" s="82" t="s">
        <v>1929</v>
      </c>
      <c r="D3162" s="83" t="s">
        <v>629</v>
      </c>
      <c r="E3162" s="262" t="s">
        <v>1970</v>
      </c>
      <c r="F3162" s="124" t="s">
        <v>620</v>
      </c>
      <c r="G3162" s="130">
        <v>2013</v>
      </c>
      <c r="H3162" s="125" t="s">
        <v>733</v>
      </c>
      <c r="I3162" s="340" t="str">
        <f t="shared" si="126"/>
        <v>Pesado de Passageiros M3: I : Gasóleo : E6</v>
      </c>
      <c r="J3162" s="125">
        <v>100</v>
      </c>
      <c r="K3162" s="264">
        <v>2022</v>
      </c>
      <c r="L3162" s="129">
        <v>25653.827099999999</v>
      </c>
      <c r="M3162" s="85" t="s">
        <v>630</v>
      </c>
      <c r="N3162" s="128">
        <v>51711</v>
      </c>
      <c r="O3162" s="128">
        <f t="shared" si="125"/>
        <v>5171100</v>
      </c>
      <c r="P3162" s="125" t="s">
        <v>2056</v>
      </c>
      <c r="Q3162" s="85" t="s">
        <v>47</v>
      </c>
      <c r="R3162" s="220" t="s">
        <v>1888</v>
      </c>
      <c r="S3162" s="220" t="s">
        <v>1861</v>
      </c>
      <c r="T3162" s="85" t="s">
        <v>4250</v>
      </c>
    </row>
    <row r="3163" spans="1:20" ht="15.75" thickBot="1" x14ac:dyDescent="0.3">
      <c r="A3163" t="s">
        <v>1929</v>
      </c>
      <c r="B3163" t="s">
        <v>1929</v>
      </c>
      <c r="C3163" s="82" t="s">
        <v>1929</v>
      </c>
      <c r="D3163" s="83" t="s">
        <v>629</v>
      </c>
      <c r="E3163" s="262" t="s">
        <v>1970</v>
      </c>
      <c r="F3163" s="124" t="s">
        <v>620</v>
      </c>
      <c r="G3163" s="130"/>
      <c r="H3163" s="125" t="s">
        <v>732</v>
      </c>
      <c r="I3163" s="340" t="str">
        <f t="shared" si="126"/>
        <v>Pesado de Passageiros M3: I : Gasóleo : E3</v>
      </c>
      <c r="J3163" s="125"/>
      <c r="K3163" s="264">
        <v>2022</v>
      </c>
      <c r="L3163" s="85">
        <v>10130.4</v>
      </c>
      <c r="M3163" s="85" t="s">
        <v>630</v>
      </c>
      <c r="N3163" s="128">
        <v>28944</v>
      </c>
      <c r="O3163" s="128">
        <f t="shared" si="125"/>
        <v>0</v>
      </c>
      <c r="P3163" s="125" t="s">
        <v>3367</v>
      </c>
      <c r="Q3163" s="85" t="s">
        <v>47</v>
      </c>
      <c r="R3163" s="220" t="s">
        <v>1888</v>
      </c>
      <c r="S3163" s="220" t="s">
        <v>1861</v>
      </c>
      <c r="T3163" s="85" t="s">
        <v>4251</v>
      </c>
    </row>
    <row r="3164" spans="1:20" ht="15.75" thickBot="1" x14ac:dyDescent="0.3">
      <c r="A3164" t="s">
        <v>1929</v>
      </c>
      <c r="B3164" t="s">
        <v>1929</v>
      </c>
      <c r="C3164" s="82" t="s">
        <v>1929</v>
      </c>
      <c r="D3164" s="83" t="s">
        <v>629</v>
      </c>
      <c r="E3164" s="262" t="s">
        <v>1970</v>
      </c>
      <c r="F3164" s="124" t="s">
        <v>620</v>
      </c>
      <c r="G3164" s="130">
        <v>1999</v>
      </c>
      <c r="H3164" s="125" t="s">
        <v>735</v>
      </c>
      <c r="I3164" s="340" t="str">
        <f t="shared" si="126"/>
        <v>Pesado de Passageiros M3: I : Gasóleo : E2</v>
      </c>
      <c r="J3164" s="125">
        <v>82</v>
      </c>
      <c r="K3164" s="264">
        <v>2022</v>
      </c>
      <c r="L3164" s="129">
        <v>18014.62</v>
      </c>
      <c r="M3164" s="85" t="s">
        <v>630</v>
      </c>
      <c r="N3164" s="128">
        <v>35900</v>
      </c>
      <c r="O3164" s="128">
        <f t="shared" si="125"/>
        <v>2943800</v>
      </c>
      <c r="P3164" s="125" t="s">
        <v>2152</v>
      </c>
      <c r="Q3164" s="85" t="s">
        <v>47</v>
      </c>
      <c r="R3164" s="220" t="s">
        <v>1888</v>
      </c>
      <c r="S3164" s="220" t="s">
        <v>1861</v>
      </c>
      <c r="T3164" s="85" t="s">
        <v>4252</v>
      </c>
    </row>
    <row r="3165" spans="1:20" ht="15.75" thickBot="1" x14ac:dyDescent="0.3">
      <c r="A3165" t="s">
        <v>1929</v>
      </c>
      <c r="B3165" t="s">
        <v>1929</v>
      </c>
      <c r="C3165" s="82" t="s">
        <v>1929</v>
      </c>
      <c r="D3165" s="83" t="s">
        <v>629</v>
      </c>
      <c r="E3165" s="262" t="s">
        <v>1970</v>
      </c>
      <c r="F3165" s="124" t="s">
        <v>620</v>
      </c>
      <c r="G3165" s="130">
        <v>2009</v>
      </c>
      <c r="H3165" s="125" t="s">
        <v>734</v>
      </c>
      <c r="I3165" s="340" t="str">
        <f t="shared" si="126"/>
        <v>Pesado de Passageiros M3: I : Gasóleo : E5</v>
      </c>
      <c r="J3165" s="125">
        <v>66</v>
      </c>
      <c r="K3165" s="264">
        <v>2022</v>
      </c>
      <c r="L3165" s="129">
        <v>37219.368200000004</v>
      </c>
      <c r="M3165" s="85" t="s">
        <v>630</v>
      </c>
      <c r="N3165" s="128">
        <v>67993</v>
      </c>
      <c r="O3165" s="128">
        <f t="shared" si="125"/>
        <v>4487538</v>
      </c>
      <c r="P3165" s="125" t="s">
        <v>2187</v>
      </c>
      <c r="Q3165" s="85" t="s">
        <v>47</v>
      </c>
      <c r="R3165" s="220" t="s">
        <v>1888</v>
      </c>
      <c r="S3165" s="220" t="s">
        <v>1861</v>
      </c>
      <c r="T3165" s="85" t="s">
        <v>4253</v>
      </c>
    </row>
    <row r="3166" spans="1:20" ht="15.75" thickBot="1" x14ac:dyDescent="0.3">
      <c r="A3166" t="s">
        <v>1929</v>
      </c>
      <c r="B3166" t="s">
        <v>1929</v>
      </c>
      <c r="C3166" s="82" t="s">
        <v>1929</v>
      </c>
      <c r="D3166" s="83" t="s">
        <v>629</v>
      </c>
      <c r="E3166" s="262" t="s">
        <v>1970</v>
      </c>
      <c r="F3166" s="124" t="s">
        <v>620</v>
      </c>
      <c r="G3166" s="130">
        <v>2007</v>
      </c>
      <c r="H3166" s="125" t="s">
        <v>731</v>
      </c>
      <c r="I3166" s="340" t="str">
        <f t="shared" si="126"/>
        <v>Pesado de Passageiros M3: I : Gasóleo : E4</v>
      </c>
      <c r="J3166" s="125">
        <v>64</v>
      </c>
      <c r="K3166" s="264">
        <v>2022</v>
      </c>
      <c r="L3166" s="129">
        <v>39549.356999999996</v>
      </c>
      <c r="M3166" s="85" t="s">
        <v>630</v>
      </c>
      <c r="N3166" s="128">
        <v>76203</v>
      </c>
      <c r="O3166" s="128">
        <f t="shared" si="125"/>
        <v>4876992</v>
      </c>
      <c r="P3166" s="125" t="s">
        <v>2040</v>
      </c>
      <c r="Q3166" s="85" t="s">
        <v>47</v>
      </c>
      <c r="R3166" s="220" t="s">
        <v>1888</v>
      </c>
      <c r="S3166" s="220" t="s">
        <v>1861</v>
      </c>
      <c r="T3166" s="85" t="s">
        <v>4254</v>
      </c>
    </row>
    <row r="3167" spans="1:20" ht="15.75" thickBot="1" x14ac:dyDescent="0.3">
      <c r="A3167" t="s">
        <v>1929</v>
      </c>
      <c r="B3167" t="s">
        <v>1929</v>
      </c>
      <c r="C3167" s="82" t="s">
        <v>1929</v>
      </c>
      <c r="D3167" s="83" t="s">
        <v>629</v>
      </c>
      <c r="E3167" s="262" t="s">
        <v>1970</v>
      </c>
      <c r="F3167" s="124" t="s">
        <v>620</v>
      </c>
      <c r="G3167" s="130"/>
      <c r="H3167" s="125" t="s">
        <v>731</v>
      </c>
      <c r="I3167" s="340" t="str">
        <f t="shared" si="126"/>
        <v>Pesado de Passageiros M3: I : Gasóleo : E4</v>
      </c>
      <c r="J3167" s="125"/>
      <c r="K3167" s="264">
        <v>2022</v>
      </c>
      <c r="L3167" s="85">
        <v>2228.7930000000001</v>
      </c>
      <c r="M3167" s="85" t="s">
        <v>630</v>
      </c>
      <c r="N3167" s="128">
        <v>3165</v>
      </c>
      <c r="O3167" s="128">
        <f t="shared" si="125"/>
        <v>0</v>
      </c>
      <c r="P3167" s="125" t="s">
        <v>2090</v>
      </c>
      <c r="Q3167" s="85" t="s">
        <v>47</v>
      </c>
      <c r="R3167" s="220" t="s">
        <v>1888</v>
      </c>
      <c r="S3167" s="220" t="s">
        <v>1861</v>
      </c>
      <c r="T3167" s="85" t="s">
        <v>3463</v>
      </c>
    </row>
    <row r="3168" spans="1:20" ht="15.75" thickBot="1" x14ac:dyDescent="0.3">
      <c r="A3168" t="s">
        <v>1929</v>
      </c>
      <c r="B3168" t="s">
        <v>1929</v>
      </c>
      <c r="C3168" s="82" t="s">
        <v>1929</v>
      </c>
      <c r="D3168" s="83" t="s">
        <v>629</v>
      </c>
      <c r="E3168" s="262" t="s">
        <v>1970</v>
      </c>
      <c r="F3168" s="124" t="s">
        <v>620</v>
      </c>
      <c r="G3168" s="130">
        <v>2011</v>
      </c>
      <c r="H3168" s="125" t="s">
        <v>734</v>
      </c>
      <c r="I3168" s="340" t="str">
        <f t="shared" si="126"/>
        <v>Pesado de Passageiros M3: I : Gasóleo : E5</v>
      </c>
      <c r="J3168" s="125">
        <v>147</v>
      </c>
      <c r="K3168" s="264">
        <v>2022</v>
      </c>
      <c r="L3168" s="253">
        <v>22035.826999999997</v>
      </c>
      <c r="M3168" s="85" t="s">
        <v>630</v>
      </c>
      <c r="N3168" s="128">
        <v>34429</v>
      </c>
      <c r="O3168" s="128">
        <f t="shared" si="125"/>
        <v>5061063</v>
      </c>
      <c r="P3168" s="125" t="s">
        <v>2090</v>
      </c>
      <c r="Q3168" s="85" t="s">
        <v>47</v>
      </c>
      <c r="R3168" s="220" t="s">
        <v>1888</v>
      </c>
      <c r="S3168" s="220" t="s">
        <v>1861</v>
      </c>
      <c r="T3168" s="85" t="s">
        <v>3463</v>
      </c>
    </row>
    <row r="3169" spans="1:20" ht="15.75" thickBot="1" x14ac:dyDescent="0.3">
      <c r="A3169" t="s">
        <v>1929</v>
      </c>
      <c r="B3169" t="s">
        <v>1929</v>
      </c>
      <c r="C3169" s="82" t="s">
        <v>1929</v>
      </c>
      <c r="D3169" s="83" t="s">
        <v>629</v>
      </c>
      <c r="E3169" s="262" t="s">
        <v>1970</v>
      </c>
      <c r="F3169" s="124" t="s">
        <v>620</v>
      </c>
      <c r="G3169" s="130">
        <v>2020</v>
      </c>
      <c r="H3169" s="125" t="s">
        <v>733</v>
      </c>
      <c r="I3169" s="340" t="str">
        <f t="shared" si="126"/>
        <v>Pesado de Passageiros M3: I : Gasóleo : E6</v>
      </c>
      <c r="J3169" s="125">
        <v>106</v>
      </c>
      <c r="K3169" s="264">
        <v>2022</v>
      </c>
      <c r="L3169" s="129">
        <v>32805.204899999997</v>
      </c>
      <c r="M3169" s="85" t="s">
        <v>630</v>
      </c>
      <c r="N3169" s="128">
        <v>78613</v>
      </c>
      <c r="O3169" s="128">
        <f t="shared" si="125"/>
        <v>8332978</v>
      </c>
      <c r="P3169" s="125" t="s">
        <v>2078</v>
      </c>
      <c r="Q3169" s="85" t="s">
        <v>47</v>
      </c>
      <c r="R3169" s="220" t="s">
        <v>1888</v>
      </c>
      <c r="S3169" s="220" t="s">
        <v>1861</v>
      </c>
      <c r="T3169" s="85" t="s">
        <v>4255</v>
      </c>
    </row>
    <row r="3170" spans="1:20" ht="15.75" thickBot="1" x14ac:dyDescent="0.3">
      <c r="A3170" t="s">
        <v>1929</v>
      </c>
      <c r="B3170" t="s">
        <v>1929</v>
      </c>
      <c r="C3170" s="82" t="s">
        <v>1929</v>
      </c>
      <c r="D3170" s="83" t="s">
        <v>629</v>
      </c>
      <c r="E3170" s="262" t="s">
        <v>1970</v>
      </c>
      <c r="F3170" s="124" t="s">
        <v>620</v>
      </c>
      <c r="G3170" s="130"/>
      <c r="H3170" s="125" t="s">
        <v>731</v>
      </c>
      <c r="I3170" s="340" t="str">
        <f t="shared" si="126"/>
        <v>Pesado de Passageiros M3: I : Gasóleo : E4</v>
      </c>
      <c r="J3170" s="125"/>
      <c r="K3170" s="264">
        <v>2022</v>
      </c>
      <c r="L3170" s="253">
        <v>6304.7453999999962</v>
      </c>
      <c r="M3170" s="85" t="s">
        <v>630</v>
      </c>
      <c r="N3170" s="128">
        <v>16616</v>
      </c>
      <c r="O3170" s="128">
        <f t="shared" si="125"/>
        <v>0</v>
      </c>
      <c r="P3170" s="125" t="s">
        <v>2075</v>
      </c>
      <c r="Q3170" s="85" t="s">
        <v>47</v>
      </c>
      <c r="R3170" s="220" t="s">
        <v>1888</v>
      </c>
      <c r="S3170" s="220" t="s">
        <v>1861</v>
      </c>
      <c r="T3170" s="85" t="s">
        <v>3461</v>
      </c>
    </row>
    <row r="3171" spans="1:20" ht="15.75" thickBot="1" x14ac:dyDescent="0.3">
      <c r="A3171" t="s">
        <v>1929</v>
      </c>
      <c r="B3171" t="s">
        <v>1929</v>
      </c>
      <c r="C3171" s="82" t="s">
        <v>1929</v>
      </c>
      <c r="D3171" s="83" t="s">
        <v>629</v>
      </c>
      <c r="E3171" s="262" t="s">
        <v>1970</v>
      </c>
      <c r="F3171" s="124" t="s">
        <v>620</v>
      </c>
      <c r="G3171" s="130">
        <v>2020</v>
      </c>
      <c r="H3171" s="125" t="s">
        <v>733</v>
      </c>
      <c r="I3171" s="340" t="str">
        <f t="shared" si="126"/>
        <v>Pesado de Passageiros M3: I : Gasóleo : E6</v>
      </c>
      <c r="J3171" s="125">
        <v>106</v>
      </c>
      <c r="K3171" s="264">
        <v>2022</v>
      </c>
      <c r="L3171" s="129">
        <v>20745.534600000003</v>
      </c>
      <c r="M3171" s="85" t="s">
        <v>630</v>
      </c>
      <c r="N3171" s="128">
        <v>48223</v>
      </c>
      <c r="O3171" s="128">
        <f t="shared" si="125"/>
        <v>5111638</v>
      </c>
      <c r="P3171" s="125" t="s">
        <v>2075</v>
      </c>
      <c r="Q3171" s="85" t="s">
        <v>47</v>
      </c>
      <c r="R3171" s="220" t="s">
        <v>1888</v>
      </c>
      <c r="S3171" s="220" t="s">
        <v>1861</v>
      </c>
      <c r="T3171" s="85" t="s">
        <v>3461</v>
      </c>
    </row>
    <row r="3172" spans="1:20" ht="15.75" thickBot="1" x14ac:dyDescent="0.3">
      <c r="A3172" t="s">
        <v>1929</v>
      </c>
      <c r="B3172" t="s">
        <v>1929</v>
      </c>
      <c r="C3172" s="82" t="s">
        <v>1929</v>
      </c>
      <c r="D3172" s="83" t="s">
        <v>629</v>
      </c>
      <c r="E3172" s="262" t="s">
        <v>1970</v>
      </c>
      <c r="F3172" s="124" t="s">
        <v>620</v>
      </c>
      <c r="G3172" s="130">
        <v>2020</v>
      </c>
      <c r="H3172" s="125" t="s">
        <v>733</v>
      </c>
      <c r="I3172" s="340" t="str">
        <f t="shared" si="126"/>
        <v>Pesado de Passageiros M3: I : Gasóleo : E6</v>
      </c>
      <c r="J3172" s="125">
        <v>106</v>
      </c>
      <c r="K3172" s="264">
        <v>2022</v>
      </c>
      <c r="L3172" s="129">
        <v>31787.584199999998</v>
      </c>
      <c r="M3172" s="85" t="s">
        <v>630</v>
      </c>
      <c r="N3172" s="128">
        <v>75793</v>
      </c>
      <c r="O3172" s="128">
        <f t="shared" si="125"/>
        <v>8034058</v>
      </c>
      <c r="P3172" s="125" t="s">
        <v>2076</v>
      </c>
      <c r="Q3172" s="85" t="s">
        <v>47</v>
      </c>
      <c r="R3172" s="220" t="s">
        <v>1888</v>
      </c>
      <c r="S3172" s="220" t="s">
        <v>1861</v>
      </c>
      <c r="T3172" s="85" t="s">
        <v>4256</v>
      </c>
    </row>
    <row r="3173" spans="1:20" ht="15.75" thickBot="1" x14ac:dyDescent="0.3">
      <c r="A3173" t="s">
        <v>1929</v>
      </c>
      <c r="B3173" t="s">
        <v>1929</v>
      </c>
      <c r="C3173" s="82" t="s">
        <v>1929</v>
      </c>
      <c r="D3173" s="83" t="s">
        <v>629</v>
      </c>
      <c r="E3173" s="262" t="s">
        <v>1970</v>
      </c>
      <c r="F3173" s="124" t="s">
        <v>620</v>
      </c>
      <c r="G3173" s="130">
        <v>2020</v>
      </c>
      <c r="H3173" s="125" t="s">
        <v>733</v>
      </c>
      <c r="I3173" s="340" t="str">
        <f t="shared" si="126"/>
        <v>Pesado de Passageiros M3: I : Gasóleo : E6</v>
      </c>
      <c r="J3173" s="125">
        <v>106</v>
      </c>
      <c r="K3173" s="264">
        <v>2022</v>
      </c>
      <c r="L3173" s="129">
        <v>25517.52</v>
      </c>
      <c r="M3173" s="85" t="s">
        <v>630</v>
      </c>
      <c r="N3173" s="128">
        <v>60756</v>
      </c>
      <c r="O3173" s="128">
        <f t="shared" si="125"/>
        <v>6440136</v>
      </c>
      <c r="P3173" s="125" t="s">
        <v>2079</v>
      </c>
      <c r="Q3173" s="85" t="s">
        <v>47</v>
      </c>
      <c r="R3173" s="220" t="s">
        <v>1888</v>
      </c>
      <c r="S3173" s="220" t="s">
        <v>1861</v>
      </c>
      <c r="T3173" s="85" t="s">
        <v>4257</v>
      </c>
    </row>
    <row r="3174" spans="1:20" ht="15.75" thickBot="1" x14ac:dyDescent="0.3">
      <c r="A3174" t="s">
        <v>1929</v>
      </c>
      <c r="B3174" t="s">
        <v>1929</v>
      </c>
      <c r="C3174" s="82" t="s">
        <v>1929</v>
      </c>
      <c r="D3174" s="83" t="s">
        <v>629</v>
      </c>
      <c r="E3174" s="262" t="s">
        <v>1970</v>
      </c>
      <c r="F3174" s="124" t="s">
        <v>620</v>
      </c>
      <c r="G3174" s="130">
        <v>2020</v>
      </c>
      <c r="H3174" s="125" t="s">
        <v>733</v>
      </c>
      <c r="I3174" s="340" t="str">
        <f t="shared" si="126"/>
        <v>Pesado de Passageiros M3: I : Gasóleo : E6</v>
      </c>
      <c r="J3174" s="125">
        <v>106</v>
      </c>
      <c r="K3174" s="264">
        <v>2022</v>
      </c>
      <c r="L3174" s="129">
        <v>40264.561200000004</v>
      </c>
      <c r="M3174" s="85" t="s">
        <v>630</v>
      </c>
      <c r="N3174" s="128">
        <v>88377</v>
      </c>
      <c r="O3174" s="128">
        <f t="shared" si="125"/>
        <v>9367962</v>
      </c>
      <c r="P3174" s="125" t="s">
        <v>2077</v>
      </c>
      <c r="Q3174" s="85" t="s">
        <v>47</v>
      </c>
      <c r="R3174" s="220" t="s">
        <v>1888</v>
      </c>
      <c r="S3174" s="220" t="s">
        <v>1861</v>
      </c>
      <c r="T3174" s="85" t="s">
        <v>4258</v>
      </c>
    </row>
    <row r="3175" spans="1:20" ht="15.75" thickBot="1" x14ac:dyDescent="0.3">
      <c r="A3175" t="s">
        <v>1929</v>
      </c>
      <c r="B3175" t="s">
        <v>1929</v>
      </c>
      <c r="C3175" s="82" t="s">
        <v>1929</v>
      </c>
      <c r="D3175" s="83" t="s">
        <v>629</v>
      </c>
      <c r="E3175" s="262" t="s">
        <v>1970</v>
      </c>
      <c r="F3175" s="124" t="s">
        <v>1963</v>
      </c>
      <c r="G3175" s="130">
        <v>2014</v>
      </c>
      <c r="H3175" s="125" t="s">
        <v>733</v>
      </c>
      <c r="I3175" s="340" t="str">
        <f t="shared" si="126"/>
        <v>Pesado de Passageiros M3: I : GNC : E6</v>
      </c>
      <c r="J3175" s="125">
        <v>69</v>
      </c>
      <c r="K3175" s="264">
        <v>2022</v>
      </c>
      <c r="L3175" s="129">
        <v>34759.335599999999</v>
      </c>
      <c r="M3175" s="85" t="s">
        <v>1943</v>
      </c>
      <c r="N3175" s="128">
        <v>60588</v>
      </c>
      <c r="O3175" s="128">
        <f t="shared" si="125"/>
        <v>4180572</v>
      </c>
      <c r="P3175" s="125" t="s">
        <v>2181</v>
      </c>
      <c r="Q3175" s="85" t="s">
        <v>47</v>
      </c>
      <c r="R3175" s="220" t="s">
        <v>1888</v>
      </c>
      <c r="S3175" s="220" t="s">
        <v>1964</v>
      </c>
      <c r="T3175" s="85" t="s">
        <v>4259</v>
      </c>
    </row>
    <row r="3176" spans="1:20" ht="15.75" thickBot="1" x14ac:dyDescent="0.3">
      <c r="A3176" t="s">
        <v>1929</v>
      </c>
      <c r="B3176" t="s">
        <v>1929</v>
      </c>
      <c r="C3176" s="82" t="s">
        <v>1929</v>
      </c>
      <c r="D3176" s="83" t="s">
        <v>629</v>
      </c>
      <c r="E3176" s="262" t="s">
        <v>1970</v>
      </c>
      <c r="F3176" s="124" t="s">
        <v>620</v>
      </c>
      <c r="G3176" s="130"/>
      <c r="H3176" s="125" t="s">
        <v>731</v>
      </c>
      <c r="I3176" s="340" t="str">
        <f t="shared" si="126"/>
        <v>Pesado de Passageiros M3: I : Gasóleo : E4</v>
      </c>
      <c r="J3176" s="125"/>
      <c r="K3176" s="264">
        <v>2022</v>
      </c>
      <c r="L3176" s="85">
        <v>32493.635200000001</v>
      </c>
      <c r="M3176" s="85" t="s">
        <v>630</v>
      </c>
      <c r="N3176" s="128">
        <v>36088</v>
      </c>
      <c r="O3176" s="128">
        <f t="shared" si="125"/>
        <v>0</v>
      </c>
      <c r="P3176" s="125" t="s">
        <v>3328</v>
      </c>
      <c r="Q3176" s="85" t="s">
        <v>47</v>
      </c>
      <c r="R3176" s="220" t="s">
        <v>1888</v>
      </c>
      <c r="S3176" s="220" t="s">
        <v>1861</v>
      </c>
      <c r="T3176" s="85" t="s">
        <v>4260</v>
      </c>
    </row>
    <row r="3177" spans="1:20" ht="15.75" thickBot="1" x14ac:dyDescent="0.3">
      <c r="A3177" t="s">
        <v>1929</v>
      </c>
      <c r="B3177" t="s">
        <v>1929</v>
      </c>
      <c r="C3177" s="82" t="s">
        <v>1929</v>
      </c>
      <c r="D3177" s="83" t="s">
        <v>629</v>
      </c>
      <c r="E3177" s="262" t="s">
        <v>1970</v>
      </c>
      <c r="F3177" s="124" t="s">
        <v>620</v>
      </c>
      <c r="G3177" s="125">
        <v>2021</v>
      </c>
      <c r="H3177" s="125" t="s">
        <v>733</v>
      </c>
      <c r="I3177" s="340" t="str">
        <f t="shared" si="126"/>
        <v>Pesado de Passageiros M3: I : Gasóleo : E6</v>
      </c>
      <c r="J3177" s="125">
        <v>109</v>
      </c>
      <c r="K3177" s="264">
        <v>2022</v>
      </c>
      <c r="L3177" s="129">
        <v>18892.672000000002</v>
      </c>
      <c r="M3177" s="85" t="s">
        <v>630</v>
      </c>
      <c r="N3177" s="128">
        <v>45856</v>
      </c>
      <c r="O3177" s="128">
        <f t="shared" si="125"/>
        <v>4998304</v>
      </c>
      <c r="P3177" s="420">
        <v>2304</v>
      </c>
      <c r="Q3177" s="85" t="s">
        <v>47</v>
      </c>
      <c r="R3177" s="220" t="s">
        <v>1888</v>
      </c>
      <c r="S3177" s="220" t="s">
        <v>1861</v>
      </c>
      <c r="T3177" s="85" t="s">
        <v>4261</v>
      </c>
    </row>
    <row r="3178" spans="1:20" ht="15.75" thickBot="1" x14ac:dyDescent="0.3">
      <c r="A3178" t="s">
        <v>1929</v>
      </c>
      <c r="B3178" t="s">
        <v>1929</v>
      </c>
      <c r="C3178" s="82" t="s">
        <v>1929</v>
      </c>
      <c r="D3178" s="83" t="s">
        <v>629</v>
      </c>
      <c r="E3178" s="262" t="s">
        <v>1970</v>
      </c>
      <c r="F3178" s="124" t="s">
        <v>620</v>
      </c>
      <c r="G3178" s="130"/>
      <c r="H3178" s="125" t="s">
        <v>733</v>
      </c>
      <c r="I3178" s="340" t="str">
        <f t="shared" si="126"/>
        <v>Pesado de Passageiros M3: I : Gasóleo : E6</v>
      </c>
      <c r="J3178" s="125"/>
      <c r="K3178" s="264">
        <v>2022</v>
      </c>
      <c r="L3178" s="85">
        <v>230.40940000000003</v>
      </c>
      <c r="M3178" s="85" t="s">
        <v>630</v>
      </c>
      <c r="N3178" s="128">
        <v>598</v>
      </c>
      <c r="O3178" s="128">
        <f t="shared" si="125"/>
        <v>0</v>
      </c>
      <c r="P3178" s="125" t="s">
        <v>4502</v>
      </c>
      <c r="Q3178" s="85" t="s">
        <v>47</v>
      </c>
      <c r="R3178" s="220" t="s">
        <v>1888</v>
      </c>
      <c r="S3178" s="220" t="s">
        <v>1861</v>
      </c>
      <c r="T3178" s="85" t="s">
        <v>4262</v>
      </c>
    </row>
    <row r="3179" spans="1:20" ht="15.75" thickBot="1" x14ac:dyDescent="0.3">
      <c r="A3179" t="s">
        <v>1929</v>
      </c>
      <c r="B3179" t="s">
        <v>1929</v>
      </c>
      <c r="C3179" s="82" t="s">
        <v>1929</v>
      </c>
      <c r="D3179" s="83" t="s">
        <v>629</v>
      </c>
      <c r="E3179" s="262" t="s">
        <v>1970</v>
      </c>
      <c r="F3179" s="124" t="s">
        <v>620</v>
      </c>
      <c r="G3179" s="130">
        <v>2021</v>
      </c>
      <c r="H3179" s="125" t="s">
        <v>733</v>
      </c>
      <c r="I3179" s="340" t="str">
        <f t="shared" si="126"/>
        <v>Pesado de Passageiros M3: I : Gasóleo : E6</v>
      </c>
      <c r="J3179" s="125">
        <v>109</v>
      </c>
      <c r="K3179" s="264">
        <v>2022</v>
      </c>
      <c r="L3179" s="129">
        <v>7825.2431999999999</v>
      </c>
      <c r="M3179" s="85" t="s">
        <v>630</v>
      </c>
      <c r="N3179" s="128">
        <v>21328</v>
      </c>
      <c r="O3179" s="128">
        <f t="shared" si="125"/>
        <v>2324752</v>
      </c>
      <c r="P3179" s="125">
        <v>2508</v>
      </c>
      <c r="Q3179" s="85" t="s">
        <v>47</v>
      </c>
      <c r="R3179" s="220" t="s">
        <v>1888</v>
      </c>
      <c r="S3179" s="220" t="s">
        <v>1861</v>
      </c>
      <c r="T3179" s="85" t="s">
        <v>4263</v>
      </c>
    </row>
    <row r="3180" spans="1:20" ht="15.75" thickBot="1" x14ac:dyDescent="0.3">
      <c r="A3180" t="s">
        <v>1929</v>
      </c>
      <c r="B3180" t="s">
        <v>1929</v>
      </c>
      <c r="C3180" s="82" t="s">
        <v>1929</v>
      </c>
      <c r="D3180" s="83" t="s">
        <v>629</v>
      </c>
      <c r="E3180" s="262" t="s">
        <v>1970</v>
      </c>
      <c r="F3180" s="124" t="s">
        <v>620</v>
      </c>
      <c r="G3180" s="125">
        <v>2021</v>
      </c>
      <c r="H3180" s="125" t="s">
        <v>733</v>
      </c>
      <c r="I3180" s="340" t="str">
        <f t="shared" si="126"/>
        <v>Pesado de Passageiros M3: I : Gasóleo : E6</v>
      </c>
      <c r="J3180" s="125">
        <v>109</v>
      </c>
      <c r="K3180" s="264">
        <v>2022</v>
      </c>
      <c r="L3180" s="129">
        <v>22328.869500000001</v>
      </c>
      <c r="M3180" s="85" t="s">
        <v>630</v>
      </c>
      <c r="N3180" s="128">
        <v>53585</v>
      </c>
      <c r="O3180" s="128">
        <f t="shared" si="125"/>
        <v>5840765</v>
      </c>
      <c r="P3180" s="420">
        <v>2308</v>
      </c>
      <c r="Q3180" s="85" t="s">
        <v>47</v>
      </c>
      <c r="R3180" s="220" t="s">
        <v>1888</v>
      </c>
      <c r="S3180" s="220" t="s">
        <v>1861</v>
      </c>
      <c r="T3180" s="85" t="s">
        <v>4264</v>
      </c>
    </row>
    <row r="3181" spans="1:20" ht="15.75" thickBot="1" x14ac:dyDescent="0.3">
      <c r="A3181" t="s">
        <v>1929</v>
      </c>
      <c r="B3181" t="s">
        <v>1929</v>
      </c>
      <c r="C3181" s="82" t="s">
        <v>1929</v>
      </c>
      <c r="D3181" s="83" t="s">
        <v>629</v>
      </c>
      <c r="E3181" s="262" t="s">
        <v>1970</v>
      </c>
      <c r="F3181" s="124" t="s">
        <v>620</v>
      </c>
      <c r="G3181" s="130"/>
      <c r="H3181" s="125" t="s">
        <v>733</v>
      </c>
      <c r="I3181" s="340" t="str">
        <f t="shared" si="126"/>
        <v>Pesado de Passageiros M3: I : Gasóleo : E6</v>
      </c>
      <c r="J3181" s="125"/>
      <c r="K3181" s="264">
        <v>2022</v>
      </c>
      <c r="L3181" s="85">
        <v>97.44</v>
      </c>
      <c r="M3181" s="85" t="s">
        <v>630</v>
      </c>
      <c r="N3181" s="128">
        <v>232</v>
      </c>
      <c r="O3181" s="128">
        <f t="shared" si="125"/>
        <v>0</v>
      </c>
      <c r="P3181" s="125" t="s">
        <v>4503</v>
      </c>
      <c r="Q3181" s="85" t="s">
        <v>47</v>
      </c>
      <c r="R3181" s="220" t="s">
        <v>1888</v>
      </c>
      <c r="S3181" s="220" t="s">
        <v>1861</v>
      </c>
      <c r="T3181" s="85" t="s">
        <v>4265</v>
      </c>
    </row>
    <row r="3182" spans="1:20" ht="15.75" thickBot="1" x14ac:dyDescent="0.3">
      <c r="A3182" t="s">
        <v>1929</v>
      </c>
      <c r="B3182" t="s">
        <v>1929</v>
      </c>
      <c r="C3182" s="82" t="s">
        <v>1929</v>
      </c>
      <c r="D3182" s="83" t="s">
        <v>629</v>
      </c>
      <c r="E3182" s="262" t="s">
        <v>1970</v>
      </c>
      <c r="F3182" s="124" t="s">
        <v>620</v>
      </c>
      <c r="G3182" s="130"/>
      <c r="H3182" s="125" t="s">
        <v>733</v>
      </c>
      <c r="I3182" s="340" t="str">
        <f t="shared" si="126"/>
        <v>Pesado de Passageiros M3: I : Gasóleo : E6</v>
      </c>
      <c r="J3182" s="125"/>
      <c r="K3182" s="264">
        <v>2022</v>
      </c>
      <c r="L3182" s="85">
        <v>188.16</v>
      </c>
      <c r="M3182" s="85" t="s">
        <v>630</v>
      </c>
      <c r="N3182" s="128">
        <v>448</v>
      </c>
      <c r="O3182" s="128">
        <f t="shared" si="125"/>
        <v>0</v>
      </c>
      <c r="P3182" s="125" t="s">
        <v>4504</v>
      </c>
      <c r="Q3182" s="85" t="s">
        <v>47</v>
      </c>
      <c r="R3182" s="220" t="s">
        <v>1888</v>
      </c>
      <c r="S3182" s="220" t="s">
        <v>1861</v>
      </c>
      <c r="T3182" s="85" t="s">
        <v>4266</v>
      </c>
    </row>
    <row r="3183" spans="1:20" ht="15.75" thickBot="1" x14ac:dyDescent="0.3">
      <c r="A3183" t="s">
        <v>1929</v>
      </c>
      <c r="B3183" t="s">
        <v>1929</v>
      </c>
      <c r="C3183" s="82" t="s">
        <v>1929</v>
      </c>
      <c r="D3183" s="83" t="s">
        <v>629</v>
      </c>
      <c r="E3183" s="262" t="s">
        <v>1970</v>
      </c>
      <c r="F3183" s="124" t="s">
        <v>620</v>
      </c>
      <c r="G3183" s="125">
        <v>2021</v>
      </c>
      <c r="H3183" s="125" t="s">
        <v>733</v>
      </c>
      <c r="I3183" s="340" t="str">
        <f t="shared" si="126"/>
        <v>Pesado de Passageiros M3: I : Gasóleo : E6</v>
      </c>
      <c r="J3183" s="125">
        <v>109</v>
      </c>
      <c r="K3183" s="264">
        <v>2022</v>
      </c>
      <c r="L3183" s="129">
        <v>18070.272000000001</v>
      </c>
      <c r="M3183" s="85" t="s">
        <v>630</v>
      </c>
      <c r="N3183" s="128">
        <v>44640</v>
      </c>
      <c r="O3183" s="128">
        <f t="shared" si="125"/>
        <v>4865760</v>
      </c>
      <c r="P3183" s="420">
        <v>2305</v>
      </c>
      <c r="Q3183" s="85" t="s">
        <v>47</v>
      </c>
      <c r="R3183" s="220" t="s">
        <v>1888</v>
      </c>
      <c r="S3183" s="220" t="s">
        <v>1861</v>
      </c>
      <c r="T3183" s="85" t="s">
        <v>4267</v>
      </c>
    </row>
    <row r="3184" spans="1:20" ht="15.75" thickBot="1" x14ac:dyDescent="0.3">
      <c r="A3184" t="s">
        <v>1929</v>
      </c>
      <c r="B3184" t="s">
        <v>1929</v>
      </c>
      <c r="C3184" s="82" t="s">
        <v>1929</v>
      </c>
      <c r="D3184" s="83" t="s">
        <v>629</v>
      </c>
      <c r="E3184" s="262" t="s">
        <v>1970</v>
      </c>
      <c r="F3184" s="124" t="s">
        <v>620</v>
      </c>
      <c r="G3184" s="130">
        <v>2021</v>
      </c>
      <c r="H3184" s="125" t="s">
        <v>733</v>
      </c>
      <c r="I3184" s="340" t="str">
        <f t="shared" si="126"/>
        <v>Pesado de Passageiros M3: I : Gasóleo : E6</v>
      </c>
      <c r="J3184" s="125">
        <v>109</v>
      </c>
      <c r="K3184" s="264">
        <v>2022</v>
      </c>
      <c r="L3184" s="129">
        <v>18017.7376</v>
      </c>
      <c r="M3184" s="85" t="s">
        <v>630</v>
      </c>
      <c r="N3184" s="128">
        <v>48644</v>
      </c>
      <c r="O3184" s="128">
        <f t="shared" si="125"/>
        <v>5302196</v>
      </c>
      <c r="P3184" s="125">
        <v>2507</v>
      </c>
      <c r="Q3184" s="85" t="s">
        <v>47</v>
      </c>
      <c r="R3184" s="220" t="s">
        <v>1888</v>
      </c>
      <c r="S3184" s="220" t="s">
        <v>1861</v>
      </c>
      <c r="T3184" s="85" t="s">
        <v>4268</v>
      </c>
    </row>
    <row r="3185" spans="1:20" ht="15.75" thickBot="1" x14ac:dyDescent="0.3">
      <c r="A3185" t="s">
        <v>1929</v>
      </c>
      <c r="B3185" t="s">
        <v>1929</v>
      </c>
      <c r="C3185" s="82" t="s">
        <v>1929</v>
      </c>
      <c r="D3185" s="83" t="s">
        <v>629</v>
      </c>
      <c r="E3185" s="262" t="s">
        <v>1970</v>
      </c>
      <c r="F3185" s="124" t="s">
        <v>620</v>
      </c>
      <c r="G3185" s="125">
        <v>2021</v>
      </c>
      <c r="H3185" s="125" t="s">
        <v>733</v>
      </c>
      <c r="I3185" s="340" t="str">
        <f t="shared" si="126"/>
        <v>Pesado de Passageiros M3: I : Gasóleo : E6</v>
      </c>
      <c r="J3185" s="125">
        <v>109</v>
      </c>
      <c r="K3185" s="264">
        <v>2022</v>
      </c>
      <c r="L3185" s="129">
        <v>18999.337500000001</v>
      </c>
      <c r="M3185" s="85" t="s">
        <v>630</v>
      </c>
      <c r="N3185" s="128">
        <v>46059</v>
      </c>
      <c r="O3185" s="128">
        <f t="shared" ref="O3185:O3248" si="127">N3185*J3185</f>
        <v>5020431</v>
      </c>
      <c r="P3185" s="420">
        <v>2310</v>
      </c>
      <c r="Q3185" s="85" t="s">
        <v>47</v>
      </c>
      <c r="R3185" s="220" t="s">
        <v>1888</v>
      </c>
      <c r="S3185" s="220" t="s">
        <v>1861</v>
      </c>
      <c r="T3185" s="85" t="s">
        <v>4269</v>
      </c>
    </row>
    <row r="3186" spans="1:20" ht="15.75" thickBot="1" x14ac:dyDescent="0.3">
      <c r="A3186" t="s">
        <v>1929</v>
      </c>
      <c r="B3186" t="s">
        <v>1929</v>
      </c>
      <c r="C3186" s="82" t="s">
        <v>1929</v>
      </c>
      <c r="D3186" s="83" t="s">
        <v>629</v>
      </c>
      <c r="E3186" s="262" t="s">
        <v>1970</v>
      </c>
      <c r="F3186" s="124" t="s">
        <v>620</v>
      </c>
      <c r="G3186" s="130"/>
      <c r="H3186" s="125" t="s">
        <v>733</v>
      </c>
      <c r="I3186" s="340" t="str">
        <f t="shared" si="126"/>
        <v>Pesado de Passageiros M3: I : Gasóleo : E6</v>
      </c>
      <c r="J3186" s="125"/>
      <c r="K3186" s="264">
        <v>2022</v>
      </c>
      <c r="L3186" s="85">
        <v>79.8</v>
      </c>
      <c r="M3186" s="85" t="s">
        <v>630</v>
      </c>
      <c r="N3186" s="128">
        <v>190</v>
      </c>
      <c r="O3186" s="128">
        <f t="shared" si="127"/>
        <v>0</v>
      </c>
      <c r="P3186" s="125" t="s">
        <v>4505</v>
      </c>
      <c r="Q3186" s="85" t="s">
        <v>47</v>
      </c>
      <c r="R3186" s="220" t="s">
        <v>1888</v>
      </c>
      <c r="S3186" s="220" t="s">
        <v>1861</v>
      </c>
      <c r="T3186" s="85" t="s">
        <v>4270</v>
      </c>
    </row>
    <row r="3187" spans="1:20" ht="15.75" thickBot="1" x14ac:dyDescent="0.3">
      <c r="A3187" t="s">
        <v>1929</v>
      </c>
      <c r="B3187" t="s">
        <v>1929</v>
      </c>
      <c r="C3187" s="82" t="s">
        <v>1929</v>
      </c>
      <c r="D3187" s="83" t="s">
        <v>629</v>
      </c>
      <c r="E3187" s="262" t="s">
        <v>1970</v>
      </c>
      <c r="F3187" s="124" t="s">
        <v>620</v>
      </c>
      <c r="G3187" s="130">
        <v>2021</v>
      </c>
      <c r="H3187" s="125" t="s">
        <v>733</v>
      </c>
      <c r="I3187" s="340" t="str">
        <f t="shared" si="126"/>
        <v>Pesado de Passageiros M3: I : Gasóleo : E6</v>
      </c>
      <c r="J3187" s="125">
        <v>109</v>
      </c>
      <c r="K3187" s="264">
        <v>2022</v>
      </c>
      <c r="L3187" s="129">
        <v>18422.144200000002</v>
      </c>
      <c r="M3187" s="85" t="s">
        <v>630</v>
      </c>
      <c r="N3187" s="128">
        <v>50527</v>
      </c>
      <c r="O3187" s="128">
        <f t="shared" si="127"/>
        <v>5507443</v>
      </c>
      <c r="P3187" s="125">
        <v>2505</v>
      </c>
      <c r="Q3187" s="85" t="s">
        <v>47</v>
      </c>
      <c r="R3187" s="220" t="s">
        <v>1888</v>
      </c>
      <c r="S3187" s="220" t="s">
        <v>1861</v>
      </c>
      <c r="T3187" s="85" t="s">
        <v>4271</v>
      </c>
    </row>
    <row r="3188" spans="1:20" ht="15.75" thickBot="1" x14ac:dyDescent="0.3">
      <c r="A3188" t="s">
        <v>1929</v>
      </c>
      <c r="B3188" t="s">
        <v>1929</v>
      </c>
      <c r="C3188" s="82" t="s">
        <v>1929</v>
      </c>
      <c r="D3188" s="83" t="s">
        <v>629</v>
      </c>
      <c r="E3188" s="262" t="s">
        <v>1970</v>
      </c>
      <c r="F3188" s="124" t="s">
        <v>620</v>
      </c>
      <c r="G3188" s="125">
        <v>2021</v>
      </c>
      <c r="H3188" s="125" t="s">
        <v>733</v>
      </c>
      <c r="I3188" s="340" t="str">
        <f t="shared" si="126"/>
        <v>Pesado de Passageiros M3: I : Gasóleo : E6</v>
      </c>
      <c r="J3188" s="125">
        <v>109</v>
      </c>
      <c r="K3188" s="264">
        <v>2022</v>
      </c>
      <c r="L3188" s="129">
        <v>20803.785</v>
      </c>
      <c r="M3188" s="85" t="s">
        <v>630</v>
      </c>
      <c r="N3188" s="128">
        <v>50865</v>
      </c>
      <c r="O3188" s="128">
        <f t="shared" si="127"/>
        <v>5544285</v>
      </c>
      <c r="P3188" s="420">
        <v>2307</v>
      </c>
      <c r="Q3188" s="85" t="s">
        <v>47</v>
      </c>
      <c r="R3188" s="220" t="s">
        <v>1888</v>
      </c>
      <c r="S3188" s="220" t="s">
        <v>1861</v>
      </c>
      <c r="T3188" s="85" t="s">
        <v>4272</v>
      </c>
    </row>
    <row r="3189" spans="1:20" ht="15.75" thickBot="1" x14ac:dyDescent="0.3">
      <c r="A3189" t="s">
        <v>1929</v>
      </c>
      <c r="B3189" t="s">
        <v>1929</v>
      </c>
      <c r="C3189" s="82" t="s">
        <v>1929</v>
      </c>
      <c r="D3189" s="83" t="s">
        <v>629</v>
      </c>
      <c r="E3189" s="262" t="s">
        <v>1970</v>
      </c>
      <c r="F3189" s="124" t="s">
        <v>620</v>
      </c>
      <c r="G3189" s="130">
        <v>2021</v>
      </c>
      <c r="H3189" s="125" t="s">
        <v>733</v>
      </c>
      <c r="I3189" s="340" t="str">
        <f t="shared" si="126"/>
        <v>Pesado de Passageiros M3: I : Gasóleo : E6</v>
      </c>
      <c r="J3189" s="125">
        <v>109</v>
      </c>
      <c r="K3189" s="264">
        <v>2022</v>
      </c>
      <c r="L3189" s="129">
        <v>17870.835399999996</v>
      </c>
      <c r="M3189" s="85" t="s">
        <v>630</v>
      </c>
      <c r="N3189" s="128">
        <v>42866</v>
      </c>
      <c r="O3189" s="128">
        <f t="shared" si="127"/>
        <v>4672394</v>
      </c>
      <c r="P3189" s="125">
        <v>2500</v>
      </c>
      <c r="Q3189" s="85" t="s">
        <v>47</v>
      </c>
      <c r="R3189" s="220" t="s">
        <v>1888</v>
      </c>
      <c r="S3189" s="220" t="s">
        <v>1861</v>
      </c>
      <c r="T3189" s="85" t="s">
        <v>4273</v>
      </c>
    </row>
    <row r="3190" spans="1:20" ht="15.75" thickBot="1" x14ac:dyDescent="0.3">
      <c r="A3190" t="s">
        <v>1929</v>
      </c>
      <c r="B3190" t="s">
        <v>1929</v>
      </c>
      <c r="C3190" s="82" t="s">
        <v>1929</v>
      </c>
      <c r="D3190" s="83" t="s">
        <v>629</v>
      </c>
      <c r="E3190" s="262" t="s">
        <v>1970</v>
      </c>
      <c r="F3190" s="124" t="s">
        <v>620</v>
      </c>
      <c r="G3190" s="130">
        <v>2021</v>
      </c>
      <c r="H3190" s="125" t="s">
        <v>733</v>
      </c>
      <c r="I3190" s="340" t="str">
        <f t="shared" ref="I3190:I3253" si="128">D3190&amp;": "&amp;E3190&amp;" : "&amp;F3190&amp;" : "&amp;H3190</f>
        <v>Pesado de Passageiros M3: I : Gasóleo : E6</v>
      </c>
      <c r="J3190" s="125">
        <v>109</v>
      </c>
      <c r="K3190" s="264">
        <v>2022</v>
      </c>
      <c r="L3190" s="129">
        <v>19497.28</v>
      </c>
      <c r="M3190" s="85" t="s">
        <v>630</v>
      </c>
      <c r="N3190" s="128">
        <v>52525</v>
      </c>
      <c r="O3190" s="128">
        <f t="shared" si="127"/>
        <v>5725225</v>
      </c>
      <c r="P3190" s="125">
        <v>2504</v>
      </c>
      <c r="Q3190" s="85" t="s">
        <v>47</v>
      </c>
      <c r="R3190" s="220" t="s">
        <v>1888</v>
      </c>
      <c r="S3190" s="220" t="s">
        <v>1861</v>
      </c>
      <c r="T3190" s="85" t="s">
        <v>4274</v>
      </c>
    </row>
    <row r="3191" spans="1:20" ht="15.75" thickBot="1" x14ac:dyDescent="0.3">
      <c r="A3191" t="s">
        <v>1929</v>
      </c>
      <c r="B3191" t="s">
        <v>1929</v>
      </c>
      <c r="C3191" s="82" t="s">
        <v>1929</v>
      </c>
      <c r="D3191" s="83" t="s">
        <v>629</v>
      </c>
      <c r="E3191" s="262" t="s">
        <v>1970</v>
      </c>
      <c r="F3191" s="124" t="s">
        <v>620</v>
      </c>
      <c r="G3191" s="130">
        <v>2021</v>
      </c>
      <c r="H3191" s="125" t="s">
        <v>733</v>
      </c>
      <c r="I3191" s="340" t="str">
        <f t="shared" si="128"/>
        <v>Pesado de Passageiros M3: I : Gasóleo : E6</v>
      </c>
      <c r="J3191" s="125">
        <v>109</v>
      </c>
      <c r="K3191" s="264">
        <v>2022</v>
      </c>
      <c r="L3191" s="129">
        <v>17300.063599999998</v>
      </c>
      <c r="M3191" s="85" t="s">
        <v>630</v>
      </c>
      <c r="N3191" s="128">
        <v>41707</v>
      </c>
      <c r="O3191" s="128">
        <f t="shared" si="127"/>
        <v>4546063</v>
      </c>
      <c r="P3191" s="125">
        <v>2501</v>
      </c>
      <c r="Q3191" s="85" t="s">
        <v>47</v>
      </c>
      <c r="R3191" s="220" t="s">
        <v>1888</v>
      </c>
      <c r="S3191" s="220" t="s">
        <v>1861</v>
      </c>
      <c r="T3191" s="85" t="s">
        <v>4275</v>
      </c>
    </row>
    <row r="3192" spans="1:20" ht="15.75" thickBot="1" x14ac:dyDescent="0.3">
      <c r="A3192" t="s">
        <v>1929</v>
      </c>
      <c r="B3192" t="s">
        <v>1929</v>
      </c>
      <c r="C3192" s="82" t="s">
        <v>1929</v>
      </c>
      <c r="D3192" s="83" t="s">
        <v>629</v>
      </c>
      <c r="E3192" s="262" t="s">
        <v>1970</v>
      </c>
      <c r="F3192" s="124" t="s">
        <v>620</v>
      </c>
      <c r="G3192" s="125">
        <v>2021</v>
      </c>
      <c r="H3192" s="125" t="s">
        <v>733</v>
      </c>
      <c r="I3192" s="340" t="str">
        <f t="shared" si="128"/>
        <v>Pesado de Passageiros M3: I : Gasóleo : E6</v>
      </c>
      <c r="J3192" s="125">
        <v>109</v>
      </c>
      <c r="K3192" s="264">
        <v>2022</v>
      </c>
      <c r="L3192" s="129">
        <v>20677.702500000003</v>
      </c>
      <c r="M3192" s="85" t="s">
        <v>630</v>
      </c>
      <c r="N3192" s="128">
        <v>50495</v>
      </c>
      <c r="O3192" s="128">
        <f t="shared" si="127"/>
        <v>5503955</v>
      </c>
      <c r="P3192" s="420">
        <v>2303</v>
      </c>
      <c r="Q3192" s="85" t="s">
        <v>47</v>
      </c>
      <c r="R3192" s="220" t="s">
        <v>1888</v>
      </c>
      <c r="S3192" s="220" t="s">
        <v>1861</v>
      </c>
      <c r="T3192" s="85" t="s">
        <v>4276</v>
      </c>
    </row>
    <row r="3193" spans="1:20" ht="15.75" thickBot="1" x14ac:dyDescent="0.3">
      <c r="A3193" t="s">
        <v>1929</v>
      </c>
      <c r="B3193" t="s">
        <v>1929</v>
      </c>
      <c r="C3193" s="82" t="s">
        <v>1929</v>
      </c>
      <c r="D3193" s="83" t="s">
        <v>629</v>
      </c>
      <c r="E3193" s="262" t="s">
        <v>1970</v>
      </c>
      <c r="F3193" s="124" t="s">
        <v>620</v>
      </c>
      <c r="G3193" s="130">
        <v>2021</v>
      </c>
      <c r="H3193" s="125" t="s">
        <v>733</v>
      </c>
      <c r="I3193" s="340" t="str">
        <f t="shared" si="128"/>
        <v>Pesado de Passageiros M3: I : Gasóleo : E6</v>
      </c>
      <c r="J3193" s="125">
        <v>109</v>
      </c>
      <c r="K3193" s="264">
        <v>2022</v>
      </c>
      <c r="L3193" s="129">
        <v>15575.013000000001</v>
      </c>
      <c r="M3193" s="85" t="s">
        <v>630</v>
      </c>
      <c r="N3193" s="128">
        <v>42765</v>
      </c>
      <c r="O3193" s="128">
        <f t="shared" si="127"/>
        <v>4661385</v>
      </c>
      <c r="P3193" s="125">
        <v>2509</v>
      </c>
      <c r="Q3193" s="85" t="s">
        <v>47</v>
      </c>
      <c r="R3193" s="220" t="s">
        <v>1888</v>
      </c>
      <c r="S3193" s="220" t="s">
        <v>1861</v>
      </c>
      <c r="T3193" s="85" t="s">
        <v>4277</v>
      </c>
    </row>
    <row r="3194" spans="1:20" ht="15.75" thickBot="1" x14ac:dyDescent="0.3">
      <c r="A3194" t="s">
        <v>1929</v>
      </c>
      <c r="B3194" t="s">
        <v>1929</v>
      </c>
      <c r="C3194" s="82" t="s">
        <v>1929</v>
      </c>
      <c r="D3194" s="83" t="s">
        <v>629</v>
      </c>
      <c r="E3194" s="262" t="s">
        <v>1970</v>
      </c>
      <c r="F3194" s="124" t="s">
        <v>620</v>
      </c>
      <c r="G3194" s="130">
        <v>2021</v>
      </c>
      <c r="H3194" s="125" t="s">
        <v>733</v>
      </c>
      <c r="I3194" s="340" t="str">
        <f t="shared" si="128"/>
        <v>Pesado de Passageiros M3: I : Gasóleo : E6</v>
      </c>
      <c r="J3194" s="125">
        <v>109</v>
      </c>
      <c r="K3194" s="264">
        <v>2022</v>
      </c>
      <c r="L3194" s="129">
        <v>18076.354800000001</v>
      </c>
      <c r="M3194" s="85" t="s">
        <v>630</v>
      </c>
      <c r="N3194" s="128">
        <v>50862</v>
      </c>
      <c r="O3194" s="128">
        <f t="shared" si="127"/>
        <v>5543958</v>
      </c>
      <c r="P3194" s="125">
        <v>2510</v>
      </c>
      <c r="Q3194" s="85" t="s">
        <v>47</v>
      </c>
      <c r="R3194" s="220" t="s">
        <v>1888</v>
      </c>
      <c r="S3194" s="220" t="s">
        <v>1861</v>
      </c>
      <c r="T3194" s="85" t="s">
        <v>4278</v>
      </c>
    </row>
    <row r="3195" spans="1:20" ht="15.75" thickBot="1" x14ac:dyDescent="0.3">
      <c r="A3195" t="s">
        <v>1929</v>
      </c>
      <c r="B3195" t="s">
        <v>1929</v>
      </c>
      <c r="C3195" s="82" t="s">
        <v>1929</v>
      </c>
      <c r="D3195" s="83" t="s">
        <v>629</v>
      </c>
      <c r="E3195" s="262" t="s">
        <v>1970</v>
      </c>
      <c r="F3195" s="124" t="s">
        <v>620</v>
      </c>
      <c r="G3195" s="125">
        <v>2021</v>
      </c>
      <c r="H3195" s="125" t="s">
        <v>733</v>
      </c>
      <c r="I3195" s="340" t="str">
        <f t="shared" si="128"/>
        <v>Pesado de Passageiros M3: I : Gasóleo : E6</v>
      </c>
      <c r="J3195" s="125">
        <v>109</v>
      </c>
      <c r="K3195" s="264">
        <v>2022</v>
      </c>
      <c r="L3195" s="129">
        <v>21785.7906</v>
      </c>
      <c r="M3195" s="85" t="s">
        <v>630</v>
      </c>
      <c r="N3195" s="128">
        <v>53739</v>
      </c>
      <c r="O3195" s="128">
        <f t="shared" si="127"/>
        <v>5857551</v>
      </c>
      <c r="P3195" s="420">
        <v>2309</v>
      </c>
      <c r="Q3195" s="85" t="s">
        <v>47</v>
      </c>
      <c r="R3195" s="220" t="s">
        <v>1888</v>
      </c>
      <c r="S3195" s="220" t="s">
        <v>1861</v>
      </c>
      <c r="T3195" s="85" t="s">
        <v>4279</v>
      </c>
    </row>
    <row r="3196" spans="1:20" ht="15.75" thickBot="1" x14ac:dyDescent="0.3">
      <c r="A3196" t="s">
        <v>1929</v>
      </c>
      <c r="B3196" t="s">
        <v>1929</v>
      </c>
      <c r="C3196" s="82" t="s">
        <v>1929</v>
      </c>
      <c r="D3196" s="83" t="s">
        <v>629</v>
      </c>
      <c r="E3196" s="262" t="s">
        <v>1970</v>
      </c>
      <c r="F3196" s="124" t="s">
        <v>620</v>
      </c>
      <c r="G3196" s="125">
        <v>2021</v>
      </c>
      <c r="H3196" s="125" t="s">
        <v>733</v>
      </c>
      <c r="I3196" s="340" t="str">
        <f t="shared" si="128"/>
        <v>Pesado de Passageiros M3: I : Gasóleo : E6</v>
      </c>
      <c r="J3196" s="125">
        <v>109</v>
      </c>
      <c r="K3196" s="264">
        <v>2022</v>
      </c>
      <c r="L3196" s="129">
        <v>19695.614399999999</v>
      </c>
      <c r="M3196" s="85" t="s">
        <v>630</v>
      </c>
      <c r="N3196" s="128">
        <v>49104</v>
      </c>
      <c r="O3196" s="128">
        <f t="shared" si="127"/>
        <v>5352336</v>
      </c>
      <c r="P3196" s="420">
        <v>2301</v>
      </c>
      <c r="Q3196" s="85" t="s">
        <v>47</v>
      </c>
      <c r="R3196" s="220" t="s">
        <v>1888</v>
      </c>
      <c r="S3196" s="220" t="s">
        <v>1861</v>
      </c>
      <c r="T3196" s="85" t="s">
        <v>4280</v>
      </c>
    </row>
    <row r="3197" spans="1:20" ht="15.75" thickBot="1" x14ac:dyDescent="0.3">
      <c r="A3197" t="s">
        <v>1929</v>
      </c>
      <c r="B3197" t="s">
        <v>1929</v>
      </c>
      <c r="C3197" s="82" t="s">
        <v>1929</v>
      </c>
      <c r="D3197" s="83" t="s">
        <v>629</v>
      </c>
      <c r="E3197" s="262" t="s">
        <v>1970</v>
      </c>
      <c r="F3197" s="124" t="s">
        <v>620</v>
      </c>
      <c r="G3197" s="130"/>
      <c r="H3197" s="125" t="s">
        <v>733</v>
      </c>
      <c r="I3197" s="340" t="str">
        <f t="shared" si="128"/>
        <v>Pesado de Passageiros M3: I : Gasóleo : E6</v>
      </c>
      <c r="J3197" s="125"/>
      <c r="K3197" s="264">
        <v>2022</v>
      </c>
      <c r="L3197" s="85">
        <v>153.33760000000001</v>
      </c>
      <c r="M3197" s="85" t="s">
        <v>630</v>
      </c>
      <c r="N3197" s="128">
        <v>388</v>
      </c>
      <c r="O3197" s="128">
        <f t="shared" si="127"/>
        <v>0</v>
      </c>
      <c r="P3197" s="125" t="s">
        <v>4506</v>
      </c>
      <c r="Q3197" s="85" t="s">
        <v>47</v>
      </c>
      <c r="R3197" s="220" t="s">
        <v>1888</v>
      </c>
      <c r="S3197" s="220" t="s">
        <v>1861</v>
      </c>
      <c r="T3197" s="85" t="s">
        <v>4281</v>
      </c>
    </row>
    <row r="3198" spans="1:20" ht="15.75" thickBot="1" x14ac:dyDescent="0.3">
      <c r="A3198" t="s">
        <v>1929</v>
      </c>
      <c r="B3198" t="s">
        <v>1929</v>
      </c>
      <c r="C3198" s="82" t="s">
        <v>1929</v>
      </c>
      <c r="D3198" s="83" t="s">
        <v>629</v>
      </c>
      <c r="E3198" s="262" t="s">
        <v>1970</v>
      </c>
      <c r="F3198" s="124" t="s">
        <v>620</v>
      </c>
      <c r="G3198" s="130"/>
      <c r="H3198" s="125" t="s">
        <v>733</v>
      </c>
      <c r="I3198" s="340" t="str">
        <f t="shared" si="128"/>
        <v>Pesado de Passageiros M3: I : Gasóleo : E6</v>
      </c>
      <c r="J3198" s="125"/>
      <c r="K3198" s="264">
        <v>2022</v>
      </c>
      <c r="L3198" s="85">
        <v>174.80680000000001</v>
      </c>
      <c r="M3198" s="85" t="s">
        <v>630</v>
      </c>
      <c r="N3198" s="128">
        <v>419</v>
      </c>
      <c r="O3198" s="128">
        <f t="shared" si="127"/>
        <v>0</v>
      </c>
      <c r="P3198" s="125" t="s">
        <v>4507</v>
      </c>
      <c r="Q3198" s="85" t="s">
        <v>47</v>
      </c>
      <c r="R3198" s="220" t="s">
        <v>1888</v>
      </c>
      <c r="S3198" s="220" t="s">
        <v>1861</v>
      </c>
      <c r="T3198" s="85" t="s">
        <v>4282</v>
      </c>
    </row>
    <row r="3199" spans="1:20" ht="15.75" thickBot="1" x14ac:dyDescent="0.3">
      <c r="A3199" t="s">
        <v>1929</v>
      </c>
      <c r="B3199" t="s">
        <v>1929</v>
      </c>
      <c r="C3199" s="82" t="s">
        <v>1929</v>
      </c>
      <c r="D3199" s="83" t="s">
        <v>629</v>
      </c>
      <c r="E3199" s="262" t="s">
        <v>1970</v>
      </c>
      <c r="F3199" s="124" t="s">
        <v>620</v>
      </c>
      <c r="G3199" s="130"/>
      <c r="H3199" s="125" t="s">
        <v>733</v>
      </c>
      <c r="I3199" s="340" t="str">
        <f t="shared" si="128"/>
        <v>Pesado de Passageiros M3: I : Gasóleo : E6</v>
      </c>
      <c r="J3199" s="125"/>
      <c r="K3199" s="264">
        <v>2022</v>
      </c>
      <c r="L3199" s="85">
        <v>104.16</v>
      </c>
      <c r="M3199" s="85" t="s">
        <v>630</v>
      </c>
      <c r="N3199" s="128">
        <v>248</v>
      </c>
      <c r="O3199" s="128">
        <f t="shared" si="127"/>
        <v>0</v>
      </c>
      <c r="P3199" s="125" t="s">
        <v>4508</v>
      </c>
      <c r="Q3199" s="85" t="s">
        <v>47</v>
      </c>
      <c r="R3199" s="220" t="s">
        <v>1888</v>
      </c>
      <c r="S3199" s="220" t="s">
        <v>1861</v>
      </c>
      <c r="T3199" s="85" t="s">
        <v>4283</v>
      </c>
    </row>
    <row r="3200" spans="1:20" ht="15.75" thickBot="1" x14ac:dyDescent="0.3">
      <c r="A3200" t="s">
        <v>1929</v>
      </c>
      <c r="B3200" t="s">
        <v>1929</v>
      </c>
      <c r="C3200" s="82" t="s">
        <v>1929</v>
      </c>
      <c r="D3200" s="83" t="s">
        <v>629</v>
      </c>
      <c r="E3200" s="262" t="s">
        <v>1970</v>
      </c>
      <c r="F3200" s="124" t="s">
        <v>620</v>
      </c>
      <c r="G3200" s="125">
        <v>2021</v>
      </c>
      <c r="H3200" s="125" t="s">
        <v>733</v>
      </c>
      <c r="I3200" s="340" t="str">
        <f t="shared" si="128"/>
        <v>Pesado de Passageiros M3: I : Gasóleo : E6</v>
      </c>
      <c r="J3200" s="125">
        <v>109</v>
      </c>
      <c r="K3200" s="264">
        <v>2022</v>
      </c>
      <c r="L3200" s="129">
        <v>22121.82</v>
      </c>
      <c r="M3200" s="85" t="s">
        <v>630</v>
      </c>
      <c r="N3200" s="128">
        <v>52671</v>
      </c>
      <c r="O3200" s="128">
        <f t="shared" si="127"/>
        <v>5741139</v>
      </c>
      <c r="P3200" s="420">
        <v>2300</v>
      </c>
      <c r="Q3200" s="85" t="s">
        <v>47</v>
      </c>
      <c r="R3200" s="220" t="s">
        <v>1888</v>
      </c>
      <c r="S3200" s="220" t="s">
        <v>1861</v>
      </c>
      <c r="T3200" s="85" t="s">
        <v>4284</v>
      </c>
    </row>
    <row r="3201" spans="1:20" ht="15.75" thickBot="1" x14ac:dyDescent="0.3">
      <c r="A3201" t="s">
        <v>1929</v>
      </c>
      <c r="B3201" t="s">
        <v>1929</v>
      </c>
      <c r="C3201" s="82" t="s">
        <v>1929</v>
      </c>
      <c r="D3201" s="83" t="s">
        <v>629</v>
      </c>
      <c r="E3201" s="262" t="s">
        <v>1970</v>
      </c>
      <c r="F3201" s="124" t="s">
        <v>620</v>
      </c>
      <c r="G3201" s="125">
        <v>2021</v>
      </c>
      <c r="H3201" s="125" t="s">
        <v>733</v>
      </c>
      <c r="I3201" s="340" t="str">
        <f t="shared" si="128"/>
        <v>Pesado de Passageiros M3: I : Gasóleo : E6</v>
      </c>
      <c r="J3201" s="125">
        <v>109</v>
      </c>
      <c r="K3201" s="264">
        <v>2022</v>
      </c>
      <c r="L3201" s="129">
        <v>18134.739700000002</v>
      </c>
      <c r="M3201" s="85" t="s">
        <v>630</v>
      </c>
      <c r="N3201" s="128">
        <v>44437</v>
      </c>
      <c r="O3201" s="128">
        <f t="shared" si="127"/>
        <v>4843633</v>
      </c>
      <c r="P3201" s="420">
        <v>2302</v>
      </c>
      <c r="Q3201" s="85" t="s">
        <v>47</v>
      </c>
      <c r="R3201" s="220" t="s">
        <v>1888</v>
      </c>
      <c r="S3201" s="220" t="s">
        <v>1861</v>
      </c>
      <c r="T3201" s="85" t="s">
        <v>4285</v>
      </c>
    </row>
    <row r="3202" spans="1:20" ht="15.75" thickBot="1" x14ac:dyDescent="0.3">
      <c r="A3202" t="s">
        <v>1929</v>
      </c>
      <c r="B3202" t="s">
        <v>1929</v>
      </c>
      <c r="C3202" s="82" t="s">
        <v>1929</v>
      </c>
      <c r="D3202" s="83" t="s">
        <v>629</v>
      </c>
      <c r="E3202" s="262" t="s">
        <v>1970</v>
      </c>
      <c r="F3202" s="124" t="s">
        <v>620</v>
      </c>
      <c r="G3202" s="130"/>
      <c r="H3202" s="125" t="s">
        <v>733</v>
      </c>
      <c r="I3202" s="340" t="str">
        <f t="shared" si="128"/>
        <v>Pesado de Passageiros M3: I : Gasóleo : E6</v>
      </c>
      <c r="J3202" s="125"/>
      <c r="K3202" s="264">
        <v>2022</v>
      </c>
      <c r="L3202" s="85">
        <v>160.66560000000001</v>
      </c>
      <c r="M3202" s="85" t="s">
        <v>630</v>
      </c>
      <c r="N3202" s="128">
        <v>384</v>
      </c>
      <c r="O3202" s="128">
        <f t="shared" si="127"/>
        <v>0</v>
      </c>
      <c r="P3202" s="125" t="s">
        <v>4509</v>
      </c>
      <c r="Q3202" s="85" t="s">
        <v>47</v>
      </c>
      <c r="R3202" s="220" t="s">
        <v>1888</v>
      </c>
      <c r="S3202" s="220" t="s">
        <v>1861</v>
      </c>
      <c r="T3202" s="85" t="s">
        <v>4286</v>
      </c>
    </row>
    <row r="3203" spans="1:20" ht="15.75" thickBot="1" x14ac:dyDescent="0.3">
      <c r="A3203" t="s">
        <v>1929</v>
      </c>
      <c r="B3203" t="s">
        <v>1929</v>
      </c>
      <c r="C3203" s="82" t="s">
        <v>1929</v>
      </c>
      <c r="D3203" s="83" t="s">
        <v>629</v>
      </c>
      <c r="E3203" s="262" t="s">
        <v>1970</v>
      </c>
      <c r="F3203" s="124" t="s">
        <v>620</v>
      </c>
      <c r="G3203" s="130"/>
      <c r="H3203" s="125" t="s">
        <v>733</v>
      </c>
      <c r="I3203" s="340" t="str">
        <f t="shared" si="128"/>
        <v>Pesado de Passageiros M3: I : Gasóleo : E6</v>
      </c>
      <c r="J3203" s="125"/>
      <c r="K3203" s="264">
        <v>2022</v>
      </c>
      <c r="L3203" s="85">
        <v>267.17450000000002</v>
      </c>
      <c r="M3203" s="85" t="s">
        <v>630</v>
      </c>
      <c r="N3203" s="128">
        <v>655</v>
      </c>
      <c r="O3203" s="128">
        <f t="shared" si="127"/>
        <v>0</v>
      </c>
      <c r="P3203" s="125" t="s">
        <v>4510</v>
      </c>
      <c r="Q3203" s="85" t="s">
        <v>47</v>
      </c>
      <c r="R3203" s="220" t="s">
        <v>1888</v>
      </c>
      <c r="S3203" s="220" t="s">
        <v>1861</v>
      </c>
      <c r="T3203" s="85" t="s">
        <v>4287</v>
      </c>
    </row>
    <row r="3204" spans="1:20" ht="15.75" thickBot="1" x14ac:dyDescent="0.3">
      <c r="A3204" t="s">
        <v>1929</v>
      </c>
      <c r="B3204" t="s">
        <v>1929</v>
      </c>
      <c r="C3204" s="82" t="s">
        <v>1929</v>
      </c>
      <c r="D3204" s="83" t="s">
        <v>629</v>
      </c>
      <c r="E3204" s="262" t="s">
        <v>1970</v>
      </c>
      <c r="F3204" s="124" t="s">
        <v>620</v>
      </c>
      <c r="G3204" s="130">
        <v>2021</v>
      </c>
      <c r="H3204" s="125" t="s">
        <v>733</v>
      </c>
      <c r="I3204" s="340" t="str">
        <f t="shared" si="128"/>
        <v>Pesado de Passageiros M3: I : Gasóleo : E6</v>
      </c>
      <c r="J3204" s="125">
        <v>109</v>
      </c>
      <c r="K3204" s="264">
        <v>2022</v>
      </c>
      <c r="L3204" s="129">
        <v>13572.902400000003</v>
      </c>
      <c r="M3204" s="85" t="s">
        <v>630</v>
      </c>
      <c r="N3204" s="128">
        <v>38212</v>
      </c>
      <c r="O3204" s="128">
        <f t="shared" si="127"/>
        <v>4165108</v>
      </c>
      <c r="P3204" s="125">
        <v>2506</v>
      </c>
      <c r="Q3204" s="85" t="s">
        <v>47</v>
      </c>
      <c r="R3204" s="220" t="s">
        <v>1888</v>
      </c>
      <c r="S3204" s="220" t="s">
        <v>1861</v>
      </c>
      <c r="T3204" s="85" t="s">
        <v>4288</v>
      </c>
    </row>
    <row r="3205" spans="1:20" ht="15.75" thickBot="1" x14ac:dyDescent="0.3">
      <c r="A3205" t="s">
        <v>1929</v>
      </c>
      <c r="B3205" t="s">
        <v>1929</v>
      </c>
      <c r="C3205" s="82" t="s">
        <v>1929</v>
      </c>
      <c r="D3205" s="83" t="s">
        <v>629</v>
      </c>
      <c r="E3205" s="262" t="s">
        <v>1970</v>
      </c>
      <c r="F3205" s="124" t="s">
        <v>620</v>
      </c>
      <c r="G3205" s="130"/>
      <c r="H3205" s="125" t="s">
        <v>733</v>
      </c>
      <c r="I3205" s="340" t="str">
        <f t="shared" si="128"/>
        <v>Pesado de Passageiros M3: I : Gasóleo : E6</v>
      </c>
      <c r="J3205" s="125"/>
      <c r="K3205" s="264">
        <v>2022</v>
      </c>
      <c r="L3205" s="85">
        <v>102.06</v>
      </c>
      <c r="M3205" s="85" t="s">
        <v>630</v>
      </c>
      <c r="N3205" s="128">
        <v>243</v>
      </c>
      <c r="O3205" s="128">
        <f t="shared" si="127"/>
        <v>0</v>
      </c>
      <c r="P3205" s="125" t="s">
        <v>4511</v>
      </c>
      <c r="Q3205" s="85" t="s">
        <v>47</v>
      </c>
      <c r="R3205" s="220" t="s">
        <v>1888</v>
      </c>
      <c r="S3205" s="220" t="s">
        <v>1861</v>
      </c>
      <c r="T3205" s="85" t="s">
        <v>4289</v>
      </c>
    </row>
    <row r="3206" spans="1:20" ht="15.75" thickBot="1" x14ac:dyDescent="0.3">
      <c r="A3206" t="s">
        <v>1929</v>
      </c>
      <c r="B3206" t="s">
        <v>1929</v>
      </c>
      <c r="C3206" s="82" t="s">
        <v>1929</v>
      </c>
      <c r="D3206" s="83" t="s">
        <v>629</v>
      </c>
      <c r="E3206" s="262" t="s">
        <v>1970</v>
      </c>
      <c r="F3206" s="124" t="s">
        <v>620</v>
      </c>
      <c r="G3206" s="130">
        <v>2021</v>
      </c>
      <c r="H3206" s="125" t="s">
        <v>733</v>
      </c>
      <c r="I3206" s="340" t="str">
        <f t="shared" si="128"/>
        <v>Pesado de Passageiros M3: I : Gasóleo : E6</v>
      </c>
      <c r="J3206" s="125">
        <v>109</v>
      </c>
      <c r="K3206" s="264">
        <v>2022</v>
      </c>
      <c r="L3206" s="129">
        <v>18314.804899999999</v>
      </c>
      <c r="M3206" s="85" t="s">
        <v>630</v>
      </c>
      <c r="N3206" s="128">
        <v>46949</v>
      </c>
      <c r="O3206" s="128">
        <f t="shared" si="127"/>
        <v>5117441</v>
      </c>
      <c r="P3206" s="125">
        <v>2511</v>
      </c>
      <c r="Q3206" s="85" t="s">
        <v>47</v>
      </c>
      <c r="R3206" s="220" t="s">
        <v>1888</v>
      </c>
      <c r="S3206" s="220" t="s">
        <v>1861</v>
      </c>
      <c r="T3206" s="85" t="s">
        <v>4290</v>
      </c>
    </row>
    <row r="3207" spans="1:20" ht="15.75" thickBot="1" x14ac:dyDescent="0.3">
      <c r="A3207" t="s">
        <v>1929</v>
      </c>
      <c r="B3207" t="s">
        <v>1929</v>
      </c>
      <c r="C3207" s="82" t="s">
        <v>1929</v>
      </c>
      <c r="D3207" s="83" t="s">
        <v>629</v>
      </c>
      <c r="E3207" s="262" t="s">
        <v>1970</v>
      </c>
      <c r="F3207" s="124" t="s">
        <v>620</v>
      </c>
      <c r="G3207" s="130">
        <v>2021</v>
      </c>
      <c r="H3207" s="125" t="s">
        <v>733</v>
      </c>
      <c r="I3207" s="340" t="str">
        <f t="shared" si="128"/>
        <v>Pesado de Passageiros M3: I : Gasóleo : E6</v>
      </c>
      <c r="J3207" s="125">
        <v>109</v>
      </c>
      <c r="K3207" s="264">
        <v>2022</v>
      </c>
      <c r="L3207" s="129">
        <v>16111.464599999999</v>
      </c>
      <c r="M3207" s="85" t="s">
        <v>630</v>
      </c>
      <c r="N3207" s="128">
        <v>42702</v>
      </c>
      <c r="O3207" s="128">
        <f t="shared" si="127"/>
        <v>4654518</v>
      </c>
      <c r="P3207" s="125">
        <v>2503</v>
      </c>
      <c r="Q3207" s="85" t="s">
        <v>47</v>
      </c>
      <c r="R3207" s="220" t="s">
        <v>1888</v>
      </c>
      <c r="S3207" s="220" t="s">
        <v>1861</v>
      </c>
      <c r="T3207" s="85" t="s">
        <v>4291</v>
      </c>
    </row>
    <row r="3208" spans="1:20" ht="15.75" thickBot="1" x14ac:dyDescent="0.3">
      <c r="A3208" t="s">
        <v>1929</v>
      </c>
      <c r="B3208" t="s">
        <v>1929</v>
      </c>
      <c r="C3208" s="82" t="s">
        <v>1929</v>
      </c>
      <c r="D3208" s="83" t="s">
        <v>629</v>
      </c>
      <c r="E3208" s="262" t="s">
        <v>1970</v>
      </c>
      <c r="F3208" s="124" t="s">
        <v>620</v>
      </c>
      <c r="G3208" s="125">
        <v>2021</v>
      </c>
      <c r="H3208" s="125" t="s">
        <v>733</v>
      </c>
      <c r="I3208" s="340" t="str">
        <f t="shared" si="128"/>
        <v>Pesado de Passageiros M3: I : Gasóleo : E6</v>
      </c>
      <c r="J3208" s="125">
        <v>109</v>
      </c>
      <c r="K3208" s="264">
        <v>2022</v>
      </c>
      <c r="L3208" s="129">
        <v>18754.372500000001</v>
      </c>
      <c r="M3208" s="85" t="s">
        <v>630</v>
      </c>
      <c r="N3208" s="128">
        <v>46023</v>
      </c>
      <c r="O3208" s="128">
        <f t="shared" si="127"/>
        <v>5016507</v>
      </c>
      <c r="P3208" s="420">
        <v>2306</v>
      </c>
      <c r="Q3208" s="85" t="s">
        <v>47</v>
      </c>
      <c r="R3208" s="220" t="s">
        <v>1888</v>
      </c>
      <c r="S3208" s="220" t="s">
        <v>1861</v>
      </c>
      <c r="T3208" s="85" t="s">
        <v>4292</v>
      </c>
    </row>
    <row r="3209" spans="1:20" ht="15.75" thickBot="1" x14ac:dyDescent="0.3">
      <c r="A3209" t="s">
        <v>1929</v>
      </c>
      <c r="B3209" t="s">
        <v>1929</v>
      </c>
      <c r="C3209" s="82" t="s">
        <v>1929</v>
      </c>
      <c r="D3209" s="83" t="s">
        <v>629</v>
      </c>
      <c r="E3209" s="262" t="s">
        <v>1970</v>
      </c>
      <c r="F3209" s="124" t="s">
        <v>620</v>
      </c>
      <c r="G3209" s="130">
        <v>2021</v>
      </c>
      <c r="H3209" s="125" t="s">
        <v>733</v>
      </c>
      <c r="I3209" s="340" t="str">
        <f t="shared" si="128"/>
        <v>Pesado de Passageiros M3: I : Gasóleo : E6</v>
      </c>
      <c r="J3209" s="125">
        <v>109</v>
      </c>
      <c r="K3209" s="264">
        <v>2022</v>
      </c>
      <c r="L3209" s="129">
        <v>7307.5415000000003</v>
      </c>
      <c r="M3209" s="85" t="s">
        <v>630</v>
      </c>
      <c r="N3209" s="128">
        <v>16135</v>
      </c>
      <c r="O3209" s="128">
        <f t="shared" si="127"/>
        <v>1758715</v>
      </c>
      <c r="P3209" s="125">
        <v>2502</v>
      </c>
      <c r="Q3209" s="85" t="s">
        <v>47</v>
      </c>
      <c r="R3209" s="220" t="s">
        <v>1888</v>
      </c>
      <c r="S3209" s="220" t="s">
        <v>1861</v>
      </c>
      <c r="T3209" s="85" t="s">
        <v>4293</v>
      </c>
    </row>
    <row r="3210" spans="1:20" ht="15.75" thickBot="1" x14ac:dyDescent="0.3">
      <c r="A3210" t="s">
        <v>1929</v>
      </c>
      <c r="B3210" t="s">
        <v>1929</v>
      </c>
      <c r="C3210" s="82" t="s">
        <v>1929</v>
      </c>
      <c r="D3210" s="83" t="s">
        <v>629</v>
      </c>
      <c r="E3210" s="262" t="s">
        <v>1970</v>
      </c>
      <c r="F3210" s="124" t="s">
        <v>620</v>
      </c>
      <c r="G3210" s="130"/>
      <c r="H3210" s="125" t="s">
        <v>733</v>
      </c>
      <c r="I3210" s="340" t="str">
        <f t="shared" si="128"/>
        <v>Pesado de Passageiros M3: I : Gasóleo : E6</v>
      </c>
      <c r="J3210" s="125"/>
      <c r="K3210" s="264">
        <v>2022</v>
      </c>
      <c r="L3210" s="85">
        <v>107.52</v>
      </c>
      <c r="M3210" s="85" t="s">
        <v>630</v>
      </c>
      <c r="N3210" s="128">
        <v>256</v>
      </c>
      <c r="O3210" s="128">
        <f t="shared" si="127"/>
        <v>0</v>
      </c>
      <c r="P3210" s="125" t="s">
        <v>4512</v>
      </c>
      <c r="Q3210" s="85" t="s">
        <v>47</v>
      </c>
      <c r="R3210" s="220" t="s">
        <v>1888</v>
      </c>
      <c r="S3210" s="220" t="s">
        <v>1861</v>
      </c>
      <c r="T3210" s="85" t="s">
        <v>3426</v>
      </c>
    </row>
    <row r="3211" spans="1:20" ht="15.75" thickBot="1" x14ac:dyDescent="0.3">
      <c r="A3211" t="s">
        <v>1929</v>
      </c>
      <c r="B3211" t="s">
        <v>1929</v>
      </c>
      <c r="C3211" s="82" t="s">
        <v>1929</v>
      </c>
      <c r="D3211" s="83" t="s">
        <v>629</v>
      </c>
      <c r="E3211" s="262" t="s">
        <v>1970</v>
      </c>
      <c r="F3211" s="124" t="s">
        <v>620</v>
      </c>
      <c r="G3211" s="130"/>
      <c r="H3211" s="125" t="s">
        <v>733</v>
      </c>
      <c r="I3211" s="340" t="str">
        <f t="shared" si="128"/>
        <v>Pesado de Passageiros M3: I : Gasóleo : E6</v>
      </c>
      <c r="J3211" s="125"/>
      <c r="K3211" s="264">
        <v>2022</v>
      </c>
      <c r="L3211" s="253">
        <v>2696.9712</v>
      </c>
      <c r="M3211" s="85" t="s">
        <v>630</v>
      </c>
      <c r="N3211" s="128">
        <v>5350</v>
      </c>
      <c r="O3211" s="128">
        <f t="shared" si="127"/>
        <v>0</v>
      </c>
      <c r="P3211" s="125" t="s">
        <v>4513</v>
      </c>
      <c r="Q3211" s="85" t="s">
        <v>47</v>
      </c>
      <c r="R3211" s="220" t="s">
        <v>1888</v>
      </c>
      <c r="S3211" s="220" t="s">
        <v>1861</v>
      </c>
      <c r="T3211" s="85" t="s">
        <v>4294</v>
      </c>
    </row>
    <row r="3212" spans="1:20" ht="15.75" thickBot="1" x14ac:dyDescent="0.3">
      <c r="A3212" t="s">
        <v>1929</v>
      </c>
      <c r="B3212" t="s">
        <v>1929</v>
      </c>
      <c r="C3212" s="82" t="s">
        <v>1929</v>
      </c>
      <c r="D3212" s="83" t="s">
        <v>629</v>
      </c>
      <c r="E3212" s="262" t="s">
        <v>1970</v>
      </c>
      <c r="F3212" s="124" t="s">
        <v>620</v>
      </c>
      <c r="G3212" s="130">
        <v>2022</v>
      </c>
      <c r="H3212" s="125" t="s">
        <v>733</v>
      </c>
      <c r="I3212" s="340" t="str">
        <f t="shared" si="128"/>
        <v>Pesado de Passageiros M3: I : Gasóleo : E6</v>
      </c>
      <c r="J3212" s="125">
        <v>109</v>
      </c>
      <c r="K3212" s="264">
        <v>2022</v>
      </c>
      <c r="L3212" s="129">
        <v>11366.308800000001</v>
      </c>
      <c r="M3212" s="85" t="s">
        <v>630</v>
      </c>
      <c r="N3212" s="128">
        <v>25326</v>
      </c>
      <c r="O3212" s="128">
        <f t="shared" si="127"/>
        <v>2760534</v>
      </c>
      <c r="P3212" s="125">
        <v>2527</v>
      </c>
      <c r="Q3212" s="85" t="s">
        <v>47</v>
      </c>
      <c r="R3212" s="220" t="s">
        <v>1888</v>
      </c>
      <c r="S3212" s="220" t="s">
        <v>1861</v>
      </c>
      <c r="T3212" s="85" t="s">
        <v>4294</v>
      </c>
    </row>
    <row r="3213" spans="1:20" ht="15.75" thickBot="1" x14ac:dyDescent="0.3">
      <c r="A3213" t="s">
        <v>1929</v>
      </c>
      <c r="B3213" t="s">
        <v>1929</v>
      </c>
      <c r="C3213" s="82" t="s">
        <v>1929</v>
      </c>
      <c r="D3213" s="83" t="s">
        <v>629</v>
      </c>
      <c r="E3213" s="262" t="s">
        <v>1970</v>
      </c>
      <c r="F3213" s="124" t="s">
        <v>620</v>
      </c>
      <c r="G3213" s="130"/>
      <c r="H3213" s="125" t="s">
        <v>733</v>
      </c>
      <c r="I3213" s="340" t="str">
        <f t="shared" si="128"/>
        <v>Pesado de Passageiros M3: I : Gasóleo : E6</v>
      </c>
      <c r="J3213" s="125"/>
      <c r="K3213" s="264">
        <v>2022</v>
      </c>
      <c r="L3213" s="253">
        <v>2521.3543000000009</v>
      </c>
      <c r="M3213" s="85" t="s">
        <v>630</v>
      </c>
      <c r="N3213" s="128">
        <v>5149</v>
      </c>
      <c r="O3213" s="128">
        <f t="shared" si="127"/>
        <v>0</v>
      </c>
      <c r="P3213" s="125" t="s">
        <v>4514</v>
      </c>
      <c r="Q3213" s="85" t="s">
        <v>47</v>
      </c>
      <c r="R3213" s="220" t="s">
        <v>1888</v>
      </c>
      <c r="S3213" s="220" t="s">
        <v>1861</v>
      </c>
      <c r="T3213" s="85" t="s">
        <v>4295</v>
      </c>
    </row>
    <row r="3214" spans="1:20" ht="15.75" thickBot="1" x14ac:dyDescent="0.3">
      <c r="A3214" t="s">
        <v>1929</v>
      </c>
      <c r="B3214" t="s">
        <v>1929</v>
      </c>
      <c r="C3214" s="82" t="s">
        <v>1929</v>
      </c>
      <c r="D3214" s="83" t="s">
        <v>629</v>
      </c>
      <c r="E3214" s="262" t="s">
        <v>1970</v>
      </c>
      <c r="F3214" s="124" t="s">
        <v>620</v>
      </c>
      <c r="G3214" s="130">
        <v>2022</v>
      </c>
      <c r="H3214" s="125" t="s">
        <v>733</v>
      </c>
      <c r="I3214" s="340" t="str">
        <f t="shared" si="128"/>
        <v>Pesado de Passageiros M3: I : Gasóleo : E6</v>
      </c>
      <c r="J3214" s="125">
        <v>109</v>
      </c>
      <c r="K3214" s="264">
        <v>2022</v>
      </c>
      <c r="L3214" s="129">
        <v>13557.215699999999</v>
      </c>
      <c r="M3214" s="85" t="s">
        <v>630</v>
      </c>
      <c r="N3214" s="128">
        <v>30309</v>
      </c>
      <c r="O3214" s="128">
        <f t="shared" si="127"/>
        <v>3303681</v>
      </c>
      <c r="P3214" s="125">
        <v>2528</v>
      </c>
      <c r="Q3214" s="85" t="s">
        <v>47</v>
      </c>
      <c r="R3214" s="220" t="s">
        <v>1888</v>
      </c>
      <c r="S3214" s="220" t="s">
        <v>1861</v>
      </c>
      <c r="T3214" s="85" t="s">
        <v>4295</v>
      </c>
    </row>
    <row r="3215" spans="1:20" ht="15.75" thickBot="1" x14ac:dyDescent="0.3">
      <c r="A3215" t="s">
        <v>1929</v>
      </c>
      <c r="B3215" t="s">
        <v>1929</v>
      </c>
      <c r="C3215" s="82" t="s">
        <v>1929</v>
      </c>
      <c r="D3215" s="83" t="s">
        <v>629</v>
      </c>
      <c r="E3215" s="262" t="s">
        <v>1970</v>
      </c>
      <c r="F3215" s="124" t="s">
        <v>620</v>
      </c>
      <c r="G3215" s="125">
        <v>2022</v>
      </c>
      <c r="H3215" s="125" t="s">
        <v>733</v>
      </c>
      <c r="I3215" s="340" t="str">
        <f t="shared" si="128"/>
        <v>Pesado de Passageiros M3: I : Gasóleo : E6</v>
      </c>
      <c r="J3215" s="125">
        <v>109</v>
      </c>
      <c r="K3215" s="264">
        <v>2022</v>
      </c>
      <c r="L3215" s="129">
        <v>18566.570399999997</v>
      </c>
      <c r="M3215" s="85" t="s">
        <v>630</v>
      </c>
      <c r="N3215" s="128">
        <v>51204</v>
      </c>
      <c r="O3215" s="128">
        <f t="shared" si="127"/>
        <v>5581236</v>
      </c>
      <c r="P3215" s="420">
        <v>2316</v>
      </c>
      <c r="Q3215" s="85" t="s">
        <v>47</v>
      </c>
      <c r="R3215" s="220" t="s">
        <v>1888</v>
      </c>
      <c r="S3215" s="220" t="s">
        <v>1861</v>
      </c>
      <c r="T3215" s="85" t="s">
        <v>4296</v>
      </c>
    </row>
    <row r="3216" spans="1:20" ht="15.75" thickBot="1" x14ac:dyDescent="0.3">
      <c r="A3216" t="s">
        <v>1929</v>
      </c>
      <c r="B3216" t="s">
        <v>1929</v>
      </c>
      <c r="C3216" s="82" t="s">
        <v>1929</v>
      </c>
      <c r="D3216" s="83" t="s">
        <v>629</v>
      </c>
      <c r="E3216" s="262" t="s">
        <v>1970</v>
      </c>
      <c r="F3216" s="124" t="s">
        <v>620</v>
      </c>
      <c r="G3216" s="125">
        <v>2022</v>
      </c>
      <c r="H3216" s="125" t="s">
        <v>733</v>
      </c>
      <c r="I3216" s="340" t="str">
        <f t="shared" si="128"/>
        <v>Pesado de Passageiros M3: I : Gasóleo : E6</v>
      </c>
      <c r="J3216" s="125">
        <v>109</v>
      </c>
      <c r="K3216" s="264">
        <v>2022</v>
      </c>
      <c r="L3216" s="129">
        <v>19295.9856</v>
      </c>
      <c r="M3216" s="85" t="s">
        <v>630</v>
      </c>
      <c r="N3216" s="128">
        <v>50566</v>
      </c>
      <c r="O3216" s="128">
        <f t="shared" si="127"/>
        <v>5511694</v>
      </c>
      <c r="P3216" s="420">
        <v>2315</v>
      </c>
      <c r="Q3216" s="85" t="s">
        <v>47</v>
      </c>
      <c r="R3216" s="220" t="s">
        <v>1888</v>
      </c>
      <c r="S3216" s="220" t="s">
        <v>1861</v>
      </c>
      <c r="T3216" s="85" t="s">
        <v>4297</v>
      </c>
    </row>
    <row r="3217" spans="1:20" ht="15.75" thickBot="1" x14ac:dyDescent="0.3">
      <c r="A3217" t="s">
        <v>1929</v>
      </c>
      <c r="B3217" t="s">
        <v>1929</v>
      </c>
      <c r="C3217" s="82" t="s">
        <v>1929</v>
      </c>
      <c r="D3217" s="83" t="s">
        <v>629</v>
      </c>
      <c r="E3217" s="262" t="s">
        <v>1970</v>
      </c>
      <c r="F3217" s="124" t="s">
        <v>620</v>
      </c>
      <c r="G3217" s="130"/>
      <c r="H3217" s="125" t="s">
        <v>733</v>
      </c>
      <c r="I3217" s="340" t="str">
        <f t="shared" si="128"/>
        <v>Pesado de Passageiros M3: I : Gasóleo : E6</v>
      </c>
      <c r="J3217" s="125"/>
      <c r="K3217" s="264">
        <v>2022</v>
      </c>
      <c r="L3217" s="299">
        <v>2688.2893999999997</v>
      </c>
      <c r="M3217" s="85" t="s">
        <v>630</v>
      </c>
      <c r="N3217" s="128">
        <v>5776</v>
      </c>
      <c r="O3217" s="128">
        <f t="shared" si="127"/>
        <v>0</v>
      </c>
      <c r="P3217" s="125" t="s">
        <v>4515</v>
      </c>
      <c r="Q3217" s="85" t="s">
        <v>47</v>
      </c>
      <c r="R3217" s="220" t="s">
        <v>1888</v>
      </c>
      <c r="S3217" s="220" t="s">
        <v>1861</v>
      </c>
      <c r="T3217" s="85" t="s">
        <v>4298</v>
      </c>
    </row>
    <row r="3218" spans="1:20" ht="15.75" thickBot="1" x14ac:dyDescent="0.3">
      <c r="A3218" t="s">
        <v>1929</v>
      </c>
      <c r="B3218" t="s">
        <v>1929</v>
      </c>
      <c r="C3218" s="82" t="s">
        <v>1929</v>
      </c>
      <c r="D3218" s="83" t="s">
        <v>629</v>
      </c>
      <c r="E3218" s="262" t="s">
        <v>1970</v>
      </c>
      <c r="F3218" s="124" t="s">
        <v>620</v>
      </c>
      <c r="G3218" s="130">
        <v>2022</v>
      </c>
      <c r="H3218" s="125" t="s">
        <v>733</v>
      </c>
      <c r="I3218" s="340" t="str">
        <f t="shared" si="128"/>
        <v>Pesado de Passageiros M3: I : Gasóleo : E6</v>
      </c>
      <c r="J3218" s="125">
        <v>109</v>
      </c>
      <c r="K3218" s="264">
        <v>2022</v>
      </c>
      <c r="L3218" s="129">
        <v>12471.240600000001</v>
      </c>
      <c r="M3218" s="85" t="s">
        <v>630</v>
      </c>
      <c r="N3218" s="128">
        <v>28782</v>
      </c>
      <c r="O3218" s="128">
        <f t="shared" si="127"/>
        <v>3137238</v>
      </c>
      <c r="P3218" s="125">
        <v>2529</v>
      </c>
      <c r="Q3218" s="85" t="s">
        <v>47</v>
      </c>
      <c r="R3218" s="220" t="s">
        <v>1888</v>
      </c>
      <c r="S3218" s="220" t="s">
        <v>1861</v>
      </c>
      <c r="T3218" s="85" t="s">
        <v>4298</v>
      </c>
    </row>
    <row r="3219" spans="1:20" ht="15.75" thickBot="1" x14ac:dyDescent="0.3">
      <c r="A3219" t="s">
        <v>1929</v>
      </c>
      <c r="B3219" t="s">
        <v>1929</v>
      </c>
      <c r="C3219" s="82" t="s">
        <v>1929</v>
      </c>
      <c r="D3219" s="83" t="s">
        <v>629</v>
      </c>
      <c r="E3219" s="262" t="s">
        <v>1970</v>
      </c>
      <c r="F3219" s="124" t="s">
        <v>620</v>
      </c>
      <c r="G3219" s="125">
        <v>2022</v>
      </c>
      <c r="H3219" s="125" t="s">
        <v>733</v>
      </c>
      <c r="I3219" s="340" t="str">
        <f t="shared" si="128"/>
        <v>Pesado de Passageiros M3: I : Gasóleo : E6</v>
      </c>
      <c r="J3219" s="125">
        <v>109</v>
      </c>
      <c r="K3219" s="264">
        <v>2022</v>
      </c>
      <c r="L3219" s="129">
        <v>15775.504800000002</v>
      </c>
      <c r="M3219" s="85" t="s">
        <v>630</v>
      </c>
      <c r="N3219" s="128">
        <v>41646</v>
      </c>
      <c r="O3219" s="128">
        <f t="shared" si="127"/>
        <v>4539414</v>
      </c>
      <c r="P3219" s="420">
        <v>2314</v>
      </c>
      <c r="Q3219" s="85" t="s">
        <v>47</v>
      </c>
      <c r="R3219" s="220" t="s">
        <v>1888</v>
      </c>
      <c r="S3219" s="220" t="s">
        <v>1861</v>
      </c>
      <c r="T3219" s="85" t="s">
        <v>4299</v>
      </c>
    </row>
    <row r="3220" spans="1:20" ht="15.75" thickBot="1" x14ac:dyDescent="0.3">
      <c r="A3220" t="s">
        <v>1929</v>
      </c>
      <c r="B3220" t="s">
        <v>1929</v>
      </c>
      <c r="C3220" s="82" t="s">
        <v>1929</v>
      </c>
      <c r="D3220" s="83" t="s">
        <v>629</v>
      </c>
      <c r="E3220" s="262" t="s">
        <v>1970</v>
      </c>
      <c r="F3220" s="124" t="s">
        <v>620</v>
      </c>
      <c r="G3220" s="125">
        <v>2022</v>
      </c>
      <c r="H3220" s="125" t="s">
        <v>733</v>
      </c>
      <c r="I3220" s="340" t="str">
        <f t="shared" si="128"/>
        <v>Pesado de Passageiros M3: I : Gasóleo : E6</v>
      </c>
      <c r="J3220" s="125">
        <v>109</v>
      </c>
      <c r="K3220" s="264">
        <v>2022</v>
      </c>
      <c r="L3220" s="129">
        <v>18736.117399999999</v>
      </c>
      <c r="M3220" s="85" t="s">
        <v>630</v>
      </c>
      <c r="N3220" s="128">
        <v>44759</v>
      </c>
      <c r="O3220" s="128">
        <f t="shared" si="127"/>
        <v>4878731</v>
      </c>
      <c r="P3220" s="420">
        <v>2313</v>
      </c>
      <c r="Q3220" s="85" t="s">
        <v>47</v>
      </c>
      <c r="R3220" s="220" t="s">
        <v>1888</v>
      </c>
      <c r="S3220" s="220" t="s">
        <v>1861</v>
      </c>
      <c r="T3220" s="85" t="s">
        <v>4300</v>
      </c>
    </row>
    <row r="3221" spans="1:20" ht="15.75" thickBot="1" x14ac:dyDescent="0.3">
      <c r="A3221" t="s">
        <v>1929</v>
      </c>
      <c r="B3221" t="s">
        <v>1929</v>
      </c>
      <c r="C3221" s="82" t="s">
        <v>1929</v>
      </c>
      <c r="D3221" s="83" t="s">
        <v>629</v>
      </c>
      <c r="E3221" s="262" t="s">
        <v>1970</v>
      </c>
      <c r="F3221" s="124" t="s">
        <v>620</v>
      </c>
      <c r="G3221" s="130"/>
      <c r="H3221" s="125" t="s">
        <v>733</v>
      </c>
      <c r="I3221" s="340" t="str">
        <f t="shared" si="128"/>
        <v>Pesado de Passageiros M3: I : Gasóleo : E6</v>
      </c>
      <c r="J3221" s="125"/>
      <c r="K3221" s="264">
        <v>2022</v>
      </c>
      <c r="L3221" s="253">
        <v>3001.0135999999984</v>
      </c>
      <c r="M3221" s="85" t="s">
        <v>630</v>
      </c>
      <c r="N3221" s="128">
        <v>5758</v>
      </c>
      <c r="O3221" s="128">
        <f t="shared" si="127"/>
        <v>0</v>
      </c>
      <c r="P3221" s="125" t="s">
        <v>4516</v>
      </c>
      <c r="Q3221" s="85" t="s">
        <v>47</v>
      </c>
      <c r="R3221" s="220" t="s">
        <v>1888</v>
      </c>
      <c r="S3221" s="220" t="s">
        <v>1861</v>
      </c>
      <c r="T3221" s="85" t="s">
        <v>4301</v>
      </c>
    </row>
    <row r="3222" spans="1:20" ht="15.75" thickBot="1" x14ac:dyDescent="0.3">
      <c r="A3222" t="s">
        <v>1929</v>
      </c>
      <c r="B3222" t="s">
        <v>1929</v>
      </c>
      <c r="C3222" s="82" t="s">
        <v>1929</v>
      </c>
      <c r="D3222" s="83" t="s">
        <v>629</v>
      </c>
      <c r="E3222" s="262" t="s">
        <v>1970</v>
      </c>
      <c r="F3222" s="124" t="s">
        <v>620</v>
      </c>
      <c r="G3222" s="130">
        <v>2022</v>
      </c>
      <c r="H3222" s="125" t="s">
        <v>733</v>
      </c>
      <c r="I3222" s="340" t="str">
        <f t="shared" si="128"/>
        <v>Pesado de Passageiros M3: I : Gasóleo : E6</v>
      </c>
      <c r="J3222" s="125">
        <v>109</v>
      </c>
      <c r="K3222" s="264">
        <v>2022</v>
      </c>
      <c r="L3222" s="129">
        <v>13743.896400000001</v>
      </c>
      <c r="M3222" s="85" t="s">
        <v>630</v>
      </c>
      <c r="N3222" s="128">
        <v>33246</v>
      </c>
      <c r="O3222" s="128">
        <f t="shared" si="127"/>
        <v>3623814</v>
      </c>
      <c r="P3222" s="125">
        <v>2530</v>
      </c>
      <c r="Q3222" s="85" t="s">
        <v>47</v>
      </c>
      <c r="R3222" s="220" t="s">
        <v>1888</v>
      </c>
      <c r="S3222" s="220" t="s">
        <v>1861</v>
      </c>
      <c r="T3222" s="85" t="s">
        <v>4301</v>
      </c>
    </row>
    <row r="3223" spans="1:20" ht="15.75" thickBot="1" x14ac:dyDescent="0.3">
      <c r="A3223" t="s">
        <v>1929</v>
      </c>
      <c r="B3223" t="s">
        <v>1929</v>
      </c>
      <c r="C3223" s="82" t="s">
        <v>1929</v>
      </c>
      <c r="D3223" s="83" t="s">
        <v>629</v>
      </c>
      <c r="E3223" s="262" t="s">
        <v>1970</v>
      </c>
      <c r="F3223" s="124" t="s">
        <v>620</v>
      </c>
      <c r="G3223" s="125">
        <v>2022</v>
      </c>
      <c r="H3223" s="125" t="s">
        <v>733</v>
      </c>
      <c r="I3223" s="340" t="str">
        <f t="shared" si="128"/>
        <v>Pesado de Passageiros M3: I : Gasóleo : E6</v>
      </c>
      <c r="J3223" s="125">
        <v>109</v>
      </c>
      <c r="K3223" s="264">
        <v>2022</v>
      </c>
      <c r="L3223" s="129">
        <v>19814.580000000002</v>
      </c>
      <c r="M3223" s="85" t="s">
        <v>630</v>
      </c>
      <c r="N3223" s="128">
        <v>49290</v>
      </c>
      <c r="O3223" s="128">
        <f t="shared" si="127"/>
        <v>5372610</v>
      </c>
      <c r="P3223" s="420">
        <v>2312</v>
      </c>
      <c r="Q3223" s="85" t="s">
        <v>47</v>
      </c>
      <c r="R3223" s="220" t="s">
        <v>1888</v>
      </c>
      <c r="S3223" s="220" t="s">
        <v>1861</v>
      </c>
      <c r="T3223" s="85" t="s">
        <v>4302</v>
      </c>
    </row>
    <row r="3224" spans="1:20" ht="15.75" thickBot="1" x14ac:dyDescent="0.3">
      <c r="A3224" t="s">
        <v>1929</v>
      </c>
      <c r="B3224" t="s">
        <v>1929</v>
      </c>
      <c r="C3224" s="82" t="s">
        <v>1929</v>
      </c>
      <c r="D3224" s="83" t="s">
        <v>629</v>
      </c>
      <c r="E3224" s="262" t="s">
        <v>1970</v>
      </c>
      <c r="F3224" s="124" t="s">
        <v>620</v>
      </c>
      <c r="G3224" s="130"/>
      <c r="H3224" s="125" t="s">
        <v>733</v>
      </c>
      <c r="I3224" s="340" t="str">
        <f t="shared" si="128"/>
        <v>Pesado de Passageiros M3: I : Gasóleo : E6</v>
      </c>
      <c r="J3224" s="125"/>
      <c r="K3224" s="264">
        <v>2022</v>
      </c>
      <c r="L3224" s="253">
        <v>2673.6269000000029</v>
      </c>
      <c r="M3224" s="85" t="s">
        <v>630</v>
      </c>
      <c r="N3224" s="128">
        <v>5147</v>
      </c>
      <c r="O3224" s="128">
        <f t="shared" si="127"/>
        <v>0</v>
      </c>
      <c r="P3224" s="125" t="s">
        <v>4517</v>
      </c>
      <c r="Q3224" s="85" t="s">
        <v>47</v>
      </c>
      <c r="R3224" s="220" t="s">
        <v>1888</v>
      </c>
      <c r="S3224" s="220" t="s">
        <v>1861</v>
      </c>
      <c r="T3224" s="85" t="s">
        <v>4303</v>
      </c>
    </row>
    <row r="3225" spans="1:20" ht="15.75" thickBot="1" x14ac:dyDescent="0.3">
      <c r="A3225" t="s">
        <v>1929</v>
      </c>
      <c r="B3225" t="s">
        <v>1929</v>
      </c>
      <c r="C3225" s="82" t="s">
        <v>1929</v>
      </c>
      <c r="D3225" s="83" t="s">
        <v>629</v>
      </c>
      <c r="E3225" s="262" t="s">
        <v>1970</v>
      </c>
      <c r="F3225" s="124" t="s">
        <v>620</v>
      </c>
      <c r="G3225" s="130">
        <v>2022</v>
      </c>
      <c r="H3225" s="125" t="s">
        <v>733</v>
      </c>
      <c r="I3225" s="340" t="str">
        <f t="shared" si="128"/>
        <v>Pesado de Passageiros M3: I : Gasóleo : E6</v>
      </c>
      <c r="J3225" s="125">
        <v>109</v>
      </c>
      <c r="K3225" s="264">
        <v>2022</v>
      </c>
      <c r="L3225" s="129">
        <v>14441.393099999998</v>
      </c>
      <c r="M3225" s="85" t="s">
        <v>630</v>
      </c>
      <c r="N3225" s="128">
        <v>34197</v>
      </c>
      <c r="O3225" s="128">
        <f t="shared" si="127"/>
        <v>3727473</v>
      </c>
      <c r="P3225" s="125">
        <v>2525</v>
      </c>
      <c r="Q3225" s="85" t="s">
        <v>47</v>
      </c>
      <c r="R3225" s="220" t="s">
        <v>1888</v>
      </c>
      <c r="S3225" s="220" t="s">
        <v>1861</v>
      </c>
      <c r="T3225" s="85" t="s">
        <v>4303</v>
      </c>
    </row>
    <row r="3226" spans="1:20" ht="15.75" thickBot="1" x14ac:dyDescent="0.3">
      <c r="A3226" t="s">
        <v>1929</v>
      </c>
      <c r="B3226" t="s">
        <v>1929</v>
      </c>
      <c r="C3226" s="82" t="s">
        <v>1929</v>
      </c>
      <c r="D3226" s="83" t="s">
        <v>629</v>
      </c>
      <c r="E3226" s="262" t="s">
        <v>1970</v>
      </c>
      <c r="F3226" s="124" t="s">
        <v>620</v>
      </c>
      <c r="G3226" s="125">
        <v>2022</v>
      </c>
      <c r="H3226" s="125" t="s">
        <v>733</v>
      </c>
      <c r="I3226" s="340" t="str">
        <f t="shared" si="128"/>
        <v>Pesado de Passageiros M3: I : Gasóleo : E6</v>
      </c>
      <c r="J3226" s="125">
        <v>109</v>
      </c>
      <c r="K3226" s="264">
        <v>2022</v>
      </c>
      <c r="L3226" s="129">
        <v>20052.485099999998</v>
      </c>
      <c r="M3226" s="85" t="s">
        <v>630</v>
      </c>
      <c r="N3226" s="128">
        <v>47529</v>
      </c>
      <c r="O3226" s="128">
        <f t="shared" si="127"/>
        <v>5180661</v>
      </c>
      <c r="P3226" s="420">
        <v>2311</v>
      </c>
      <c r="Q3226" s="85" t="s">
        <v>47</v>
      </c>
      <c r="R3226" s="220" t="s">
        <v>1888</v>
      </c>
      <c r="S3226" s="220" t="s">
        <v>1861</v>
      </c>
      <c r="T3226" s="85" t="s">
        <v>4304</v>
      </c>
    </row>
    <row r="3227" spans="1:20" ht="15.75" thickBot="1" x14ac:dyDescent="0.3">
      <c r="A3227" t="s">
        <v>1929</v>
      </c>
      <c r="B3227" t="s">
        <v>1929</v>
      </c>
      <c r="C3227" s="82" t="s">
        <v>1929</v>
      </c>
      <c r="D3227" s="83" t="s">
        <v>629</v>
      </c>
      <c r="E3227" s="262" t="s">
        <v>1970</v>
      </c>
      <c r="F3227" s="124" t="s">
        <v>620</v>
      </c>
      <c r="G3227" s="130"/>
      <c r="H3227" s="125" t="s">
        <v>733</v>
      </c>
      <c r="I3227" s="340" t="str">
        <f t="shared" si="128"/>
        <v>Pesado de Passageiros M3: I : Gasóleo : E6</v>
      </c>
      <c r="J3227" s="125"/>
      <c r="K3227" s="264">
        <v>2022</v>
      </c>
      <c r="L3227" s="253">
        <v>2747.6538</v>
      </c>
      <c r="M3227" s="85" t="s">
        <v>630</v>
      </c>
      <c r="N3227" s="128">
        <v>6162</v>
      </c>
      <c r="O3227" s="128">
        <f t="shared" si="127"/>
        <v>0</v>
      </c>
      <c r="P3227" s="125" t="s">
        <v>4518</v>
      </c>
      <c r="Q3227" s="85" t="s">
        <v>47</v>
      </c>
      <c r="R3227" s="220" t="s">
        <v>1888</v>
      </c>
      <c r="S3227" s="220" t="s">
        <v>1861</v>
      </c>
      <c r="T3227" s="85" t="s">
        <v>4305</v>
      </c>
    </row>
    <row r="3228" spans="1:20" ht="15.75" thickBot="1" x14ac:dyDescent="0.3">
      <c r="A3228" t="s">
        <v>1929</v>
      </c>
      <c r="B3228" t="s">
        <v>1929</v>
      </c>
      <c r="C3228" s="82" t="s">
        <v>1929</v>
      </c>
      <c r="D3228" s="83" t="s">
        <v>629</v>
      </c>
      <c r="E3228" s="262" t="s">
        <v>1970</v>
      </c>
      <c r="F3228" s="124" t="s">
        <v>620</v>
      </c>
      <c r="G3228" s="130">
        <v>2022</v>
      </c>
      <c r="H3228" s="125" t="s">
        <v>733</v>
      </c>
      <c r="I3228" s="340" t="str">
        <f t="shared" si="128"/>
        <v>Pesado de Passageiros M3: I : Gasóleo : E6</v>
      </c>
      <c r="J3228" s="125">
        <v>109</v>
      </c>
      <c r="K3228" s="264">
        <v>2022</v>
      </c>
      <c r="L3228" s="129">
        <v>11390.566199999999</v>
      </c>
      <c r="M3228" s="85" t="s">
        <v>630</v>
      </c>
      <c r="N3228" s="128">
        <v>25923</v>
      </c>
      <c r="O3228" s="128">
        <f t="shared" si="127"/>
        <v>2825607</v>
      </c>
      <c r="P3228" s="125">
        <v>2526</v>
      </c>
      <c r="Q3228" s="85" t="s">
        <v>47</v>
      </c>
      <c r="R3228" s="220" t="s">
        <v>1888</v>
      </c>
      <c r="S3228" s="220" t="s">
        <v>1861</v>
      </c>
      <c r="T3228" s="85" t="s">
        <v>4305</v>
      </c>
    </row>
    <row r="3229" spans="1:20" ht="15.75" thickBot="1" x14ac:dyDescent="0.3">
      <c r="A3229" t="s">
        <v>1929</v>
      </c>
      <c r="B3229" t="s">
        <v>1929</v>
      </c>
      <c r="C3229" s="82" t="s">
        <v>1929</v>
      </c>
      <c r="D3229" s="83" t="s">
        <v>629</v>
      </c>
      <c r="E3229" s="262" t="s">
        <v>1970</v>
      </c>
      <c r="F3229" s="124" t="s">
        <v>620</v>
      </c>
      <c r="G3229" s="130"/>
      <c r="H3229" s="125" t="s">
        <v>733</v>
      </c>
      <c r="I3229" s="340" t="str">
        <f t="shared" si="128"/>
        <v>Pesado de Passageiros M3: I : Gasóleo : E6</v>
      </c>
      <c r="J3229" s="125"/>
      <c r="K3229" s="264">
        <v>2022</v>
      </c>
      <c r="L3229" s="85">
        <v>222.42099999999999</v>
      </c>
      <c r="M3229" s="85" t="s">
        <v>630</v>
      </c>
      <c r="N3229" s="128">
        <v>485</v>
      </c>
      <c r="O3229" s="128">
        <f t="shared" si="127"/>
        <v>0</v>
      </c>
      <c r="P3229" s="125" t="s">
        <v>4519</v>
      </c>
      <c r="Q3229" s="85" t="s">
        <v>47</v>
      </c>
      <c r="R3229" s="220" t="s">
        <v>1888</v>
      </c>
      <c r="S3229" s="220" t="s">
        <v>1861</v>
      </c>
      <c r="T3229" s="85" t="s">
        <v>4306</v>
      </c>
    </row>
    <row r="3230" spans="1:20" ht="15.75" thickBot="1" x14ac:dyDescent="0.3">
      <c r="A3230" t="s">
        <v>1929</v>
      </c>
      <c r="B3230" t="s">
        <v>1929</v>
      </c>
      <c r="C3230" s="82" t="s">
        <v>1929</v>
      </c>
      <c r="D3230" s="83" t="s">
        <v>629</v>
      </c>
      <c r="E3230" s="262" t="s">
        <v>1970</v>
      </c>
      <c r="F3230" s="124" t="s">
        <v>620</v>
      </c>
      <c r="G3230" s="130"/>
      <c r="H3230" s="125" t="s">
        <v>733</v>
      </c>
      <c r="I3230" s="340" t="str">
        <f t="shared" si="128"/>
        <v>Pesado de Passageiros M3: I : Gasóleo : E6</v>
      </c>
      <c r="J3230" s="125"/>
      <c r="K3230" s="264">
        <v>2022</v>
      </c>
      <c r="L3230" s="85">
        <v>7.56</v>
      </c>
      <c r="M3230" s="85" t="s">
        <v>630</v>
      </c>
      <c r="N3230" s="128">
        <v>18</v>
      </c>
      <c r="O3230" s="128">
        <f t="shared" si="127"/>
        <v>0</v>
      </c>
      <c r="P3230" s="125" t="s">
        <v>4520</v>
      </c>
      <c r="Q3230" s="85" t="s">
        <v>47</v>
      </c>
      <c r="R3230" s="220" t="s">
        <v>1888</v>
      </c>
      <c r="S3230" s="220" t="s">
        <v>1861</v>
      </c>
      <c r="T3230" s="85" t="s">
        <v>4307</v>
      </c>
    </row>
    <row r="3231" spans="1:20" ht="15.75" thickBot="1" x14ac:dyDescent="0.3">
      <c r="A3231" t="s">
        <v>1929</v>
      </c>
      <c r="B3231" t="s">
        <v>1929</v>
      </c>
      <c r="C3231" s="82" t="s">
        <v>1929</v>
      </c>
      <c r="D3231" s="83" t="s">
        <v>629</v>
      </c>
      <c r="E3231" s="262" t="s">
        <v>1970</v>
      </c>
      <c r="F3231" s="124" t="s">
        <v>620</v>
      </c>
      <c r="G3231" s="130"/>
      <c r="H3231" s="125" t="s">
        <v>733</v>
      </c>
      <c r="I3231" s="340" t="str">
        <f t="shared" si="128"/>
        <v>Pesado de Passageiros M3: I : Gasóleo : E6</v>
      </c>
      <c r="J3231" s="125"/>
      <c r="K3231" s="264">
        <v>2022</v>
      </c>
      <c r="L3231" s="85">
        <v>324.71370000000002</v>
      </c>
      <c r="M3231" s="85" t="s">
        <v>630</v>
      </c>
      <c r="N3231" s="128">
        <v>711</v>
      </c>
      <c r="O3231" s="128">
        <f t="shared" si="127"/>
        <v>0</v>
      </c>
      <c r="P3231" s="125" t="s">
        <v>4521</v>
      </c>
      <c r="Q3231" s="85" t="s">
        <v>47</v>
      </c>
      <c r="R3231" s="220" t="s">
        <v>1888</v>
      </c>
      <c r="S3231" s="220" t="s">
        <v>1861</v>
      </c>
      <c r="T3231" s="85" t="s">
        <v>4308</v>
      </c>
    </row>
    <row r="3232" spans="1:20" ht="15.75" thickBot="1" x14ac:dyDescent="0.3">
      <c r="A3232" t="s">
        <v>1929</v>
      </c>
      <c r="B3232" t="s">
        <v>1929</v>
      </c>
      <c r="C3232" s="82" t="s">
        <v>1929</v>
      </c>
      <c r="D3232" s="83" t="s">
        <v>629</v>
      </c>
      <c r="E3232" s="262" t="s">
        <v>1970</v>
      </c>
      <c r="F3232" s="124" t="s">
        <v>620</v>
      </c>
      <c r="G3232" s="130"/>
      <c r="H3232" s="125" t="s">
        <v>733</v>
      </c>
      <c r="I3232" s="340" t="str">
        <f t="shared" si="128"/>
        <v>Pesado de Passageiros M3: I : Gasóleo : E6</v>
      </c>
      <c r="J3232" s="125"/>
      <c r="K3232" s="264">
        <v>2022</v>
      </c>
      <c r="L3232" s="85">
        <v>88.62</v>
      </c>
      <c r="M3232" s="85" t="s">
        <v>630</v>
      </c>
      <c r="N3232" s="128">
        <v>211</v>
      </c>
      <c r="O3232" s="128">
        <f t="shared" si="127"/>
        <v>0</v>
      </c>
      <c r="P3232" s="125" t="s">
        <v>4522</v>
      </c>
      <c r="Q3232" s="85" t="s">
        <v>47</v>
      </c>
      <c r="R3232" s="220" t="s">
        <v>1888</v>
      </c>
      <c r="S3232" s="220" t="s">
        <v>1861</v>
      </c>
      <c r="T3232" s="85" t="s">
        <v>3428</v>
      </c>
    </row>
    <row r="3233" spans="1:20" ht="15.75" thickBot="1" x14ac:dyDescent="0.3">
      <c r="A3233" t="s">
        <v>1929</v>
      </c>
      <c r="B3233" t="s">
        <v>1929</v>
      </c>
      <c r="C3233" s="82" t="s">
        <v>1929</v>
      </c>
      <c r="D3233" s="83" t="s">
        <v>629</v>
      </c>
      <c r="E3233" s="262" t="s">
        <v>1970</v>
      </c>
      <c r="F3233" s="124" t="s">
        <v>620</v>
      </c>
      <c r="G3233" s="130"/>
      <c r="H3233" s="125" t="s">
        <v>733</v>
      </c>
      <c r="I3233" s="340" t="str">
        <f t="shared" si="128"/>
        <v>Pesado de Passageiros M3: I : Gasóleo : E6</v>
      </c>
      <c r="J3233" s="125"/>
      <c r="K3233" s="264">
        <v>2022</v>
      </c>
      <c r="L3233" s="85">
        <v>117.0395</v>
      </c>
      <c r="M3233" s="85" t="s">
        <v>630</v>
      </c>
      <c r="N3233" s="128">
        <v>745</v>
      </c>
      <c r="O3233" s="128">
        <f t="shared" si="127"/>
        <v>0</v>
      </c>
      <c r="P3233" s="125" t="s">
        <v>4523</v>
      </c>
      <c r="Q3233" s="85" t="s">
        <v>47</v>
      </c>
      <c r="R3233" s="220" t="s">
        <v>1888</v>
      </c>
      <c r="S3233" s="220" t="s">
        <v>1861</v>
      </c>
      <c r="T3233" s="85" t="s">
        <v>3417</v>
      </c>
    </row>
    <row r="3234" spans="1:20" ht="15.75" thickBot="1" x14ac:dyDescent="0.3">
      <c r="A3234" t="s">
        <v>1929</v>
      </c>
      <c r="B3234" t="s">
        <v>1929</v>
      </c>
      <c r="C3234" s="82" t="s">
        <v>1929</v>
      </c>
      <c r="D3234" s="83" t="s">
        <v>629</v>
      </c>
      <c r="E3234" s="262" t="s">
        <v>1970</v>
      </c>
      <c r="F3234" s="124" t="s">
        <v>620</v>
      </c>
      <c r="G3234" s="130"/>
      <c r="H3234" s="125" t="s">
        <v>733</v>
      </c>
      <c r="I3234" s="340" t="str">
        <f t="shared" si="128"/>
        <v>Pesado de Passageiros M3: I : Gasóleo : E6</v>
      </c>
      <c r="J3234" s="125"/>
      <c r="K3234" s="264">
        <v>2022</v>
      </c>
      <c r="L3234" s="85">
        <v>695.13149999999996</v>
      </c>
      <c r="M3234" s="85" t="s">
        <v>630</v>
      </c>
      <c r="N3234" s="128">
        <v>1673</v>
      </c>
      <c r="O3234" s="128">
        <f t="shared" si="127"/>
        <v>0</v>
      </c>
      <c r="P3234" s="125" t="s">
        <v>4524</v>
      </c>
      <c r="Q3234" s="85" t="s">
        <v>47</v>
      </c>
      <c r="R3234" s="220" t="s">
        <v>1888</v>
      </c>
      <c r="S3234" s="220" t="s">
        <v>1861</v>
      </c>
      <c r="T3234" s="85" t="s">
        <v>4309</v>
      </c>
    </row>
    <row r="3235" spans="1:20" ht="15.75" thickBot="1" x14ac:dyDescent="0.3">
      <c r="A3235" t="s">
        <v>1929</v>
      </c>
      <c r="B3235" t="s">
        <v>1929</v>
      </c>
      <c r="C3235" s="82" t="s">
        <v>1929</v>
      </c>
      <c r="D3235" s="83" t="s">
        <v>629</v>
      </c>
      <c r="E3235" s="262" t="s">
        <v>1970</v>
      </c>
      <c r="F3235" s="124" t="s">
        <v>620</v>
      </c>
      <c r="G3235" s="130"/>
      <c r="H3235" s="125" t="s">
        <v>733</v>
      </c>
      <c r="I3235" s="340" t="str">
        <f t="shared" si="128"/>
        <v>Pesado de Passageiros M3: I : Gasóleo : E6</v>
      </c>
      <c r="J3235" s="125"/>
      <c r="K3235" s="264">
        <v>2022</v>
      </c>
      <c r="L3235" s="85">
        <v>907.83</v>
      </c>
      <c r="M3235" s="85" t="s">
        <v>630</v>
      </c>
      <c r="N3235" s="128">
        <v>2310</v>
      </c>
      <c r="O3235" s="128">
        <f t="shared" si="127"/>
        <v>0</v>
      </c>
      <c r="P3235" s="125" t="s">
        <v>4525</v>
      </c>
      <c r="Q3235" s="85" t="s">
        <v>47</v>
      </c>
      <c r="R3235" s="220" t="s">
        <v>1888</v>
      </c>
      <c r="S3235" s="220" t="s">
        <v>1861</v>
      </c>
      <c r="T3235" s="85" t="s">
        <v>4310</v>
      </c>
    </row>
    <row r="3236" spans="1:20" ht="15.75" thickBot="1" x14ac:dyDescent="0.3">
      <c r="A3236" t="s">
        <v>1929</v>
      </c>
      <c r="B3236" t="s">
        <v>1929</v>
      </c>
      <c r="C3236" s="82" t="s">
        <v>1929</v>
      </c>
      <c r="D3236" s="83" t="s">
        <v>629</v>
      </c>
      <c r="E3236" s="262" t="s">
        <v>1970</v>
      </c>
      <c r="F3236" s="124" t="s">
        <v>620</v>
      </c>
      <c r="G3236" s="130"/>
      <c r="H3236" s="125" t="s">
        <v>733</v>
      </c>
      <c r="I3236" s="340" t="str">
        <f t="shared" si="128"/>
        <v>Pesado de Passageiros M3: I : Gasóleo : E6</v>
      </c>
      <c r="J3236" s="125"/>
      <c r="K3236" s="264">
        <v>2022</v>
      </c>
      <c r="L3236" s="85">
        <v>54.232200000000006</v>
      </c>
      <c r="M3236" s="85" t="s">
        <v>630</v>
      </c>
      <c r="N3236" s="128">
        <v>363</v>
      </c>
      <c r="O3236" s="128">
        <f t="shared" si="127"/>
        <v>0</v>
      </c>
      <c r="P3236" s="125" t="s">
        <v>4526</v>
      </c>
      <c r="Q3236" s="85" t="s">
        <v>47</v>
      </c>
      <c r="R3236" s="220" t="s">
        <v>1888</v>
      </c>
      <c r="S3236" s="220" t="s">
        <v>1861</v>
      </c>
      <c r="T3236" s="85" t="s">
        <v>3416</v>
      </c>
    </row>
    <row r="3237" spans="1:20" ht="15.75" thickBot="1" x14ac:dyDescent="0.3">
      <c r="A3237" t="s">
        <v>1929</v>
      </c>
      <c r="B3237" t="s">
        <v>1929</v>
      </c>
      <c r="C3237" s="82" t="s">
        <v>1929</v>
      </c>
      <c r="D3237" s="83" t="s">
        <v>629</v>
      </c>
      <c r="E3237" s="262" t="s">
        <v>1970</v>
      </c>
      <c r="F3237" s="124" t="s">
        <v>620</v>
      </c>
      <c r="G3237" s="130">
        <v>2022</v>
      </c>
      <c r="H3237" s="125" t="s">
        <v>733</v>
      </c>
      <c r="I3237" s="340" t="str">
        <f t="shared" si="128"/>
        <v>Pesado de Passageiros M3: I : Gasóleo : E6</v>
      </c>
      <c r="J3237" s="125">
        <v>89</v>
      </c>
      <c r="K3237" s="264">
        <v>2022</v>
      </c>
      <c r="L3237" s="129">
        <v>7976.2449999999999</v>
      </c>
      <c r="M3237" s="85" t="s">
        <v>630</v>
      </c>
      <c r="N3237" s="128">
        <v>20270</v>
      </c>
      <c r="O3237" s="128">
        <f t="shared" si="127"/>
        <v>1804030</v>
      </c>
      <c r="P3237" s="125">
        <v>2701</v>
      </c>
      <c r="Q3237" s="85" t="s">
        <v>47</v>
      </c>
      <c r="R3237" s="220" t="s">
        <v>1888</v>
      </c>
      <c r="S3237" s="220" t="s">
        <v>1861</v>
      </c>
      <c r="T3237" s="85" t="s">
        <v>4311</v>
      </c>
    </row>
    <row r="3238" spans="1:20" ht="15.75" thickBot="1" x14ac:dyDescent="0.3">
      <c r="A3238" t="s">
        <v>1929</v>
      </c>
      <c r="B3238" t="s">
        <v>1929</v>
      </c>
      <c r="C3238" s="82" t="s">
        <v>1929</v>
      </c>
      <c r="D3238" s="83" t="s">
        <v>629</v>
      </c>
      <c r="E3238" s="262" t="s">
        <v>1970</v>
      </c>
      <c r="F3238" s="124" t="s">
        <v>620</v>
      </c>
      <c r="G3238" s="130"/>
      <c r="H3238" s="125" t="s">
        <v>733</v>
      </c>
      <c r="I3238" s="340" t="str">
        <f t="shared" si="128"/>
        <v>Pesado de Passageiros M3: I : Gasóleo : E6</v>
      </c>
      <c r="J3238" s="125"/>
      <c r="K3238" s="264">
        <v>2022</v>
      </c>
      <c r="L3238" s="85">
        <v>125.58</v>
      </c>
      <c r="M3238" s="85" t="s">
        <v>630</v>
      </c>
      <c r="N3238" s="128">
        <v>299</v>
      </c>
      <c r="O3238" s="128">
        <f t="shared" si="127"/>
        <v>0</v>
      </c>
      <c r="P3238" s="125" t="s">
        <v>4527</v>
      </c>
      <c r="Q3238" s="85" t="s">
        <v>47</v>
      </c>
      <c r="R3238" s="220" t="s">
        <v>1888</v>
      </c>
      <c r="S3238" s="220" t="s">
        <v>1861</v>
      </c>
      <c r="T3238" s="85" t="s">
        <v>4312</v>
      </c>
    </row>
    <row r="3239" spans="1:20" ht="15.75" thickBot="1" x14ac:dyDescent="0.3">
      <c r="A3239" t="s">
        <v>1929</v>
      </c>
      <c r="B3239" t="s">
        <v>1929</v>
      </c>
      <c r="C3239" s="82" t="s">
        <v>1929</v>
      </c>
      <c r="D3239" s="83" t="s">
        <v>629</v>
      </c>
      <c r="E3239" s="262" t="s">
        <v>1970</v>
      </c>
      <c r="F3239" s="124" t="s">
        <v>620</v>
      </c>
      <c r="G3239" s="130"/>
      <c r="H3239" s="125" t="s">
        <v>733</v>
      </c>
      <c r="I3239" s="340" t="str">
        <f t="shared" si="128"/>
        <v>Pesado de Passageiros M3: I : Gasóleo : E6</v>
      </c>
      <c r="J3239" s="125"/>
      <c r="K3239" s="264">
        <v>2022</v>
      </c>
      <c r="L3239" s="85">
        <v>8.4</v>
      </c>
      <c r="M3239" s="85" t="s">
        <v>630</v>
      </c>
      <c r="N3239" s="128">
        <v>20</v>
      </c>
      <c r="O3239" s="128">
        <f t="shared" si="127"/>
        <v>0</v>
      </c>
      <c r="P3239" s="125" t="s">
        <v>1445</v>
      </c>
      <c r="Q3239" s="85" t="s">
        <v>47</v>
      </c>
      <c r="R3239" s="220" t="s">
        <v>1888</v>
      </c>
      <c r="S3239" s="220" t="s">
        <v>1861</v>
      </c>
      <c r="T3239" s="85" t="s">
        <v>4313</v>
      </c>
    </row>
    <row r="3240" spans="1:20" ht="15.75" thickBot="1" x14ac:dyDescent="0.3">
      <c r="A3240" t="s">
        <v>1929</v>
      </c>
      <c r="B3240" t="s">
        <v>1929</v>
      </c>
      <c r="C3240" s="82" t="s">
        <v>1929</v>
      </c>
      <c r="D3240" s="83" t="s">
        <v>629</v>
      </c>
      <c r="E3240" s="262" t="s">
        <v>1970</v>
      </c>
      <c r="F3240" s="124" t="s">
        <v>620</v>
      </c>
      <c r="G3240" s="130"/>
      <c r="H3240" s="125" t="s">
        <v>733</v>
      </c>
      <c r="I3240" s="340" t="str">
        <f t="shared" si="128"/>
        <v>Pesado de Passageiros M3: I : Gasóleo : E6</v>
      </c>
      <c r="J3240" s="125"/>
      <c r="K3240" s="264">
        <v>2022</v>
      </c>
      <c r="L3240" s="85">
        <v>81.06</v>
      </c>
      <c r="M3240" s="85" t="s">
        <v>630</v>
      </c>
      <c r="N3240" s="128">
        <v>193</v>
      </c>
      <c r="O3240" s="128">
        <f t="shared" si="127"/>
        <v>0</v>
      </c>
      <c r="P3240" s="125" t="s">
        <v>1424</v>
      </c>
      <c r="Q3240" s="85" t="s">
        <v>47</v>
      </c>
      <c r="R3240" s="220" t="s">
        <v>1888</v>
      </c>
      <c r="S3240" s="220" t="s">
        <v>1861</v>
      </c>
      <c r="T3240" s="85" t="s">
        <v>4314</v>
      </c>
    </row>
    <row r="3241" spans="1:20" ht="15.75" thickBot="1" x14ac:dyDescent="0.3">
      <c r="A3241" t="s">
        <v>1929</v>
      </c>
      <c r="B3241" t="s">
        <v>1929</v>
      </c>
      <c r="C3241" s="82" t="s">
        <v>1929</v>
      </c>
      <c r="D3241" s="83" t="s">
        <v>629</v>
      </c>
      <c r="E3241" s="262" t="s">
        <v>1970</v>
      </c>
      <c r="F3241" s="124" t="s">
        <v>620</v>
      </c>
      <c r="G3241" s="130"/>
      <c r="H3241" s="125" t="s">
        <v>733</v>
      </c>
      <c r="I3241" s="340" t="str">
        <f t="shared" si="128"/>
        <v>Pesado de Passageiros M3: I : Gasóleo : E6</v>
      </c>
      <c r="J3241" s="125"/>
      <c r="K3241" s="264">
        <v>2022</v>
      </c>
      <c r="L3241" s="85">
        <v>223.02</v>
      </c>
      <c r="M3241" s="85" t="s">
        <v>630</v>
      </c>
      <c r="N3241" s="128">
        <v>531</v>
      </c>
      <c r="O3241" s="128">
        <f t="shared" si="127"/>
        <v>0</v>
      </c>
      <c r="P3241" s="125" t="s">
        <v>4528</v>
      </c>
      <c r="Q3241" s="85" t="s">
        <v>47</v>
      </c>
      <c r="R3241" s="220" t="s">
        <v>1888</v>
      </c>
      <c r="S3241" s="220" t="s">
        <v>1861</v>
      </c>
      <c r="T3241" s="85" t="s">
        <v>4315</v>
      </c>
    </row>
    <row r="3242" spans="1:20" ht="15.75" thickBot="1" x14ac:dyDescent="0.3">
      <c r="A3242" t="s">
        <v>1929</v>
      </c>
      <c r="B3242" t="s">
        <v>1929</v>
      </c>
      <c r="C3242" s="82" t="s">
        <v>1929</v>
      </c>
      <c r="D3242" s="83" t="s">
        <v>629</v>
      </c>
      <c r="E3242" s="262" t="s">
        <v>1970</v>
      </c>
      <c r="F3242" s="124" t="s">
        <v>620</v>
      </c>
      <c r="G3242" s="130"/>
      <c r="H3242" s="125" t="s">
        <v>733</v>
      </c>
      <c r="I3242" s="340" t="str">
        <f t="shared" si="128"/>
        <v>Pesado de Passageiros M3: I : Gasóleo : E6</v>
      </c>
      <c r="J3242" s="125"/>
      <c r="K3242" s="264">
        <v>2022</v>
      </c>
      <c r="L3242" s="85">
        <v>230.79870000000003</v>
      </c>
      <c r="M3242" s="85" t="s">
        <v>630</v>
      </c>
      <c r="N3242" s="128">
        <v>513</v>
      </c>
      <c r="O3242" s="128">
        <f t="shared" si="127"/>
        <v>0</v>
      </c>
      <c r="P3242" s="125" t="s">
        <v>4529</v>
      </c>
      <c r="Q3242" s="85" t="s">
        <v>47</v>
      </c>
      <c r="R3242" s="220" t="s">
        <v>1888</v>
      </c>
      <c r="S3242" s="220" t="s">
        <v>1861</v>
      </c>
      <c r="T3242" s="85" t="s">
        <v>4316</v>
      </c>
    </row>
    <row r="3243" spans="1:20" ht="15.75" thickBot="1" x14ac:dyDescent="0.3">
      <c r="A3243" t="s">
        <v>1929</v>
      </c>
      <c r="B3243" t="s">
        <v>1929</v>
      </c>
      <c r="C3243" s="82" t="s">
        <v>1929</v>
      </c>
      <c r="D3243" s="83" t="s">
        <v>629</v>
      </c>
      <c r="E3243" s="262" t="s">
        <v>1970</v>
      </c>
      <c r="F3243" s="124" t="s">
        <v>620</v>
      </c>
      <c r="G3243" s="130"/>
      <c r="H3243" s="125" t="s">
        <v>733</v>
      </c>
      <c r="I3243" s="340" t="str">
        <f t="shared" si="128"/>
        <v>Pesado de Passageiros M3: I : Gasóleo : E6</v>
      </c>
      <c r="J3243" s="125"/>
      <c r="K3243" s="264">
        <v>2022</v>
      </c>
      <c r="L3243" s="85">
        <v>89.7864</v>
      </c>
      <c r="M3243" s="85" t="s">
        <v>630</v>
      </c>
      <c r="N3243" s="128">
        <v>537</v>
      </c>
      <c r="O3243" s="128">
        <f t="shared" si="127"/>
        <v>0</v>
      </c>
      <c r="P3243" s="125" t="s">
        <v>4530</v>
      </c>
      <c r="Q3243" s="85" t="s">
        <v>47</v>
      </c>
      <c r="R3243" s="220" t="s">
        <v>1888</v>
      </c>
      <c r="S3243" s="220" t="s">
        <v>1861</v>
      </c>
      <c r="T3243" s="85" t="s">
        <v>4317</v>
      </c>
    </row>
    <row r="3244" spans="1:20" ht="15.75" thickBot="1" x14ac:dyDescent="0.3">
      <c r="A3244" t="s">
        <v>1929</v>
      </c>
      <c r="B3244" t="s">
        <v>1929</v>
      </c>
      <c r="C3244" s="82" t="s">
        <v>1929</v>
      </c>
      <c r="D3244" s="83" t="s">
        <v>629</v>
      </c>
      <c r="E3244" s="262" t="s">
        <v>1970</v>
      </c>
      <c r="F3244" s="124" t="s">
        <v>620</v>
      </c>
      <c r="G3244" s="130"/>
      <c r="H3244" s="125" t="s">
        <v>733</v>
      </c>
      <c r="I3244" s="340" t="str">
        <f t="shared" si="128"/>
        <v>Pesado de Passageiros M3: I : Gasóleo : E6</v>
      </c>
      <c r="J3244" s="125"/>
      <c r="K3244" s="264">
        <v>2022</v>
      </c>
      <c r="L3244" s="85">
        <v>49.35</v>
      </c>
      <c r="M3244" s="85" t="s">
        <v>630</v>
      </c>
      <c r="N3244" s="128">
        <v>235</v>
      </c>
      <c r="O3244" s="128">
        <f t="shared" si="127"/>
        <v>0</v>
      </c>
      <c r="P3244" s="125" t="s">
        <v>4531</v>
      </c>
      <c r="Q3244" s="85" t="s">
        <v>47</v>
      </c>
      <c r="R3244" s="220" t="s">
        <v>1888</v>
      </c>
      <c r="S3244" s="220" t="s">
        <v>1861</v>
      </c>
      <c r="T3244" s="85" t="s">
        <v>3418</v>
      </c>
    </row>
    <row r="3245" spans="1:20" ht="15.75" thickBot="1" x14ac:dyDescent="0.3">
      <c r="A3245" t="s">
        <v>1929</v>
      </c>
      <c r="B3245" t="s">
        <v>1929</v>
      </c>
      <c r="C3245" s="82" t="s">
        <v>1929</v>
      </c>
      <c r="D3245" s="83" t="s">
        <v>629</v>
      </c>
      <c r="E3245" s="262" t="s">
        <v>1970</v>
      </c>
      <c r="F3245" s="124" t="s">
        <v>620</v>
      </c>
      <c r="G3245" s="130"/>
      <c r="H3245" s="125" t="s">
        <v>733</v>
      </c>
      <c r="I3245" s="340" t="str">
        <f t="shared" si="128"/>
        <v>Pesado de Passageiros M3: I : Gasóleo : E6</v>
      </c>
      <c r="J3245" s="125"/>
      <c r="K3245" s="264">
        <v>2022</v>
      </c>
      <c r="L3245" s="85">
        <v>73.717799999999997</v>
      </c>
      <c r="M3245" s="85" t="s">
        <v>630</v>
      </c>
      <c r="N3245" s="128">
        <v>338</v>
      </c>
      <c r="O3245" s="128">
        <f t="shared" si="127"/>
        <v>0</v>
      </c>
      <c r="P3245" s="125" t="s">
        <v>4532</v>
      </c>
      <c r="Q3245" s="85" t="s">
        <v>47</v>
      </c>
      <c r="R3245" s="220" t="s">
        <v>1888</v>
      </c>
      <c r="S3245" s="220" t="s">
        <v>1861</v>
      </c>
      <c r="T3245" s="85" t="s">
        <v>4318</v>
      </c>
    </row>
    <row r="3246" spans="1:20" ht="15.75" thickBot="1" x14ac:dyDescent="0.3">
      <c r="A3246" t="s">
        <v>1929</v>
      </c>
      <c r="B3246" t="s">
        <v>1929</v>
      </c>
      <c r="C3246" s="82" t="s">
        <v>1929</v>
      </c>
      <c r="D3246" s="83" t="s">
        <v>629</v>
      </c>
      <c r="E3246" s="262" t="s">
        <v>1970</v>
      </c>
      <c r="F3246" s="124" t="s">
        <v>620</v>
      </c>
      <c r="G3246" s="130"/>
      <c r="H3246" s="125" t="s">
        <v>733</v>
      </c>
      <c r="I3246" s="340" t="str">
        <f t="shared" si="128"/>
        <v>Pesado de Passageiros M3: I : Gasóleo : E6</v>
      </c>
      <c r="J3246" s="125"/>
      <c r="K3246" s="264">
        <v>2022</v>
      </c>
      <c r="L3246" s="85">
        <v>4446.5160000000005</v>
      </c>
      <c r="M3246" s="85" t="s">
        <v>630</v>
      </c>
      <c r="N3246" s="128">
        <v>11953</v>
      </c>
      <c r="O3246" s="128">
        <f t="shared" si="127"/>
        <v>0</v>
      </c>
      <c r="P3246" s="125" t="s">
        <v>4533</v>
      </c>
      <c r="Q3246" s="85" t="s">
        <v>47</v>
      </c>
      <c r="R3246" s="220" t="s">
        <v>1888</v>
      </c>
      <c r="S3246" s="220" t="s">
        <v>1861</v>
      </c>
      <c r="T3246" s="85" t="s">
        <v>4319</v>
      </c>
    </row>
    <row r="3247" spans="1:20" ht="15.75" thickBot="1" x14ac:dyDescent="0.3">
      <c r="A3247" t="s">
        <v>1929</v>
      </c>
      <c r="B3247" t="s">
        <v>1929</v>
      </c>
      <c r="C3247" s="82" t="s">
        <v>1929</v>
      </c>
      <c r="D3247" s="83" t="s">
        <v>629</v>
      </c>
      <c r="E3247" s="262" t="s">
        <v>1970</v>
      </c>
      <c r="F3247" s="124" t="s">
        <v>620</v>
      </c>
      <c r="G3247" s="130">
        <v>2022</v>
      </c>
      <c r="H3247" s="125" t="s">
        <v>733</v>
      </c>
      <c r="I3247" s="340" t="str">
        <f t="shared" si="128"/>
        <v>Pesado de Passageiros M3: I : Gasóleo : E6</v>
      </c>
      <c r="J3247" s="125">
        <v>83</v>
      </c>
      <c r="K3247" s="264">
        <v>2022</v>
      </c>
      <c r="L3247" s="421">
        <v>2778.9239999999991</v>
      </c>
      <c r="M3247" s="85" t="s">
        <v>630</v>
      </c>
      <c r="N3247" s="128">
        <v>7147</v>
      </c>
      <c r="O3247" s="128">
        <f t="shared" si="127"/>
        <v>593201</v>
      </c>
      <c r="P3247" s="125">
        <v>2751</v>
      </c>
      <c r="Q3247" s="85" t="s">
        <v>47</v>
      </c>
      <c r="R3247" s="220" t="s">
        <v>1888</v>
      </c>
      <c r="S3247" s="220" t="s">
        <v>1861</v>
      </c>
      <c r="T3247" s="85" t="s">
        <v>4320</v>
      </c>
    </row>
    <row r="3248" spans="1:20" ht="15.75" thickBot="1" x14ac:dyDescent="0.3">
      <c r="A3248" t="s">
        <v>1929</v>
      </c>
      <c r="B3248" t="s">
        <v>1929</v>
      </c>
      <c r="C3248" s="82" t="s">
        <v>1929</v>
      </c>
      <c r="D3248" s="83" t="s">
        <v>629</v>
      </c>
      <c r="E3248" s="262" t="s">
        <v>1970</v>
      </c>
      <c r="F3248" s="124" t="s">
        <v>620</v>
      </c>
      <c r="G3248" s="130"/>
      <c r="H3248" s="125" t="s">
        <v>733</v>
      </c>
      <c r="I3248" s="340" t="str">
        <f t="shared" si="128"/>
        <v>Pesado de Passageiros M3: I : Gasóleo : E6</v>
      </c>
      <c r="J3248" s="125"/>
      <c r="K3248" s="264">
        <v>2022</v>
      </c>
      <c r="L3248" s="85">
        <v>1380.3555000000001</v>
      </c>
      <c r="M3248" s="85" t="s">
        <v>630</v>
      </c>
      <c r="N3248" s="128">
        <v>3945</v>
      </c>
      <c r="O3248" s="128">
        <f t="shared" si="127"/>
        <v>0</v>
      </c>
      <c r="P3248" s="125" t="s">
        <v>4534</v>
      </c>
      <c r="Q3248" s="85" t="s">
        <v>47</v>
      </c>
      <c r="R3248" s="220" t="s">
        <v>1888</v>
      </c>
      <c r="S3248" s="220" t="s">
        <v>1861</v>
      </c>
      <c r="T3248" s="85" t="s">
        <v>4321</v>
      </c>
    </row>
    <row r="3249" spans="1:20" ht="15.75" thickBot="1" x14ac:dyDescent="0.3">
      <c r="A3249" t="s">
        <v>1929</v>
      </c>
      <c r="B3249" t="s">
        <v>1929</v>
      </c>
      <c r="C3249" s="82" t="s">
        <v>1929</v>
      </c>
      <c r="D3249" s="83" t="s">
        <v>629</v>
      </c>
      <c r="E3249" s="262" t="s">
        <v>1970</v>
      </c>
      <c r="F3249" s="124" t="s">
        <v>620</v>
      </c>
      <c r="G3249" s="130">
        <v>2022</v>
      </c>
      <c r="H3249" s="125" t="s">
        <v>733</v>
      </c>
      <c r="I3249" s="340" t="str">
        <f t="shared" si="128"/>
        <v>Pesado de Passageiros M3: I : Gasóleo : E6</v>
      </c>
      <c r="J3249" s="125">
        <v>109</v>
      </c>
      <c r="K3249" s="264">
        <v>2022</v>
      </c>
      <c r="L3249" s="129">
        <v>6650.1233999999995</v>
      </c>
      <c r="M3249" s="85" t="s">
        <v>630</v>
      </c>
      <c r="N3249" s="128">
        <v>15138</v>
      </c>
      <c r="O3249" s="128">
        <f t="shared" ref="O3249:O3312" si="129">N3249*J3249</f>
        <v>1650042</v>
      </c>
      <c r="P3249" s="125">
        <v>2539</v>
      </c>
      <c r="Q3249" s="85" t="s">
        <v>47</v>
      </c>
      <c r="R3249" s="220" t="s">
        <v>1888</v>
      </c>
      <c r="S3249" s="220" t="s">
        <v>1861</v>
      </c>
      <c r="T3249" s="85" t="s">
        <v>4322</v>
      </c>
    </row>
    <row r="3250" spans="1:20" ht="15.75" thickBot="1" x14ac:dyDescent="0.3">
      <c r="A3250" t="s">
        <v>1929</v>
      </c>
      <c r="B3250" t="s">
        <v>1929</v>
      </c>
      <c r="C3250" s="82" t="s">
        <v>1929</v>
      </c>
      <c r="D3250" s="83" t="s">
        <v>629</v>
      </c>
      <c r="E3250" s="262" t="s">
        <v>1970</v>
      </c>
      <c r="F3250" s="124" t="s">
        <v>620</v>
      </c>
      <c r="G3250" s="130"/>
      <c r="H3250" s="125" t="s">
        <v>733</v>
      </c>
      <c r="I3250" s="340" t="str">
        <f t="shared" si="128"/>
        <v>Pesado de Passageiros M3: I : Gasóleo : E6</v>
      </c>
      <c r="J3250" s="125"/>
      <c r="K3250" s="264">
        <v>2022</v>
      </c>
      <c r="L3250" s="85">
        <v>771.12</v>
      </c>
      <c r="M3250" s="85" t="s">
        <v>630</v>
      </c>
      <c r="N3250" s="128">
        <v>1836</v>
      </c>
      <c r="O3250" s="128">
        <f t="shared" si="129"/>
        <v>0</v>
      </c>
      <c r="P3250" s="125" t="s">
        <v>4535</v>
      </c>
      <c r="Q3250" s="85" t="s">
        <v>47</v>
      </c>
      <c r="R3250" s="220" t="s">
        <v>1888</v>
      </c>
      <c r="S3250" s="220" t="s">
        <v>1861</v>
      </c>
      <c r="T3250" s="85" t="s">
        <v>4323</v>
      </c>
    </row>
    <row r="3251" spans="1:20" ht="15.75" thickBot="1" x14ac:dyDescent="0.3">
      <c r="A3251" t="s">
        <v>1929</v>
      </c>
      <c r="B3251" t="s">
        <v>1929</v>
      </c>
      <c r="C3251" s="82" t="s">
        <v>1929</v>
      </c>
      <c r="D3251" s="83" t="s">
        <v>629</v>
      </c>
      <c r="E3251" s="262" t="s">
        <v>1970</v>
      </c>
      <c r="F3251" s="124" t="s">
        <v>620</v>
      </c>
      <c r="G3251" s="130"/>
      <c r="H3251" s="125" t="s">
        <v>733</v>
      </c>
      <c r="I3251" s="340" t="str">
        <f t="shared" si="128"/>
        <v>Pesado de Passageiros M3: I : Gasóleo : E6</v>
      </c>
      <c r="J3251" s="125"/>
      <c r="K3251" s="264">
        <v>2022</v>
      </c>
      <c r="L3251" s="85">
        <v>172.62</v>
      </c>
      <c r="M3251" s="85" t="s">
        <v>630</v>
      </c>
      <c r="N3251" s="128">
        <v>411</v>
      </c>
      <c r="O3251" s="128">
        <f t="shared" si="129"/>
        <v>0</v>
      </c>
      <c r="P3251" s="125" t="s">
        <v>4536</v>
      </c>
      <c r="Q3251" s="85" t="s">
        <v>47</v>
      </c>
      <c r="R3251" s="220" t="s">
        <v>1888</v>
      </c>
      <c r="S3251" s="220" t="s">
        <v>1861</v>
      </c>
      <c r="T3251" s="85" t="s">
        <v>4324</v>
      </c>
    </row>
    <row r="3252" spans="1:20" ht="15.75" thickBot="1" x14ac:dyDescent="0.3">
      <c r="A3252" t="s">
        <v>1929</v>
      </c>
      <c r="B3252" t="s">
        <v>1929</v>
      </c>
      <c r="C3252" s="82" t="s">
        <v>1929</v>
      </c>
      <c r="D3252" s="83" t="s">
        <v>629</v>
      </c>
      <c r="E3252" s="262" t="s">
        <v>1970</v>
      </c>
      <c r="F3252" s="124" t="s">
        <v>620</v>
      </c>
      <c r="G3252" s="130"/>
      <c r="H3252" s="125" t="s">
        <v>733</v>
      </c>
      <c r="I3252" s="340" t="str">
        <f t="shared" si="128"/>
        <v>Pesado de Passageiros M3: I : Gasóleo : E6</v>
      </c>
      <c r="J3252" s="125"/>
      <c r="K3252" s="264">
        <v>2022</v>
      </c>
      <c r="L3252" s="85">
        <v>380.22399999999999</v>
      </c>
      <c r="M3252" s="85" t="s">
        <v>630</v>
      </c>
      <c r="N3252" s="128">
        <v>914</v>
      </c>
      <c r="O3252" s="128">
        <f t="shared" si="129"/>
        <v>0</v>
      </c>
      <c r="P3252" s="125" t="s">
        <v>4537</v>
      </c>
      <c r="Q3252" s="85" t="s">
        <v>47</v>
      </c>
      <c r="R3252" s="220" t="s">
        <v>1888</v>
      </c>
      <c r="S3252" s="220" t="s">
        <v>1861</v>
      </c>
      <c r="T3252" s="85" t="s">
        <v>4325</v>
      </c>
    </row>
    <row r="3253" spans="1:20" ht="15.75" thickBot="1" x14ac:dyDescent="0.3">
      <c r="A3253" t="s">
        <v>1929</v>
      </c>
      <c r="B3253" t="s">
        <v>1929</v>
      </c>
      <c r="C3253" s="82" t="s">
        <v>1929</v>
      </c>
      <c r="D3253" s="83" t="s">
        <v>629</v>
      </c>
      <c r="E3253" s="262" t="s">
        <v>1970</v>
      </c>
      <c r="F3253" s="124" t="s">
        <v>620</v>
      </c>
      <c r="G3253" s="130"/>
      <c r="H3253" s="125" t="s">
        <v>733</v>
      </c>
      <c r="I3253" s="340" t="str">
        <f t="shared" si="128"/>
        <v>Pesado de Passageiros M3: I : Gasóleo : E6</v>
      </c>
      <c r="J3253" s="125"/>
      <c r="K3253" s="264">
        <v>2022</v>
      </c>
      <c r="L3253" s="85">
        <v>663.4144</v>
      </c>
      <c r="M3253" s="85" t="s">
        <v>630</v>
      </c>
      <c r="N3253" s="128">
        <v>2068</v>
      </c>
      <c r="O3253" s="128">
        <f t="shared" si="129"/>
        <v>0</v>
      </c>
      <c r="P3253" s="125" t="s">
        <v>4538</v>
      </c>
      <c r="Q3253" s="85" t="s">
        <v>47</v>
      </c>
      <c r="R3253" s="220" t="s">
        <v>1888</v>
      </c>
      <c r="S3253" s="220" t="s">
        <v>1861</v>
      </c>
      <c r="T3253" s="85" t="s">
        <v>4326</v>
      </c>
    </row>
    <row r="3254" spans="1:20" ht="15.75" thickBot="1" x14ac:dyDescent="0.3">
      <c r="A3254" t="s">
        <v>1929</v>
      </c>
      <c r="B3254" t="s">
        <v>1929</v>
      </c>
      <c r="C3254" s="82" t="s">
        <v>1929</v>
      </c>
      <c r="D3254" s="83" t="s">
        <v>629</v>
      </c>
      <c r="E3254" s="262" t="s">
        <v>1970</v>
      </c>
      <c r="F3254" s="124" t="s">
        <v>620</v>
      </c>
      <c r="G3254" s="130"/>
      <c r="H3254" s="125" t="s">
        <v>733</v>
      </c>
      <c r="I3254" s="340" t="str">
        <f t="shared" ref="I3254:I3317" si="130">D3254&amp;": "&amp;E3254&amp;" : "&amp;F3254&amp;" : "&amp;H3254</f>
        <v>Pesado de Passageiros M3: I : Gasóleo : E6</v>
      </c>
      <c r="J3254" s="125"/>
      <c r="K3254" s="264">
        <v>2022</v>
      </c>
      <c r="L3254" s="85">
        <v>52.08</v>
      </c>
      <c r="M3254" s="85" t="s">
        <v>630</v>
      </c>
      <c r="N3254" s="128">
        <v>248</v>
      </c>
      <c r="O3254" s="128">
        <f t="shared" si="129"/>
        <v>0</v>
      </c>
      <c r="P3254" s="125" t="s">
        <v>4539</v>
      </c>
      <c r="Q3254" s="85" t="s">
        <v>47</v>
      </c>
      <c r="R3254" s="220" t="s">
        <v>1888</v>
      </c>
      <c r="S3254" s="220" t="s">
        <v>1861</v>
      </c>
      <c r="T3254" s="85" t="s">
        <v>4327</v>
      </c>
    </row>
    <row r="3255" spans="1:20" ht="15.75" thickBot="1" x14ac:dyDescent="0.3">
      <c r="A3255" t="s">
        <v>1929</v>
      </c>
      <c r="B3255" t="s">
        <v>1929</v>
      </c>
      <c r="C3255" s="82" t="s">
        <v>1929</v>
      </c>
      <c r="D3255" s="83" t="s">
        <v>629</v>
      </c>
      <c r="E3255" s="262" t="s">
        <v>1970</v>
      </c>
      <c r="F3255" s="124" t="s">
        <v>620</v>
      </c>
      <c r="G3255" s="130"/>
      <c r="H3255" s="125" t="s">
        <v>733</v>
      </c>
      <c r="I3255" s="340" t="str">
        <f t="shared" si="130"/>
        <v>Pesado de Passageiros M3: I : Gasóleo : E6</v>
      </c>
      <c r="J3255" s="125"/>
      <c r="K3255" s="264">
        <v>2022</v>
      </c>
      <c r="L3255" s="85">
        <v>256.2</v>
      </c>
      <c r="M3255" s="85" t="s">
        <v>630</v>
      </c>
      <c r="N3255" s="128">
        <v>610</v>
      </c>
      <c r="O3255" s="128">
        <f t="shared" si="129"/>
        <v>0</v>
      </c>
      <c r="P3255" s="125" t="s">
        <v>4540</v>
      </c>
      <c r="Q3255" s="85" t="s">
        <v>47</v>
      </c>
      <c r="R3255" s="220" t="s">
        <v>1888</v>
      </c>
      <c r="S3255" s="220" t="s">
        <v>1861</v>
      </c>
      <c r="T3255" s="85" t="s">
        <v>4328</v>
      </c>
    </row>
    <row r="3256" spans="1:20" ht="15.75" thickBot="1" x14ac:dyDescent="0.3">
      <c r="A3256" t="s">
        <v>1929</v>
      </c>
      <c r="B3256" t="s">
        <v>1929</v>
      </c>
      <c r="C3256" s="82" t="s">
        <v>1929</v>
      </c>
      <c r="D3256" s="83" t="s">
        <v>629</v>
      </c>
      <c r="E3256" s="262" t="s">
        <v>1970</v>
      </c>
      <c r="F3256" s="124" t="s">
        <v>620</v>
      </c>
      <c r="G3256" s="130"/>
      <c r="H3256" s="125" t="s">
        <v>733</v>
      </c>
      <c r="I3256" s="340" t="str">
        <f t="shared" si="130"/>
        <v>Pesado de Passageiros M3: I : Gasóleo : E6</v>
      </c>
      <c r="J3256" s="125"/>
      <c r="K3256" s="264">
        <v>2022</v>
      </c>
      <c r="L3256" s="85">
        <v>44.1</v>
      </c>
      <c r="M3256" s="85" t="s">
        <v>630</v>
      </c>
      <c r="N3256" s="128">
        <v>210</v>
      </c>
      <c r="O3256" s="128">
        <f t="shared" si="129"/>
        <v>0</v>
      </c>
      <c r="P3256" s="125" t="s">
        <v>4541</v>
      </c>
      <c r="Q3256" s="85" t="s">
        <v>47</v>
      </c>
      <c r="R3256" s="220" t="s">
        <v>1888</v>
      </c>
      <c r="S3256" s="220" t="s">
        <v>1861</v>
      </c>
      <c r="T3256" s="85" t="s">
        <v>3419</v>
      </c>
    </row>
    <row r="3257" spans="1:20" ht="15.75" thickBot="1" x14ac:dyDescent="0.3">
      <c r="A3257" t="s">
        <v>1929</v>
      </c>
      <c r="B3257" t="s">
        <v>1929</v>
      </c>
      <c r="C3257" s="82" t="s">
        <v>1929</v>
      </c>
      <c r="D3257" s="83" t="s">
        <v>629</v>
      </c>
      <c r="E3257" s="262" t="s">
        <v>1970</v>
      </c>
      <c r="F3257" s="124" t="s">
        <v>620</v>
      </c>
      <c r="G3257" s="130"/>
      <c r="H3257" s="125" t="s">
        <v>733</v>
      </c>
      <c r="I3257" s="340" t="str">
        <f t="shared" si="130"/>
        <v>Pesado de Passageiros M3: I : Gasóleo : E6</v>
      </c>
      <c r="J3257" s="125"/>
      <c r="K3257" s="264">
        <v>2022</v>
      </c>
      <c r="L3257" s="85">
        <v>277.20329999999996</v>
      </c>
      <c r="M3257" s="85" t="s">
        <v>630</v>
      </c>
      <c r="N3257" s="128">
        <v>501</v>
      </c>
      <c r="O3257" s="128">
        <f t="shared" si="129"/>
        <v>0</v>
      </c>
      <c r="P3257" s="125" t="s">
        <v>4542</v>
      </c>
      <c r="Q3257" s="85" t="s">
        <v>47</v>
      </c>
      <c r="R3257" s="220" t="s">
        <v>1888</v>
      </c>
      <c r="S3257" s="220" t="s">
        <v>1861</v>
      </c>
      <c r="T3257" s="85" t="s">
        <v>4329</v>
      </c>
    </row>
    <row r="3258" spans="1:20" ht="15.75" thickBot="1" x14ac:dyDescent="0.3">
      <c r="A3258" t="s">
        <v>1929</v>
      </c>
      <c r="B3258" t="s">
        <v>1929</v>
      </c>
      <c r="C3258" s="82" t="s">
        <v>1929</v>
      </c>
      <c r="D3258" s="83" t="s">
        <v>629</v>
      </c>
      <c r="E3258" s="262" t="s">
        <v>1970</v>
      </c>
      <c r="F3258" s="124" t="s">
        <v>620</v>
      </c>
      <c r="G3258" s="130"/>
      <c r="H3258" s="125" t="s">
        <v>733</v>
      </c>
      <c r="I3258" s="340" t="str">
        <f t="shared" si="130"/>
        <v>Pesado de Passageiros M3: I : Gasóleo : E6</v>
      </c>
      <c r="J3258" s="125"/>
      <c r="K3258" s="264">
        <v>2022</v>
      </c>
      <c r="L3258" s="85">
        <v>3490.4011999999998</v>
      </c>
      <c r="M3258" s="85" t="s">
        <v>630</v>
      </c>
      <c r="N3258" s="128">
        <v>11414</v>
      </c>
      <c r="O3258" s="128">
        <f t="shared" si="129"/>
        <v>0</v>
      </c>
      <c r="P3258" s="125" t="s">
        <v>4543</v>
      </c>
      <c r="Q3258" s="85" t="s">
        <v>47</v>
      </c>
      <c r="R3258" s="220" t="s">
        <v>1888</v>
      </c>
      <c r="S3258" s="220" t="s">
        <v>1861</v>
      </c>
      <c r="T3258" s="85" t="s">
        <v>3445</v>
      </c>
    </row>
    <row r="3259" spans="1:20" ht="15.75" thickBot="1" x14ac:dyDescent="0.3">
      <c r="A3259" t="s">
        <v>1929</v>
      </c>
      <c r="B3259" t="s">
        <v>1929</v>
      </c>
      <c r="C3259" s="82" t="s">
        <v>1929</v>
      </c>
      <c r="D3259" s="83" t="s">
        <v>629</v>
      </c>
      <c r="E3259" s="262" t="s">
        <v>1970</v>
      </c>
      <c r="F3259" s="124" t="s">
        <v>620</v>
      </c>
      <c r="G3259" s="130">
        <v>2022</v>
      </c>
      <c r="H3259" s="125" t="s">
        <v>733</v>
      </c>
      <c r="I3259" s="340" t="str">
        <f t="shared" si="130"/>
        <v>Pesado de Passageiros M3: I : Gasóleo : E6</v>
      </c>
      <c r="J3259" s="125">
        <v>83</v>
      </c>
      <c r="K3259" s="264">
        <v>2022</v>
      </c>
      <c r="L3259" s="421">
        <v>3430.6588000000006</v>
      </c>
      <c r="M3259" s="85" t="s">
        <v>630</v>
      </c>
      <c r="N3259" s="128">
        <v>9632</v>
      </c>
      <c r="O3259" s="128">
        <f t="shared" si="129"/>
        <v>799456</v>
      </c>
      <c r="P3259" s="125">
        <v>2752</v>
      </c>
      <c r="Q3259" s="85" t="s">
        <v>47</v>
      </c>
      <c r="R3259" s="220" t="s">
        <v>1888</v>
      </c>
      <c r="S3259" s="220" t="s">
        <v>1861</v>
      </c>
      <c r="T3259" s="85" t="s">
        <v>3445</v>
      </c>
    </row>
    <row r="3260" spans="1:20" ht="15.75" thickBot="1" x14ac:dyDescent="0.3">
      <c r="A3260" t="s">
        <v>1929</v>
      </c>
      <c r="B3260" t="s">
        <v>1929</v>
      </c>
      <c r="C3260" s="82" t="s">
        <v>1929</v>
      </c>
      <c r="D3260" s="83" t="s">
        <v>629</v>
      </c>
      <c r="E3260" s="262" t="s">
        <v>1970</v>
      </c>
      <c r="F3260" s="124" t="s">
        <v>620</v>
      </c>
      <c r="G3260" s="130"/>
      <c r="H3260" s="125" t="s">
        <v>733</v>
      </c>
      <c r="I3260" s="340" t="str">
        <f t="shared" si="130"/>
        <v>Pesado de Passageiros M3: I : Gasóleo : E6</v>
      </c>
      <c r="J3260" s="125"/>
      <c r="K3260" s="264">
        <v>2022</v>
      </c>
      <c r="L3260" s="85">
        <v>231.52500000000001</v>
      </c>
      <c r="M3260" s="85" t="s">
        <v>630</v>
      </c>
      <c r="N3260" s="128">
        <v>490</v>
      </c>
      <c r="O3260" s="128">
        <f t="shared" si="129"/>
        <v>0</v>
      </c>
      <c r="P3260" s="125" t="s">
        <v>4544</v>
      </c>
      <c r="Q3260" s="85" t="s">
        <v>47</v>
      </c>
      <c r="R3260" s="220" t="s">
        <v>1888</v>
      </c>
      <c r="S3260" s="220" t="s">
        <v>1861</v>
      </c>
      <c r="T3260" s="85" t="s">
        <v>4330</v>
      </c>
    </row>
    <row r="3261" spans="1:20" ht="15.75" thickBot="1" x14ac:dyDescent="0.3">
      <c r="A3261" t="s">
        <v>1929</v>
      </c>
      <c r="B3261" t="s">
        <v>1929</v>
      </c>
      <c r="C3261" s="82" t="s">
        <v>1929</v>
      </c>
      <c r="D3261" s="83" t="s">
        <v>629</v>
      </c>
      <c r="E3261" s="262" t="s">
        <v>1970</v>
      </c>
      <c r="F3261" s="124" t="s">
        <v>620</v>
      </c>
      <c r="G3261" s="130"/>
      <c r="H3261" s="125" t="s">
        <v>733</v>
      </c>
      <c r="I3261" s="340" t="str">
        <f t="shared" si="130"/>
        <v>Pesado de Passageiros M3: I : Gasóleo : E6</v>
      </c>
      <c r="J3261" s="125"/>
      <c r="K3261" s="264">
        <v>2022</v>
      </c>
      <c r="L3261" s="85">
        <v>269.65039999999999</v>
      </c>
      <c r="M3261" s="85" t="s">
        <v>630</v>
      </c>
      <c r="N3261" s="128">
        <v>664</v>
      </c>
      <c r="O3261" s="128">
        <f t="shared" si="129"/>
        <v>0</v>
      </c>
      <c r="P3261" s="125" t="s">
        <v>1448</v>
      </c>
      <c r="Q3261" s="85" t="s">
        <v>47</v>
      </c>
      <c r="R3261" s="220" t="s">
        <v>1888</v>
      </c>
      <c r="S3261" s="220" t="s">
        <v>1861</v>
      </c>
      <c r="T3261" s="85" t="s">
        <v>4331</v>
      </c>
    </row>
    <row r="3262" spans="1:20" ht="15.75" thickBot="1" x14ac:dyDescent="0.3">
      <c r="A3262" t="s">
        <v>1929</v>
      </c>
      <c r="B3262" t="s">
        <v>1929</v>
      </c>
      <c r="C3262" s="82" t="s">
        <v>1929</v>
      </c>
      <c r="D3262" s="83" t="s">
        <v>629</v>
      </c>
      <c r="E3262" s="262" t="s">
        <v>1970</v>
      </c>
      <c r="F3262" s="124" t="s">
        <v>620</v>
      </c>
      <c r="G3262" s="130">
        <v>2022</v>
      </c>
      <c r="H3262" s="125" t="s">
        <v>733</v>
      </c>
      <c r="I3262" s="340" t="str">
        <f t="shared" si="130"/>
        <v>Pesado de Passageiros M3: I : Gasóleo : E6</v>
      </c>
      <c r="J3262" s="125">
        <v>89</v>
      </c>
      <c r="K3262" s="264">
        <v>2022</v>
      </c>
      <c r="L3262" s="129">
        <v>7785.0209999999997</v>
      </c>
      <c r="M3262" s="85" t="s">
        <v>630</v>
      </c>
      <c r="N3262" s="128">
        <v>20810</v>
      </c>
      <c r="O3262" s="128">
        <f t="shared" si="129"/>
        <v>1852090</v>
      </c>
      <c r="P3262" s="125">
        <v>2703</v>
      </c>
      <c r="Q3262" s="85" t="s">
        <v>47</v>
      </c>
      <c r="R3262" s="220" t="s">
        <v>1888</v>
      </c>
      <c r="S3262" s="220" t="s">
        <v>1861</v>
      </c>
      <c r="T3262" s="85" t="s">
        <v>4332</v>
      </c>
    </row>
    <row r="3263" spans="1:20" ht="15.75" thickBot="1" x14ac:dyDescent="0.3">
      <c r="A3263" t="s">
        <v>1929</v>
      </c>
      <c r="B3263" t="s">
        <v>1929</v>
      </c>
      <c r="C3263" s="82" t="s">
        <v>1929</v>
      </c>
      <c r="D3263" s="83" t="s">
        <v>629</v>
      </c>
      <c r="E3263" s="262" t="s">
        <v>1970</v>
      </c>
      <c r="F3263" s="124" t="s">
        <v>620</v>
      </c>
      <c r="G3263" s="130"/>
      <c r="H3263" s="125" t="s">
        <v>733</v>
      </c>
      <c r="I3263" s="340" t="str">
        <f t="shared" si="130"/>
        <v>Pesado de Passageiros M3: I : Gasóleo : E6</v>
      </c>
      <c r="J3263" s="125"/>
      <c r="K3263" s="264">
        <v>2022</v>
      </c>
      <c r="L3263" s="85">
        <v>157.608</v>
      </c>
      <c r="M3263" s="85" t="s">
        <v>630</v>
      </c>
      <c r="N3263" s="128">
        <v>396</v>
      </c>
      <c r="O3263" s="128">
        <f t="shared" si="129"/>
        <v>0</v>
      </c>
      <c r="P3263" s="125" t="s">
        <v>4545</v>
      </c>
      <c r="Q3263" s="85" t="s">
        <v>47</v>
      </c>
      <c r="R3263" s="220" t="s">
        <v>1888</v>
      </c>
      <c r="S3263" s="220" t="s">
        <v>1861</v>
      </c>
      <c r="T3263" s="85" t="s">
        <v>4333</v>
      </c>
    </row>
    <row r="3264" spans="1:20" ht="15.75" thickBot="1" x14ac:dyDescent="0.3">
      <c r="A3264" t="s">
        <v>1929</v>
      </c>
      <c r="B3264" t="s">
        <v>1929</v>
      </c>
      <c r="C3264" s="82" t="s">
        <v>1929</v>
      </c>
      <c r="D3264" s="83" t="s">
        <v>629</v>
      </c>
      <c r="E3264" s="262" t="s">
        <v>1970</v>
      </c>
      <c r="F3264" s="124" t="s">
        <v>620</v>
      </c>
      <c r="G3264" s="130"/>
      <c r="H3264" s="125" t="s">
        <v>733</v>
      </c>
      <c r="I3264" s="340" t="str">
        <f t="shared" si="130"/>
        <v>Pesado de Passageiros M3: I : Gasóleo : E6</v>
      </c>
      <c r="J3264" s="125"/>
      <c r="K3264" s="264">
        <v>2022</v>
      </c>
      <c r="L3264" s="85">
        <v>158.76</v>
      </c>
      <c r="M3264" s="85" t="s">
        <v>630</v>
      </c>
      <c r="N3264" s="128">
        <v>378</v>
      </c>
      <c r="O3264" s="128">
        <f t="shared" si="129"/>
        <v>0</v>
      </c>
      <c r="P3264" s="125" t="s">
        <v>4546</v>
      </c>
      <c r="Q3264" s="85" t="s">
        <v>47</v>
      </c>
      <c r="R3264" s="220" t="s">
        <v>1888</v>
      </c>
      <c r="S3264" s="220" t="s">
        <v>1861</v>
      </c>
      <c r="T3264" s="85" t="s">
        <v>4334</v>
      </c>
    </row>
    <row r="3265" spans="1:20" ht="15.75" thickBot="1" x14ac:dyDescent="0.3">
      <c r="A3265" t="s">
        <v>1929</v>
      </c>
      <c r="B3265" t="s">
        <v>1929</v>
      </c>
      <c r="C3265" s="82" t="s">
        <v>1929</v>
      </c>
      <c r="D3265" s="83" t="s">
        <v>629</v>
      </c>
      <c r="E3265" s="262" t="s">
        <v>1970</v>
      </c>
      <c r="F3265" s="124" t="s">
        <v>620</v>
      </c>
      <c r="G3265" s="130"/>
      <c r="H3265" s="125" t="s">
        <v>733</v>
      </c>
      <c r="I3265" s="340" t="str">
        <f t="shared" si="130"/>
        <v>Pesado de Passageiros M3: I : Gasóleo : E6</v>
      </c>
      <c r="J3265" s="125"/>
      <c r="K3265" s="264">
        <v>2022</v>
      </c>
      <c r="L3265" s="85">
        <v>414.96</v>
      </c>
      <c r="M3265" s="85" t="s">
        <v>630</v>
      </c>
      <c r="N3265" s="128">
        <v>988</v>
      </c>
      <c r="O3265" s="128">
        <f t="shared" si="129"/>
        <v>0</v>
      </c>
      <c r="P3265" s="125" t="s">
        <v>1444</v>
      </c>
      <c r="Q3265" s="85" t="s">
        <v>47</v>
      </c>
      <c r="R3265" s="220" t="s">
        <v>1888</v>
      </c>
      <c r="S3265" s="220" t="s">
        <v>1861</v>
      </c>
      <c r="T3265" s="85" t="s">
        <v>4335</v>
      </c>
    </row>
    <row r="3266" spans="1:20" ht="15.75" thickBot="1" x14ac:dyDescent="0.3">
      <c r="A3266" t="s">
        <v>1929</v>
      </c>
      <c r="B3266" t="s">
        <v>1929</v>
      </c>
      <c r="C3266" s="82" t="s">
        <v>1929</v>
      </c>
      <c r="D3266" s="83" t="s">
        <v>629</v>
      </c>
      <c r="E3266" s="262" t="s">
        <v>1970</v>
      </c>
      <c r="F3266" s="124" t="s">
        <v>620</v>
      </c>
      <c r="G3266" s="130"/>
      <c r="H3266" s="125" t="s">
        <v>733</v>
      </c>
      <c r="I3266" s="340" t="str">
        <f t="shared" si="130"/>
        <v>Pesado de Passageiros M3: I : Gasóleo : E6</v>
      </c>
      <c r="J3266" s="125"/>
      <c r="K3266" s="264">
        <v>2022</v>
      </c>
      <c r="L3266" s="85">
        <v>191.52</v>
      </c>
      <c r="M3266" s="85" t="s">
        <v>630</v>
      </c>
      <c r="N3266" s="128">
        <v>456</v>
      </c>
      <c r="O3266" s="128">
        <f t="shared" si="129"/>
        <v>0</v>
      </c>
      <c r="P3266" s="125" t="s">
        <v>4547</v>
      </c>
      <c r="Q3266" s="85" t="s">
        <v>47</v>
      </c>
      <c r="R3266" s="220" t="s">
        <v>1888</v>
      </c>
      <c r="S3266" s="220" t="s">
        <v>1861</v>
      </c>
      <c r="T3266" s="85" t="s">
        <v>4336</v>
      </c>
    </row>
    <row r="3267" spans="1:20" ht="15.75" thickBot="1" x14ac:dyDescent="0.3">
      <c r="A3267" t="s">
        <v>1929</v>
      </c>
      <c r="B3267" t="s">
        <v>1929</v>
      </c>
      <c r="C3267" s="82" t="s">
        <v>1929</v>
      </c>
      <c r="D3267" s="83" t="s">
        <v>629</v>
      </c>
      <c r="E3267" s="262" t="s">
        <v>1970</v>
      </c>
      <c r="F3267" s="124" t="s">
        <v>620</v>
      </c>
      <c r="G3267" s="130"/>
      <c r="H3267" s="125" t="s">
        <v>733</v>
      </c>
      <c r="I3267" s="340" t="str">
        <f t="shared" si="130"/>
        <v>Pesado de Passageiros M3: I : Gasóleo : E6</v>
      </c>
      <c r="J3267" s="125"/>
      <c r="K3267" s="264">
        <v>2022</v>
      </c>
      <c r="L3267" s="85">
        <v>199.92</v>
      </c>
      <c r="M3267" s="85" t="s">
        <v>630</v>
      </c>
      <c r="N3267" s="128">
        <v>476</v>
      </c>
      <c r="O3267" s="128">
        <f t="shared" si="129"/>
        <v>0</v>
      </c>
      <c r="P3267" s="125" t="s">
        <v>1432</v>
      </c>
      <c r="Q3267" s="85" t="s">
        <v>47</v>
      </c>
      <c r="R3267" s="220" t="s">
        <v>1888</v>
      </c>
      <c r="S3267" s="220" t="s">
        <v>1861</v>
      </c>
      <c r="T3267" s="85" t="s">
        <v>4337</v>
      </c>
    </row>
    <row r="3268" spans="1:20" ht="15.75" thickBot="1" x14ac:dyDescent="0.3">
      <c r="A3268" t="s">
        <v>1929</v>
      </c>
      <c r="B3268" t="s">
        <v>1929</v>
      </c>
      <c r="C3268" s="82" t="s">
        <v>1929</v>
      </c>
      <c r="D3268" s="83" t="s">
        <v>629</v>
      </c>
      <c r="E3268" s="262" t="s">
        <v>1970</v>
      </c>
      <c r="F3268" s="124" t="s">
        <v>620</v>
      </c>
      <c r="G3268" s="130"/>
      <c r="H3268" s="125" t="s">
        <v>733</v>
      </c>
      <c r="I3268" s="340" t="str">
        <f t="shared" si="130"/>
        <v>Pesado de Passageiros M3: I : Gasóleo : E6</v>
      </c>
      <c r="J3268" s="125"/>
      <c r="K3268" s="264">
        <v>2022</v>
      </c>
      <c r="L3268" s="85">
        <v>365.33069999999998</v>
      </c>
      <c r="M3268" s="85" t="s">
        <v>630</v>
      </c>
      <c r="N3268" s="128">
        <v>927</v>
      </c>
      <c r="O3268" s="128">
        <f t="shared" si="129"/>
        <v>0</v>
      </c>
      <c r="P3268" s="125" t="s">
        <v>4548</v>
      </c>
      <c r="Q3268" s="85" t="s">
        <v>47</v>
      </c>
      <c r="R3268" s="220" t="s">
        <v>1888</v>
      </c>
      <c r="S3268" s="220" t="s">
        <v>1861</v>
      </c>
      <c r="T3268" s="85" t="s">
        <v>4338</v>
      </c>
    </row>
    <row r="3269" spans="1:20" ht="15.75" thickBot="1" x14ac:dyDescent="0.3">
      <c r="A3269" t="s">
        <v>1929</v>
      </c>
      <c r="B3269" t="s">
        <v>1929</v>
      </c>
      <c r="C3269" s="82" t="s">
        <v>1929</v>
      </c>
      <c r="D3269" s="83" t="s">
        <v>629</v>
      </c>
      <c r="E3269" s="262" t="s">
        <v>1970</v>
      </c>
      <c r="F3269" s="124" t="s">
        <v>620</v>
      </c>
      <c r="G3269" s="130">
        <v>2022</v>
      </c>
      <c r="H3269" s="125" t="s">
        <v>733</v>
      </c>
      <c r="I3269" s="340" t="str">
        <f t="shared" si="130"/>
        <v>Pesado de Passageiros M3: I : Gasóleo : E6</v>
      </c>
      <c r="J3269" s="125">
        <v>83</v>
      </c>
      <c r="K3269" s="264">
        <v>2022</v>
      </c>
      <c r="L3269" s="421">
        <v>6112.56</v>
      </c>
      <c r="M3269" s="85" t="s">
        <v>630</v>
      </c>
      <c r="N3269" s="128">
        <v>6151</v>
      </c>
      <c r="O3269" s="128">
        <f t="shared" si="129"/>
        <v>510533</v>
      </c>
      <c r="P3269" s="125">
        <v>2750</v>
      </c>
      <c r="Q3269" s="85" t="s">
        <v>47</v>
      </c>
      <c r="R3269" s="220" t="s">
        <v>1888</v>
      </c>
      <c r="S3269" s="220" t="s">
        <v>1861</v>
      </c>
      <c r="T3269" s="85" t="s">
        <v>4338</v>
      </c>
    </row>
    <row r="3270" spans="1:20" ht="15.75" thickBot="1" x14ac:dyDescent="0.3">
      <c r="A3270" t="s">
        <v>1929</v>
      </c>
      <c r="B3270" t="s">
        <v>1929</v>
      </c>
      <c r="C3270" s="82" t="s">
        <v>1929</v>
      </c>
      <c r="D3270" s="83" t="s">
        <v>629</v>
      </c>
      <c r="E3270" s="262" t="s">
        <v>1970</v>
      </c>
      <c r="F3270" s="124" t="s">
        <v>620</v>
      </c>
      <c r="G3270" s="130"/>
      <c r="H3270" s="125" t="s">
        <v>733</v>
      </c>
      <c r="I3270" s="340" t="str">
        <f t="shared" si="130"/>
        <v>Pesado de Passageiros M3: I : Gasóleo : E6</v>
      </c>
      <c r="J3270" s="125"/>
      <c r="K3270" s="264">
        <v>2022</v>
      </c>
      <c r="L3270" s="85">
        <v>7410.7759999999998</v>
      </c>
      <c r="M3270" s="85" t="s">
        <v>630</v>
      </c>
      <c r="N3270" s="128">
        <v>19720</v>
      </c>
      <c r="O3270" s="128">
        <f t="shared" si="129"/>
        <v>0</v>
      </c>
      <c r="P3270" s="125" t="s">
        <v>4549</v>
      </c>
      <c r="Q3270" s="85" t="s">
        <v>47</v>
      </c>
      <c r="R3270" s="220" t="s">
        <v>1888</v>
      </c>
      <c r="S3270" s="220" t="s">
        <v>1861</v>
      </c>
      <c r="T3270" s="85" t="s">
        <v>4339</v>
      </c>
    </row>
    <row r="3271" spans="1:20" ht="15.75" thickBot="1" x14ac:dyDescent="0.3">
      <c r="A3271" t="s">
        <v>1929</v>
      </c>
      <c r="B3271" t="s">
        <v>1929</v>
      </c>
      <c r="C3271" s="82" t="s">
        <v>1929</v>
      </c>
      <c r="D3271" s="83" t="s">
        <v>629</v>
      </c>
      <c r="E3271" s="262" t="s">
        <v>1970</v>
      </c>
      <c r="F3271" s="124" t="s">
        <v>620</v>
      </c>
      <c r="G3271" s="130">
        <v>2022</v>
      </c>
      <c r="H3271" s="125" t="s">
        <v>733</v>
      </c>
      <c r="I3271" s="340" t="str">
        <f t="shared" si="130"/>
        <v>Pesado de Passageiros M3: I : Gasóleo : E6</v>
      </c>
      <c r="J3271" s="125">
        <v>89</v>
      </c>
      <c r="K3271" s="264">
        <v>2022</v>
      </c>
      <c r="L3271" s="129">
        <v>0</v>
      </c>
      <c r="M3271" s="85" t="s">
        <v>630</v>
      </c>
      <c r="N3271" s="128">
        <v>0</v>
      </c>
      <c r="O3271" s="128">
        <f t="shared" si="129"/>
        <v>0</v>
      </c>
      <c r="P3271" s="125">
        <v>2700</v>
      </c>
      <c r="Q3271" s="85" t="s">
        <v>47</v>
      </c>
      <c r="R3271" s="220" t="s">
        <v>1888</v>
      </c>
      <c r="S3271" s="220" t="s">
        <v>1861</v>
      </c>
      <c r="T3271" s="85" t="s">
        <v>4339</v>
      </c>
    </row>
    <row r="3272" spans="1:20" ht="15.75" thickBot="1" x14ac:dyDescent="0.3">
      <c r="A3272" t="s">
        <v>1929</v>
      </c>
      <c r="B3272" t="s">
        <v>1929</v>
      </c>
      <c r="C3272" s="82" t="s">
        <v>1929</v>
      </c>
      <c r="D3272" s="83" t="s">
        <v>629</v>
      </c>
      <c r="E3272" s="262" t="s">
        <v>1970</v>
      </c>
      <c r="F3272" s="124" t="s">
        <v>620</v>
      </c>
      <c r="G3272" s="130"/>
      <c r="H3272" s="125" t="s">
        <v>733</v>
      </c>
      <c r="I3272" s="340" t="str">
        <f t="shared" si="130"/>
        <v>Pesado de Passageiros M3: I : Gasóleo : E6</v>
      </c>
      <c r="J3272" s="125"/>
      <c r="K3272" s="264">
        <v>2022</v>
      </c>
      <c r="L3272" s="85">
        <v>184.38</v>
      </c>
      <c r="M3272" s="85" t="s">
        <v>630</v>
      </c>
      <c r="N3272" s="128">
        <v>439</v>
      </c>
      <c r="O3272" s="128">
        <f t="shared" si="129"/>
        <v>0</v>
      </c>
      <c r="P3272" s="125" t="s">
        <v>1419</v>
      </c>
      <c r="Q3272" s="85" t="s">
        <v>47</v>
      </c>
      <c r="R3272" s="220" t="s">
        <v>1888</v>
      </c>
      <c r="S3272" s="220" t="s">
        <v>1861</v>
      </c>
      <c r="T3272" s="85" t="s">
        <v>4340</v>
      </c>
    </row>
    <row r="3273" spans="1:20" ht="15.75" thickBot="1" x14ac:dyDescent="0.3">
      <c r="A3273" t="s">
        <v>1929</v>
      </c>
      <c r="B3273" t="s">
        <v>1929</v>
      </c>
      <c r="C3273" s="82" t="s">
        <v>1929</v>
      </c>
      <c r="D3273" s="83" t="s">
        <v>629</v>
      </c>
      <c r="E3273" s="262" t="s">
        <v>1970</v>
      </c>
      <c r="F3273" s="124" t="s">
        <v>620</v>
      </c>
      <c r="G3273" s="130"/>
      <c r="H3273" s="125" t="s">
        <v>733</v>
      </c>
      <c r="I3273" s="340" t="str">
        <f t="shared" si="130"/>
        <v>Pesado de Passageiros M3: I : Gasóleo : E6</v>
      </c>
      <c r="J3273" s="125"/>
      <c r="K3273" s="264">
        <v>2022</v>
      </c>
      <c r="L3273" s="85">
        <v>309.46800000000002</v>
      </c>
      <c r="M3273" s="85" t="s">
        <v>630</v>
      </c>
      <c r="N3273" s="128">
        <v>697</v>
      </c>
      <c r="O3273" s="128">
        <f t="shared" si="129"/>
        <v>0</v>
      </c>
      <c r="P3273" s="125" t="s">
        <v>1427</v>
      </c>
      <c r="Q3273" s="85" t="s">
        <v>47</v>
      </c>
      <c r="R3273" s="220" t="s">
        <v>1888</v>
      </c>
      <c r="S3273" s="220" t="s">
        <v>1861</v>
      </c>
      <c r="T3273" s="85" t="s">
        <v>4341</v>
      </c>
    </row>
    <row r="3274" spans="1:20" ht="15.75" thickBot="1" x14ac:dyDescent="0.3">
      <c r="A3274" t="s">
        <v>1929</v>
      </c>
      <c r="B3274" t="s">
        <v>1929</v>
      </c>
      <c r="C3274" s="82" t="s">
        <v>1929</v>
      </c>
      <c r="D3274" s="83" t="s">
        <v>629</v>
      </c>
      <c r="E3274" s="262" t="s">
        <v>1970</v>
      </c>
      <c r="F3274" s="124" t="s">
        <v>620</v>
      </c>
      <c r="G3274" s="130"/>
      <c r="H3274" s="125" t="s">
        <v>733</v>
      </c>
      <c r="I3274" s="340" t="str">
        <f t="shared" si="130"/>
        <v>Pesado de Passageiros M3: I : Gasóleo : E6</v>
      </c>
      <c r="J3274" s="125"/>
      <c r="K3274" s="264">
        <v>2022</v>
      </c>
      <c r="L3274" s="85">
        <v>158.76</v>
      </c>
      <c r="M3274" s="85" t="s">
        <v>630</v>
      </c>
      <c r="N3274" s="128">
        <v>378</v>
      </c>
      <c r="O3274" s="128">
        <f t="shared" si="129"/>
        <v>0</v>
      </c>
      <c r="P3274" s="125" t="s">
        <v>1434</v>
      </c>
      <c r="Q3274" s="85" t="s">
        <v>47</v>
      </c>
      <c r="R3274" s="220" t="s">
        <v>1888</v>
      </c>
      <c r="S3274" s="220" t="s">
        <v>1861</v>
      </c>
      <c r="T3274" s="85" t="s">
        <v>4342</v>
      </c>
    </row>
    <row r="3275" spans="1:20" ht="15.75" thickBot="1" x14ac:dyDescent="0.3">
      <c r="A3275" t="s">
        <v>1929</v>
      </c>
      <c r="B3275" t="s">
        <v>1929</v>
      </c>
      <c r="C3275" s="82" t="s">
        <v>1929</v>
      </c>
      <c r="D3275" s="83" t="s">
        <v>629</v>
      </c>
      <c r="E3275" s="262" t="s">
        <v>1970</v>
      </c>
      <c r="F3275" s="124" t="s">
        <v>620</v>
      </c>
      <c r="G3275" s="130"/>
      <c r="H3275" s="125" t="s">
        <v>733</v>
      </c>
      <c r="I3275" s="340" t="str">
        <f t="shared" si="130"/>
        <v>Pesado de Passageiros M3: I : Gasóleo : E6</v>
      </c>
      <c r="J3275" s="125"/>
      <c r="K3275" s="264">
        <v>2022</v>
      </c>
      <c r="L3275" s="85">
        <v>174.17179999999999</v>
      </c>
      <c r="M3275" s="85" t="s">
        <v>630</v>
      </c>
      <c r="N3275" s="128">
        <v>374</v>
      </c>
      <c r="O3275" s="128">
        <f t="shared" si="129"/>
        <v>0</v>
      </c>
      <c r="P3275" s="125" t="s">
        <v>1425</v>
      </c>
      <c r="Q3275" s="85" t="s">
        <v>47</v>
      </c>
      <c r="R3275" s="220" t="s">
        <v>1888</v>
      </c>
      <c r="S3275" s="220" t="s">
        <v>1861</v>
      </c>
      <c r="T3275" s="85" t="s">
        <v>4343</v>
      </c>
    </row>
    <row r="3276" spans="1:20" ht="15.75" thickBot="1" x14ac:dyDescent="0.3">
      <c r="A3276" t="s">
        <v>1929</v>
      </c>
      <c r="B3276" t="s">
        <v>1929</v>
      </c>
      <c r="C3276" s="82" t="s">
        <v>1929</v>
      </c>
      <c r="D3276" s="83" t="s">
        <v>629</v>
      </c>
      <c r="E3276" s="262" t="s">
        <v>1970</v>
      </c>
      <c r="F3276" s="124" t="s">
        <v>620</v>
      </c>
      <c r="G3276" s="125">
        <v>2022</v>
      </c>
      <c r="H3276" s="125" t="s">
        <v>733</v>
      </c>
      <c r="I3276" s="340" t="str">
        <f t="shared" si="130"/>
        <v>Pesado de Passageiros M3: I : Gasóleo : E6</v>
      </c>
      <c r="J3276" s="125">
        <v>85</v>
      </c>
      <c r="K3276" s="264">
        <v>2022</v>
      </c>
      <c r="L3276" s="129">
        <v>7858.2582000000002</v>
      </c>
      <c r="M3276" s="85" t="s">
        <v>630</v>
      </c>
      <c r="N3276" s="128">
        <v>18538</v>
      </c>
      <c r="O3276" s="128">
        <f t="shared" si="129"/>
        <v>1575730</v>
      </c>
      <c r="P3276" s="420">
        <v>2200</v>
      </c>
      <c r="Q3276" s="85" t="s">
        <v>47</v>
      </c>
      <c r="R3276" s="220" t="s">
        <v>1888</v>
      </c>
      <c r="S3276" s="220" t="s">
        <v>1861</v>
      </c>
      <c r="T3276" s="85" t="s">
        <v>4344</v>
      </c>
    </row>
    <row r="3277" spans="1:20" ht="15.75" thickBot="1" x14ac:dyDescent="0.3">
      <c r="A3277" t="s">
        <v>1929</v>
      </c>
      <c r="B3277" t="s">
        <v>1929</v>
      </c>
      <c r="C3277" s="82" t="s">
        <v>1929</v>
      </c>
      <c r="D3277" s="83" t="s">
        <v>629</v>
      </c>
      <c r="E3277" s="262" t="s">
        <v>1970</v>
      </c>
      <c r="F3277" s="124" t="s">
        <v>620</v>
      </c>
      <c r="G3277" s="130"/>
      <c r="H3277" s="125" t="s">
        <v>733</v>
      </c>
      <c r="I3277" s="340" t="str">
        <f t="shared" si="130"/>
        <v>Pesado de Passageiros M3: I : Gasóleo : E6</v>
      </c>
      <c r="J3277" s="125"/>
      <c r="K3277" s="264">
        <v>2022</v>
      </c>
      <c r="L3277" s="85">
        <v>266.27999999999997</v>
      </c>
      <c r="M3277" s="85" t="s">
        <v>630</v>
      </c>
      <c r="N3277" s="128">
        <v>634</v>
      </c>
      <c r="O3277" s="128">
        <f t="shared" si="129"/>
        <v>0</v>
      </c>
      <c r="P3277" s="125" t="s">
        <v>1433</v>
      </c>
      <c r="Q3277" s="85" t="s">
        <v>47</v>
      </c>
      <c r="R3277" s="220" t="s">
        <v>1888</v>
      </c>
      <c r="S3277" s="220" t="s">
        <v>1861</v>
      </c>
      <c r="T3277" s="85" t="s">
        <v>4345</v>
      </c>
    </row>
    <row r="3278" spans="1:20" ht="15.75" thickBot="1" x14ac:dyDescent="0.3">
      <c r="A3278" t="s">
        <v>1929</v>
      </c>
      <c r="B3278" t="s">
        <v>1929</v>
      </c>
      <c r="C3278" s="82" t="s">
        <v>1929</v>
      </c>
      <c r="D3278" s="83" t="s">
        <v>629</v>
      </c>
      <c r="E3278" s="262" t="s">
        <v>1970</v>
      </c>
      <c r="F3278" s="124" t="s">
        <v>620</v>
      </c>
      <c r="G3278" s="130">
        <v>2022</v>
      </c>
      <c r="H3278" s="125" t="s">
        <v>733</v>
      </c>
      <c r="I3278" s="340" t="str">
        <f t="shared" si="130"/>
        <v>Pesado de Passageiros M3: I : Gasóleo : E6</v>
      </c>
      <c r="J3278" s="125">
        <v>109</v>
      </c>
      <c r="K3278" s="264">
        <v>2022</v>
      </c>
      <c r="L3278" s="129">
        <v>8819.6327999999994</v>
      </c>
      <c r="M3278" s="85" t="s">
        <v>630</v>
      </c>
      <c r="N3278" s="128">
        <v>23444</v>
      </c>
      <c r="O3278" s="128">
        <f t="shared" si="129"/>
        <v>2555396</v>
      </c>
      <c r="P3278" s="125">
        <v>2340</v>
      </c>
      <c r="Q3278" s="85" t="s">
        <v>47</v>
      </c>
      <c r="R3278" s="220" t="s">
        <v>1888</v>
      </c>
      <c r="S3278" s="220" t="s">
        <v>1861</v>
      </c>
      <c r="T3278" s="85" t="s">
        <v>4346</v>
      </c>
    </row>
    <row r="3279" spans="1:20" ht="15.75" thickBot="1" x14ac:dyDescent="0.3">
      <c r="A3279" t="s">
        <v>1929</v>
      </c>
      <c r="B3279" t="s">
        <v>1929</v>
      </c>
      <c r="C3279" s="82" t="s">
        <v>1929</v>
      </c>
      <c r="D3279" s="83" t="s">
        <v>629</v>
      </c>
      <c r="E3279" s="262" t="s">
        <v>1970</v>
      </c>
      <c r="F3279" s="124" t="s">
        <v>620</v>
      </c>
      <c r="G3279" s="130">
        <v>2022</v>
      </c>
      <c r="H3279" s="125" t="s">
        <v>733</v>
      </c>
      <c r="I3279" s="340" t="str">
        <f t="shared" si="130"/>
        <v>Pesado de Passageiros M3: I : Gasóleo : E6</v>
      </c>
      <c r="J3279" s="125">
        <v>83</v>
      </c>
      <c r="K3279" s="264">
        <v>2022</v>
      </c>
      <c r="L3279" s="129">
        <v>7334.0398999999998</v>
      </c>
      <c r="M3279" s="85" t="s">
        <v>630</v>
      </c>
      <c r="N3279" s="128">
        <v>18469</v>
      </c>
      <c r="O3279" s="128">
        <f t="shared" si="129"/>
        <v>1532927</v>
      </c>
      <c r="P3279" s="125">
        <v>2760</v>
      </c>
      <c r="Q3279" s="85" t="s">
        <v>47</v>
      </c>
      <c r="R3279" s="220" t="s">
        <v>1888</v>
      </c>
      <c r="S3279" s="220" t="s">
        <v>1861</v>
      </c>
      <c r="T3279" s="85" t="s">
        <v>4347</v>
      </c>
    </row>
    <row r="3280" spans="1:20" ht="15.75" thickBot="1" x14ac:dyDescent="0.3">
      <c r="A3280" t="s">
        <v>1929</v>
      </c>
      <c r="B3280" t="s">
        <v>1929</v>
      </c>
      <c r="C3280" s="82" t="s">
        <v>1929</v>
      </c>
      <c r="D3280" s="83" t="s">
        <v>629</v>
      </c>
      <c r="E3280" s="262" t="s">
        <v>1970</v>
      </c>
      <c r="F3280" s="124" t="s">
        <v>620</v>
      </c>
      <c r="G3280" s="130"/>
      <c r="H3280" s="125" t="s">
        <v>733</v>
      </c>
      <c r="I3280" s="340" t="str">
        <f t="shared" si="130"/>
        <v>Pesado de Passageiros M3: I : Gasóleo : E6</v>
      </c>
      <c r="J3280" s="125"/>
      <c r="K3280" s="264">
        <v>2022</v>
      </c>
      <c r="L3280" s="85">
        <v>368.91360000000003</v>
      </c>
      <c r="M3280" s="85" t="s">
        <v>630</v>
      </c>
      <c r="N3280" s="128">
        <v>816</v>
      </c>
      <c r="O3280" s="128">
        <f t="shared" si="129"/>
        <v>0</v>
      </c>
      <c r="P3280" s="125" t="s">
        <v>4550</v>
      </c>
      <c r="Q3280" s="85" t="s">
        <v>47</v>
      </c>
      <c r="R3280" s="220" t="s">
        <v>1888</v>
      </c>
      <c r="S3280" s="220" t="s">
        <v>1861</v>
      </c>
      <c r="T3280" s="85" t="s">
        <v>4348</v>
      </c>
    </row>
    <row r="3281" spans="1:20" ht="15.75" thickBot="1" x14ac:dyDescent="0.3">
      <c r="A3281" t="s">
        <v>1929</v>
      </c>
      <c r="B3281" t="s">
        <v>1929</v>
      </c>
      <c r="C3281" s="82" t="s">
        <v>1929</v>
      </c>
      <c r="D3281" s="83" t="s">
        <v>629</v>
      </c>
      <c r="E3281" s="262" t="s">
        <v>1970</v>
      </c>
      <c r="F3281" s="124" t="s">
        <v>620</v>
      </c>
      <c r="G3281" s="130"/>
      <c r="H3281" s="125" t="s">
        <v>733</v>
      </c>
      <c r="I3281" s="340" t="str">
        <f t="shared" si="130"/>
        <v>Pesado de Passageiros M3: I : Gasóleo : E6</v>
      </c>
      <c r="J3281" s="125"/>
      <c r="K3281" s="264">
        <v>2022</v>
      </c>
      <c r="L3281" s="85">
        <v>164.64</v>
      </c>
      <c r="M3281" s="85" t="s">
        <v>630</v>
      </c>
      <c r="N3281" s="128">
        <v>392</v>
      </c>
      <c r="O3281" s="128">
        <f t="shared" si="129"/>
        <v>0</v>
      </c>
      <c r="P3281" s="125" t="s">
        <v>1439</v>
      </c>
      <c r="Q3281" s="85" t="s">
        <v>47</v>
      </c>
      <c r="R3281" s="220" t="s">
        <v>1888</v>
      </c>
      <c r="S3281" s="220" t="s">
        <v>1861</v>
      </c>
      <c r="T3281" s="85" t="s">
        <v>4349</v>
      </c>
    </row>
    <row r="3282" spans="1:20" ht="15.75" thickBot="1" x14ac:dyDescent="0.3">
      <c r="A3282" t="s">
        <v>1929</v>
      </c>
      <c r="B3282" t="s">
        <v>1929</v>
      </c>
      <c r="C3282" s="82" t="s">
        <v>1929</v>
      </c>
      <c r="D3282" s="83" t="s">
        <v>629</v>
      </c>
      <c r="E3282" s="262" t="s">
        <v>1970</v>
      </c>
      <c r="F3282" s="124" t="s">
        <v>620</v>
      </c>
      <c r="G3282" s="130"/>
      <c r="H3282" s="125" t="s">
        <v>733</v>
      </c>
      <c r="I3282" s="340" t="str">
        <f t="shared" si="130"/>
        <v>Pesado de Passageiros M3: I : Gasóleo : E6</v>
      </c>
      <c r="J3282" s="125"/>
      <c r="K3282" s="264">
        <v>2022</v>
      </c>
      <c r="L3282" s="85">
        <v>411.86559999999997</v>
      </c>
      <c r="M3282" s="85" t="s">
        <v>630</v>
      </c>
      <c r="N3282" s="128">
        <v>736</v>
      </c>
      <c r="O3282" s="128">
        <f t="shared" si="129"/>
        <v>0</v>
      </c>
      <c r="P3282" s="125" t="s">
        <v>4551</v>
      </c>
      <c r="Q3282" s="85" t="s">
        <v>47</v>
      </c>
      <c r="R3282" s="220" t="s">
        <v>1888</v>
      </c>
      <c r="S3282" s="220" t="s">
        <v>1861</v>
      </c>
      <c r="T3282" s="85" t="s">
        <v>3430</v>
      </c>
    </row>
    <row r="3283" spans="1:20" ht="15.75" thickBot="1" x14ac:dyDescent="0.3">
      <c r="A3283" t="s">
        <v>1929</v>
      </c>
      <c r="B3283" t="s">
        <v>1929</v>
      </c>
      <c r="C3283" s="82" t="s">
        <v>1929</v>
      </c>
      <c r="D3283" s="83" t="s">
        <v>629</v>
      </c>
      <c r="E3283" s="262" t="s">
        <v>1970</v>
      </c>
      <c r="F3283" s="124" t="s">
        <v>620</v>
      </c>
      <c r="G3283" s="130"/>
      <c r="H3283" s="125" t="s">
        <v>733</v>
      </c>
      <c r="I3283" s="340" t="str">
        <f t="shared" si="130"/>
        <v>Pesado de Passageiros M3: I : Gasóleo : E6</v>
      </c>
      <c r="J3283" s="125"/>
      <c r="K3283" s="264">
        <v>2022</v>
      </c>
      <c r="L3283" s="85">
        <v>110.04</v>
      </c>
      <c r="M3283" s="85" t="s">
        <v>630</v>
      </c>
      <c r="N3283" s="128">
        <v>262</v>
      </c>
      <c r="O3283" s="128">
        <f t="shared" si="129"/>
        <v>0</v>
      </c>
      <c r="P3283" s="125" t="s">
        <v>1440</v>
      </c>
      <c r="Q3283" s="85" t="s">
        <v>47</v>
      </c>
      <c r="R3283" s="220" t="s">
        <v>1888</v>
      </c>
      <c r="S3283" s="220" t="s">
        <v>1861</v>
      </c>
      <c r="T3283" s="85" t="s">
        <v>4350</v>
      </c>
    </row>
    <row r="3284" spans="1:20" ht="15.75" thickBot="1" x14ac:dyDescent="0.3">
      <c r="A3284" t="s">
        <v>1929</v>
      </c>
      <c r="B3284" t="s">
        <v>1929</v>
      </c>
      <c r="C3284" s="82" t="s">
        <v>1929</v>
      </c>
      <c r="D3284" s="83" t="s">
        <v>629</v>
      </c>
      <c r="E3284" s="262" t="s">
        <v>1970</v>
      </c>
      <c r="F3284" s="124" t="s">
        <v>620</v>
      </c>
      <c r="G3284" s="130"/>
      <c r="H3284" s="125" t="s">
        <v>733</v>
      </c>
      <c r="I3284" s="340" t="str">
        <f t="shared" si="130"/>
        <v>Pesado de Passageiros M3: I : Gasóleo : E6</v>
      </c>
      <c r="J3284" s="125"/>
      <c r="K3284" s="264">
        <v>2022</v>
      </c>
      <c r="L3284" s="85">
        <v>250.90259999999998</v>
      </c>
      <c r="M3284" s="85" t="s">
        <v>630</v>
      </c>
      <c r="N3284" s="128">
        <v>494</v>
      </c>
      <c r="O3284" s="128">
        <f t="shared" si="129"/>
        <v>0</v>
      </c>
      <c r="P3284" s="125" t="s">
        <v>4552</v>
      </c>
      <c r="Q3284" s="85" t="s">
        <v>47</v>
      </c>
      <c r="R3284" s="220" t="s">
        <v>1888</v>
      </c>
      <c r="S3284" s="220" t="s">
        <v>1861</v>
      </c>
      <c r="T3284" s="85" t="s">
        <v>3427</v>
      </c>
    </row>
    <row r="3285" spans="1:20" ht="15.75" thickBot="1" x14ac:dyDescent="0.3">
      <c r="A3285" t="s">
        <v>1929</v>
      </c>
      <c r="B3285" t="s">
        <v>1929</v>
      </c>
      <c r="C3285" s="82" t="s">
        <v>1929</v>
      </c>
      <c r="D3285" s="83" t="s">
        <v>629</v>
      </c>
      <c r="E3285" s="262" t="s">
        <v>1970</v>
      </c>
      <c r="F3285" s="124" t="s">
        <v>620</v>
      </c>
      <c r="G3285" s="130">
        <v>2022</v>
      </c>
      <c r="H3285" s="125" t="s">
        <v>733</v>
      </c>
      <c r="I3285" s="340" t="str">
        <f t="shared" si="130"/>
        <v>Pesado de Passageiros M3: I : Gasóleo : E6</v>
      </c>
      <c r="J3285" s="125">
        <v>83</v>
      </c>
      <c r="K3285" s="264">
        <v>2022</v>
      </c>
      <c r="L3285" s="129">
        <v>6837.1758000000009</v>
      </c>
      <c r="M3285" s="85" t="s">
        <v>630</v>
      </c>
      <c r="N3285" s="128">
        <v>19698</v>
      </c>
      <c r="O3285" s="128">
        <f t="shared" si="129"/>
        <v>1634934</v>
      </c>
      <c r="P3285" s="125">
        <v>2758</v>
      </c>
      <c r="Q3285" s="85" t="s">
        <v>47</v>
      </c>
      <c r="R3285" s="220" t="s">
        <v>1888</v>
      </c>
      <c r="S3285" s="220" t="s">
        <v>1861</v>
      </c>
      <c r="T3285" s="85" t="s">
        <v>4351</v>
      </c>
    </row>
    <row r="3286" spans="1:20" ht="15.75" thickBot="1" x14ac:dyDescent="0.3">
      <c r="A3286" t="s">
        <v>1929</v>
      </c>
      <c r="B3286" t="s">
        <v>1929</v>
      </c>
      <c r="C3286" s="82" t="s">
        <v>1929</v>
      </c>
      <c r="D3286" s="83" t="s">
        <v>629</v>
      </c>
      <c r="E3286" s="262" t="s">
        <v>1970</v>
      </c>
      <c r="F3286" s="124" t="s">
        <v>620</v>
      </c>
      <c r="G3286" s="130"/>
      <c r="H3286" s="125" t="s">
        <v>733</v>
      </c>
      <c r="I3286" s="340" t="str">
        <f t="shared" si="130"/>
        <v>Pesado de Passageiros M3: I : Gasóleo : E6</v>
      </c>
      <c r="J3286" s="125"/>
      <c r="K3286" s="264">
        <v>2022</v>
      </c>
      <c r="L3286" s="85">
        <v>2920.0155</v>
      </c>
      <c r="M3286" s="85" t="s">
        <v>630</v>
      </c>
      <c r="N3286" s="128">
        <v>8331</v>
      </c>
      <c r="O3286" s="128">
        <f t="shared" si="129"/>
        <v>0</v>
      </c>
      <c r="P3286" s="125" t="s">
        <v>4553</v>
      </c>
      <c r="Q3286" s="85" t="s">
        <v>47</v>
      </c>
      <c r="R3286" s="220" t="s">
        <v>1888</v>
      </c>
      <c r="S3286" s="220" t="s">
        <v>1861</v>
      </c>
      <c r="T3286" s="85" t="s">
        <v>4352</v>
      </c>
    </row>
    <row r="3287" spans="1:20" ht="15.75" thickBot="1" x14ac:dyDescent="0.3">
      <c r="A3287" t="s">
        <v>1929</v>
      </c>
      <c r="B3287" t="s">
        <v>1929</v>
      </c>
      <c r="C3287" s="82" t="s">
        <v>1929</v>
      </c>
      <c r="D3287" s="83" t="s">
        <v>629</v>
      </c>
      <c r="E3287" s="262" t="s">
        <v>1970</v>
      </c>
      <c r="F3287" s="124" t="s">
        <v>620</v>
      </c>
      <c r="G3287" s="130">
        <v>2022</v>
      </c>
      <c r="H3287" s="125" t="s">
        <v>733</v>
      </c>
      <c r="I3287" s="340" t="str">
        <f t="shared" si="130"/>
        <v>Pesado de Passageiros M3: I : Gasóleo : E6</v>
      </c>
      <c r="J3287" s="125">
        <v>83</v>
      </c>
      <c r="K3287" s="264">
        <v>2022</v>
      </c>
      <c r="L3287" s="421">
        <v>3068.7644999999998</v>
      </c>
      <c r="M3287" s="85" t="s">
        <v>630</v>
      </c>
      <c r="N3287" s="128">
        <v>8334</v>
      </c>
      <c r="O3287" s="128">
        <f t="shared" si="129"/>
        <v>691722</v>
      </c>
      <c r="P3287" s="125">
        <v>2756</v>
      </c>
      <c r="Q3287" s="85" t="s">
        <v>47</v>
      </c>
      <c r="R3287" s="220" t="s">
        <v>1888</v>
      </c>
      <c r="S3287" s="220" t="s">
        <v>1861</v>
      </c>
      <c r="T3287" s="85" t="s">
        <v>4352</v>
      </c>
    </row>
    <row r="3288" spans="1:20" ht="15.75" thickBot="1" x14ac:dyDescent="0.3">
      <c r="A3288" t="s">
        <v>1929</v>
      </c>
      <c r="B3288" t="s">
        <v>1929</v>
      </c>
      <c r="C3288" s="82" t="s">
        <v>1929</v>
      </c>
      <c r="D3288" s="83" t="s">
        <v>629</v>
      </c>
      <c r="E3288" s="262" t="s">
        <v>1970</v>
      </c>
      <c r="F3288" s="124" t="s">
        <v>620</v>
      </c>
      <c r="G3288" s="130"/>
      <c r="H3288" s="125" t="s">
        <v>733</v>
      </c>
      <c r="I3288" s="340" t="str">
        <f t="shared" si="130"/>
        <v>Pesado de Passageiros M3: I : Gasóleo : E6</v>
      </c>
      <c r="J3288" s="125"/>
      <c r="K3288" s="264">
        <v>2022</v>
      </c>
      <c r="L3288" s="85">
        <v>459.8</v>
      </c>
      <c r="M3288" s="85" t="s">
        <v>630</v>
      </c>
      <c r="N3288" s="128">
        <v>968</v>
      </c>
      <c r="O3288" s="128">
        <f t="shared" si="129"/>
        <v>0</v>
      </c>
      <c r="P3288" s="125" t="s">
        <v>1426</v>
      </c>
      <c r="Q3288" s="85" t="s">
        <v>47</v>
      </c>
      <c r="R3288" s="220" t="s">
        <v>1888</v>
      </c>
      <c r="S3288" s="220" t="s">
        <v>1861</v>
      </c>
      <c r="T3288" s="85" t="s">
        <v>4353</v>
      </c>
    </row>
    <row r="3289" spans="1:20" ht="15.75" thickBot="1" x14ac:dyDescent="0.3">
      <c r="A3289" t="s">
        <v>1929</v>
      </c>
      <c r="B3289" t="s">
        <v>1929</v>
      </c>
      <c r="C3289" s="82" t="s">
        <v>1929</v>
      </c>
      <c r="D3289" s="83" t="s">
        <v>629</v>
      </c>
      <c r="E3289" s="262" t="s">
        <v>1970</v>
      </c>
      <c r="F3289" s="124" t="s">
        <v>620</v>
      </c>
      <c r="G3289" s="130"/>
      <c r="H3289" s="125" t="s">
        <v>733</v>
      </c>
      <c r="I3289" s="340" t="str">
        <f t="shared" si="130"/>
        <v>Pesado de Passageiros M3: I : Gasóleo : E6</v>
      </c>
      <c r="J3289" s="125"/>
      <c r="K3289" s="264">
        <v>2022</v>
      </c>
      <c r="L3289" s="85">
        <v>145.74</v>
      </c>
      <c r="M3289" s="85" t="s">
        <v>630</v>
      </c>
      <c r="N3289" s="128">
        <v>347</v>
      </c>
      <c r="O3289" s="128">
        <f t="shared" si="129"/>
        <v>0</v>
      </c>
      <c r="P3289" s="125" t="s">
        <v>4554</v>
      </c>
      <c r="Q3289" s="85" t="s">
        <v>47</v>
      </c>
      <c r="R3289" s="220" t="s">
        <v>1888</v>
      </c>
      <c r="S3289" s="220" t="s">
        <v>1861</v>
      </c>
      <c r="T3289" s="85" t="s">
        <v>4354</v>
      </c>
    </row>
    <row r="3290" spans="1:20" ht="15.75" thickBot="1" x14ac:dyDescent="0.3">
      <c r="A3290" t="s">
        <v>1929</v>
      </c>
      <c r="B3290" t="s">
        <v>1929</v>
      </c>
      <c r="C3290" s="82" t="s">
        <v>1929</v>
      </c>
      <c r="D3290" s="83" t="s">
        <v>629</v>
      </c>
      <c r="E3290" s="262" t="s">
        <v>1970</v>
      </c>
      <c r="F3290" s="124" t="s">
        <v>620</v>
      </c>
      <c r="G3290" s="130">
        <v>2022</v>
      </c>
      <c r="H3290" s="125" t="s">
        <v>733</v>
      </c>
      <c r="I3290" s="340" t="str">
        <f t="shared" si="130"/>
        <v>Pesado de Passageiros M3: I : Gasóleo : E6</v>
      </c>
      <c r="J3290" s="125">
        <v>83</v>
      </c>
      <c r="K3290" s="264">
        <v>2022</v>
      </c>
      <c r="L3290" s="129">
        <v>7990.8074999999999</v>
      </c>
      <c r="M3290" s="85" t="s">
        <v>630</v>
      </c>
      <c r="N3290" s="128">
        <v>20891</v>
      </c>
      <c r="O3290" s="128">
        <f t="shared" si="129"/>
        <v>1733953</v>
      </c>
      <c r="P3290" s="125">
        <v>2761</v>
      </c>
      <c r="Q3290" s="85" t="s">
        <v>47</v>
      </c>
      <c r="R3290" s="220" t="s">
        <v>1888</v>
      </c>
      <c r="S3290" s="220" t="s">
        <v>1861</v>
      </c>
      <c r="T3290" s="85" t="s">
        <v>4355</v>
      </c>
    </row>
    <row r="3291" spans="1:20" ht="15.75" thickBot="1" x14ac:dyDescent="0.3">
      <c r="A3291" t="s">
        <v>1929</v>
      </c>
      <c r="B3291" t="s">
        <v>1929</v>
      </c>
      <c r="C3291" s="82" t="s">
        <v>1929</v>
      </c>
      <c r="D3291" s="83" t="s">
        <v>629</v>
      </c>
      <c r="E3291" s="262" t="s">
        <v>1970</v>
      </c>
      <c r="F3291" s="124" t="s">
        <v>620</v>
      </c>
      <c r="G3291" s="130"/>
      <c r="H3291" s="125" t="s">
        <v>733</v>
      </c>
      <c r="I3291" s="340" t="str">
        <f t="shared" si="130"/>
        <v>Pesado de Passageiros M3: I : Gasóleo : E6</v>
      </c>
      <c r="J3291" s="125"/>
      <c r="K3291" s="264">
        <v>2022</v>
      </c>
      <c r="L3291" s="85">
        <v>10.08</v>
      </c>
      <c r="M3291" s="85" t="s">
        <v>630</v>
      </c>
      <c r="N3291" s="128">
        <v>24</v>
      </c>
      <c r="O3291" s="128">
        <f t="shared" si="129"/>
        <v>0</v>
      </c>
      <c r="P3291" s="125" t="s">
        <v>1447</v>
      </c>
      <c r="Q3291" s="85" t="s">
        <v>47</v>
      </c>
      <c r="R3291" s="220" t="s">
        <v>1888</v>
      </c>
      <c r="S3291" s="220" t="s">
        <v>1861</v>
      </c>
      <c r="T3291" s="85" t="s">
        <v>4356</v>
      </c>
    </row>
    <row r="3292" spans="1:20" ht="15.75" thickBot="1" x14ac:dyDescent="0.3">
      <c r="A3292" t="s">
        <v>1929</v>
      </c>
      <c r="B3292" t="s">
        <v>1929</v>
      </c>
      <c r="C3292" s="82" t="s">
        <v>1929</v>
      </c>
      <c r="D3292" s="83" t="s">
        <v>629</v>
      </c>
      <c r="E3292" s="262" t="s">
        <v>1970</v>
      </c>
      <c r="F3292" s="124" t="s">
        <v>620</v>
      </c>
      <c r="G3292" s="130"/>
      <c r="H3292" s="125" t="s">
        <v>733</v>
      </c>
      <c r="I3292" s="340" t="str">
        <f t="shared" si="130"/>
        <v>Pesado de Passageiros M3: I : Gasóleo : E6</v>
      </c>
      <c r="J3292" s="125"/>
      <c r="K3292" s="264">
        <v>2022</v>
      </c>
      <c r="L3292" s="85">
        <v>46.62</v>
      </c>
      <c r="M3292" s="85" t="s">
        <v>630</v>
      </c>
      <c r="N3292" s="128">
        <v>111</v>
      </c>
      <c r="O3292" s="128">
        <f t="shared" si="129"/>
        <v>0</v>
      </c>
      <c r="P3292" s="125" t="s">
        <v>1421</v>
      </c>
      <c r="Q3292" s="85" t="s">
        <v>47</v>
      </c>
      <c r="R3292" s="220" t="s">
        <v>1888</v>
      </c>
      <c r="S3292" s="220" t="s">
        <v>1861</v>
      </c>
      <c r="T3292" s="85" t="s">
        <v>4357</v>
      </c>
    </row>
    <row r="3293" spans="1:20" ht="15.75" thickBot="1" x14ac:dyDescent="0.3">
      <c r="A3293" t="s">
        <v>1929</v>
      </c>
      <c r="B3293" t="s">
        <v>1929</v>
      </c>
      <c r="C3293" s="82" t="s">
        <v>1929</v>
      </c>
      <c r="D3293" s="83" t="s">
        <v>629</v>
      </c>
      <c r="E3293" s="262" t="s">
        <v>1970</v>
      </c>
      <c r="F3293" s="124" t="s">
        <v>620</v>
      </c>
      <c r="G3293" s="130"/>
      <c r="H3293" s="125" t="s">
        <v>733</v>
      </c>
      <c r="I3293" s="340" t="str">
        <f t="shared" si="130"/>
        <v>Pesado de Passageiros M3: I : Gasóleo : E6</v>
      </c>
      <c r="J3293" s="125"/>
      <c r="K3293" s="264">
        <v>2022</v>
      </c>
      <c r="L3293" s="85">
        <v>291.7808</v>
      </c>
      <c r="M3293" s="85" t="s">
        <v>630</v>
      </c>
      <c r="N3293" s="128">
        <v>688</v>
      </c>
      <c r="O3293" s="128">
        <f t="shared" si="129"/>
        <v>0</v>
      </c>
      <c r="P3293" s="125" t="s">
        <v>4555</v>
      </c>
      <c r="Q3293" s="85" t="s">
        <v>47</v>
      </c>
      <c r="R3293" s="220" t="s">
        <v>1888</v>
      </c>
      <c r="S3293" s="220" t="s">
        <v>1861</v>
      </c>
      <c r="T3293" s="85" t="s">
        <v>4358</v>
      </c>
    </row>
    <row r="3294" spans="1:20" ht="15.75" thickBot="1" x14ac:dyDescent="0.3">
      <c r="A3294" t="s">
        <v>1929</v>
      </c>
      <c r="B3294" t="s">
        <v>1929</v>
      </c>
      <c r="C3294" s="82" t="s">
        <v>1929</v>
      </c>
      <c r="D3294" s="83" t="s">
        <v>629</v>
      </c>
      <c r="E3294" s="262" t="s">
        <v>1970</v>
      </c>
      <c r="F3294" s="124" t="s">
        <v>620</v>
      </c>
      <c r="G3294" s="130">
        <v>2022</v>
      </c>
      <c r="H3294" s="125" t="s">
        <v>733</v>
      </c>
      <c r="I3294" s="340" t="str">
        <f t="shared" si="130"/>
        <v>Pesado de Passageiros M3: I : Gasóleo : E6</v>
      </c>
      <c r="J3294" s="125">
        <v>109</v>
      </c>
      <c r="K3294" s="264">
        <v>2022</v>
      </c>
      <c r="L3294" s="129">
        <v>4269.4445999999998</v>
      </c>
      <c r="M3294" s="85" t="s">
        <v>630</v>
      </c>
      <c r="N3294" s="128">
        <v>11101</v>
      </c>
      <c r="O3294" s="128">
        <f t="shared" si="129"/>
        <v>1210009</v>
      </c>
      <c r="P3294" s="125">
        <v>2342</v>
      </c>
      <c r="Q3294" s="85" t="s">
        <v>47</v>
      </c>
      <c r="R3294" s="220" t="s">
        <v>1888</v>
      </c>
      <c r="S3294" s="220" t="s">
        <v>1861</v>
      </c>
      <c r="T3294" s="85" t="s">
        <v>4359</v>
      </c>
    </row>
    <row r="3295" spans="1:20" ht="15.75" thickBot="1" x14ac:dyDescent="0.3">
      <c r="A3295" t="s">
        <v>1929</v>
      </c>
      <c r="B3295" t="s">
        <v>1929</v>
      </c>
      <c r="C3295" s="82" t="s">
        <v>1929</v>
      </c>
      <c r="D3295" s="83" t="s">
        <v>629</v>
      </c>
      <c r="E3295" s="262" t="s">
        <v>1970</v>
      </c>
      <c r="F3295" s="124" t="s">
        <v>620</v>
      </c>
      <c r="G3295" s="125">
        <v>2022</v>
      </c>
      <c r="H3295" s="125" t="s">
        <v>733</v>
      </c>
      <c r="I3295" s="340" t="str">
        <f t="shared" si="130"/>
        <v>Pesado de Passageiros M3: I : Gasóleo : E6</v>
      </c>
      <c r="J3295" s="125">
        <v>109</v>
      </c>
      <c r="K3295" s="264">
        <v>2022</v>
      </c>
      <c r="L3295" s="129">
        <v>1118.8668</v>
      </c>
      <c r="M3295" s="85" t="s">
        <v>630</v>
      </c>
      <c r="N3295" s="128">
        <v>2687</v>
      </c>
      <c r="O3295" s="128">
        <f t="shared" si="129"/>
        <v>292883</v>
      </c>
      <c r="P3295" s="420">
        <v>2317</v>
      </c>
      <c r="Q3295" s="85" t="s">
        <v>47</v>
      </c>
      <c r="R3295" s="220" t="s">
        <v>1888</v>
      </c>
      <c r="S3295" s="220" t="s">
        <v>1861</v>
      </c>
      <c r="T3295" s="85" t="s">
        <v>4360</v>
      </c>
    </row>
    <row r="3296" spans="1:20" ht="15.75" thickBot="1" x14ac:dyDescent="0.3">
      <c r="A3296" t="s">
        <v>1929</v>
      </c>
      <c r="B3296" t="s">
        <v>1929</v>
      </c>
      <c r="C3296" s="82" t="s">
        <v>1929</v>
      </c>
      <c r="D3296" s="83" t="s">
        <v>629</v>
      </c>
      <c r="E3296" s="262" t="s">
        <v>1970</v>
      </c>
      <c r="F3296" s="124" t="s">
        <v>620</v>
      </c>
      <c r="G3296" s="130"/>
      <c r="H3296" s="125" t="s">
        <v>733</v>
      </c>
      <c r="I3296" s="340" t="str">
        <f t="shared" si="130"/>
        <v>Pesado de Passageiros M3: I : Gasóleo : E6</v>
      </c>
      <c r="J3296" s="125"/>
      <c r="K3296" s="264">
        <v>2022</v>
      </c>
      <c r="L3296" s="85">
        <v>65.94</v>
      </c>
      <c r="M3296" s="85" t="s">
        <v>630</v>
      </c>
      <c r="N3296" s="128">
        <v>157</v>
      </c>
      <c r="O3296" s="128">
        <f t="shared" si="129"/>
        <v>0</v>
      </c>
      <c r="P3296" s="125" t="s">
        <v>1420</v>
      </c>
      <c r="Q3296" s="85" t="s">
        <v>47</v>
      </c>
      <c r="R3296" s="220" t="s">
        <v>1888</v>
      </c>
      <c r="S3296" s="220" t="s">
        <v>1861</v>
      </c>
      <c r="T3296" s="85" t="s">
        <v>4361</v>
      </c>
    </row>
    <row r="3297" spans="1:20" ht="15.75" thickBot="1" x14ac:dyDescent="0.3">
      <c r="A3297" t="s">
        <v>1929</v>
      </c>
      <c r="B3297" t="s">
        <v>1929</v>
      </c>
      <c r="C3297" s="82" t="s">
        <v>1929</v>
      </c>
      <c r="D3297" s="83" t="s">
        <v>629</v>
      </c>
      <c r="E3297" s="262" t="s">
        <v>1970</v>
      </c>
      <c r="F3297" s="124" t="s">
        <v>620</v>
      </c>
      <c r="G3297" s="130"/>
      <c r="H3297" s="125" t="s">
        <v>733</v>
      </c>
      <c r="I3297" s="340" t="str">
        <f t="shared" si="130"/>
        <v>Pesado de Passageiros M3: I : Gasóleo : E6</v>
      </c>
      <c r="J3297" s="125"/>
      <c r="K3297" s="264">
        <v>2022</v>
      </c>
      <c r="L3297" s="85">
        <v>106.26</v>
      </c>
      <c r="M3297" s="85" t="s">
        <v>630</v>
      </c>
      <c r="N3297" s="128">
        <v>253</v>
      </c>
      <c r="O3297" s="128">
        <f t="shared" si="129"/>
        <v>0</v>
      </c>
      <c r="P3297" s="125" t="s">
        <v>1446</v>
      </c>
      <c r="Q3297" s="85" t="s">
        <v>47</v>
      </c>
      <c r="R3297" s="220" t="s">
        <v>1888</v>
      </c>
      <c r="S3297" s="220" t="s">
        <v>1861</v>
      </c>
      <c r="T3297" s="85" t="s">
        <v>4362</v>
      </c>
    </row>
    <row r="3298" spans="1:20" ht="15.75" thickBot="1" x14ac:dyDescent="0.3">
      <c r="A3298" t="s">
        <v>1929</v>
      </c>
      <c r="B3298" t="s">
        <v>1929</v>
      </c>
      <c r="C3298" s="82" t="s">
        <v>1929</v>
      </c>
      <c r="D3298" s="83" t="s">
        <v>629</v>
      </c>
      <c r="E3298" s="262" t="s">
        <v>1970</v>
      </c>
      <c r="F3298" s="124" t="s">
        <v>620</v>
      </c>
      <c r="G3298" s="125">
        <v>2022</v>
      </c>
      <c r="H3298" s="125" t="s">
        <v>733</v>
      </c>
      <c r="I3298" s="340" t="str">
        <f t="shared" si="130"/>
        <v>Pesado de Passageiros M3: I : Gasóleo : E6</v>
      </c>
      <c r="J3298" s="125">
        <v>109</v>
      </c>
      <c r="K3298" s="264">
        <v>2022</v>
      </c>
      <c r="L3298" s="129">
        <v>1271.3399999999999</v>
      </c>
      <c r="M3298" s="85" t="s">
        <v>630</v>
      </c>
      <c r="N3298" s="128">
        <v>3027</v>
      </c>
      <c r="O3298" s="128">
        <f t="shared" si="129"/>
        <v>329943</v>
      </c>
      <c r="P3298" s="420">
        <v>2320</v>
      </c>
      <c r="Q3298" s="85" t="s">
        <v>47</v>
      </c>
      <c r="R3298" s="220" t="s">
        <v>1888</v>
      </c>
      <c r="S3298" s="220" t="s">
        <v>1861</v>
      </c>
      <c r="T3298" s="85" t="s">
        <v>4363</v>
      </c>
    </row>
    <row r="3299" spans="1:20" ht="15.75" thickBot="1" x14ac:dyDescent="0.3">
      <c r="A3299" t="s">
        <v>1929</v>
      </c>
      <c r="B3299" t="s">
        <v>1929</v>
      </c>
      <c r="C3299" s="82" t="s">
        <v>1929</v>
      </c>
      <c r="D3299" s="83" t="s">
        <v>629</v>
      </c>
      <c r="E3299" s="262" t="s">
        <v>1970</v>
      </c>
      <c r="F3299" s="124" t="s">
        <v>620</v>
      </c>
      <c r="G3299" s="125">
        <v>2022</v>
      </c>
      <c r="H3299" s="125" t="s">
        <v>733</v>
      </c>
      <c r="I3299" s="340" t="str">
        <f t="shared" si="130"/>
        <v>Pesado de Passageiros M3: I : Gasóleo : E6</v>
      </c>
      <c r="J3299" s="125">
        <v>109</v>
      </c>
      <c r="K3299" s="264">
        <v>2022</v>
      </c>
      <c r="L3299" s="129">
        <v>9751.3801999999996</v>
      </c>
      <c r="M3299" s="85" t="s">
        <v>630</v>
      </c>
      <c r="N3299" s="128">
        <v>25381</v>
      </c>
      <c r="O3299" s="128">
        <f t="shared" si="129"/>
        <v>2766529</v>
      </c>
      <c r="P3299" s="420">
        <v>2336</v>
      </c>
      <c r="Q3299" s="85" t="s">
        <v>47</v>
      </c>
      <c r="R3299" s="220" t="s">
        <v>1888</v>
      </c>
      <c r="S3299" s="220" t="s">
        <v>1861</v>
      </c>
      <c r="T3299" s="85" t="s">
        <v>4364</v>
      </c>
    </row>
    <row r="3300" spans="1:20" ht="15.75" thickBot="1" x14ac:dyDescent="0.3">
      <c r="A3300" t="s">
        <v>1929</v>
      </c>
      <c r="B3300" t="s">
        <v>1929</v>
      </c>
      <c r="C3300" s="82" t="s">
        <v>1929</v>
      </c>
      <c r="D3300" s="83" t="s">
        <v>629</v>
      </c>
      <c r="E3300" s="262" t="s">
        <v>1970</v>
      </c>
      <c r="F3300" s="124" t="s">
        <v>620</v>
      </c>
      <c r="G3300" s="130"/>
      <c r="H3300" s="125" t="s">
        <v>733</v>
      </c>
      <c r="I3300" s="340" t="str">
        <f t="shared" si="130"/>
        <v>Pesado de Passageiros M3: I : Gasóleo : E6</v>
      </c>
      <c r="J3300" s="125"/>
      <c r="K3300" s="264">
        <v>2022</v>
      </c>
      <c r="L3300" s="85">
        <v>326.97899999999998</v>
      </c>
      <c r="M3300" s="85" t="s">
        <v>630</v>
      </c>
      <c r="N3300" s="128">
        <v>773</v>
      </c>
      <c r="O3300" s="128">
        <f t="shared" si="129"/>
        <v>0</v>
      </c>
      <c r="P3300" s="125" t="s">
        <v>4556</v>
      </c>
      <c r="Q3300" s="85" t="s">
        <v>47</v>
      </c>
      <c r="R3300" s="220" t="s">
        <v>1888</v>
      </c>
      <c r="S3300" s="220" t="s">
        <v>1861</v>
      </c>
      <c r="T3300" s="85" t="s">
        <v>4365</v>
      </c>
    </row>
    <row r="3301" spans="1:20" ht="15.75" thickBot="1" x14ac:dyDescent="0.3">
      <c r="A3301" t="s">
        <v>1929</v>
      </c>
      <c r="B3301" t="s">
        <v>1929</v>
      </c>
      <c r="C3301" s="82" t="s">
        <v>1929</v>
      </c>
      <c r="D3301" s="83" t="s">
        <v>629</v>
      </c>
      <c r="E3301" s="262" t="s">
        <v>1970</v>
      </c>
      <c r="F3301" s="124" t="s">
        <v>620</v>
      </c>
      <c r="G3301" s="130"/>
      <c r="H3301" s="125" t="s">
        <v>733</v>
      </c>
      <c r="I3301" s="340" t="str">
        <f t="shared" si="130"/>
        <v>Pesado de Passageiros M3: I : Gasóleo : E6</v>
      </c>
      <c r="J3301" s="125"/>
      <c r="K3301" s="264">
        <v>2022</v>
      </c>
      <c r="L3301" s="85">
        <v>59.64</v>
      </c>
      <c r="M3301" s="85" t="s">
        <v>630</v>
      </c>
      <c r="N3301" s="128">
        <v>142</v>
      </c>
      <c r="O3301" s="128">
        <f t="shared" si="129"/>
        <v>0</v>
      </c>
      <c r="P3301" s="125" t="s">
        <v>1436</v>
      </c>
      <c r="Q3301" s="85" t="s">
        <v>47</v>
      </c>
      <c r="R3301" s="220" t="s">
        <v>1888</v>
      </c>
      <c r="S3301" s="220" t="s">
        <v>1861</v>
      </c>
      <c r="T3301" s="85" t="s">
        <v>4366</v>
      </c>
    </row>
    <row r="3302" spans="1:20" ht="15.75" thickBot="1" x14ac:dyDescent="0.3">
      <c r="A3302" t="s">
        <v>1929</v>
      </c>
      <c r="B3302" t="s">
        <v>1929</v>
      </c>
      <c r="C3302" s="82" t="s">
        <v>1929</v>
      </c>
      <c r="D3302" s="83" t="s">
        <v>629</v>
      </c>
      <c r="E3302" s="262" t="s">
        <v>1970</v>
      </c>
      <c r="F3302" s="124" t="s">
        <v>620</v>
      </c>
      <c r="G3302" s="130"/>
      <c r="H3302" s="125" t="s">
        <v>733</v>
      </c>
      <c r="I3302" s="340" t="str">
        <f t="shared" si="130"/>
        <v>Pesado de Passageiros M3: I : Gasóleo : E6</v>
      </c>
      <c r="J3302" s="125"/>
      <c r="K3302" s="264">
        <v>2022</v>
      </c>
      <c r="L3302" s="85">
        <v>76.44</v>
      </c>
      <c r="M3302" s="85" t="s">
        <v>630</v>
      </c>
      <c r="N3302" s="128">
        <v>182</v>
      </c>
      <c r="O3302" s="128">
        <f t="shared" si="129"/>
        <v>0</v>
      </c>
      <c r="P3302" s="125" t="s">
        <v>1438</v>
      </c>
      <c r="Q3302" s="85" t="s">
        <v>47</v>
      </c>
      <c r="R3302" s="220" t="s">
        <v>1888</v>
      </c>
      <c r="S3302" s="220" t="s">
        <v>1861</v>
      </c>
      <c r="T3302" s="85" t="s">
        <v>4367</v>
      </c>
    </row>
    <row r="3303" spans="1:20" ht="15.75" thickBot="1" x14ac:dyDescent="0.3">
      <c r="A3303" t="s">
        <v>1929</v>
      </c>
      <c r="B3303" t="s">
        <v>1929</v>
      </c>
      <c r="C3303" s="82" t="s">
        <v>1929</v>
      </c>
      <c r="D3303" s="83" t="s">
        <v>629</v>
      </c>
      <c r="E3303" s="262" t="s">
        <v>1970</v>
      </c>
      <c r="F3303" s="124" t="s">
        <v>620</v>
      </c>
      <c r="G3303" s="130"/>
      <c r="H3303" s="125" t="s">
        <v>733</v>
      </c>
      <c r="I3303" s="340" t="str">
        <f t="shared" si="130"/>
        <v>Pesado de Passageiros M3: I : Gasóleo : E6</v>
      </c>
      <c r="J3303" s="125"/>
      <c r="K3303" s="264">
        <v>2022</v>
      </c>
      <c r="L3303" s="85">
        <v>354.9504</v>
      </c>
      <c r="M3303" s="85" t="s">
        <v>630</v>
      </c>
      <c r="N3303" s="128">
        <v>834</v>
      </c>
      <c r="O3303" s="128">
        <f t="shared" si="129"/>
        <v>0</v>
      </c>
      <c r="P3303" s="125" t="s">
        <v>4557</v>
      </c>
      <c r="Q3303" s="85" t="s">
        <v>47</v>
      </c>
      <c r="R3303" s="220" t="s">
        <v>1888</v>
      </c>
      <c r="S3303" s="220" t="s">
        <v>1861</v>
      </c>
      <c r="T3303" s="85" t="s">
        <v>4368</v>
      </c>
    </row>
    <row r="3304" spans="1:20" ht="15.75" thickBot="1" x14ac:dyDescent="0.3">
      <c r="A3304" t="s">
        <v>1929</v>
      </c>
      <c r="B3304" t="s">
        <v>1929</v>
      </c>
      <c r="C3304" s="82" t="s">
        <v>1929</v>
      </c>
      <c r="D3304" s="83" t="s">
        <v>629</v>
      </c>
      <c r="E3304" s="262" t="s">
        <v>1970</v>
      </c>
      <c r="F3304" s="124" t="s">
        <v>620</v>
      </c>
      <c r="G3304" s="130"/>
      <c r="H3304" s="125" t="s">
        <v>733</v>
      </c>
      <c r="I3304" s="340" t="str">
        <f t="shared" si="130"/>
        <v>Pesado de Passageiros M3: I : Gasóleo : E6</v>
      </c>
      <c r="J3304" s="125"/>
      <c r="K3304" s="264">
        <v>2022</v>
      </c>
      <c r="L3304" s="85">
        <v>3966.0390000000002</v>
      </c>
      <c r="M3304" s="85" t="s">
        <v>630</v>
      </c>
      <c r="N3304" s="128">
        <v>10670</v>
      </c>
      <c r="O3304" s="128">
        <f t="shared" si="129"/>
        <v>0</v>
      </c>
      <c r="P3304" s="125" t="s">
        <v>4558</v>
      </c>
      <c r="Q3304" s="85" t="s">
        <v>47</v>
      </c>
      <c r="R3304" s="220" t="s">
        <v>1888</v>
      </c>
      <c r="S3304" s="220" t="s">
        <v>1861</v>
      </c>
      <c r="T3304" s="85" t="s">
        <v>3444</v>
      </c>
    </row>
    <row r="3305" spans="1:20" ht="15.75" thickBot="1" x14ac:dyDescent="0.3">
      <c r="A3305" t="s">
        <v>1929</v>
      </c>
      <c r="B3305" t="s">
        <v>1929</v>
      </c>
      <c r="C3305" s="82" t="s">
        <v>1929</v>
      </c>
      <c r="D3305" s="83" t="s">
        <v>629</v>
      </c>
      <c r="E3305" s="262" t="s">
        <v>1970</v>
      </c>
      <c r="F3305" s="124" t="s">
        <v>620</v>
      </c>
      <c r="G3305" s="130"/>
      <c r="H3305" s="125" t="s">
        <v>733</v>
      </c>
      <c r="I3305" s="340" t="str">
        <f t="shared" si="130"/>
        <v>Pesado de Passageiros M3: I : Gasóleo : E6</v>
      </c>
      <c r="J3305" s="125"/>
      <c r="K3305" s="264">
        <v>2022</v>
      </c>
      <c r="L3305" s="85">
        <v>17.64</v>
      </c>
      <c r="M3305" s="85" t="s">
        <v>630</v>
      </c>
      <c r="N3305" s="128">
        <v>84</v>
      </c>
      <c r="O3305" s="128">
        <f t="shared" si="129"/>
        <v>0</v>
      </c>
      <c r="P3305" s="125" t="s">
        <v>4559</v>
      </c>
      <c r="Q3305" s="85" t="s">
        <v>47</v>
      </c>
      <c r="R3305" s="220" t="s">
        <v>1888</v>
      </c>
      <c r="S3305" s="220" t="s">
        <v>1861</v>
      </c>
      <c r="T3305" s="85" t="s">
        <v>3415</v>
      </c>
    </row>
    <row r="3306" spans="1:20" ht="15.75" thickBot="1" x14ac:dyDescent="0.3">
      <c r="A3306" t="s">
        <v>1929</v>
      </c>
      <c r="B3306" t="s">
        <v>1929</v>
      </c>
      <c r="C3306" s="82" t="s">
        <v>1929</v>
      </c>
      <c r="D3306" s="83" t="s">
        <v>629</v>
      </c>
      <c r="E3306" s="262" t="s">
        <v>1970</v>
      </c>
      <c r="F3306" s="124" t="s">
        <v>620</v>
      </c>
      <c r="G3306" s="130">
        <v>2022</v>
      </c>
      <c r="H3306" s="125" t="s">
        <v>733</v>
      </c>
      <c r="I3306" s="340" t="str">
        <f t="shared" si="130"/>
        <v>Pesado de Passageiros M3: I : Gasóleo : E6</v>
      </c>
      <c r="J3306" s="125">
        <v>83</v>
      </c>
      <c r="K3306" s="264">
        <v>2022</v>
      </c>
      <c r="L3306" s="129">
        <v>7947.3394000000008</v>
      </c>
      <c r="M3306" s="85" t="s">
        <v>630</v>
      </c>
      <c r="N3306" s="128">
        <v>19474</v>
      </c>
      <c r="O3306" s="128">
        <f t="shared" si="129"/>
        <v>1616342</v>
      </c>
      <c r="P3306" s="125">
        <v>2759</v>
      </c>
      <c r="Q3306" s="85" t="s">
        <v>47</v>
      </c>
      <c r="R3306" s="220" t="s">
        <v>1888</v>
      </c>
      <c r="S3306" s="220" t="s">
        <v>1861</v>
      </c>
      <c r="T3306" s="85" t="s">
        <v>4369</v>
      </c>
    </row>
    <row r="3307" spans="1:20" ht="15.75" thickBot="1" x14ac:dyDescent="0.3">
      <c r="A3307" t="s">
        <v>1929</v>
      </c>
      <c r="B3307" t="s">
        <v>1929</v>
      </c>
      <c r="C3307" s="82" t="s">
        <v>1929</v>
      </c>
      <c r="D3307" s="83" t="s">
        <v>629</v>
      </c>
      <c r="E3307" s="262" t="s">
        <v>1970</v>
      </c>
      <c r="F3307" s="124" t="s">
        <v>620</v>
      </c>
      <c r="G3307" s="125">
        <v>2022</v>
      </c>
      <c r="H3307" s="125" t="s">
        <v>733</v>
      </c>
      <c r="I3307" s="340" t="str">
        <f t="shared" si="130"/>
        <v>Pesado de Passageiros M3: I : Gasóleo : E6</v>
      </c>
      <c r="J3307" s="125">
        <v>109</v>
      </c>
      <c r="K3307" s="264">
        <v>2022</v>
      </c>
      <c r="L3307" s="129">
        <v>1088.4665</v>
      </c>
      <c r="M3307" s="85" t="s">
        <v>630</v>
      </c>
      <c r="N3307" s="128">
        <v>2711</v>
      </c>
      <c r="O3307" s="128">
        <f t="shared" si="129"/>
        <v>295499</v>
      </c>
      <c r="P3307" s="420">
        <v>2318</v>
      </c>
      <c r="Q3307" s="85" t="s">
        <v>47</v>
      </c>
      <c r="R3307" s="220" t="s">
        <v>1888</v>
      </c>
      <c r="S3307" s="220" t="s">
        <v>1861</v>
      </c>
      <c r="T3307" s="85" t="s">
        <v>4370</v>
      </c>
    </row>
    <row r="3308" spans="1:20" ht="15.75" thickBot="1" x14ac:dyDescent="0.3">
      <c r="A3308" t="s">
        <v>1929</v>
      </c>
      <c r="B3308" t="s">
        <v>1929</v>
      </c>
      <c r="C3308" s="82" t="s">
        <v>1929</v>
      </c>
      <c r="D3308" s="83" t="s">
        <v>629</v>
      </c>
      <c r="E3308" s="262" t="s">
        <v>1970</v>
      </c>
      <c r="F3308" s="124" t="s">
        <v>620</v>
      </c>
      <c r="G3308" s="130">
        <v>2022</v>
      </c>
      <c r="H3308" s="125" t="s">
        <v>733</v>
      </c>
      <c r="I3308" s="340" t="str">
        <f t="shared" si="130"/>
        <v>Pesado de Passageiros M3: I : Gasóleo : E6</v>
      </c>
      <c r="J3308" s="125">
        <v>83</v>
      </c>
      <c r="K3308" s="264">
        <v>2022</v>
      </c>
      <c r="L3308" s="129">
        <v>7153.6910000000007</v>
      </c>
      <c r="M3308" s="85" t="s">
        <v>630</v>
      </c>
      <c r="N3308" s="128">
        <v>21830</v>
      </c>
      <c r="O3308" s="128">
        <f t="shared" si="129"/>
        <v>1811890</v>
      </c>
      <c r="P3308" s="125">
        <v>2757</v>
      </c>
      <c r="Q3308" s="85" t="s">
        <v>47</v>
      </c>
      <c r="R3308" s="220" t="s">
        <v>1888</v>
      </c>
      <c r="S3308" s="220" t="s">
        <v>1861</v>
      </c>
      <c r="T3308" s="85" t="s">
        <v>4371</v>
      </c>
    </row>
    <row r="3309" spans="1:20" ht="15.75" thickBot="1" x14ac:dyDescent="0.3">
      <c r="A3309" t="s">
        <v>1929</v>
      </c>
      <c r="B3309" t="s">
        <v>1929</v>
      </c>
      <c r="C3309" s="82" t="s">
        <v>1929</v>
      </c>
      <c r="D3309" s="83" t="s">
        <v>629</v>
      </c>
      <c r="E3309" s="262" t="s">
        <v>1970</v>
      </c>
      <c r="F3309" s="124" t="s">
        <v>620</v>
      </c>
      <c r="G3309" s="130"/>
      <c r="H3309" s="125" t="s">
        <v>733</v>
      </c>
      <c r="I3309" s="340" t="str">
        <f t="shared" si="130"/>
        <v>Pesado de Passageiros M3: I : Gasóleo : E6</v>
      </c>
      <c r="J3309" s="125"/>
      <c r="K3309" s="264">
        <v>2022</v>
      </c>
      <c r="L3309" s="85">
        <v>247.05450000000002</v>
      </c>
      <c r="M3309" s="85" t="s">
        <v>630</v>
      </c>
      <c r="N3309" s="128">
        <v>465</v>
      </c>
      <c r="O3309" s="128">
        <f t="shared" si="129"/>
        <v>0</v>
      </c>
      <c r="P3309" s="125" t="s">
        <v>4560</v>
      </c>
      <c r="Q3309" s="85" t="s">
        <v>47</v>
      </c>
      <c r="R3309" s="220" t="s">
        <v>1888</v>
      </c>
      <c r="S3309" s="220" t="s">
        <v>1861</v>
      </c>
      <c r="T3309" s="85" t="s">
        <v>4372</v>
      </c>
    </row>
    <row r="3310" spans="1:20" ht="15.75" thickBot="1" x14ac:dyDescent="0.3">
      <c r="A3310" t="s">
        <v>1929</v>
      </c>
      <c r="B3310" t="s">
        <v>1929</v>
      </c>
      <c r="C3310" s="82" t="s">
        <v>1929</v>
      </c>
      <c r="D3310" s="83" t="s">
        <v>629</v>
      </c>
      <c r="E3310" s="262" t="s">
        <v>1970</v>
      </c>
      <c r="F3310" s="124" t="s">
        <v>620</v>
      </c>
      <c r="G3310" s="125">
        <v>2022</v>
      </c>
      <c r="H3310" s="125" t="s">
        <v>733</v>
      </c>
      <c r="I3310" s="340" t="str">
        <f t="shared" si="130"/>
        <v>Pesado de Passageiros M3: I : Gasóleo : E6</v>
      </c>
      <c r="J3310" s="125">
        <v>109</v>
      </c>
      <c r="K3310" s="264">
        <v>2022</v>
      </c>
      <c r="L3310" s="129">
        <v>1095.4629</v>
      </c>
      <c r="M3310" s="85" t="s">
        <v>630</v>
      </c>
      <c r="N3310" s="128">
        <v>2723</v>
      </c>
      <c r="O3310" s="128">
        <f t="shared" si="129"/>
        <v>296807</v>
      </c>
      <c r="P3310" s="420">
        <v>2319</v>
      </c>
      <c r="Q3310" s="85" t="s">
        <v>47</v>
      </c>
      <c r="R3310" s="220" t="s">
        <v>1888</v>
      </c>
      <c r="S3310" s="220" t="s">
        <v>1861</v>
      </c>
      <c r="T3310" s="85" t="s">
        <v>4373</v>
      </c>
    </row>
    <row r="3311" spans="1:20" ht="15.75" thickBot="1" x14ac:dyDescent="0.3">
      <c r="A3311" t="s">
        <v>1929</v>
      </c>
      <c r="B3311" t="s">
        <v>1929</v>
      </c>
      <c r="C3311" s="82" t="s">
        <v>1929</v>
      </c>
      <c r="D3311" s="83" t="s">
        <v>629</v>
      </c>
      <c r="E3311" s="262" t="s">
        <v>1970</v>
      </c>
      <c r="F3311" s="124" t="s">
        <v>620</v>
      </c>
      <c r="G3311" s="130"/>
      <c r="H3311" s="125" t="s">
        <v>733</v>
      </c>
      <c r="I3311" s="340" t="str">
        <f t="shared" si="130"/>
        <v>Pesado de Passageiros M3: I : Gasóleo : E6</v>
      </c>
      <c r="J3311" s="125"/>
      <c r="K3311" s="264">
        <v>2022</v>
      </c>
      <c r="L3311" s="85">
        <v>130.62</v>
      </c>
      <c r="M3311" s="85" t="s">
        <v>630</v>
      </c>
      <c r="N3311" s="128">
        <v>311</v>
      </c>
      <c r="O3311" s="128">
        <f t="shared" si="129"/>
        <v>0</v>
      </c>
      <c r="P3311" s="125" t="s">
        <v>4561</v>
      </c>
      <c r="Q3311" s="85" t="s">
        <v>47</v>
      </c>
      <c r="R3311" s="220" t="s">
        <v>1888</v>
      </c>
      <c r="S3311" s="220" t="s">
        <v>1861</v>
      </c>
      <c r="T3311" s="85" t="s">
        <v>3431</v>
      </c>
    </row>
    <row r="3312" spans="1:20" ht="15.75" thickBot="1" x14ac:dyDescent="0.3">
      <c r="A3312" t="s">
        <v>1929</v>
      </c>
      <c r="B3312" t="s">
        <v>1929</v>
      </c>
      <c r="C3312" s="82" t="s">
        <v>1929</v>
      </c>
      <c r="D3312" s="83" t="s">
        <v>629</v>
      </c>
      <c r="E3312" s="262" t="s">
        <v>1970</v>
      </c>
      <c r="F3312" s="124" t="s">
        <v>620</v>
      </c>
      <c r="G3312" s="130"/>
      <c r="H3312" s="125" t="s">
        <v>733</v>
      </c>
      <c r="I3312" s="340" t="str">
        <f t="shared" si="130"/>
        <v>Pesado de Passageiros M3: I : Gasóleo : E6</v>
      </c>
      <c r="J3312" s="125"/>
      <c r="K3312" s="264">
        <v>2022</v>
      </c>
      <c r="L3312" s="85">
        <v>298.77850000000001</v>
      </c>
      <c r="M3312" s="85" t="s">
        <v>630</v>
      </c>
      <c r="N3312" s="128">
        <v>631</v>
      </c>
      <c r="O3312" s="128">
        <f t="shared" si="129"/>
        <v>0</v>
      </c>
      <c r="P3312" s="125" t="s">
        <v>4562</v>
      </c>
      <c r="Q3312" s="85" t="s">
        <v>47</v>
      </c>
      <c r="R3312" s="220" t="s">
        <v>1888</v>
      </c>
      <c r="S3312" s="220" t="s">
        <v>1861</v>
      </c>
      <c r="T3312" s="85" t="s">
        <v>3432</v>
      </c>
    </row>
    <row r="3313" spans="1:20" ht="15.75" thickBot="1" x14ac:dyDescent="0.3">
      <c r="A3313" t="s">
        <v>1929</v>
      </c>
      <c r="B3313" t="s">
        <v>1929</v>
      </c>
      <c r="C3313" s="82" t="s">
        <v>1929</v>
      </c>
      <c r="D3313" s="83" t="s">
        <v>629</v>
      </c>
      <c r="E3313" s="262" t="s">
        <v>1970</v>
      </c>
      <c r="F3313" s="124" t="s">
        <v>620</v>
      </c>
      <c r="G3313" s="125">
        <v>2022</v>
      </c>
      <c r="H3313" s="125" t="s">
        <v>733</v>
      </c>
      <c r="I3313" s="340" t="str">
        <f t="shared" si="130"/>
        <v>Pesado de Passageiros M3: I : Gasóleo : E6</v>
      </c>
      <c r="J3313" s="125">
        <v>109</v>
      </c>
      <c r="K3313" s="264">
        <v>2022</v>
      </c>
      <c r="L3313" s="129">
        <v>9561.7992000000013</v>
      </c>
      <c r="M3313" s="85" t="s">
        <v>630</v>
      </c>
      <c r="N3313" s="128">
        <v>25044</v>
      </c>
      <c r="O3313" s="128">
        <f t="shared" ref="O3313:O3376" si="131">N3313*J3313</f>
        <v>2729796</v>
      </c>
      <c r="P3313" s="420">
        <v>2338</v>
      </c>
      <c r="Q3313" s="85" t="s">
        <v>47</v>
      </c>
      <c r="R3313" s="220" t="s">
        <v>1888</v>
      </c>
      <c r="S3313" s="220" t="s">
        <v>1861</v>
      </c>
      <c r="T3313" s="85" t="s">
        <v>4374</v>
      </c>
    </row>
    <row r="3314" spans="1:20" ht="15.75" thickBot="1" x14ac:dyDescent="0.3">
      <c r="A3314" t="s">
        <v>1929</v>
      </c>
      <c r="B3314" t="s">
        <v>1929</v>
      </c>
      <c r="C3314" s="82" t="s">
        <v>1929</v>
      </c>
      <c r="D3314" s="83" t="s">
        <v>629</v>
      </c>
      <c r="E3314" s="262" t="s">
        <v>1970</v>
      </c>
      <c r="F3314" s="124" t="s">
        <v>620</v>
      </c>
      <c r="G3314" s="130"/>
      <c r="H3314" s="125" t="s">
        <v>733</v>
      </c>
      <c r="I3314" s="340" t="str">
        <f t="shared" si="130"/>
        <v>Pesado de Passageiros M3: I : Gasóleo : E6</v>
      </c>
      <c r="J3314" s="125"/>
      <c r="K3314" s="264">
        <v>2022</v>
      </c>
      <c r="L3314" s="85">
        <v>401.36250000000001</v>
      </c>
      <c r="M3314" s="85" t="s">
        <v>630</v>
      </c>
      <c r="N3314" s="128">
        <v>875</v>
      </c>
      <c r="O3314" s="128">
        <f t="shared" si="131"/>
        <v>0</v>
      </c>
      <c r="P3314" s="125" t="s">
        <v>4563</v>
      </c>
      <c r="Q3314" s="85" t="s">
        <v>47</v>
      </c>
      <c r="R3314" s="220" t="s">
        <v>1888</v>
      </c>
      <c r="S3314" s="220" t="s">
        <v>1861</v>
      </c>
      <c r="T3314" s="85" t="s">
        <v>4375</v>
      </c>
    </row>
    <row r="3315" spans="1:20" ht="15.75" thickBot="1" x14ac:dyDescent="0.3">
      <c r="A3315" t="s">
        <v>1929</v>
      </c>
      <c r="B3315" t="s">
        <v>1929</v>
      </c>
      <c r="C3315" s="82" t="s">
        <v>1929</v>
      </c>
      <c r="D3315" s="83" t="s">
        <v>629</v>
      </c>
      <c r="E3315" s="262" t="s">
        <v>1970</v>
      </c>
      <c r="F3315" s="124" t="s">
        <v>620</v>
      </c>
      <c r="G3315" s="130"/>
      <c r="H3315" s="125" t="s">
        <v>733</v>
      </c>
      <c r="I3315" s="340" t="str">
        <f t="shared" si="130"/>
        <v>Pesado de Passageiros M3: I : Gasóleo : E6</v>
      </c>
      <c r="J3315" s="125"/>
      <c r="K3315" s="264">
        <v>2022</v>
      </c>
      <c r="L3315" s="85">
        <v>27.72</v>
      </c>
      <c r="M3315" s="85" t="s">
        <v>630</v>
      </c>
      <c r="N3315" s="128">
        <v>66</v>
      </c>
      <c r="O3315" s="128">
        <f t="shared" si="131"/>
        <v>0</v>
      </c>
      <c r="P3315" s="125" t="s">
        <v>4564</v>
      </c>
      <c r="Q3315" s="85" t="s">
        <v>47</v>
      </c>
      <c r="R3315" s="220" t="s">
        <v>1888</v>
      </c>
      <c r="S3315" s="220" t="s">
        <v>1861</v>
      </c>
      <c r="T3315" s="85" t="s">
        <v>4376</v>
      </c>
    </row>
    <row r="3316" spans="1:20" ht="15.75" thickBot="1" x14ac:dyDescent="0.3">
      <c r="A3316" t="s">
        <v>1929</v>
      </c>
      <c r="B3316" t="s">
        <v>1929</v>
      </c>
      <c r="C3316" s="82" t="s">
        <v>1929</v>
      </c>
      <c r="D3316" s="83" t="s">
        <v>629</v>
      </c>
      <c r="E3316" s="262" t="s">
        <v>1970</v>
      </c>
      <c r="F3316" s="124" t="s">
        <v>620</v>
      </c>
      <c r="G3316" s="125">
        <v>2022</v>
      </c>
      <c r="H3316" s="125" t="s">
        <v>733</v>
      </c>
      <c r="I3316" s="340" t="str">
        <f t="shared" si="130"/>
        <v>Pesado de Passageiros M3: I : Gasóleo : E6</v>
      </c>
      <c r="J3316" s="125">
        <v>109</v>
      </c>
      <c r="K3316" s="264">
        <v>2022</v>
      </c>
      <c r="L3316" s="129">
        <v>9581.204099999999</v>
      </c>
      <c r="M3316" s="85" t="s">
        <v>630</v>
      </c>
      <c r="N3316" s="128">
        <v>25327</v>
      </c>
      <c r="O3316" s="128">
        <f t="shared" si="131"/>
        <v>2760643</v>
      </c>
      <c r="P3316" s="420">
        <v>2337</v>
      </c>
      <c r="Q3316" s="85" t="s">
        <v>47</v>
      </c>
      <c r="R3316" s="220" t="s">
        <v>1888</v>
      </c>
      <c r="S3316" s="220" t="s">
        <v>1861</v>
      </c>
      <c r="T3316" s="85" t="s">
        <v>4377</v>
      </c>
    </row>
    <row r="3317" spans="1:20" ht="15.75" thickBot="1" x14ac:dyDescent="0.3">
      <c r="A3317" t="s">
        <v>1929</v>
      </c>
      <c r="B3317" t="s">
        <v>1929</v>
      </c>
      <c r="C3317" s="82" t="s">
        <v>1929</v>
      </c>
      <c r="D3317" s="83" t="s">
        <v>629</v>
      </c>
      <c r="E3317" s="262" t="s">
        <v>1970</v>
      </c>
      <c r="F3317" s="124" t="s">
        <v>620</v>
      </c>
      <c r="G3317" s="130"/>
      <c r="H3317" s="125" t="s">
        <v>733</v>
      </c>
      <c r="I3317" s="340" t="str">
        <f t="shared" si="130"/>
        <v>Pesado de Passageiros M3: I : Gasóleo : E6</v>
      </c>
      <c r="J3317" s="125"/>
      <c r="K3317" s="264">
        <v>2022</v>
      </c>
      <c r="L3317" s="85">
        <v>70.600200000000001</v>
      </c>
      <c r="M3317" s="85" t="s">
        <v>630</v>
      </c>
      <c r="N3317" s="128">
        <v>418</v>
      </c>
      <c r="O3317" s="128">
        <f t="shared" si="131"/>
        <v>0</v>
      </c>
      <c r="P3317" s="125" t="s">
        <v>4565</v>
      </c>
      <c r="Q3317" s="85" t="s">
        <v>47</v>
      </c>
      <c r="R3317" s="220" t="s">
        <v>1888</v>
      </c>
      <c r="S3317" s="220" t="s">
        <v>1861</v>
      </c>
      <c r="T3317" s="85" t="s">
        <v>3414</v>
      </c>
    </row>
    <row r="3318" spans="1:20" ht="15.75" thickBot="1" x14ac:dyDescent="0.3">
      <c r="A3318" t="s">
        <v>1929</v>
      </c>
      <c r="B3318" t="s">
        <v>1929</v>
      </c>
      <c r="C3318" s="82" t="s">
        <v>1929</v>
      </c>
      <c r="D3318" s="83" t="s">
        <v>629</v>
      </c>
      <c r="E3318" s="262" t="s">
        <v>1970</v>
      </c>
      <c r="F3318" s="124" t="s">
        <v>620</v>
      </c>
      <c r="G3318" s="130"/>
      <c r="H3318" s="125" t="s">
        <v>733</v>
      </c>
      <c r="I3318" s="340" t="str">
        <f t="shared" ref="I3318:I3381" si="132">D3318&amp;": "&amp;E3318&amp;" : "&amp;F3318&amp;" : "&amp;H3318</f>
        <v>Pesado de Passageiros M3: I : Gasóleo : E6</v>
      </c>
      <c r="J3318" s="125"/>
      <c r="K3318" s="264">
        <v>2022</v>
      </c>
      <c r="L3318" s="85">
        <v>252.09209999999999</v>
      </c>
      <c r="M3318" s="85" t="s">
        <v>630</v>
      </c>
      <c r="N3318" s="128">
        <v>481</v>
      </c>
      <c r="O3318" s="128">
        <f t="shared" si="131"/>
        <v>0</v>
      </c>
      <c r="P3318" s="125" t="s">
        <v>4566</v>
      </c>
      <c r="Q3318" s="85" t="s">
        <v>47</v>
      </c>
      <c r="R3318" s="220" t="s">
        <v>1888</v>
      </c>
      <c r="S3318" s="220" t="s">
        <v>1861</v>
      </c>
      <c r="T3318" s="85" t="s">
        <v>4378</v>
      </c>
    </row>
    <row r="3319" spans="1:20" ht="15.75" thickBot="1" x14ac:dyDescent="0.3">
      <c r="A3319" t="s">
        <v>1929</v>
      </c>
      <c r="B3319" t="s">
        <v>1929</v>
      </c>
      <c r="C3319" s="82" t="s">
        <v>1929</v>
      </c>
      <c r="D3319" s="83" t="s">
        <v>629</v>
      </c>
      <c r="E3319" s="262" t="s">
        <v>1970</v>
      </c>
      <c r="F3319" s="124" t="s">
        <v>620</v>
      </c>
      <c r="G3319" s="130"/>
      <c r="H3319" s="125" t="s">
        <v>733</v>
      </c>
      <c r="I3319" s="340" t="str">
        <f t="shared" si="132"/>
        <v>Pesado de Passageiros M3: I : Gasóleo : E6</v>
      </c>
      <c r="J3319" s="125"/>
      <c r="K3319" s="264">
        <v>2022</v>
      </c>
      <c r="L3319" s="85">
        <v>347.51429999999999</v>
      </c>
      <c r="M3319" s="85" t="s">
        <v>630</v>
      </c>
      <c r="N3319" s="128">
        <v>729</v>
      </c>
      <c r="O3319" s="128">
        <f t="shared" si="131"/>
        <v>0</v>
      </c>
      <c r="P3319" s="125" t="s">
        <v>4567</v>
      </c>
      <c r="Q3319" s="85" t="s">
        <v>47</v>
      </c>
      <c r="R3319" s="220" t="s">
        <v>1888</v>
      </c>
      <c r="S3319" s="220" t="s">
        <v>1861</v>
      </c>
      <c r="T3319" s="85" t="s">
        <v>3429</v>
      </c>
    </row>
    <row r="3320" spans="1:20" ht="15.75" thickBot="1" x14ac:dyDescent="0.3">
      <c r="A3320" t="s">
        <v>1929</v>
      </c>
      <c r="B3320" t="s">
        <v>1929</v>
      </c>
      <c r="C3320" s="82" t="s">
        <v>1929</v>
      </c>
      <c r="D3320" s="83" t="s">
        <v>629</v>
      </c>
      <c r="E3320" s="262" t="s">
        <v>1970</v>
      </c>
      <c r="F3320" s="124" t="s">
        <v>620</v>
      </c>
      <c r="G3320" s="130"/>
      <c r="H3320" s="125" t="s">
        <v>733</v>
      </c>
      <c r="I3320" s="340" t="str">
        <f t="shared" si="132"/>
        <v>Pesado de Passageiros M3: I : Gasóleo : E6</v>
      </c>
      <c r="J3320" s="125"/>
      <c r="K3320" s="264">
        <v>2022</v>
      </c>
      <c r="L3320" s="85">
        <v>118.44</v>
      </c>
      <c r="M3320" s="85" t="s">
        <v>630</v>
      </c>
      <c r="N3320" s="128">
        <v>282</v>
      </c>
      <c r="O3320" s="128">
        <f t="shared" si="131"/>
        <v>0</v>
      </c>
      <c r="P3320" s="125" t="s">
        <v>4568</v>
      </c>
      <c r="Q3320" s="85" t="s">
        <v>47</v>
      </c>
      <c r="R3320" s="220" t="s">
        <v>1888</v>
      </c>
      <c r="S3320" s="220" t="s">
        <v>1861</v>
      </c>
      <c r="T3320" s="85" t="s">
        <v>4379</v>
      </c>
    </row>
    <row r="3321" spans="1:20" ht="15.75" thickBot="1" x14ac:dyDescent="0.3">
      <c r="A3321" t="s">
        <v>1929</v>
      </c>
      <c r="B3321" t="s">
        <v>1929</v>
      </c>
      <c r="C3321" s="82" t="s">
        <v>1929</v>
      </c>
      <c r="D3321" s="83" t="s">
        <v>629</v>
      </c>
      <c r="E3321" s="262" t="s">
        <v>1970</v>
      </c>
      <c r="F3321" s="124" t="s">
        <v>620</v>
      </c>
      <c r="G3321" s="130">
        <v>2022</v>
      </c>
      <c r="H3321" s="125" t="s">
        <v>733</v>
      </c>
      <c r="I3321" s="340" t="str">
        <f t="shared" si="132"/>
        <v>Pesado de Passageiros M3: I : Gasóleo : E6</v>
      </c>
      <c r="J3321" s="125">
        <v>83</v>
      </c>
      <c r="K3321" s="264">
        <v>2022</v>
      </c>
      <c r="L3321" s="129">
        <v>7623.2708999999995</v>
      </c>
      <c r="M3321" s="85" t="s">
        <v>630</v>
      </c>
      <c r="N3321" s="128">
        <v>18921</v>
      </c>
      <c r="O3321" s="128">
        <f t="shared" si="131"/>
        <v>1570443</v>
      </c>
      <c r="P3321" s="125">
        <v>2762</v>
      </c>
      <c r="Q3321" s="85" t="s">
        <v>47</v>
      </c>
      <c r="R3321" s="220" t="s">
        <v>1888</v>
      </c>
      <c r="S3321" s="220" t="s">
        <v>1861</v>
      </c>
      <c r="T3321" s="85" t="s">
        <v>4380</v>
      </c>
    </row>
    <row r="3322" spans="1:20" ht="15.75" thickBot="1" x14ac:dyDescent="0.3">
      <c r="A3322" t="s">
        <v>1929</v>
      </c>
      <c r="B3322" t="s">
        <v>1929</v>
      </c>
      <c r="C3322" s="82" t="s">
        <v>1929</v>
      </c>
      <c r="D3322" s="83" t="s">
        <v>629</v>
      </c>
      <c r="E3322" s="262" t="s">
        <v>1970</v>
      </c>
      <c r="F3322" s="124" t="s">
        <v>620</v>
      </c>
      <c r="G3322" s="125">
        <v>2022</v>
      </c>
      <c r="H3322" s="125" t="s">
        <v>733</v>
      </c>
      <c r="I3322" s="340" t="str">
        <f t="shared" si="132"/>
        <v>Pesado de Passageiros M3: I : Gasóleo : E6</v>
      </c>
      <c r="J3322" s="125">
        <v>25</v>
      </c>
      <c r="K3322" s="264">
        <v>2022</v>
      </c>
      <c r="L3322" s="129">
        <v>717.11919999999998</v>
      </c>
      <c r="M3322" s="85" t="s">
        <v>630</v>
      </c>
      <c r="N3322" s="128">
        <v>3461</v>
      </c>
      <c r="O3322" s="128">
        <f t="shared" si="131"/>
        <v>86525</v>
      </c>
      <c r="P3322" s="420">
        <v>2051</v>
      </c>
      <c r="Q3322" s="85" t="s">
        <v>47</v>
      </c>
      <c r="R3322" s="220" t="s">
        <v>1888</v>
      </c>
      <c r="S3322" s="220" t="s">
        <v>1861</v>
      </c>
      <c r="T3322" s="85" t="s">
        <v>4381</v>
      </c>
    </row>
    <row r="3323" spans="1:20" ht="15.75" thickBot="1" x14ac:dyDescent="0.3">
      <c r="A3323" t="s">
        <v>1929</v>
      </c>
      <c r="B3323" t="s">
        <v>1929</v>
      </c>
      <c r="C3323" s="82" t="s">
        <v>1929</v>
      </c>
      <c r="D3323" s="83" t="s">
        <v>629</v>
      </c>
      <c r="E3323" s="262" t="s">
        <v>1970</v>
      </c>
      <c r="F3323" s="124" t="s">
        <v>620</v>
      </c>
      <c r="G3323" s="130"/>
      <c r="H3323" s="125" t="s">
        <v>733</v>
      </c>
      <c r="I3323" s="340" t="str">
        <f t="shared" si="132"/>
        <v>Pesado de Passageiros M3: I : Gasóleo : E6</v>
      </c>
      <c r="J3323" s="125"/>
      <c r="K3323" s="264">
        <v>2022</v>
      </c>
      <c r="L3323" s="85">
        <v>284.37530000000004</v>
      </c>
      <c r="M3323" s="85" t="s">
        <v>630</v>
      </c>
      <c r="N3323" s="128">
        <v>617</v>
      </c>
      <c r="O3323" s="128">
        <f t="shared" si="131"/>
        <v>0</v>
      </c>
      <c r="P3323" s="125" t="s">
        <v>4569</v>
      </c>
      <c r="Q3323" s="85" t="s">
        <v>47</v>
      </c>
      <c r="R3323" s="220" t="s">
        <v>1888</v>
      </c>
      <c r="S3323" s="220" t="s">
        <v>1861</v>
      </c>
      <c r="T3323" s="85" t="s">
        <v>4382</v>
      </c>
    </row>
    <row r="3324" spans="1:20" ht="15.75" thickBot="1" x14ac:dyDescent="0.3">
      <c r="A3324" t="s">
        <v>1929</v>
      </c>
      <c r="B3324" t="s">
        <v>1929</v>
      </c>
      <c r="C3324" s="82" t="s">
        <v>1929</v>
      </c>
      <c r="D3324" s="83" t="s">
        <v>629</v>
      </c>
      <c r="E3324" s="262" t="s">
        <v>1970</v>
      </c>
      <c r="F3324" s="124" t="s">
        <v>620</v>
      </c>
      <c r="G3324" s="130"/>
      <c r="H3324" s="125" t="s">
        <v>733</v>
      </c>
      <c r="I3324" s="340" t="str">
        <f t="shared" si="132"/>
        <v>Pesado de Passageiros M3: I : Gasóleo : E6</v>
      </c>
      <c r="J3324" s="125"/>
      <c r="K3324" s="264">
        <v>2022</v>
      </c>
      <c r="L3324" s="85">
        <v>297.84999999999997</v>
      </c>
      <c r="M3324" s="85" t="s">
        <v>630</v>
      </c>
      <c r="N3324" s="128">
        <v>700</v>
      </c>
      <c r="O3324" s="128">
        <f t="shared" si="131"/>
        <v>0</v>
      </c>
      <c r="P3324" s="125" t="s">
        <v>4570</v>
      </c>
      <c r="Q3324" s="85" t="s">
        <v>47</v>
      </c>
      <c r="R3324" s="220" t="s">
        <v>1888</v>
      </c>
      <c r="S3324" s="220" t="s">
        <v>1861</v>
      </c>
      <c r="T3324" s="85" t="s">
        <v>4383</v>
      </c>
    </row>
    <row r="3325" spans="1:20" ht="15.75" thickBot="1" x14ac:dyDescent="0.3">
      <c r="A3325" t="s">
        <v>1929</v>
      </c>
      <c r="B3325" t="s">
        <v>1929</v>
      </c>
      <c r="C3325" s="82" t="s">
        <v>1929</v>
      </c>
      <c r="D3325" s="83" t="s">
        <v>629</v>
      </c>
      <c r="E3325" s="262" t="s">
        <v>1970</v>
      </c>
      <c r="F3325" s="124" t="s">
        <v>620</v>
      </c>
      <c r="G3325" s="130"/>
      <c r="H3325" s="125" t="s">
        <v>733</v>
      </c>
      <c r="I3325" s="340" t="str">
        <f t="shared" si="132"/>
        <v>Pesado de Passageiros M3: I : Gasóleo : E6</v>
      </c>
      <c r="J3325" s="125"/>
      <c r="K3325" s="264">
        <v>2022</v>
      </c>
      <c r="L3325" s="253">
        <v>179.45699999999999</v>
      </c>
      <c r="M3325" s="85" t="s">
        <v>630</v>
      </c>
      <c r="N3325" s="128">
        <v>427</v>
      </c>
      <c r="O3325" s="128">
        <f t="shared" si="131"/>
        <v>0</v>
      </c>
      <c r="P3325" s="125" t="s">
        <v>4571</v>
      </c>
      <c r="Q3325" s="85" t="s">
        <v>47</v>
      </c>
      <c r="R3325" s="220" t="s">
        <v>1888</v>
      </c>
      <c r="S3325" s="220" t="s">
        <v>1861</v>
      </c>
      <c r="T3325" s="85" t="s">
        <v>4384</v>
      </c>
    </row>
    <row r="3326" spans="1:20" ht="15.75" thickBot="1" x14ac:dyDescent="0.3">
      <c r="A3326" t="s">
        <v>1929</v>
      </c>
      <c r="B3326" t="s">
        <v>1929</v>
      </c>
      <c r="C3326" s="82" t="s">
        <v>1929</v>
      </c>
      <c r="D3326" s="83" t="s">
        <v>629</v>
      </c>
      <c r="E3326" s="262" t="s">
        <v>1970</v>
      </c>
      <c r="F3326" s="124" t="s">
        <v>620</v>
      </c>
      <c r="G3326" s="130"/>
      <c r="H3326" s="125" t="s">
        <v>733</v>
      </c>
      <c r="I3326" s="340" t="str">
        <f t="shared" si="132"/>
        <v>Pesado de Passageiros M3: I : Gasóleo : E6</v>
      </c>
      <c r="J3326" s="125"/>
      <c r="K3326" s="264">
        <v>2022</v>
      </c>
      <c r="L3326" s="85">
        <v>634.54300000000001</v>
      </c>
      <c r="M3326" s="85" t="s">
        <v>630</v>
      </c>
      <c r="N3326" s="128">
        <v>1835</v>
      </c>
      <c r="O3326" s="128">
        <f t="shared" si="131"/>
        <v>0</v>
      </c>
      <c r="P3326" s="125" t="s">
        <v>4571</v>
      </c>
      <c r="Q3326" s="85" t="s">
        <v>47</v>
      </c>
      <c r="R3326" s="220" t="s">
        <v>1888</v>
      </c>
      <c r="S3326" s="220" t="s">
        <v>1861</v>
      </c>
      <c r="T3326" s="85" t="s">
        <v>4384</v>
      </c>
    </row>
    <row r="3327" spans="1:20" ht="15.75" thickBot="1" x14ac:dyDescent="0.3">
      <c r="A3327" t="s">
        <v>1929</v>
      </c>
      <c r="B3327" t="s">
        <v>1929</v>
      </c>
      <c r="C3327" s="82" t="s">
        <v>1929</v>
      </c>
      <c r="D3327" s="83" t="s">
        <v>629</v>
      </c>
      <c r="E3327" s="262" t="s">
        <v>1970</v>
      </c>
      <c r="F3327" s="124" t="s">
        <v>620</v>
      </c>
      <c r="G3327" s="130"/>
      <c r="H3327" s="125" t="s">
        <v>733</v>
      </c>
      <c r="I3327" s="340" t="str">
        <f t="shared" si="132"/>
        <v>Pesado de Passageiros M3: I : Gasóleo : E6</v>
      </c>
      <c r="J3327" s="125"/>
      <c r="K3327" s="264">
        <v>2022</v>
      </c>
      <c r="L3327" s="85">
        <v>235.29300000000001</v>
      </c>
      <c r="M3327" s="85" t="s">
        <v>630</v>
      </c>
      <c r="N3327" s="128">
        <v>535</v>
      </c>
      <c r="O3327" s="128">
        <f t="shared" si="131"/>
        <v>0</v>
      </c>
      <c r="P3327" s="125" t="s">
        <v>4572</v>
      </c>
      <c r="Q3327" s="85" t="s">
        <v>47</v>
      </c>
      <c r="R3327" s="220" t="s">
        <v>1888</v>
      </c>
      <c r="S3327" s="220" t="s">
        <v>1861</v>
      </c>
      <c r="T3327" s="85" t="s">
        <v>4385</v>
      </c>
    </row>
    <row r="3328" spans="1:20" ht="15.75" thickBot="1" x14ac:dyDescent="0.3">
      <c r="A3328" t="s">
        <v>1929</v>
      </c>
      <c r="B3328" t="s">
        <v>1929</v>
      </c>
      <c r="C3328" s="82" t="s">
        <v>1929</v>
      </c>
      <c r="D3328" s="83" t="s">
        <v>629</v>
      </c>
      <c r="E3328" s="262" t="s">
        <v>1970</v>
      </c>
      <c r="F3328" s="124" t="s">
        <v>620</v>
      </c>
      <c r="G3328" s="130"/>
      <c r="H3328" s="125" t="s">
        <v>733</v>
      </c>
      <c r="I3328" s="340" t="str">
        <f t="shared" si="132"/>
        <v>Pesado de Passageiros M3: I : Gasóleo : E6</v>
      </c>
      <c r="J3328" s="125"/>
      <c r="K3328" s="264">
        <v>2022</v>
      </c>
      <c r="L3328" s="85">
        <v>1033.9423999999999</v>
      </c>
      <c r="M3328" s="85" t="s">
        <v>630</v>
      </c>
      <c r="N3328" s="128">
        <v>6662</v>
      </c>
      <c r="O3328" s="128">
        <f t="shared" si="131"/>
        <v>0</v>
      </c>
      <c r="P3328" s="125" t="s">
        <v>4573</v>
      </c>
      <c r="Q3328" s="85" t="s">
        <v>47</v>
      </c>
      <c r="R3328" s="220" t="s">
        <v>1888</v>
      </c>
      <c r="S3328" s="220" t="s">
        <v>1861</v>
      </c>
      <c r="T3328" s="85" t="s">
        <v>4386</v>
      </c>
    </row>
    <row r="3329" spans="1:20" ht="15.75" thickBot="1" x14ac:dyDescent="0.3">
      <c r="A3329" t="s">
        <v>1929</v>
      </c>
      <c r="B3329" t="s">
        <v>1929</v>
      </c>
      <c r="C3329" s="82" t="s">
        <v>1929</v>
      </c>
      <c r="D3329" s="83" t="s">
        <v>629</v>
      </c>
      <c r="E3329" s="262" t="s">
        <v>1970</v>
      </c>
      <c r="F3329" s="124" t="s">
        <v>620</v>
      </c>
      <c r="G3329" s="130"/>
      <c r="H3329" s="125" t="s">
        <v>733</v>
      </c>
      <c r="I3329" s="340" t="str">
        <f t="shared" si="132"/>
        <v>Pesado de Passageiros M3: I : Gasóleo : E6</v>
      </c>
      <c r="J3329" s="125"/>
      <c r="K3329" s="264">
        <v>2022</v>
      </c>
      <c r="L3329" s="85">
        <v>82.08</v>
      </c>
      <c r="M3329" s="85" t="s">
        <v>630</v>
      </c>
      <c r="N3329" s="128">
        <v>171</v>
      </c>
      <c r="O3329" s="128">
        <f t="shared" si="131"/>
        <v>0</v>
      </c>
      <c r="P3329" s="125" t="s">
        <v>4574</v>
      </c>
      <c r="Q3329" s="85" t="s">
        <v>47</v>
      </c>
      <c r="R3329" s="220" t="s">
        <v>1888</v>
      </c>
      <c r="S3329" s="220" t="s">
        <v>1861</v>
      </c>
      <c r="T3329" s="85" t="s">
        <v>4387</v>
      </c>
    </row>
    <row r="3330" spans="1:20" ht="15.75" thickBot="1" x14ac:dyDescent="0.3">
      <c r="A3330" t="s">
        <v>1929</v>
      </c>
      <c r="B3330" t="s">
        <v>1929</v>
      </c>
      <c r="C3330" s="82" t="s">
        <v>1929</v>
      </c>
      <c r="D3330" s="83" t="s">
        <v>629</v>
      </c>
      <c r="E3330" s="262" t="s">
        <v>1970</v>
      </c>
      <c r="F3330" s="124" t="s">
        <v>620</v>
      </c>
      <c r="G3330" s="130"/>
      <c r="H3330" s="125" t="s">
        <v>733</v>
      </c>
      <c r="I3330" s="340" t="str">
        <f t="shared" si="132"/>
        <v>Pesado de Passageiros M3: I : Gasóleo : E6</v>
      </c>
      <c r="J3330" s="125"/>
      <c r="K3330" s="264">
        <v>2022</v>
      </c>
      <c r="L3330" s="85">
        <v>55</v>
      </c>
      <c r="M3330" s="85" t="s">
        <v>630</v>
      </c>
      <c r="N3330" s="128">
        <v>250</v>
      </c>
      <c r="O3330" s="128">
        <f t="shared" si="131"/>
        <v>0</v>
      </c>
      <c r="P3330" s="125" t="s">
        <v>2233</v>
      </c>
      <c r="Q3330" s="85" t="s">
        <v>47</v>
      </c>
      <c r="R3330" s="220" t="s">
        <v>1888</v>
      </c>
      <c r="S3330" s="220" t="s">
        <v>1861</v>
      </c>
      <c r="T3330" s="85" t="s">
        <v>4388</v>
      </c>
    </row>
    <row r="3331" spans="1:20" ht="15.75" thickBot="1" x14ac:dyDescent="0.3">
      <c r="A3331" t="s">
        <v>1929</v>
      </c>
      <c r="B3331" t="s">
        <v>1929</v>
      </c>
      <c r="C3331" s="82" t="s">
        <v>1929</v>
      </c>
      <c r="D3331" s="83" t="s">
        <v>629</v>
      </c>
      <c r="E3331" s="262" t="s">
        <v>1970</v>
      </c>
      <c r="F3331" s="124" t="s">
        <v>620</v>
      </c>
      <c r="G3331" s="130"/>
      <c r="H3331" s="125" t="s">
        <v>733</v>
      </c>
      <c r="I3331" s="340" t="str">
        <f t="shared" si="132"/>
        <v>Pesado de Passageiros M3: I : Gasóleo : E6</v>
      </c>
      <c r="J3331" s="125"/>
      <c r="K3331" s="264">
        <v>2022</v>
      </c>
      <c r="L3331" s="85">
        <v>339.08359999999999</v>
      </c>
      <c r="M3331" s="85" t="s">
        <v>630</v>
      </c>
      <c r="N3331" s="128">
        <v>878</v>
      </c>
      <c r="O3331" s="128">
        <f t="shared" si="131"/>
        <v>0</v>
      </c>
      <c r="P3331" s="125" t="s">
        <v>4575</v>
      </c>
      <c r="Q3331" s="85" t="s">
        <v>47</v>
      </c>
      <c r="R3331" s="220" t="s">
        <v>1888</v>
      </c>
      <c r="S3331" s="220" t="s">
        <v>1861</v>
      </c>
      <c r="T3331" s="85" t="s">
        <v>4389</v>
      </c>
    </row>
    <row r="3332" spans="1:20" ht="15.75" thickBot="1" x14ac:dyDescent="0.3">
      <c r="A3332" t="s">
        <v>1929</v>
      </c>
      <c r="B3332" t="s">
        <v>1929</v>
      </c>
      <c r="C3332" s="82" t="s">
        <v>1929</v>
      </c>
      <c r="D3332" s="83" t="s">
        <v>629</v>
      </c>
      <c r="E3332" s="262" t="s">
        <v>1970</v>
      </c>
      <c r="F3332" s="124" t="s">
        <v>620</v>
      </c>
      <c r="G3332" s="130"/>
      <c r="H3332" s="125" t="s">
        <v>733</v>
      </c>
      <c r="I3332" s="340" t="str">
        <f t="shared" si="132"/>
        <v>Pesado de Passageiros M3: I : Gasóleo : E6</v>
      </c>
      <c r="J3332" s="125"/>
      <c r="K3332" s="264">
        <v>2022</v>
      </c>
      <c r="L3332" s="85">
        <v>82.4739</v>
      </c>
      <c r="M3332" s="85" t="s">
        <v>630</v>
      </c>
      <c r="N3332" s="128">
        <v>421</v>
      </c>
      <c r="O3332" s="128">
        <f t="shared" si="131"/>
        <v>0</v>
      </c>
      <c r="P3332" s="125" t="s">
        <v>2240</v>
      </c>
      <c r="Q3332" s="85" t="s">
        <v>47</v>
      </c>
      <c r="R3332" s="220" t="s">
        <v>1888</v>
      </c>
      <c r="S3332" s="220" t="s">
        <v>1861</v>
      </c>
      <c r="T3332" s="85" t="s">
        <v>4390</v>
      </c>
    </row>
    <row r="3333" spans="1:20" ht="15.75" thickBot="1" x14ac:dyDescent="0.3">
      <c r="A3333" t="s">
        <v>1929</v>
      </c>
      <c r="B3333" t="s">
        <v>1929</v>
      </c>
      <c r="C3333" s="82" t="s">
        <v>1929</v>
      </c>
      <c r="D3333" s="83" t="s">
        <v>629</v>
      </c>
      <c r="E3333" s="262" t="s">
        <v>1970</v>
      </c>
      <c r="F3333" s="124" t="s">
        <v>620</v>
      </c>
      <c r="G3333" s="130"/>
      <c r="H3333" s="125" t="s">
        <v>733</v>
      </c>
      <c r="I3333" s="340" t="str">
        <f t="shared" si="132"/>
        <v>Pesado de Passageiros M3: I : Gasóleo : E6</v>
      </c>
      <c r="J3333" s="125"/>
      <c r="K3333" s="264">
        <v>2022</v>
      </c>
      <c r="L3333" s="85">
        <v>417.72239999999999</v>
      </c>
      <c r="M3333" s="85" t="s">
        <v>630</v>
      </c>
      <c r="N3333" s="128">
        <v>996</v>
      </c>
      <c r="O3333" s="128">
        <f t="shared" si="131"/>
        <v>0</v>
      </c>
      <c r="P3333" s="125" t="s">
        <v>4576</v>
      </c>
      <c r="Q3333" s="85" t="s">
        <v>47</v>
      </c>
      <c r="R3333" s="220" t="s">
        <v>1888</v>
      </c>
      <c r="S3333" s="220" t="s">
        <v>1861</v>
      </c>
      <c r="T3333" s="85" t="s">
        <v>4391</v>
      </c>
    </row>
    <row r="3334" spans="1:20" ht="15.75" thickBot="1" x14ac:dyDescent="0.3">
      <c r="A3334" t="s">
        <v>1929</v>
      </c>
      <c r="B3334" t="s">
        <v>1929</v>
      </c>
      <c r="C3334" s="82" t="s">
        <v>1929</v>
      </c>
      <c r="D3334" s="83" t="s">
        <v>629</v>
      </c>
      <c r="E3334" s="262" t="s">
        <v>1970</v>
      </c>
      <c r="F3334" s="124" t="s">
        <v>620</v>
      </c>
      <c r="G3334" s="125">
        <v>2022</v>
      </c>
      <c r="H3334" s="125" t="s">
        <v>733</v>
      </c>
      <c r="I3334" s="340" t="str">
        <f t="shared" si="132"/>
        <v>Pesado de Passageiros M3: I : Gasóleo : E6</v>
      </c>
      <c r="J3334" s="125">
        <v>85</v>
      </c>
      <c r="K3334" s="264">
        <v>2022</v>
      </c>
      <c r="L3334" s="129">
        <v>7322.6417999999994</v>
      </c>
      <c r="M3334" s="85" t="s">
        <v>630</v>
      </c>
      <c r="N3334" s="128">
        <v>18094</v>
      </c>
      <c r="O3334" s="128">
        <f t="shared" si="131"/>
        <v>1537990</v>
      </c>
      <c r="P3334" s="420">
        <v>2202</v>
      </c>
      <c r="Q3334" s="85" t="s">
        <v>47</v>
      </c>
      <c r="R3334" s="220" t="s">
        <v>1888</v>
      </c>
      <c r="S3334" s="220" t="s">
        <v>1861</v>
      </c>
      <c r="T3334" s="85" t="s">
        <v>4392</v>
      </c>
    </row>
    <row r="3335" spans="1:20" ht="15.75" thickBot="1" x14ac:dyDescent="0.3">
      <c r="A3335" t="s">
        <v>1929</v>
      </c>
      <c r="B3335" t="s">
        <v>1929</v>
      </c>
      <c r="C3335" s="82" t="s">
        <v>1929</v>
      </c>
      <c r="D3335" s="83" t="s">
        <v>629</v>
      </c>
      <c r="E3335" s="262" t="s">
        <v>1970</v>
      </c>
      <c r="F3335" s="124" t="s">
        <v>620</v>
      </c>
      <c r="G3335" s="130"/>
      <c r="H3335" s="125" t="s">
        <v>733</v>
      </c>
      <c r="I3335" s="340" t="str">
        <f t="shared" si="132"/>
        <v>Pesado de Passageiros M3: I : Gasóleo : E6</v>
      </c>
      <c r="J3335" s="125"/>
      <c r="K3335" s="264">
        <v>2022</v>
      </c>
      <c r="L3335" s="85">
        <v>431.37899999999996</v>
      </c>
      <c r="M3335" s="85" t="s">
        <v>630</v>
      </c>
      <c r="N3335" s="128">
        <v>1170</v>
      </c>
      <c r="O3335" s="128">
        <f t="shared" si="131"/>
        <v>0</v>
      </c>
      <c r="P3335" s="125" t="s">
        <v>4577</v>
      </c>
      <c r="Q3335" s="85" t="s">
        <v>47</v>
      </c>
      <c r="R3335" s="220" t="s">
        <v>1888</v>
      </c>
      <c r="S3335" s="220" t="s">
        <v>1861</v>
      </c>
      <c r="T3335" s="85" t="s">
        <v>4393</v>
      </c>
    </row>
    <row r="3336" spans="1:20" ht="15.75" thickBot="1" x14ac:dyDescent="0.3">
      <c r="A3336" t="s">
        <v>1929</v>
      </c>
      <c r="B3336" t="s">
        <v>1929</v>
      </c>
      <c r="C3336" s="82" t="s">
        <v>1929</v>
      </c>
      <c r="D3336" s="83" t="s">
        <v>629</v>
      </c>
      <c r="E3336" s="262" t="s">
        <v>1970</v>
      </c>
      <c r="F3336" s="124" t="s">
        <v>620</v>
      </c>
      <c r="G3336" s="130"/>
      <c r="H3336" s="125" t="s">
        <v>733</v>
      </c>
      <c r="I3336" s="340" t="str">
        <f t="shared" si="132"/>
        <v>Pesado de Passageiros M3: I : Gasóleo : E6</v>
      </c>
      <c r="J3336" s="125"/>
      <c r="K3336" s="264">
        <v>2022</v>
      </c>
      <c r="L3336" s="85">
        <v>364.70979999999997</v>
      </c>
      <c r="M3336" s="85" t="s">
        <v>630</v>
      </c>
      <c r="N3336" s="128">
        <v>754</v>
      </c>
      <c r="O3336" s="128">
        <f t="shared" si="131"/>
        <v>0</v>
      </c>
      <c r="P3336" s="125" t="s">
        <v>4578</v>
      </c>
      <c r="Q3336" s="85" t="s">
        <v>47</v>
      </c>
      <c r="R3336" s="220" t="s">
        <v>1888</v>
      </c>
      <c r="S3336" s="220" t="s">
        <v>1861</v>
      </c>
      <c r="T3336" s="85" t="s">
        <v>4394</v>
      </c>
    </row>
    <row r="3337" spans="1:20" ht="15.75" thickBot="1" x14ac:dyDescent="0.3">
      <c r="A3337" t="s">
        <v>1929</v>
      </c>
      <c r="B3337" t="s">
        <v>1929</v>
      </c>
      <c r="C3337" s="82" t="s">
        <v>1929</v>
      </c>
      <c r="D3337" s="83" t="s">
        <v>629</v>
      </c>
      <c r="E3337" s="262" t="s">
        <v>1970</v>
      </c>
      <c r="F3337" s="124" t="s">
        <v>620</v>
      </c>
      <c r="G3337" s="130"/>
      <c r="H3337" s="125" t="s">
        <v>733</v>
      </c>
      <c r="I3337" s="340" t="str">
        <f t="shared" si="132"/>
        <v>Pesado de Passageiros M3: I : Gasóleo : E6</v>
      </c>
      <c r="J3337" s="125"/>
      <c r="K3337" s="264">
        <v>2022</v>
      </c>
      <c r="L3337" s="85">
        <v>62.7</v>
      </c>
      <c r="M3337" s="85" t="s">
        <v>630</v>
      </c>
      <c r="N3337" s="128">
        <v>285</v>
      </c>
      <c r="O3337" s="128">
        <f t="shared" si="131"/>
        <v>0</v>
      </c>
      <c r="P3337" s="125" t="s">
        <v>2231</v>
      </c>
      <c r="Q3337" s="85" t="s">
        <v>47</v>
      </c>
      <c r="R3337" s="220" t="s">
        <v>1888</v>
      </c>
      <c r="S3337" s="220" t="s">
        <v>1861</v>
      </c>
      <c r="T3337" s="85" t="s">
        <v>4395</v>
      </c>
    </row>
    <row r="3338" spans="1:20" ht="15.75" thickBot="1" x14ac:dyDescent="0.3">
      <c r="A3338" t="s">
        <v>1929</v>
      </c>
      <c r="B3338" t="s">
        <v>1929</v>
      </c>
      <c r="C3338" s="82" t="s">
        <v>1929</v>
      </c>
      <c r="D3338" s="83" t="s">
        <v>629</v>
      </c>
      <c r="E3338" s="262" t="s">
        <v>1970</v>
      </c>
      <c r="F3338" s="124" t="s">
        <v>620</v>
      </c>
      <c r="G3338" s="130"/>
      <c r="H3338" s="125" t="s">
        <v>733</v>
      </c>
      <c r="I3338" s="340" t="str">
        <f t="shared" si="132"/>
        <v>Pesado de Passageiros M3: I : Gasóleo : E6</v>
      </c>
      <c r="J3338" s="125"/>
      <c r="K3338" s="264">
        <v>2022</v>
      </c>
      <c r="L3338" s="85">
        <v>173.6</v>
      </c>
      <c r="M3338" s="85" t="s">
        <v>630</v>
      </c>
      <c r="N3338" s="128">
        <v>434</v>
      </c>
      <c r="O3338" s="128">
        <f t="shared" si="131"/>
        <v>0</v>
      </c>
      <c r="P3338" s="125" t="s">
        <v>4579</v>
      </c>
      <c r="Q3338" s="85" t="s">
        <v>47</v>
      </c>
      <c r="R3338" s="220" t="s">
        <v>1888</v>
      </c>
      <c r="S3338" s="220" t="s">
        <v>1861</v>
      </c>
      <c r="T3338" s="85" t="s">
        <v>4396</v>
      </c>
    </row>
    <row r="3339" spans="1:20" ht="15.75" thickBot="1" x14ac:dyDescent="0.3">
      <c r="A3339" t="s">
        <v>1929</v>
      </c>
      <c r="B3339" t="s">
        <v>1929</v>
      </c>
      <c r="C3339" s="82" t="s">
        <v>1929</v>
      </c>
      <c r="D3339" s="83" t="s">
        <v>629</v>
      </c>
      <c r="E3339" s="262" t="s">
        <v>1970</v>
      </c>
      <c r="F3339" s="124" t="s">
        <v>620</v>
      </c>
      <c r="G3339" s="130"/>
      <c r="H3339" s="125" t="s">
        <v>733</v>
      </c>
      <c r="I3339" s="340" t="str">
        <f t="shared" si="132"/>
        <v>Pesado de Passageiros M3: I : Gasóleo : E6</v>
      </c>
      <c r="J3339" s="125"/>
      <c r="K3339" s="264">
        <v>2022</v>
      </c>
      <c r="L3339" s="85">
        <v>210.72</v>
      </c>
      <c r="M3339" s="85" t="s">
        <v>630</v>
      </c>
      <c r="N3339" s="128">
        <v>439</v>
      </c>
      <c r="O3339" s="128">
        <f t="shared" si="131"/>
        <v>0</v>
      </c>
      <c r="P3339" s="125" t="s">
        <v>4580</v>
      </c>
      <c r="Q3339" s="85" t="s">
        <v>47</v>
      </c>
      <c r="R3339" s="220" t="s">
        <v>1888</v>
      </c>
      <c r="S3339" s="220" t="s">
        <v>1861</v>
      </c>
      <c r="T3339" s="85" t="s">
        <v>4397</v>
      </c>
    </row>
    <row r="3340" spans="1:20" ht="15.75" thickBot="1" x14ac:dyDescent="0.3">
      <c r="A3340" t="s">
        <v>1929</v>
      </c>
      <c r="B3340" t="s">
        <v>1929</v>
      </c>
      <c r="C3340" s="82" t="s">
        <v>1929</v>
      </c>
      <c r="D3340" s="83" t="s">
        <v>629</v>
      </c>
      <c r="E3340" s="262" t="s">
        <v>1970</v>
      </c>
      <c r="F3340" s="124" t="s">
        <v>620</v>
      </c>
      <c r="G3340" s="130"/>
      <c r="H3340" s="125" t="s">
        <v>733</v>
      </c>
      <c r="I3340" s="340" t="str">
        <f t="shared" si="132"/>
        <v>Pesado de Passageiros M3: I : Gasóleo : E6</v>
      </c>
      <c r="J3340" s="125"/>
      <c r="K3340" s="264">
        <v>2022</v>
      </c>
      <c r="L3340" s="85">
        <v>407.48399999999992</v>
      </c>
      <c r="M3340" s="85" t="s">
        <v>630</v>
      </c>
      <c r="N3340" s="128">
        <v>1080</v>
      </c>
      <c r="O3340" s="128">
        <f t="shared" si="131"/>
        <v>0</v>
      </c>
      <c r="P3340" s="125" t="s">
        <v>4581</v>
      </c>
      <c r="Q3340" s="85" t="s">
        <v>47</v>
      </c>
      <c r="R3340" s="220" t="s">
        <v>1888</v>
      </c>
      <c r="S3340" s="220" t="s">
        <v>1861</v>
      </c>
      <c r="T3340" s="85" t="s">
        <v>4398</v>
      </c>
    </row>
    <row r="3341" spans="1:20" ht="15.75" thickBot="1" x14ac:dyDescent="0.3">
      <c r="A3341" t="s">
        <v>1929</v>
      </c>
      <c r="B3341" t="s">
        <v>1929</v>
      </c>
      <c r="C3341" s="82" t="s">
        <v>1929</v>
      </c>
      <c r="D3341" s="83" t="s">
        <v>629</v>
      </c>
      <c r="E3341" s="262" t="s">
        <v>1970</v>
      </c>
      <c r="F3341" s="124" t="s">
        <v>620</v>
      </c>
      <c r="G3341" s="130"/>
      <c r="H3341" s="125" t="s">
        <v>733</v>
      </c>
      <c r="I3341" s="340" t="str">
        <f t="shared" si="132"/>
        <v>Pesado de Passageiros M3: I : Gasóleo : E6</v>
      </c>
      <c r="J3341" s="125"/>
      <c r="K3341" s="264">
        <v>2022</v>
      </c>
      <c r="L3341" s="85">
        <v>637.0104</v>
      </c>
      <c r="M3341" s="85" t="s">
        <v>630</v>
      </c>
      <c r="N3341" s="128">
        <v>1768</v>
      </c>
      <c r="O3341" s="128">
        <f t="shared" si="131"/>
        <v>0</v>
      </c>
      <c r="P3341" s="125" t="s">
        <v>4582</v>
      </c>
      <c r="Q3341" s="85" t="s">
        <v>47</v>
      </c>
      <c r="R3341" s="220" t="s">
        <v>1888</v>
      </c>
      <c r="S3341" s="220" t="s">
        <v>1861</v>
      </c>
      <c r="T3341" s="85" t="s">
        <v>3449</v>
      </c>
    </row>
    <row r="3342" spans="1:20" ht="15.75" thickBot="1" x14ac:dyDescent="0.3">
      <c r="A3342" t="s">
        <v>1929</v>
      </c>
      <c r="B3342" t="s">
        <v>1929</v>
      </c>
      <c r="C3342" s="82" t="s">
        <v>1929</v>
      </c>
      <c r="D3342" s="83" t="s">
        <v>629</v>
      </c>
      <c r="E3342" s="262" t="s">
        <v>1970</v>
      </c>
      <c r="F3342" s="124" t="s">
        <v>620</v>
      </c>
      <c r="G3342" s="130"/>
      <c r="H3342" s="125" t="s">
        <v>733</v>
      </c>
      <c r="I3342" s="340" t="str">
        <f t="shared" si="132"/>
        <v>Pesado de Passageiros M3: I : Gasóleo : E6</v>
      </c>
      <c r="J3342" s="125"/>
      <c r="K3342" s="264">
        <v>2022</v>
      </c>
      <c r="L3342" s="85">
        <v>327.161</v>
      </c>
      <c r="M3342" s="85" t="s">
        <v>630</v>
      </c>
      <c r="N3342" s="128">
        <v>670</v>
      </c>
      <c r="O3342" s="128">
        <f t="shared" si="131"/>
        <v>0</v>
      </c>
      <c r="P3342" s="125" t="s">
        <v>4583</v>
      </c>
      <c r="Q3342" s="85" t="s">
        <v>47</v>
      </c>
      <c r="R3342" s="220" t="s">
        <v>1888</v>
      </c>
      <c r="S3342" s="220" t="s">
        <v>1861</v>
      </c>
      <c r="T3342" s="85" t="s">
        <v>3424</v>
      </c>
    </row>
    <row r="3343" spans="1:20" ht="15.75" thickBot="1" x14ac:dyDescent="0.3">
      <c r="A3343" t="s">
        <v>1929</v>
      </c>
      <c r="B3343" t="s">
        <v>1929</v>
      </c>
      <c r="C3343" s="82" t="s">
        <v>1929</v>
      </c>
      <c r="D3343" s="83" t="s">
        <v>629</v>
      </c>
      <c r="E3343" s="262" t="s">
        <v>1970</v>
      </c>
      <c r="F3343" s="124" t="s">
        <v>620</v>
      </c>
      <c r="G3343" s="130"/>
      <c r="H3343" s="125" t="s">
        <v>733</v>
      </c>
      <c r="I3343" s="340" t="str">
        <f t="shared" si="132"/>
        <v>Pesado de Passageiros M3: I : Gasóleo : E6</v>
      </c>
      <c r="J3343" s="125"/>
      <c r="K3343" s="264">
        <v>2022</v>
      </c>
      <c r="L3343" s="85">
        <v>52.36</v>
      </c>
      <c r="M3343" s="85" t="s">
        <v>630</v>
      </c>
      <c r="N3343" s="128">
        <v>238</v>
      </c>
      <c r="O3343" s="128">
        <f t="shared" si="131"/>
        <v>0</v>
      </c>
      <c r="P3343" s="125" t="s">
        <v>2232</v>
      </c>
      <c r="Q3343" s="85" t="s">
        <v>47</v>
      </c>
      <c r="R3343" s="220" t="s">
        <v>1888</v>
      </c>
      <c r="S3343" s="220" t="s">
        <v>1861</v>
      </c>
      <c r="T3343" s="85" t="s">
        <v>4399</v>
      </c>
    </row>
    <row r="3344" spans="1:20" ht="15.75" thickBot="1" x14ac:dyDescent="0.3">
      <c r="A3344" t="s">
        <v>1929</v>
      </c>
      <c r="B3344" t="s">
        <v>1929</v>
      </c>
      <c r="C3344" s="82" t="s">
        <v>1929</v>
      </c>
      <c r="D3344" s="83" t="s">
        <v>629</v>
      </c>
      <c r="E3344" s="262" t="s">
        <v>1970</v>
      </c>
      <c r="F3344" s="124" t="s">
        <v>620</v>
      </c>
      <c r="G3344" s="130"/>
      <c r="H3344" s="125" t="s">
        <v>733</v>
      </c>
      <c r="I3344" s="340" t="str">
        <f t="shared" si="132"/>
        <v>Pesado de Passageiros M3: I : Gasóleo : E6</v>
      </c>
      <c r="J3344" s="125"/>
      <c r="K3344" s="264">
        <v>2022</v>
      </c>
      <c r="L3344" s="85">
        <v>227.4804</v>
      </c>
      <c r="M3344" s="85" t="s">
        <v>630</v>
      </c>
      <c r="N3344" s="128">
        <v>531</v>
      </c>
      <c r="O3344" s="128">
        <f t="shared" si="131"/>
        <v>0</v>
      </c>
      <c r="P3344" s="125" t="s">
        <v>4584</v>
      </c>
      <c r="Q3344" s="85" t="s">
        <v>47</v>
      </c>
      <c r="R3344" s="220" t="s">
        <v>1888</v>
      </c>
      <c r="S3344" s="220" t="s">
        <v>1861</v>
      </c>
      <c r="T3344" s="85" t="s">
        <v>4400</v>
      </c>
    </row>
    <row r="3345" spans="1:20" ht="15.75" thickBot="1" x14ac:dyDescent="0.3">
      <c r="A3345" t="s">
        <v>1929</v>
      </c>
      <c r="B3345" t="s">
        <v>1929</v>
      </c>
      <c r="C3345" s="82" t="s">
        <v>1929</v>
      </c>
      <c r="D3345" s="83" t="s">
        <v>629</v>
      </c>
      <c r="E3345" s="262" t="s">
        <v>1970</v>
      </c>
      <c r="F3345" s="124" t="s">
        <v>620</v>
      </c>
      <c r="G3345" s="130"/>
      <c r="H3345" s="125" t="s">
        <v>733</v>
      </c>
      <c r="I3345" s="340" t="str">
        <f t="shared" si="132"/>
        <v>Pesado de Passageiros M3: I : Gasóleo : E6</v>
      </c>
      <c r="J3345" s="125"/>
      <c r="K3345" s="264">
        <v>2022</v>
      </c>
      <c r="L3345" s="85">
        <v>260.35000000000002</v>
      </c>
      <c r="M3345" s="85" t="s">
        <v>630</v>
      </c>
      <c r="N3345" s="128">
        <v>635</v>
      </c>
      <c r="O3345" s="128">
        <f t="shared" si="131"/>
        <v>0</v>
      </c>
      <c r="P3345" s="125" t="s">
        <v>4585</v>
      </c>
      <c r="Q3345" s="85" t="s">
        <v>47</v>
      </c>
      <c r="R3345" s="220" t="s">
        <v>1888</v>
      </c>
      <c r="S3345" s="220" t="s">
        <v>1861</v>
      </c>
      <c r="T3345" s="85" t="s">
        <v>4401</v>
      </c>
    </row>
    <row r="3346" spans="1:20" ht="15.75" thickBot="1" x14ac:dyDescent="0.3">
      <c r="A3346" t="s">
        <v>1929</v>
      </c>
      <c r="B3346" t="s">
        <v>1929</v>
      </c>
      <c r="C3346" s="82" t="s">
        <v>1929</v>
      </c>
      <c r="D3346" s="83" t="s">
        <v>629</v>
      </c>
      <c r="E3346" s="262" t="s">
        <v>1970</v>
      </c>
      <c r="F3346" s="124" t="s">
        <v>620</v>
      </c>
      <c r="G3346" s="130"/>
      <c r="H3346" s="125" t="s">
        <v>733</v>
      </c>
      <c r="I3346" s="340" t="str">
        <f t="shared" si="132"/>
        <v>Pesado de Passageiros M3: I : Gasóleo : E6</v>
      </c>
      <c r="J3346" s="125"/>
      <c r="K3346" s="264">
        <v>2022</v>
      </c>
      <c r="L3346" s="85">
        <v>265.41579999999999</v>
      </c>
      <c r="M3346" s="85" t="s">
        <v>630</v>
      </c>
      <c r="N3346" s="128">
        <v>481</v>
      </c>
      <c r="O3346" s="128">
        <f t="shared" si="131"/>
        <v>0</v>
      </c>
      <c r="P3346" s="125" t="s">
        <v>4586</v>
      </c>
      <c r="Q3346" s="85" t="s">
        <v>47</v>
      </c>
      <c r="R3346" s="220" t="s">
        <v>1888</v>
      </c>
      <c r="S3346" s="220" t="s">
        <v>1861</v>
      </c>
      <c r="T3346" s="85" t="s">
        <v>4402</v>
      </c>
    </row>
    <row r="3347" spans="1:20" ht="15.75" thickBot="1" x14ac:dyDescent="0.3">
      <c r="A3347" t="s">
        <v>1929</v>
      </c>
      <c r="B3347" t="s">
        <v>1929</v>
      </c>
      <c r="C3347" s="82" t="s">
        <v>1929</v>
      </c>
      <c r="D3347" s="83" t="s">
        <v>629</v>
      </c>
      <c r="E3347" s="262" t="s">
        <v>1970</v>
      </c>
      <c r="F3347" s="124" t="s">
        <v>620</v>
      </c>
      <c r="G3347" s="130"/>
      <c r="H3347" s="125" t="s">
        <v>733</v>
      </c>
      <c r="I3347" s="340" t="str">
        <f t="shared" si="132"/>
        <v>Pesado de Passageiros M3: I : Gasóleo : E6</v>
      </c>
      <c r="J3347" s="125"/>
      <c r="K3347" s="264">
        <v>2022</v>
      </c>
      <c r="L3347" s="85">
        <v>342.29360000000003</v>
      </c>
      <c r="M3347" s="85" t="s">
        <v>630</v>
      </c>
      <c r="N3347" s="128">
        <v>776</v>
      </c>
      <c r="O3347" s="128">
        <f t="shared" si="131"/>
        <v>0</v>
      </c>
      <c r="P3347" s="125" t="s">
        <v>4587</v>
      </c>
      <c r="Q3347" s="85" t="s">
        <v>47</v>
      </c>
      <c r="R3347" s="220" t="s">
        <v>1888</v>
      </c>
      <c r="S3347" s="220" t="s">
        <v>1861</v>
      </c>
      <c r="T3347" s="85" t="s">
        <v>4403</v>
      </c>
    </row>
    <row r="3348" spans="1:20" ht="15.75" thickBot="1" x14ac:dyDescent="0.3">
      <c r="A3348" t="s">
        <v>1929</v>
      </c>
      <c r="B3348" t="s">
        <v>1929</v>
      </c>
      <c r="C3348" s="82" t="s">
        <v>1929</v>
      </c>
      <c r="D3348" s="83" t="s">
        <v>629</v>
      </c>
      <c r="E3348" s="262" t="s">
        <v>1970</v>
      </c>
      <c r="F3348" s="124" t="s">
        <v>620</v>
      </c>
      <c r="G3348" s="130"/>
      <c r="H3348" s="125" t="s">
        <v>733</v>
      </c>
      <c r="I3348" s="340" t="str">
        <f t="shared" si="132"/>
        <v>Pesado de Passageiros M3: I : Gasóleo : E6</v>
      </c>
      <c r="J3348" s="125"/>
      <c r="K3348" s="264">
        <v>2022</v>
      </c>
      <c r="L3348" s="85">
        <v>195.84</v>
      </c>
      <c r="M3348" s="85" t="s">
        <v>630</v>
      </c>
      <c r="N3348" s="128">
        <v>408</v>
      </c>
      <c r="O3348" s="128">
        <f t="shared" si="131"/>
        <v>0</v>
      </c>
      <c r="P3348" s="125" t="s">
        <v>4588</v>
      </c>
      <c r="Q3348" s="85" t="s">
        <v>47</v>
      </c>
      <c r="R3348" s="220" t="s">
        <v>1888</v>
      </c>
      <c r="S3348" s="220" t="s">
        <v>1861</v>
      </c>
      <c r="T3348" s="85" t="s">
        <v>4404</v>
      </c>
    </row>
    <row r="3349" spans="1:20" ht="15.75" thickBot="1" x14ac:dyDescent="0.3">
      <c r="A3349" t="s">
        <v>1929</v>
      </c>
      <c r="B3349" t="s">
        <v>1929</v>
      </c>
      <c r="C3349" s="82" t="s">
        <v>1929</v>
      </c>
      <c r="D3349" s="83" t="s">
        <v>629</v>
      </c>
      <c r="E3349" s="262" t="s">
        <v>1970</v>
      </c>
      <c r="F3349" s="124" t="s">
        <v>620</v>
      </c>
      <c r="G3349" s="130"/>
      <c r="H3349" s="125" t="s">
        <v>733</v>
      </c>
      <c r="I3349" s="340" t="str">
        <f t="shared" si="132"/>
        <v>Pesado de Passageiros M3: I : Gasóleo : E6</v>
      </c>
      <c r="J3349" s="125"/>
      <c r="K3349" s="264">
        <v>2022</v>
      </c>
      <c r="L3349" s="85">
        <v>142.08000000000001</v>
      </c>
      <c r="M3349" s="85" t="s">
        <v>630</v>
      </c>
      <c r="N3349" s="128">
        <v>296</v>
      </c>
      <c r="O3349" s="128">
        <f t="shared" si="131"/>
        <v>0</v>
      </c>
      <c r="P3349" s="125" t="s">
        <v>4589</v>
      </c>
      <c r="Q3349" s="85" t="s">
        <v>47</v>
      </c>
      <c r="R3349" s="220" t="s">
        <v>1888</v>
      </c>
      <c r="S3349" s="220" t="s">
        <v>1861</v>
      </c>
      <c r="T3349" s="85" t="s">
        <v>3420</v>
      </c>
    </row>
    <row r="3350" spans="1:20" ht="15.75" thickBot="1" x14ac:dyDescent="0.3">
      <c r="A3350" t="s">
        <v>1929</v>
      </c>
      <c r="B3350" t="s">
        <v>1929</v>
      </c>
      <c r="C3350" s="82" t="s">
        <v>1929</v>
      </c>
      <c r="D3350" s="83" t="s">
        <v>629</v>
      </c>
      <c r="E3350" s="262" t="s">
        <v>1970</v>
      </c>
      <c r="F3350" s="124" t="s">
        <v>620</v>
      </c>
      <c r="G3350" s="130">
        <v>2022</v>
      </c>
      <c r="H3350" s="125" t="s">
        <v>733</v>
      </c>
      <c r="I3350" s="340" t="str">
        <f t="shared" si="132"/>
        <v>Pesado de Passageiros M3: I : Gasóleo : E6</v>
      </c>
      <c r="J3350" s="125">
        <v>89</v>
      </c>
      <c r="K3350" s="264">
        <v>2022</v>
      </c>
      <c r="L3350" s="129">
        <v>8559.6669999999995</v>
      </c>
      <c r="M3350" s="85" t="s">
        <v>630</v>
      </c>
      <c r="N3350" s="128">
        <v>22349</v>
      </c>
      <c r="O3350" s="128">
        <f t="shared" si="131"/>
        <v>1989061</v>
      </c>
      <c r="P3350" s="125">
        <v>2705</v>
      </c>
      <c r="Q3350" s="85" t="s">
        <v>47</v>
      </c>
      <c r="R3350" s="220" t="s">
        <v>1888</v>
      </c>
      <c r="S3350" s="220" t="s">
        <v>1861</v>
      </c>
      <c r="T3350" s="85" t="s">
        <v>4405</v>
      </c>
    </row>
    <row r="3351" spans="1:20" ht="15.75" thickBot="1" x14ac:dyDescent="0.3">
      <c r="A3351" t="s">
        <v>1929</v>
      </c>
      <c r="B3351" t="s">
        <v>1929</v>
      </c>
      <c r="C3351" s="82" t="s">
        <v>1929</v>
      </c>
      <c r="D3351" s="83" t="s">
        <v>629</v>
      </c>
      <c r="E3351" s="262" t="s">
        <v>1970</v>
      </c>
      <c r="F3351" s="124" t="s">
        <v>620</v>
      </c>
      <c r="G3351" s="125">
        <v>2022</v>
      </c>
      <c r="H3351" s="125" t="s">
        <v>733</v>
      </c>
      <c r="I3351" s="340" t="str">
        <f t="shared" si="132"/>
        <v>Pesado de Passageiros M3: I : Gasóleo : E6</v>
      </c>
      <c r="J3351" s="125">
        <v>85</v>
      </c>
      <c r="K3351" s="264">
        <v>2022</v>
      </c>
      <c r="L3351" s="129">
        <v>8136.9118000000008</v>
      </c>
      <c r="M3351" s="85" t="s">
        <v>630</v>
      </c>
      <c r="N3351" s="128">
        <v>19574</v>
      </c>
      <c r="O3351" s="128">
        <f t="shared" si="131"/>
        <v>1663790</v>
      </c>
      <c r="P3351" s="420">
        <v>2201</v>
      </c>
      <c r="Q3351" s="85" t="s">
        <v>47</v>
      </c>
      <c r="R3351" s="220" t="s">
        <v>1888</v>
      </c>
      <c r="S3351" s="220" t="s">
        <v>1861</v>
      </c>
      <c r="T3351" s="85" t="s">
        <v>4406</v>
      </c>
    </row>
    <row r="3352" spans="1:20" ht="15.75" thickBot="1" x14ac:dyDescent="0.3">
      <c r="A3352" t="s">
        <v>1929</v>
      </c>
      <c r="B3352" t="s">
        <v>1929</v>
      </c>
      <c r="C3352" s="82" t="s">
        <v>1929</v>
      </c>
      <c r="D3352" s="83" t="s">
        <v>629</v>
      </c>
      <c r="E3352" s="262" t="s">
        <v>1970</v>
      </c>
      <c r="F3352" s="124" t="s">
        <v>620</v>
      </c>
      <c r="G3352" s="130"/>
      <c r="H3352" s="125" t="s">
        <v>733</v>
      </c>
      <c r="I3352" s="340" t="str">
        <f t="shared" si="132"/>
        <v>Pesado de Passageiros M3: I : Gasóleo : E6</v>
      </c>
      <c r="J3352" s="125"/>
      <c r="K3352" s="264">
        <v>2022</v>
      </c>
      <c r="L3352" s="85">
        <v>238.08</v>
      </c>
      <c r="M3352" s="85" t="s">
        <v>630</v>
      </c>
      <c r="N3352" s="128">
        <v>496</v>
      </c>
      <c r="O3352" s="128">
        <f t="shared" si="131"/>
        <v>0</v>
      </c>
      <c r="P3352" s="125" t="s">
        <v>4590</v>
      </c>
      <c r="Q3352" s="85" t="s">
        <v>47</v>
      </c>
      <c r="R3352" s="220" t="s">
        <v>1888</v>
      </c>
      <c r="S3352" s="220" t="s">
        <v>1861</v>
      </c>
      <c r="T3352" s="85" t="s">
        <v>4407</v>
      </c>
    </row>
    <row r="3353" spans="1:20" ht="15.75" thickBot="1" x14ac:dyDescent="0.3">
      <c r="A3353" t="s">
        <v>1929</v>
      </c>
      <c r="B3353" t="s">
        <v>1929</v>
      </c>
      <c r="C3353" s="82" t="s">
        <v>1929</v>
      </c>
      <c r="D3353" s="83" t="s">
        <v>629</v>
      </c>
      <c r="E3353" s="262" t="s">
        <v>1970</v>
      </c>
      <c r="F3353" s="124" t="s">
        <v>620</v>
      </c>
      <c r="G3353" s="130"/>
      <c r="H3353" s="125" t="s">
        <v>733</v>
      </c>
      <c r="I3353" s="340" t="str">
        <f t="shared" si="132"/>
        <v>Pesado de Passageiros M3: I : Gasóleo : E6</v>
      </c>
      <c r="J3353" s="125"/>
      <c r="K3353" s="264">
        <v>2022</v>
      </c>
      <c r="L3353" s="85">
        <v>276.37959999999998</v>
      </c>
      <c r="M3353" s="85" t="s">
        <v>630</v>
      </c>
      <c r="N3353" s="128">
        <v>826</v>
      </c>
      <c r="O3353" s="128">
        <f t="shared" si="131"/>
        <v>0</v>
      </c>
      <c r="P3353" s="125" t="s">
        <v>4591</v>
      </c>
      <c r="Q3353" s="85" t="s">
        <v>47</v>
      </c>
      <c r="R3353" s="220" t="s">
        <v>1888</v>
      </c>
      <c r="S3353" s="220" t="s">
        <v>1861</v>
      </c>
      <c r="T3353" s="85" t="s">
        <v>4408</v>
      </c>
    </row>
    <row r="3354" spans="1:20" ht="15.75" thickBot="1" x14ac:dyDescent="0.3">
      <c r="A3354" t="s">
        <v>1929</v>
      </c>
      <c r="B3354" t="s">
        <v>1929</v>
      </c>
      <c r="C3354" s="82" t="s">
        <v>1929</v>
      </c>
      <c r="D3354" s="83" t="s">
        <v>629</v>
      </c>
      <c r="E3354" s="262" t="s">
        <v>1970</v>
      </c>
      <c r="F3354" s="124" t="s">
        <v>620</v>
      </c>
      <c r="G3354" s="130"/>
      <c r="H3354" s="125" t="s">
        <v>733</v>
      </c>
      <c r="I3354" s="340" t="str">
        <f t="shared" si="132"/>
        <v>Pesado de Passageiros M3: I : Gasóleo : E6</v>
      </c>
      <c r="J3354" s="125"/>
      <c r="K3354" s="264">
        <v>2022</v>
      </c>
      <c r="L3354" s="85">
        <v>416.12300000000005</v>
      </c>
      <c r="M3354" s="85" t="s">
        <v>630</v>
      </c>
      <c r="N3354" s="128">
        <v>1070</v>
      </c>
      <c r="O3354" s="128">
        <f t="shared" si="131"/>
        <v>0</v>
      </c>
      <c r="P3354" s="125" t="s">
        <v>4592</v>
      </c>
      <c r="Q3354" s="85" t="s">
        <v>47</v>
      </c>
      <c r="R3354" s="220" t="s">
        <v>1888</v>
      </c>
      <c r="S3354" s="220" t="s">
        <v>1861</v>
      </c>
      <c r="T3354" s="85" t="s">
        <v>3451</v>
      </c>
    </row>
    <row r="3355" spans="1:20" ht="15.75" thickBot="1" x14ac:dyDescent="0.3">
      <c r="A3355" t="s">
        <v>1929</v>
      </c>
      <c r="B3355" t="s">
        <v>1929</v>
      </c>
      <c r="C3355" s="82" t="s">
        <v>1929</v>
      </c>
      <c r="D3355" s="83" t="s">
        <v>629</v>
      </c>
      <c r="E3355" s="262" t="s">
        <v>1970</v>
      </c>
      <c r="F3355" s="124" t="s">
        <v>620</v>
      </c>
      <c r="G3355" s="130"/>
      <c r="H3355" s="125" t="s">
        <v>733</v>
      </c>
      <c r="I3355" s="340" t="str">
        <f t="shared" si="132"/>
        <v>Pesado de Passageiros M3: I : Gasóleo : E6</v>
      </c>
      <c r="J3355" s="125"/>
      <c r="K3355" s="264">
        <v>2022</v>
      </c>
      <c r="L3355" s="85">
        <v>241.27680000000001</v>
      </c>
      <c r="M3355" s="85" t="s">
        <v>630</v>
      </c>
      <c r="N3355" s="128">
        <v>492</v>
      </c>
      <c r="O3355" s="128">
        <f t="shared" si="131"/>
        <v>0</v>
      </c>
      <c r="P3355" s="125" t="s">
        <v>4593</v>
      </c>
      <c r="Q3355" s="85" t="s">
        <v>47</v>
      </c>
      <c r="R3355" s="220" t="s">
        <v>1888</v>
      </c>
      <c r="S3355" s="220" t="s">
        <v>1861</v>
      </c>
      <c r="T3355" s="85" t="s">
        <v>4409</v>
      </c>
    </row>
    <row r="3356" spans="1:20" ht="15.75" thickBot="1" x14ac:dyDescent="0.3">
      <c r="A3356" t="s">
        <v>1929</v>
      </c>
      <c r="B3356" t="s">
        <v>1929</v>
      </c>
      <c r="C3356" s="82" t="s">
        <v>1929</v>
      </c>
      <c r="D3356" s="83" t="s">
        <v>629</v>
      </c>
      <c r="E3356" s="262" t="s">
        <v>1970</v>
      </c>
      <c r="F3356" s="124" t="s">
        <v>620</v>
      </c>
      <c r="G3356" s="130"/>
      <c r="H3356" s="125" t="s">
        <v>733</v>
      </c>
      <c r="I3356" s="340" t="str">
        <f t="shared" si="132"/>
        <v>Pesado de Passageiros M3: I : Gasóleo : E6</v>
      </c>
      <c r="J3356" s="125"/>
      <c r="K3356" s="264">
        <v>2022</v>
      </c>
      <c r="L3356" s="253">
        <v>50.340800000000002</v>
      </c>
      <c r="M3356" s="85" t="s">
        <v>630</v>
      </c>
      <c r="N3356" s="128">
        <v>119</v>
      </c>
      <c r="O3356" s="128">
        <f t="shared" si="131"/>
        <v>0</v>
      </c>
      <c r="P3356" s="125" t="s">
        <v>4594</v>
      </c>
      <c r="Q3356" s="85" t="s">
        <v>47</v>
      </c>
      <c r="R3356" s="220" t="s">
        <v>1888</v>
      </c>
      <c r="S3356" s="220" t="s">
        <v>1861</v>
      </c>
      <c r="T3356" s="85" t="s">
        <v>4410</v>
      </c>
    </row>
    <row r="3357" spans="1:20" ht="15.75" thickBot="1" x14ac:dyDescent="0.3">
      <c r="A3357" t="s">
        <v>1929</v>
      </c>
      <c r="B3357" t="s">
        <v>1929</v>
      </c>
      <c r="C3357" s="82" t="s">
        <v>1929</v>
      </c>
      <c r="D3357" s="83" t="s">
        <v>629</v>
      </c>
      <c r="E3357" s="262" t="s">
        <v>1970</v>
      </c>
      <c r="F3357" s="124" t="s">
        <v>620</v>
      </c>
      <c r="G3357" s="130"/>
      <c r="H3357" s="125" t="s">
        <v>733</v>
      </c>
      <c r="I3357" s="340" t="str">
        <f t="shared" si="132"/>
        <v>Pesado de Passageiros M3: I : Gasóleo : E6</v>
      </c>
      <c r="J3357" s="125"/>
      <c r="K3357" s="264">
        <v>2022</v>
      </c>
      <c r="L3357" s="85">
        <v>261.2192</v>
      </c>
      <c r="M3357" s="85" t="s">
        <v>630</v>
      </c>
      <c r="N3357" s="128">
        <v>724</v>
      </c>
      <c r="O3357" s="128">
        <f t="shared" si="131"/>
        <v>0</v>
      </c>
      <c r="P3357" s="125" t="s">
        <v>4594</v>
      </c>
      <c r="Q3357" s="85" t="s">
        <v>47</v>
      </c>
      <c r="R3357" s="220" t="s">
        <v>1888</v>
      </c>
      <c r="S3357" s="220" t="s">
        <v>1861</v>
      </c>
      <c r="T3357" s="85" t="s">
        <v>4410</v>
      </c>
    </row>
    <row r="3358" spans="1:20" ht="15.75" thickBot="1" x14ac:dyDescent="0.3">
      <c r="A3358" t="s">
        <v>1929</v>
      </c>
      <c r="B3358" t="s">
        <v>1929</v>
      </c>
      <c r="C3358" s="82" t="s">
        <v>1929</v>
      </c>
      <c r="D3358" s="83" t="s">
        <v>629</v>
      </c>
      <c r="E3358" s="262" t="s">
        <v>1970</v>
      </c>
      <c r="F3358" s="124" t="s">
        <v>620</v>
      </c>
      <c r="G3358" s="130"/>
      <c r="H3358" s="125" t="s">
        <v>733</v>
      </c>
      <c r="I3358" s="340" t="str">
        <f t="shared" si="132"/>
        <v>Pesado de Passageiros M3: I : Gasóleo : E6</v>
      </c>
      <c r="J3358" s="125"/>
      <c r="K3358" s="264">
        <v>2022</v>
      </c>
      <c r="L3358" s="85">
        <v>325</v>
      </c>
      <c r="M3358" s="85" t="s">
        <v>630</v>
      </c>
      <c r="N3358" s="128">
        <v>650</v>
      </c>
      <c r="O3358" s="128">
        <f t="shared" si="131"/>
        <v>0</v>
      </c>
      <c r="P3358" s="125" t="s">
        <v>4595</v>
      </c>
      <c r="Q3358" s="85" t="s">
        <v>47</v>
      </c>
      <c r="R3358" s="220" t="s">
        <v>1888</v>
      </c>
      <c r="S3358" s="220" t="s">
        <v>1861</v>
      </c>
      <c r="T3358" s="85" t="s">
        <v>3437</v>
      </c>
    </row>
    <row r="3359" spans="1:20" ht="15.75" thickBot="1" x14ac:dyDescent="0.3">
      <c r="A3359" t="s">
        <v>1929</v>
      </c>
      <c r="B3359" t="s">
        <v>1929</v>
      </c>
      <c r="C3359" s="82" t="s">
        <v>1929</v>
      </c>
      <c r="D3359" s="83" t="s">
        <v>629</v>
      </c>
      <c r="E3359" s="262" t="s">
        <v>1970</v>
      </c>
      <c r="F3359" s="124" t="s">
        <v>620</v>
      </c>
      <c r="G3359" s="130"/>
      <c r="H3359" s="125" t="s">
        <v>733</v>
      </c>
      <c r="I3359" s="340" t="str">
        <f t="shared" si="132"/>
        <v>Pesado de Passageiros M3: I : Gasóleo : E6</v>
      </c>
      <c r="J3359" s="125"/>
      <c r="K3359" s="264">
        <v>2022</v>
      </c>
      <c r="L3359" s="253">
        <v>91.170999999999992</v>
      </c>
      <c r="M3359" s="85" t="s">
        <v>630</v>
      </c>
      <c r="N3359" s="128">
        <v>216</v>
      </c>
      <c r="O3359" s="128">
        <f t="shared" si="131"/>
        <v>0</v>
      </c>
      <c r="P3359" s="125" t="s">
        <v>4596</v>
      </c>
      <c r="Q3359" s="85" t="s">
        <v>47</v>
      </c>
      <c r="R3359" s="220" t="s">
        <v>1888</v>
      </c>
      <c r="S3359" s="220" t="s">
        <v>1861</v>
      </c>
      <c r="T3359" s="85" t="s">
        <v>3438</v>
      </c>
    </row>
    <row r="3360" spans="1:20" ht="15.75" thickBot="1" x14ac:dyDescent="0.3">
      <c r="A3360" t="s">
        <v>1929</v>
      </c>
      <c r="B3360" t="s">
        <v>1929</v>
      </c>
      <c r="C3360" s="82" t="s">
        <v>1929</v>
      </c>
      <c r="D3360" s="83" t="s">
        <v>629</v>
      </c>
      <c r="E3360" s="262" t="s">
        <v>1970</v>
      </c>
      <c r="F3360" s="124" t="s">
        <v>620</v>
      </c>
      <c r="G3360" s="130"/>
      <c r="H3360" s="125" t="s">
        <v>733</v>
      </c>
      <c r="I3360" s="340" t="str">
        <f t="shared" si="132"/>
        <v>Pesado de Passageiros M3: I : Gasóleo : E6</v>
      </c>
      <c r="J3360" s="125"/>
      <c r="K3360" s="264">
        <v>2022</v>
      </c>
      <c r="L3360" s="85">
        <v>327.65899999999999</v>
      </c>
      <c r="M3360" s="85" t="s">
        <v>630</v>
      </c>
      <c r="N3360" s="128">
        <v>785</v>
      </c>
      <c r="O3360" s="128">
        <f t="shared" si="131"/>
        <v>0</v>
      </c>
      <c r="P3360" s="125" t="s">
        <v>4596</v>
      </c>
      <c r="Q3360" s="85" t="s">
        <v>47</v>
      </c>
      <c r="R3360" s="220" t="s">
        <v>1888</v>
      </c>
      <c r="S3360" s="220" t="s">
        <v>1861</v>
      </c>
      <c r="T3360" s="85" t="s">
        <v>3438</v>
      </c>
    </row>
    <row r="3361" spans="1:20" ht="15.75" thickBot="1" x14ac:dyDescent="0.3">
      <c r="A3361" t="s">
        <v>1929</v>
      </c>
      <c r="B3361" t="s">
        <v>1929</v>
      </c>
      <c r="C3361" s="82" t="s">
        <v>1929</v>
      </c>
      <c r="D3361" s="83" t="s">
        <v>629</v>
      </c>
      <c r="E3361" s="262" t="s">
        <v>1970</v>
      </c>
      <c r="F3361" s="124" t="s">
        <v>620</v>
      </c>
      <c r="G3361" s="130"/>
      <c r="H3361" s="125" t="s">
        <v>733</v>
      </c>
      <c r="I3361" s="340" t="str">
        <f t="shared" si="132"/>
        <v>Pesado de Passageiros M3: I : Gasóleo : E6</v>
      </c>
      <c r="J3361" s="125"/>
      <c r="K3361" s="264">
        <v>2022</v>
      </c>
      <c r="L3361" s="85">
        <v>295.55540000000002</v>
      </c>
      <c r="M3361" s="85" t="s">
        <v>630</v>
      </c>
      <c r="N3361" s="128">
        <v>749</v>
      </c>
      <c r="O3361" s="128">
        <f t="shared" si="131"/>
        <v>0</v>
      </c>
      <c r="P3361" s="125" t="s">
        <v>4597</v>
      </c>
      <c r="Q3361" s="85" t="s">
        <v>47</v>
      </c>
      <c r="R3361" s="220" t="s">
        <v>1888</v>
      </c>
      <c r="S3361" s="220" t="s">
        <v>1861</v>
      </c>
      <c r="T3361" s="85" t="s">
        <v>4411</v>
      </c>
    </row>
    <row r="3362" spans="1:20" ht="15.75" thickBot="1" x14ac:dyDescent="0.3">
      <c r="A3362" t="s">
        <v>1929</v>
      </c>
      <c r="B3362" t="s">
        <v>1929</v>
      </c>
      <c r="C3362" s="82" t="s">
        <v>1929</v>
      </c>
      <c r="D3362" s="83" t="s">
        <v>629</v>
      </c>
      <c r="E3362" s="262" t="s">
        <v>1970</v>
      </c>
      <c r="F3362" s="124" t="s">
        <v>620</v>
      </c>
      <c r="G3362" s="130"/>
      <c r="H3362" s="125" t="s">
        <v>733</v>
      </c>
      <c r="I3362" s="340" t="str">
        <f t="shared" si="132"/>
        <v>Pesado de Passageiros M3: I : Gasóleo : E6</v>
      </c>
      <c r="J3362" s="125"/>
      <c r="K3362" s="264">
        <v>2022</v>
      </c>
      <c r="L3362" s="85">
        <v>370.72649999999999</v>
      </c>
      <c r="M3362" s="85" t="s">
        <v>630</v>
      </c>
      <c r="N3362" s="128">
        <v>885</v>
      </c>
      <c r="O3362" s="128">
        <f t="shared" si="131"/>
        <v>0</v>
      </c>
      <c r="P3362" s="125" t="s">
        <v>4598</v>
      </c>
      <c r="Q3362" s="85" t="s">
        <v>47</v>
      </c>
      <c r="R3362" s="220" t="s">
        <v>1888</v>
      </c>
      <c r="S3362" s="220" t="s">
        <v>1861</v>
      </c>
      <c r="T3362" s="85" t="s">
        <v>4412</v>
      </c>
    </row>
    <row r="3363" spans="1:20" ht="15.75" thickBot="1" x14ac:dyDescent="0.3">
      <c r="A3363" t="s">
        <v>1929</v>
      </c>
      <c r="B3363" t="s">
        <v>1929</v>
      </c>
      <c r="C3363" s="82" t="s">
        <v>1929</v>
      </c>
      <c r="D3363" s="83" t="s">
        <v>629</v>
      </c>
      <c r="E3363" s="262" t="s">
        <v>1970</v>
      </c>
      <c r="F3363" s="124" t="s">
        <v>620</v>
      </c>
      <c r="G3363" s="130"/>
      <c r="H3363" s="125" t="s">
        <v>733</v>
      </c>
      <c r="I3363" s="340" t="str">
        <f t="shared" si="132"/>
        <v>Pesado de Passageiros M3: I : Gasóleo : E6</v>
      </c>
      <c r="J3363" s="125"/>
      <c r="K3363" s="264">
        <v>2022</v>
      </c>
      <c r="L3363" s="85">
        <v>175.14</v>
      </c>
      <c r="M3363" s="85" t="s">
        <v>630</v>
      </c>
      <c r="N3363" s="128">
        <v>417</v>
      </c>
      <c r="O3363" s="128">
        <f t="shared" si="131"/>
        <v>0</v>
      </c>
      <c r="P3363" s="125" t="s">
        <v>4599</v>
      </c>
      <c r="Q3363" s="85" t="s">
        <v>47</v>
      </c>
      <c r="R3363" s="220" t="s">
        <v>1888</v>
      </c>
      <c r="S3363" s="220" t="s">
        <v>1861</v>
      </c>
      <c r="T3363" s="85" t="s">
        <v>4413</v>
      </c>
    </row>
    <row r="3364" spans="1:20" ht="15.75" thickBot="1" x14ac:dyDescent="0.3">
      <c r="A3364" t="s">
        <v>1929</v>
      </c>
      <c r="B3364" t="s">
        <v>1929</v>
      </c>
      <c r="C3364" s="82" t="s">
        <v>1929</v>
      </c>
      <c r="D3364" s="83" t="s">
        <v>629</v>
      </c>
      <c r="E3364" s="262" t="s">
        <v>1970</v>
      </c>
      <c r="F3364" s="124" t="s">
        <v>620</v>
      </c>
      <c r="G3364" s="130"/>
      <c r="H3364" s="125" t="s">
        <v>733</v>
      </c>
      <c r="I3364" s="340" t="str">
        <f t="shared" si="132"/>
        <v>Pesado de Passageiros M3: I : Gasóleo : E6</v>
      </c>
      <c r="J3364" s="125"/>
      <c r="K3364" s="264">
        <v>2022</v>
      </c>
      <c r="L3364" s="253">
        <v>30.080000000000013</v>
      </c>
      <c r="M3364" s="85" t="s">
        <v>630</v>
      </c>
      <c r="N3364" s="128">
        <v>71</v>
      </c>
      <c r="O3364" s="128">
        <f t="shared" si="131"/>
        <v>0</v>
      </c>
      <c r="P3364" s="125" t="s">
        <v>4600</v>
      </c>
      <c r="Q3364" s="85" t="s">
        <v>47</v>
      </c>
      <c r="R3364" s="220" t="s">
        <v>1888</v>
      </c>
      <c r="S3364" s="220" t="s">
        <v>1861</v>
      </c>
      <c r="T3364" s="85" t="s">
        <v>4414</v>
      </c>
    </row>
    <row r="3365" spans="1:20" ht="15.75" thickBot="1" x14ac:dyDescent="0.3">
      <c r="A3365" t="s">
        <v>1929</v>
      </c>
      <c r="B3365" t="s">
        <v>1929</v>
      </c>
      <c r="C3365" s="82" t="s">
        <v>1929</v>
      </c>
      <c r="D3365" s="83" t="s">
        <v>629</v>
      </c>
      <c r="E3365" s="262" t="s">
        <v>1970</v>
      </c>
      <c r="F3365" s="124" t="s">
        <v>620</v>
      </c>
      <c r="G3365" s="130"/>
      <c r="H3365" s="125" t="s">
        <v>733</v>
      </c>
      <c r="I3365" s="340" t="str">
        <f t="shared" si="132"/>
        <v>Pesado de Passageiros M3: I : Gasóleo : E6</v>
      </c>
      <c r="J3365" s="125"/>
      <c r="K3365" s="264">
        <v>2022</v>
      </c>
      <c r="L3365" s="85">
        <v>223.2</v>
      </c>
      <c r="M3365" s="85" t="s">
        <v>630</v>
      </c>
      <c r="N3365" s="128">
        <v>558</v>
      </c>
      <c r="O3365" s="128">
        <f t="shared" si="131"/>
        <v>0</v>
      </c>
      <c r="P3365" s="125" t="s">
        <v>4600</v>
      </c>
      <c r="Q3365" s="85" t="s">
        <v>47</v>
      </c>
      <c r="R3365" s="220" t="s">
        <v>1888</v>
      </c>
      <c r="S3365" s="220" t="s">
        <v>1861</v>
      </c>
      <c r="T3365" s="85" t="s">
        <v>4414</v>
      </c>
    </row>
    <row r="3366" spans="1:20" ht="15.75" thickBot="1" x14ac:dyDescent="0.3">
      <c r="A3366" t="s">
        <v>1929</v>
      </c>
      <c r="B3366" t="s">
        <v>1929</v>
      </c>
      <c r="C3366" s="82" t="s">
        <v>1929</v>
      </c>
      <c r="D3366" s="83" t="s">
        <v>629</v>
      </c>
      <c r="E3366" s="262" t="s">
        <v>1970</v>
      </c>
      <c r="F3366" s="124" t="s">
        <v>620</v>
      </c>
      <c r="G3366" s="130"/>
      <c r="H3366" s="125" t="s">
        <v>733</v>
      </c>
      <c r="I3366" s="340" t="str">
        <f t="shared" si="132"/>
        <v>Pesado de Passageiros M3: I : Gasóleo : E6</v>
      </c>
      <c r="J3366" s="125"/>
      <c r="K3366" s="264">
        <v>2022</v>
      </c>
      <c r="L3366" s="85">
        <v>422.18989999999997</v>
      </c>
      <c r="M3366" s="85" t="s">
        <v>630</v>
      </c>
      <c r="N3366" s="128">
        <v>1177</v>
      </c>
      <c r="O3366" s="128">
        <f t="shared" si="131"/>
        <v>0</v>
      </c>
      <c r="P3366" s="125" t="s">
        <v>4601</v>
      </c>
      <c r="Q3366" s="85" t="s">
        <v>47</v>
      </c>
      <c r="R3366" s="220" t="s">
        <v>1888</v>
      </c>
      <c r="S3366" s="220" t="s">
        <v>1861</v>
      </c>
      <c r="T3366" s="85" t="s">
        <v>4415</v>
      </c>
    </row>
    <row r="3367" spans="1:20" ht="15.75" thickBot="1" x14ac:dyDescent="0.3">
      <c r="A3367" t="s">
        <v>1929</v>
      </c>
      <c r="B3367" t="s">
        <v>1929</v>
      </c>
      <c r="C3367" s="82" t="s">
        <v>1929</v>
      </c>
      <c r="D3367" s="83" t="s">
        <v>629</v>
      </c>
      <c r="E3367" s="262" t="s">
        <v>1970</v>
      </c>
      <c r="F3367" s="124" t="s">
        <v>620</v>
      </c>
      <c r="G3367" s="130"/>
      <c r="H3367" s="125" t="s">
        <v>733</v>
      </c>
      <c r="I3367" s="340" t="str">
        <f t="shared" si="132"/>
        <v>Pesado de Passageiros M3: I : Gasóleo : E6</v>
      </c>
      <c r="J3367" s="125"/>
      <c r="K3367" s="264">
        <v>2022</v>
      </c>
      <c r="L3367" s="253">
        <v>30.059999999999945</v>
      </c>
      <c r="M3367" s="85" t="s">
        <v>630</v>
      </c>
      <c r="N3367" s="128">
        <v>85</v>
      </c>
      <c r="O3367" s="128">
        <f t="shared" si="131"/>
        <v>0</v>
      </c>
      <c r="P3367" s="125" t="s">
        <v>4602</v>
      </c>
      <c r="Q3367" s="85" t="s">
        <v>47</v>
      </c>
      <c r="R3367" s="220" t="s">
        <v>1888</v>
      </c>
      <c r="S3367" s="220" t="s">
        <v>1861</v>
      </c>
      <c r="T3367" s="85" t="s">
        <v>3450</v>
      </c>
    </row>
    <row r="3368" spans="1:20" ht="15.75" thickBot="1" x14ac:dyDescent="0.3">
      <c r="A3368" t="s">
        <v>1929</v>
      </c>
      <c r="B3368" t="s">
        <v>1929</v>
      </c>
      <c r="C3368" s="82" t="s">
        <v>1929</v>
      </c>
      <c r="D3368" s="83" t="s">
        <v>629</v>
      </c>
      <c r="E3368" s="262" t="s">
        <v>1970</v>
      </c>
      <c r="F3368" s="124" t="s">
        <v>620</v>
      </c>
      <c r="G3368" s="130"/>
      <c r="H3368" s="125" t="s">
        <v>733</v>
      </c>
      <c r="I3368" s="340" t="str">
        <f t="shared" si="132"/>
        <v>Pesado de Passageiros M3: I : Gasóleo : E6</v>
      </c>
      <c r="J3368" s="125"/>
      <c r="K3368" s="264">
        <v>2022</v>
      </c>
      <c r="L3368" s="85">
        <v>500.5</v>
      </c>
      <c r="M3368" s="85" t="s">
        <v>630</v>
      </c>
      <c r="N3368" s="128">
        <v>1430</v>
      </c>
      <c r="O3368" s="128">
        <f t="shared" si="131"/>
        <v>0</v>
      </c>
      <c r="P3368" s="125" t="s">
        <v>4602</v>
      </c>
      <c r="Q3368" s="85" t="s">
        <v>47</v>
      </c>
      <c r="R3368" s="220" t="s">
        <v>1888</v>
      </c>
      <c r="S3368" s="220" t="s">
        <v>1861</v>
      </c>
      <c r="T3368" s="85" t="s">
        <v>3450</v>
      </c>
    </row>
    <row r="3369" spans="1:20" ht="15.75" thickBot="1" x14ac:dyDescent="0.3">
      <c r="A3369" t="s">
        <v>1929</v>
      </c>
      <c r="B3369" t="s">
        <v>1929</v>
      </c>
      <c r="C3369" s="82" t="s">
        <v>1929</v>
      </c>
      <c r="D3369" s="83" t="s">
        <v>629</v>
      </c>
      <c r="E3369" s="262" t="s">
        <v>1970</v>
      </c>
      <c r="F3369" s="124" t="s">
        <v>620</v>
      </c>
      <c r="G3369" s="130"/>
      <c r="H3369" s="125" t="s">
        <v>733</v>
      </c>
      <c r="I3369" s="340" t="str">
        <f t="shared" si="132"/>
        <v>Pesado de Passageiros M3: I : Gasóleo : E6</v>
      </c>
      <c r="J3369" s="125"/>
      <c r="K3369" s="264">
        <v>2022</v>
      </c>
      <c r="L3369" s="85">
        <v>64.459999999999994</v>
      </c>
      <c r="M3369" s="85" t="s">
        <v>630</v>
      </c>
      <c r="N3369" s="128">
        <v>293</v>
      </c>
      <c r="O3369" s="128">
        <f t="shared" si="131"/>
        <v>0</v>
      </c>
      <c r="P3369" s="125" t="s">
        <v>4603</v>
      </c>
      <c r="Q3369" s="85" t="s">
        <v>47</v>
      </c>
      <c r="R3369" s="220" t="s">
        <v>1888</v>
      </c>
      <c r="S3369" s="220" t="s">
        <v>1861</v>
      </c>
      <c r="T3369" s="85" t="s">
        <v>4416</v>
      </c>
    </row>
    <row r="3370" spans="1:20" ht="15.75" thickBot="1" x14ac:dyDescent="0.3">
      <c r="A3370" t="s">
        <v>1929</v>
      </c>
      <c r="B3370" t="s">
        <v>1929</v>
      </c>
      <c r="C3370" s="82" t="s">
        <v>1929</v>
      </c>
      <c r="D3370" s="83" t="s">
        <v>629</v>
      </c>
      <c r="E3370" s="262" t="s">
        <v>1970</v>
      </c>
      <c r="F3370" s="124" t="s">
        <v>620</v>
      </c>
      <c r="G3370" s="130"/>
      <c r="H3370" s="125" t="s">
        <v>733</v>
      </c>
      <c r="I3370" s="340" t="str">
        <f t="shared" si="132"/>
        <v>Pesado de Passageiros M3: I : Gasóleo : E6</v>
      </c>
      <c r="J3370" s="125"/>
      <c r="K3370" s="264">
        <v>2022</v>
      </c>
      <c r="L3370" s="85">
        <v>90.65</v>
      </c>
      <c r="M3370" s="85" t="s">
        <v>630</v>
      </c>
      <c r="N3370" s="128">
        <v>500</v>
      </c>
      <c r="O3370" s="128">
        <f t="shared" si="131"/>
        <v>0</v>
      </c>
      <c r="P3370" s="125" t="s">
        <v>2243</v>
      </c>
      <c r="Q3370" s="85" t="s">
        <v>47</v>
      </c>
      <c r="R3370" s="220" t="s">
        <v>1888</v>
      </c>
      <c r="S3370" s="220" t="s">
        <v>1861</v>
      </c>
      <c r="T3370" s="85" t="s">
        <v>4417</v>
      </c>
    </row>
    <row r="3371" spans="1:20" ht="15.75" thickBot="1" x14ac:dyDescent="0.3">
      <c r="A3371" t="s">
        <v>1929</v>
      </c>
      <c r="B3371" t="s">
        <v>1929</v>
      </c>
      <c r="C3371" s="82" t="s">
        <v>1929</v>
      </c>
      <c r="D3371" s="83" t="s">
        <v>629</v>
      </c>
      <c r="E3371" s="262" t="s">
        <v>1970</v>
      </c>
      <c r="F3371" s="124" t="s">
        <v>620</v>
      </c>
      <c r="G3371" s="130"/>
      <c r="H3371" s="125" t="s">
        <v>733</v>
      </c>
      <c r="I3371" s="340" t="str">
        <f t="shared" si="132"/>
        <v>Pesado de Passageiros M3: I : Gasóleo : E6</v>
      </c>
      <c r="J3371" s="125"/>
      <c r="K3371" s="264">
        <v>2022</v>
      </c>
      <c r="L3371" s="85">
        <v>62.48</v>
      </c>
      <c r="M3371" s="85" t="s">
        <v>630</v>
      </c>
      <c r="N3371" s="128">
        <v>284</v>
      </c>
      <c r="O3371" s="128">
        <f t="shared" si="131"/>
        <v>0</v>
      </c>
      <c r="P3371" s="125" t="s">
        <v>2248</v>
      </c>
      <c r="Q3371" s="85" t="s">
        <v>47</v>
      </c>
      <c r="R3371" s="220" t="s">
        <v>1888</v>
      </c>
      <c r="S3371" s="220" t="s">
        <v>1861</v>
      </c>
      <c r="T3371" s="85" t="s">
        <v>4418</v>
      </c>
    </row>
    <row r="3372" spans="1:20" ht="15.75" thickBot="1" x14ac:dyDescent="0.3">
      <c r="A3372" t="s">
        <v>1929</v>
      </c>
      <c r="B3372" t="s">
        <v>1929</v>
      </c>
      <c r="C3372" s="82" t="s">
        <v>1929</v>
      </c>
      <c r="D3372" s="83" t="s">
        <v>629</v>
      </c>
      <c r="E3372" s="262" t="s">
        <v>1970</v>
      </c>
      <c r="F3372" s="124" t="s">
        <v>620</v>
      </c>
      <c r="G3372" s="130">
        <v>2022</v>
      </c>
      <c r="H3372" s="125" t="s">
        <v>733</v>
      </c>
      <c r="I3372" s="340" t="str">
        <f t="shared" si="132"/>
        <v>Pesado de Passageiros M3: I : Gasóleo : E6</v>
      </c>
      <c r="J3372" s="125">
        <v>89</v>
      </c>
      <c r="K3372" s="264">
        <v>2022</v>
      </c>
      <c r="L3372" s="129">
        <v>8449.4058000000005</v>
      </c>
      <c r="M3372" s="85" t="s">
        <v>630</v>
      </c>
      <c r="N3372" s="128">
        <v>21901</v>
      </c>
      <c r="O3372" s="128">
        <f t="shared" si="131"/>
        <v>1949189</v>
      </c>
      <c r="P3372" s="125">
        <v>2702</v>
      </c>
      <c r="Q3372" s="85" t="s">
        <v>47</v>
      </c>
      <c r="R3372" s="220" t="s">
        <v>1888</v>
      </c>
      <c r="S3372" s="220" t="s">
        <v>1861</v>
      </c>
      <c r="T3372" s="85" t="s">
        <v>4419</v>
      </c>
    </row>
    <row r="3373" spans="1:20" ht="15.75" thickBot="1" x14ac:dyDescent="0.3">
      <c r="A3373" t="s">
        <v>1929</v>
      </c>
      <c r="B3373" t="s">
        <v>1929</v>
      </c>
      <c r="C3373" s="82" t="s">
        <v>1929</v>
      </c>
      <c r="D3373" s="83" t="s">
        <v>629</v>
      </c>
      <c r="E3373" s="262" t="s">
        <v>1970</v>
      </c>
      <c r="F3373" s="124" t="s">
        <v>620</v>
      </c>
      <c r="G3373" s="130"/>
      <c r="H3373" s="125" t="s">
        <v>733</v>
      </c>
      <c r="I3373" s="340" t="str">
        <f t="shared" si="132"/>
        <v>Pesado de Passageiros M3: I : Gasóleo : E6</v>
      </c>
      <c r="J3373" s="125"/>
      <c r="K3373" s="264">
        <v>2022</v>
      </c>
      <c r="L3373" s="85">
        <v>55.88</v>
      </c>
      <c r="M3373" s="85" t="s">
        <v>630</v>
      </c>
      <c r="N3373" s="128">
        <v>254</v>
      </c>
      <c r="O3373" s="128">
        <f t="shared" si="131"/>
        <v>0</v>
      </c>
      <c r="P3373" s="125" t="s">
        <v>2221</v>
      </c>
      <c r="Q3373" s="85" t="s">
        <v>47</v>
      </c>
      <c r="R3373" s="220" t="s">
        <v>1888</v>
      </c>
      <c r="S3373" s="220" t="s">
        <v>1861</v>
      </c>
      <c r="T3373" s="85" t="s">
        <v>4420</v>
      </c>
    </row>
    <row r="3374" spans="1:20" ht="15.75" thickBot="1" x14ac:dyDescent="0.3">
      <c r="A3374" t="s">
        <v>1929</v>
      </c>
      <c r="B3374" t="s">
        <v>1929</v>
      </c>
      <c r="C3374" s="82" t="s">
        <v>1929</v>
      </c>
      <c r="D3374" s="83" t="s">
        <v>629</v>
      </c>
      <c r="E3374" s="262" t="s">
        <v>1970</v>
      </c>
      <c r="F3374" s="124" t="s">
        <v>620</v>
      </c>
      <c r="G3374" s="130">
        <v>2022</v>
      </c>
      <c r="H3374" s="125" t="s">
        <v>733</v>
      </c>
      <c r="I3374" s="340" t="str">
        <f t="shared" si="132"/>
        <v>Pesado de Passageiros M3: I : Gasóleo : E6</v>
      </c>
      <c r="J3374" s="125">
        <v>109</v>
      </c>
      <c r="K3374" s="264">
        <v>2022</v>
      </c>
      <c r="L3374" s="129">
        <v>3868.3456000000001</v>
      </c>
      <c r="M3374" s="85" t="s">
        <v>630</v>
      </c>
      <c r="N3374" s="128">
        <v>8744</v>
      </c>
      <c r="O3374" s="128">
        <f t="shared" si="131"/>
        <v>953096</v>
      </c>
      <c r="P3374" s="125">
        <v>2590</v>
      </c>
      <c r="Q3374" s="85" t="s">
        <v>47</v>
      </c>
      <c r="R3374" s="220" t="s">
        <v>1888</v>
      </c>
      <c r="S3374" s="220" t="s">
        <v>1861</v>
      </c>
      <c r="T3374" s="85" t="s">
        <v>4421</v>
      </c>
    </row>
    <row r="3375" spans="1:20" ht="15.75" thickBot="1" x14ac:dyDescent="0.3">
      <c r="A3375" t="s">
        <v>1929</v>
      </c>
      <c r="B3375" t="s">
        <v>1929</v>
      </c>
      <c r="C3375" s="82" t="s">
        <v>1929</v>
      </c>
      <c r="D3375" s="83" t="s">
        <v>629</v>
      </c>
      <c r="E3375" s="262" t="s">
        <v>1970</v>
      </c>
      <c r="F3375" s="124" t="s">
        <v>620</v>
      </c>
      <c r="G3375" s="125">
        <v>2022</v>
      </c>
      <c r="H3375" s="125" t="s">
        <v>733</v>
      </c>
      <c r="I3375" s="340" t="str">
        <f t="shared" si="132"/>
        <v>Pesado de Passageiros M3: I : Gasóleo : E6</v>
      </c>
      <c r="J3375" s="125">
        <v>37</v>
      </c>
      <c r="K3375" s="264">
        <v>2022</v>
      </c>
      <c r="L3375" s="129">
        <v>794.80239999999992</v>
      </c>
      <c r="M3375" s="85" t="s">
        <v>630</v>
      </c>
      <c r="N3375" s="128">
        <v>3998</v>
      </c>
      <c r="O3375" s="128">
        <f t="shared" si="131"/>
        <v>147926</v>
      </c>
      <c r="P3375" s="420" t="s">
        <v>1973</v>
      </c>
      <c r="Q3375" s="85" t="s">
        <v>47</v>
      </c>
      <c r="R3375" s="220" t="s">
        <v>1888</v>
      </c>
      <c r="S3375" s="220" t="s">
        <v>1861</v>
      </c>
      <c r="T3375" s="85" t="s">
        <v>4422</v>
      </c>
    </row>
    <row r="3376" spans="1:20" ht="15.75" thickBot="1" x14ac:dyDescent="0.3">
      <c r="A3376" t="s">
        <v>1929</v>
      </c>
      <c r="B3376" t="s">
        <v>1929</v>
      </c>
      <c r="C3376" s="82" t="s">
        <v>1929</v>
      </c>
      <c r="D3376" s="83" t="s">
        <v>629</v>
      </c>
      <c r="E3376" s="262" t="s">
        <v>1970</v>
      </c>
      <c r="F3376" s="124" t="s">
        <v>620</v>
      </c>
      <c r="G3376" s="130"/>
      <c r="H3376" s="125" t="s">
        <v>733</v>
      </c>
      <c r="I3376" s="340" t="str">
        <f t="shared" si="132"/>
        <v>Pesado de Passageiros M3: I : Gasóleo : E6</v>
      </c>
      <c r="J3376" s="125"/>
      <c r="K3376" s="264">
        <v>2022</v>
      </c>
      <c r="L3376" s="85">
        <v>277.7688</v>
      </c>
      <c r="M3376" s="85" t="s">
        <v>630</v>
      </c>
      <c r="N3376" s="128">
        <v>669</v>
      </c>
      <c r="O3376" s="128">
        <f t="shared" si="131"/>
        <v>0</v>
      </c>
      <c r="P3376" s="125" t="s">
        <v>4604</v>
      </c>
      <c r="Q3376" s="85" t="s">
        <v>47</v>
      </c>
      <c r="R3376" s="220" t="s">
        <v>1888</v>
      </c>
      <c r="S3376" s="220" t="s">
        <v>1861</v>
      </c>
      <c r="T3376" s="85" t="s">
        <v>4423</v>
      </c>
    </row>
    <row r="3377" spans="1:20" ht="15.75" thickBot="1" x14ac:dyDescent="0.3">
      <c r="A3377" t="s">
        <v>1929</v>
      </c>
      <c r="B3377" t="s">
        <v>1929</v>
      </c>
      <c r="C3377" s="82" t="s">
        <v>1929</v>
      </c>
      <c r="D3377" s="83" t="s">
        <v>629</v>
      </c>
      <c r="E3377" s="262" t="s">
        <v>1970</v>
      </c>
      <c r="F3377" s="124" t="s">
        <v>620</v>
      </c>
      <c r="G3377" s="125">
        <v>2022</v>
      </c>
      <c r="H3377" s="125" t="s">
        <v>733</v>
      </c>
      <c r="I3377" s="340" t="str">
        <f t="shared" si="132"/>
        <v>Pesado de Passageiros M3: I : Gasóleo : E6</v>
      </c>
      <c r="J3377" s="125">
        <v>37</v>
      </c>
      <c r="K3377" s="264">
        <v>2022</v>
      </c>
      <c r="L3377" s="129">
        <v>1769.2379999999998</v>
      </c>
      <c r="M3377" s="85" t="s">
        <v>630</v>
      </c>
      <c r="N3377" s="128">
        <v>8172</v>
      </c>
      <c r="O3377" s="128">
        <f t="shared" ref="O3377:O3440" si="133">N3377*J3377</f>
        <v>302364</v>
      </c>
      <c r="P3377" s="420">
        <v>2001</v>
      </c>
      <c r="Q3377" s="85" t="s">
        <v>47</v>
      </c>
      <c r="R3377" s="220" t="s">
        <v>1888</v>
      </c>
      <c r="S3377" s="220" t="s">
        <v>1861</v>
      </c>
      <c r="T3377" s="85" t="s">
        <v>4424</v>
      </c>
    </row>
    <row r="3378" spans="1:20" ht="15.75" thickBot="1" x14ac:dyDescent="0.3">
      <c r="A3378" t="s">
        <v>1929</v>
      </c>
      <c r="B3378" t="s">
        <v>1929</v>
      </c>
      <c r="C3378" s="82" t="s">
        <v>1929</v>
      </c>
      <c r="D3378" s="83" t="s">
        <v>629</v>
      </c>
      <c r="E3378" s="262" t="s">
        <v>1970</v>
      </c>
      <c r="F3378" s="124" t="s">
        <v>620</v>
      </c>
      <c r="G3378" s="130">
        <v>2022</v>
      </c>
      <c r="H3378" s="125" t="s">
        <v>733</v>
      </c>
      <c r="I3378" s="340" t="str">
        <f t="shared" si="132"/>
        <v>Pesado de Passageiros M3: I : Gasóleo : E6</v>
      </c>
      <c r="J3378" s="125">
        <v>89</v>
      </c>
      <c r="K3378" s="264">
        <v>2022</v>
      </c>
      <c r="L3378" s="129">
        <v>9007.6188000000002</v>
      </c>
      <c r="M3378" s="85" t="s">
        <v>630</v>
      </c>
      <c r="N3378" s="128">
        <v>22002</v>
      </c>
      <c r="O3378" s="128">
        <f t="shared" si="133"/>
        <v>1958178</v>
      </c>
      <c r="P3378" s="125">
        <v>2704</v>
      </c>
      <c r="Q3378" s="85" t="s">
        <v>47</v>
      </c>
      <c r="R3378" s="220" t="s">
        <v>1888</v>
      </c>
      <c r="S3378" s="220" t="s">
        <v>1861</v>
      </c>
      <c r="T3378" s="85" t="s">
        <v>4425</v>
      </c>
    </row>
    <row r="3379" spans="1:20" ht="15.75" thickBot="1" x14ac:dyDescent="0.3">
      <c r="A3379" t="s">
        <v>1929</v>
      </c>
      <c r="B3379" t="s">
        <v>1929</v>
      </c>
      <c r="C3379" s="82" t="s">
        <v>1929</v>
      </c>
      <c r="D3379" s="83" t="s">
        <v>629</v>
      </c>
      <c r="E3379" s="262" t="s">
        <v>1970</v>
      </c>
      <c r="F3379" s="124" t="s">
        <v>620</v>
      </c>
      <c r="G3379" s="130">
        <v>2022</v>
      </c>
      <c r="H3379" s="125" t="s">
        <v>733</v>
      </c>
      <c r="I3379" s="340" t="str">
        <f t="shared" si="132"/>
        <v>Pesado de Passageiros M3: I : Gasóleo : E6</v>
      </c>
      <c r="J3379" s="125">
        <v>89</v>
      </c>
      <c r="K3379" s="264">
        <v>2022</v>
      </c>
      <c r="L3379" s="129">
        <v>7872.6869999999999</v>
      </c>
      <c r="M3379" s="85" t="s">
        <v>630</v>
      </c>
      <c r="N3379" s="128">
        <v>20385</v>
      </c>
      <c r="O3379" s="128">
        <f t="shared" si="133"/>
        <v>1814265</v>
      </c>
      <c r="P3379" s="125">
        <v>2706</v>
      </c>
      <c r="Q3379" s="85" t="s">
        <v>47</v>
      </c>
      <c r="R3379" s="220" t="s">
        <v>1888</v>
      </c>
      <c r="S3379" s="220" t="s">
        <v>1861</v>
      </c>
      <c r="T3379" s="85" t="s">
        <v>4426</v>
      </c>
    </row>
    <row r="3380" spans="1:20" ht="15.75" thickBot="1" x14ac:dyDescent="0.3">
      <c r="A3380" t="s">
        <v>1929</v>
      </c>
      <c r="B3380" t="s">
        <v>1929</v>
      </c>
      <c r="C3380" s="82" t="s">
        <v>1929</v>
      </c>
      <c r="D3380" s="83" t="s">
        <v>629</v>
      </c>
      <c r="E3380" s="262" t="s">
        <v>1970</v>
      </c>
      <c r="F3380" s="124" t="s">
        <v>620</v>
      </c>
      <c r="G3380" s="130"/>
      <c r="H3380" s="125" t="s">
        <v>733</v>
      </c>
      <c r="I3380" s="340" t="str">
        <f t="shared" si="132"/>
        <v>Pesado de Passageiros M3: I : Gasóleo : E6</v>
      </c>
      <c r="J3380" s="125"/>
      <c r="K3380" s="264">
        <v>2022</v>
      </c>
      <c r="L3380" s="85">
        <v>3196.44</v>
      </c>
      <c r="M3380" s="85" t="s">
        <v>630</v>
      </c>
      <c r="N3380" s="128">
        <v>8879</v>
      </c>
      <c r="O3380" s="128">
        <f t="shared" si="133"/>
        <v>0</v>
      </c>
      <c r="P3380" s="125" t="s">
        <v>4605</v>
      </c>
      <c r="Q3380" s="85" t="s">
        <v>47</v>
      </c>
      <c r="R3380" s="220" t="s">
        <v>1888</v>
      </c>
      <c r="S3380" s="220" t="s">
        <v>1861</v>
      </c>
      <c r="T3380" s="85" t="s">
        <v>3446</v>
      </c>
    </row>
    <row r="3381" spans="1:20" ht="15.75" thickBot="1" x14ac:dyDescent="0.3">
      <c r="A3381" t="s">
        <v>1929</v>
      </c>
      <c r="B3381" t="s">
        <v>1929</v>
      </c>
      <c r="C3381" s="82" t="s">
        <v>1929</v>
      </c>
      <c r="D3381" s="83" t="s">
        <v>629</v>
      </c>
      <c r="E3381" s="262" t="s">
        <v>1970</v>
      </c>
      <c r="F3381" s="124" t="s">
        <v>620</v>
      </c>
      <c r="G3381" s="130">
        <v>2022</v>
      </c>
      <c r="H3381" s="125" t="s">
        <v>733</v>
      </c>
      <c r="I3381" s="340" t="str">
        <f t="shared" si="132"/>
        <v>Pesado de Passageiros M3: I : Gasóleo : E6</v>
      </c>
      <c r="J3381" s="125">
        <v>83</v>
      </c>
      <c r="K3381" s="264">
        <v>2022</v>
      </c>
      <c r="L3381" s="421">
        <v>3530.44</v>
      </c>
      <c r="M3381" s="85" t="s">
        <v>630</v>
      </c>
      <c r="N3381" s="128">
        <v>10439</v>
      </c>
      <c r="O3381" s="128">
        <f t="shared" si="133"/>
        <v>866437</v>
      </c>
      <c r="P3381" s="125">
        <v>2753</v>
      </c>
      <c r="Q3381" s="85" t="s">
        <v>47</v>
      </c>
      <c r="R3381" s="220" t="s">
        <v>1888</v>
      </c>
      <c r="S3381" s="220" t="s">
        <v>1861</v>
      </c>
      <c r="T3381" s="85" t="s">
        <v>3446</v>
      </c>
    </row>
    <row r="3382" spans="1:20" ht="15.75" thickBot="1" x14ac:dyDescent="0.3">
      <c r="A3382" t="s">
        <v>1929</v>
      </c>
      <c r="B3382" t="s">
        <v>1929</v>
      </c>
      <c r="C3382" s="82" t="s">
        <v>1929</v>
      </c>
      <c r="D3382" s="83" t="s">
        <v>629</v>
      </c>
      <c r="E3382" s="262" t="s">
        <v>1970</v>
      </c>
      <c r="F3382" s="124" t="s">
        <v>620</v>
      </c>
      <c r="G3382" s="130"/>
      <c r="H3382" s="125" t="s">
        <v>733</v>
      </c>
      <c r="I3382" s="340" t="str">
        <f t="shared" ref="I3382:I3445" si="134">D3382&amp;": "&amp;E3382&amp;" : "&amp;F3382&amp;" : "&amp;H3382</f>
        <v>Pesado de Passageiros M3: I : Gasóleo : E6</v>
      </c>
      <c r="J3382" s="125"/>
      <c r="K3382" s="264">
        <v>2022</v>
      </c>
      <c r="L3382" s="85">
        <v>75.418500000000009</v>
      </c>
      <c r="M3382" s="85" t="s">
        <v>630</v>
      </c>
      <c r="N3382" s="128">
        <v>411</v>
      </c>
      <c r="O3382" s="128">
        <f t="shared" si="133"/>
        <v>0</v>
      </c>
      <c r="P3382" s="125" t="s">
        <v>2241</v>
      </c>
      <c r="Q3382" s="85" t="s">
        <v>47</v>
      </c>
      <c r="R3382" s="220" t="s">
        <v>1888</v>
      </c>
      <c r="S3382" s="220" t="s">
        <v>1861</v>
      </c>
      <c r="T3382" s="85" t="s">
        <v>3412</v>
      </c>
    </row>
    <row r="3383" spans="1:20" ht="15.75" thickBot="1" x14ac:dyDescent="0.3">
      <c r="A3383" t="s">
        <v>1929</v>
      </c>
      <c r="B3383" t="s">
        <v>1929</v>
      </c>
      <c r="C3383" s="82" t="s">
        <v>1929</v>
      </c>
      <c r="D3383" s="83" t="s">
        <v>629</v>
      </c>
      <c r="E3383" s="262" t="s">
        <v>1970</v>
      </c>
      <c r="F3383" s="124" t="s">
        <v>620</v>
      </c>
      <c r="G3383" s="130"/>
      <c r="H3383" s="125" t="s">
        <v>733</v>
      </c>
      <c r="I3383" s="340" t="str">
        <f t="shared" si="134"/>
        <v>Pesado de Passageiros M3: I : Gasóleo : E6</v>
      </c>
      <c r="J3383" s="125"/>
      <c r="K3383" s="264">
        <v>2022</v>
      </c>
      <c r="L3383" s="85">
        <v>4040.2740000000003</v>
      </c>
      <c r="M3383" s="85" t="s">
        <v>630</v>
      </c>
      <c r="N3383" s="128">
        <v>11620</v>
      </c>
      <c r="O3383" s="128">
        <f t="shared" si="133"/>
        <v>0</v>
      </c>
      <c r="P3383" s="125" t="s">
        <v>4606</v>
      </c>
      <c r="Q3383" s="85" t="s">
        <v>47</v>
      </c>
      <c r="R3383" s="220" t="s">
        <v>1888</v>
      </c>
      <c r="S3383" s="220" t="s">
        <v>1861</v>
      </c>
      <c r="T3383" s="85" t="s">
        <v>4427</v>
      </c>
    </row>
    <row r="3384" spans="1:20" ht="15.75" thickBot="1" x14ac:dyDescent="0.3">
      <c r="A3384" t="s">
        <v>1929</v>
      </c>
      <c r="B3384" t="s">
        <v>1929</v>
      </c>
      <c r="C3384" s="82" t="s">
        <v>1929</v>
      </c>
      <c r="D3384" s="83" t="s">
        <v>629</v>
      </c>
      <c r="E3384" s="262" t="s">
        <v>1970</v>
      </c>
      <c r="F3384" s="124" t="s">
        <v>620</v>
      </c>
      <c r="G3384" s="130">
        <v>2022</v>
      </c>
      <c r="H3384" s="125" t="s">
        <v>733</v>
      </c>
      <c r="I3384" s="340" t="str">
        <f t="shared" si="134"/>
        <v>Pesado de Passageiros M3: I : Gasóleo : E6</v>
      </c>
      <c r="J3384" s="125">
        <v>83</v>
      </c>
      <c r="K3384" s="264">
        <v>2022</v>
      </c>
      <c r="L3384" s="421">
        <v>3306.9059999999999</v>
      </c>
      <c r="M3384" s="85" t="s">
        <v>630</v>
      </c>
      <c r="N3384" s="128">
        <v>9274</v>
      </c>
      <c r="O3384" s="128">
        <f t="shared" si="133"/>
        <v>769742</v>
      </c>
      <c r="P3384" s="125">
        <v>2755</v>
      </c>
      <c r="Q3384" s="85" t="s">
        <v>47</v>
      </c>
      <c r="R3384" s="220" t="s">
        <v>1888</v>
      </c>
      <c r="S3384" s="220" t="s">
        <v>1861</v>
      </c>
      <c r="T3384" s="85" t="s">
        <v>4427</v>
      </c>
    </row>
    <row r="3385" spans="1:20" ht="15.75" thickBot="1" x14ac:dyDescent="0.3">
      <c r="A3385" t="s">
        <v>1929</v>
      </c>
      <c r="B3385" t="s">
        <v>1929</v>
      </c>
      <c r="C3385" s="82" t="s">
        <v>1929</v>
      </c>
      <c r="D3385" s="83" t="s">
        <v>629</v>
      </c>
      <c r="E3385" s="262" t="s">
        <v>1970</v>
      </c>
      <c r="F3385" s="124" t="s">
        <v>620</v>
      </c>
      <c r="G3385" s="130"/>
      <c r="H3385" s="125" t="s">
        <v>733</v>
      </c>
      <c r="I3385" s="340" t="str">
        <f t="shared" si="134"/>
        <v>Pesado de Passageiros M3: I : Gasóleo : E6</v>
      </c>
      <c r="J3385" s="125"/>
      <c r="K3385" s="264">
        <v>2022</v>
      </c>
      <c r="L3385" s="85">
        <v>85.88130000000001</v>
      </c>
      <c r="M3385" s="85" t="s">
        <v>630</v>
      </c>
      <c r="N3385" s="128">
        <v>467</v>
      </c>
      <c r="O3385" s="128">
        <f t="shared" si="133"/>
        <v>0</v>
      </c>
      <c r="P3385" s="125" t="s">
        <v>2247</v>
      </c>
      <c r="Q3385" s="85" t="s">
        <v>47</v>
      </c>
      <c r="R3385" s="220" t="s">
        <v>1888</v>
      </c>
      <c r="S3385" s="220" t="s">
        <v>1861</v>
      </c>
      <c r="T3385" s="85" t="s">
        <v>4428</v>
      </c>
    </row>
    <row r="3386" spans="1:20" ht="15.75" thickBot="1" x14ac:dyDescent="0.3">
      <c r="A3386" t="s">
        <v>1929</v>
      </c>
      <c r="B3386" t="s">
        <v>1929</v>
      </c>
      <c r="C3386" s="82" t="s">
        <v>1929</v>
      </c>
      <c r="D3386" s="83" t="s">
        <v>629</v>
      </c>
      <c r="E3386" s="262" t="s">
        <v>1970</v>
      </c>
      <c r="F3386" s="124" t="s">
        <v>620</v>
      </c>
      <c r="G3386" s="130"/>
      <c r="H3386" s="125" t="s">
        <v>733</v>
      </c>
      <c r="I3386" s="340" t="str">
        <f t="shared" si="134"/>
        <v>Pesado de Passageiros M3: I : Gasóleo : E6</v>
      </c>
      <c r="J3386" s="125"/>
      <c r="K3386" s="264">
        <v>2022</v>
      </c>
      <c r="L3386" s="85">
        <v>55.44</v>
      </c>
      <c r="M3386" s="85" t="s">
        <v>630</v>
      </c>
      <c r="N3386" s="128">
        <v>252</v>
      </c>
      <c r="O3386" s="128">
        <f t="shared" si="133"/>
        <v>0</v>
      </c>
      <c r="P3386" s="125" t="s">
        <v>2230</v>
      </c>
      <c r="Q3386" s="85" t="s">
        <v>47</v>
      </c>
      <c r="R3386" s="220" t="s">
        <v>1888</v>
      </c>
      <c r="S3386" s="220" t="s">
        <v>1861</v>
      </c>
      <c r="T3386" s="85" t="s">
        <v>4429</v>
      </c>
    </row>
    <row r="3387" spans="1:20" ht="15.75" thickBot="1" x14ac:dyDescent="0.3">
      <c r="A3387" t="s">
        <v>1929</v>
      </c>
      <c r="B3387" t="s">
        <v>1929</v>
      </c>
      <c r="C3387" s="82" t="s">
        <v>1929</v>
      </c>
      <c r="D3387" s="83" t="s">
        <v>629</v>
      </c>
      <c r="E3387" s="262" t="s">
        <v>1970</v>
      </c>
      <c r="F3387" s="124" t="s">
        <v>620</v>
      </c>
      <c r="G3387" s="130"/>
      <c r="H3387" s="125" t="s">
        <v>733</v>
      </c>
      <c r="I3387" s="340" t="str">
        <f t="shared" si="134"/>
        <v>Pesado de Passageiros M3: I : Gasóleo : E6</v>
      </c>
      <c r="J3387" s="125"/>
      <c r="K3387" s="264">
        <v>2022</v>
      </c>
      <c r="L3387" s="85">
        <v>52.58</v>
      </c>
      <c r="M3387" s="85" t="s">
        <v>630</v>
      </c>
      <c r="N3387" s="128">
        <v>239</v>
      </c>
      <c r="O3387" s="128">
        <f t="shared" si="133"/>
        <v>0</v>
      </c>
      <c r="P3387" s="125" t="s">
        <v>2223</v>
      </c>
      <c r="Q3387" s="85" t="s">
        <v>47</v>
      </c>
      <c r="R3387" s="220" t="s">
        <v>1888</v>
      </c>
      <c r="S3387" s="220" t="s">
        <v>1861</v>
      </c>
      <c r="T3387" s="85" t="s">
        <v>4430</v>
      </c>
    </row>
    <row r="3388" spans="1:20" ht="15.75" thickBot="1" x14ac:dyDescent="0.3">
      <c r="A3388" t="s">
        <v>1929</v>
      </c>
      <c r="B3388" t="s">
        <v>1929</v>
      </c>
      <c r="C3388" s="82" t="s">
        <v>1929</v>
      </c>
      <c r="D3388" s="83" t="s">
        <v>629</v>
      </c>
      <c r="E3388" s="262" t="s">
        <v>1970</v>
      </c>
      <c r="F3388" s="124" t="s">
        <v>620</v>
      </c>
      <c r="G3388" s="130"/>
      <c r="H3388" s="125" t="s">
        <v>733</v>
      </c>
      <c r="I3388" s="340" t="str">
        <f t="shared" si="134"/>
        <v>Pesado de Passageiros M3: I : Gasóleo : E6</v>
      </c>
      <c r="J3388" s="125"/>
      <c r="K3388" s="264">
        <v>2022</v>
      </c>
      <c r="L3388" s="85">
        <v>51.7</v>
      </c>
      <c r="M3388" s="85" t="s">
        <v>630</v>
      </c>
      <c r="N3388" s="128">
        <v>235</v>
      </c>
      <c r="O3388" s="128">
        <f t="shared" si="133"/>
        <v>0</v>
      </c>
      <c r="P3388" s="125" t="s">
        <v>2244</v>
      </c>
      <c r="Q3388" s="85" t="s">
        <v>47</v>
      </c>
      <c r="R3388" s="220" t="s">
        <v>1888</v>
      </c>
      <c r="S3388" s="220" t="s">
        <v>1861</v>
      </c>
      <c r="T3388" s="85" t="s">
        <v>4431</v>
      </c>
    </row>
    <row r="3389" spans="1:20" ht="15.75" thickBot="1" x14ac:dyDescent="0.3">
      <c r="A3389" t="s">
        <v>1929</v>
      </c>
      <c r="B3389" t="s">
        <v>1929</v>
      </c>
      <c r="C3389" s="82" t="s">
        <v>1929</v>
      </c>
      <c r="D3389" s="83" t="s">
        <v>629</v>
      </c>
      <c r="E3389" s="262" t="s">
        <v>1970</v>
      </c>
      <c r="F3389" s="124" t="s">
        <v>620</v>
      </c>
      <c r="G3389" s="130"/>
      <c r="H3389" s="125" t="s">
        <v>733</v>
      </c>
      <c r="I3389" s="340" t="str">
        <f t="shared" si="134"/>
        <v>Pesado de Passageiros M3: I : Gasóleo : E6</v>
      </c>
      <c r="J3389" s="125"/>
      <c r="K3389" s="264">
        <v>2022</v>
      </c>
      <c r="L3389" s="85">
        <v>60.06</v>
      </c>
      <c r="M3389" s="85" t="s">
        <v>630</v>
      </c>
      <c r="N3389" s="128">
        <v>273</v>
      </c>
      <c r="O3389" s="128">
        <f t="shared" si="133"/>
        <v>0</v>
      </c>
      <c r="P3389" s="125" t="s">
        <v>2239</v>
      </c>
      <c r="Q3389" s="85" t="s">
        <v>47</v>
      </c>
      <c r="R3389" s="220" t="s">
        <v>1888</v>
      </c>
      <c r="S3389" s="220" t="s">
        <v>1861</v>
      </c>
      <c r="T3389" s="85" t="s">
        <v>4432</v>
      </c>
    </row>
    <row r="3390" spans="1:20" ht="15.75" thickBot="1" x14ac:dyDescent="0.3">
      <c r="A3390" t="s">
        <v>1929</v>
      </c>
      <c r="B3390" t="s">
        <v>1929</v>
      </c>
      <c r="C3390" s="82" t="s">
        <v>1929</v>
      </c>
      <c r="D3390" s="83" t="s">
        <v>629</v>
      </c>
      <c r="E3390" s="262" t="s">
        <v>1970</v>
      </c>
      <c r="F3390" s="124" t="s">
        <v>620</v>
      </c>
      <c r="G3390" s="130"/>
      <c r="H3390" s="125" t="s">
        <v>733</v>
      </c>
      <c r="I3390" s="340" t="str">
        <f t="shared" si="134"/>
        <v>Pesado de Passageiros M3: I : Gasóleo : E6</v>
      </c>
      <c r="J3390" s="125"/>
      <c r="K3390" s="264">
        <v>2022</v>
      </c>
      <c r="L3390" s="85">
        <v>58.74</v>
      </c>
      <c r="M3390" s="85" t="s">
        <v>630</v>
      </c>
      <c r="N3390" s="128">
        <v>267</v>
      </c>
      <c r="O3390" s="128">
        <f t="shared" si="133"/>
        <v>0</v>
      </c>
      <c r="P3390" s="125" t="s">
        <v>2224</v>
      </c>
      <c r="Q3390" s="85" t="s">
        <v>47</v>
      </c>
      <c r="R3390" s="220" t="s">
        <v>1888</v>
      </c>
      <c r="S3390" s="220" t="s">
        <v>1861</v>
      </c>
      <c r="T3390" s="85" t="s">
        <v>4433</v>
      </c>
    </row>
    <row r="3391" spans="1:20" ht="15.75" thickBot="1" x14ac:dyDescent="0.3">
      <c r="A3391" t="s">
        <v>1929</v>
      </c>
      <c r="B3391" t="s">
        <v>1929</v>
      </c>
      <c r="C3391" s="82" t="s">
        <v>1929</v>
      </c>
      <c r="D3391" s="83" t="s">
        <v>629</v>
      </c>
      <c r="E3391" s="262" t="s">
        <v>1970</v>
      </c>
      <c r="F3391" s="124" t="s">
        <v>620</v>
      </c>
      <c r="G3391" s="130"/>
      <c r="H3391" s="125" t="s">
        <v>733</v>
      </c>
      <c r="I3391" s="340" t="str">
        <f t="shared" si="134"/>
        <v>Pesado de Passageiros M3: I : Gasóleo : E6</v>
      </c>
      <c r="J3391" s="125"/>
      <c r="K3391" s="264">
        <v>2022</v>
      </c>
      <c r="L3391" s="85">
        <v>67.966400000000007</v>
      </c>
      <c r="M3391" s="85" t="s">
        <v>630</v>
      </c>
      <c r="N3391" s="128">
        <v>397</v>
      </c>
      <c r="O3391" s="128">
        <f t="shared" si="133"/>
        <v>0</v>
      </c>
      <c r="P3391" s="125" t="s">
        <v>2238</v>
      </c>
      <c r="Q3391" s="85" t="s">
        <v>47</v>
      </c>
      <c r="R3391" s="220" t="s">
        <v>1888</v>
      </c>
      <c r="S3391" s="220" t="s">
        <v>1861</v>
      </c>
      <c r="T3391" s="85" t="s">
        <v>3413</v>
      </c>
    </row>
    <row r="3392" spans="1:20" ht="15.75" thickBot="1" x14ac:dyDescent="0.3">
      <c r="A3392" t="s">
        <v>1929</v>
      </c>
      <c r="B3392" t="s">
        <v>1929</v>
      </c>
      <c r="C3392" s="82" t="s">
        <v>1929</v>
      </c>
      <c r="D3392" s="83" t="s">
        <v>629</v>
      </c>
      <c r="E3392" s="262" t="s">
        <v>1970</v>
      </c>
      <c r="F3392" s="124" t="s">
        <v>620</v>
      </c>
      <c r="G3392" s="130"/>
      <c r="H3392" s="125" t="s">
        <v>733</v>
      </c>
      <c r="I3392" s="340" t="str">
        <f t="shared" si="134"/>
        <v>Pesado de Passageiros M3: I : Gasóleo : E6</v>
      </c>
      <c r="J3392" s="125"/>
      <c r="K3392" s="264">
        <v>2022</v>
      </c>
      <c r="L3392" s="85">
        <v>240.51599999999999</v>
      </c>
      <c r="M3392" s="85" t="s">
        <v>630</v>
      </c>
      <c r="N3392" s="128">
        <v>655</v>
      </c>
      <c r="O3392" s="128">
        <f t="shared" si="133"/>
        <v>0</v>
      </c>
      <c r="P3392" s="125" t="s">
        <v>4607</v>
      </c>
      <c r="Q3392" s="85" t="s">
        <v>47</v>
      </c>
      <c r="R3392" s="220" t="s">
        <v>1888</v>
      </c>
      <c r="S3392" s="220" t="s">
        <v>1861</v>
      </c>
      <c r="T3392" s="85" t="s">
        <v>4434</v>
      </c>
    </row>
    <row r="3393" spans="1:20" ht="15.75" thickBot="1" x14ac:dyDescent="0.3">
      <c r="A3393" t="s">
        <v>1929</v>
      </c>
      <c r="B3393" t="s">
        <v>1929</v>
      </c>
      <c r="C3393" s="82" t="s">
        <v>1929</v>
      </c>
      <c r="D3393" s="83" t="s">
        <v>629</v>
      </c>
      <c r="E3393" s="262" t="s">
        <v>1970</v>
      </c>
      <c r="F3393" s="124" t="s">
        <v>620</v>
      </c>
      <c r="G3393" s="130"/>
      <c r="H3393" s="125" t="s">
        <v>733</v>
      </c>
      <c r="I3393" s="340" t="str">
        <f t="shared" si="134"/>
        <v>Pesado de Passageiros M3: I : Gasóleo : E6</v>
      </c>
      <c r="J3393" s="125"/>
      <c r="K3393" s="264">
        <v>2022</v>
      </c>
      <c r="L3393" s="85">
        <v>230.8845</v>
      </c>
      <c r="M3393" s="85" t="s">
        <v>630</v>
      </c>
      <c r="N3393" s="128">
        <v>385</v>
      </c>
      <c r="O3393" s="128">
        <f t="shared" si="133"/>
        <v>0</v>
      </c>
      <c r="P3393" s="125" t="s">
        <v>4608</v>
      </c>
      <c r="Q3393" s="85" t="s">
        <v>47</v>
      </c>
      <c r="R3393" s="220" t="s">
        <v>1888</v>
      </c>
      <c r="S3393" s="220" t="s">
        <v>1861</v>
      </c>
      <c r="T3393" s="85" t="s">
        <v>4435</v>
      </c>
    </row>
    <row r="3394" spans="1:20" ht="15.75" thickBot="1" x14ac:dyDescent="0.3">
      <c r="A3394" t="s">
        <v>1929</v>
      </c>
      <c r="B3394" t="s">
        <v>1929</v>
      </c>
      <c r="C3394" s="82" t="s">
        <v>1929</v>
      </c>
      <c r="D3394" s="83" t="s">
        <v>629</v>
      </c>
      <c r="E3394" s="262" t="s">
        <v>1970</v>
      </c>
      <c r="F3394" s="124" t="s">
        <v>620</v>
      </c>
      <c r="G3394" s="130"/>
      <c r="H3394" s="125" t="s">
        <v>733</v>
      </c>
      <c r="I3394" s="340" t="str">
        <f t="shared" si="134"/>
        <v>Pesado de Passageiros M3: I : Gasóleo : E6</v>
      </c>
      <c r="J3394" s="125"/>
      <c r="K3394" s="264">
        <v>2022</v>
      </c>
      <c r="L3394" s="85">
        <v>190.26</v>
      </c>
      <c r="M3394" s="85" t="s">
        <v>630</v>
      </c>
      <c r="N3394" s="128">
        <v>453</v>
      </c>
      <c r="O3394" s="128">
        <f t="shared" si="133"/>
        <v>0</v>
      </c>
      <c r="P3394" s="125" t="s">
        <v>4609</v>
      </c>
      <c r="Q3394" s="85" t="s">
        <v>47</v>
      </c>
      <c r="R3394" s="220" t="s">
        <v>1888</v>
      </c>
      <c r="S3394" s="220" t="s">
        <v>1861</v>
      </c>
      <c r="T3394" s="85" t="s">
        <v>4436</v>
      </c>
    </row>
    <row r="3395" spans="1:20" ht="15.75" thickBot="1" x14ac:dyDescent="0.3">
      <c r="A3395" t="s">
        <v>1929</v>
      </c>
      <c r="B3395" t="s">
        <v>1929</v>
      </c>
      <c r="C3395" s="82" t="s">
        <v>1929</v>
      </c>
      <c r="D3395" s="83" t="s">
        <v>629</v>
      </c>
      <c r="E3395" s="262" t="s">
        <v>1970</v>
      </c>
      <c r="F3395" s="124" t="s">
        <v>620</v>
      </c>
      <c r="G3395" s="130"/>
      <c r="H3395" s="125" t="s">
        <v>733</v>
      </c>
      <c r="I3395" s="340" t="str">
        <f t="shared" si="134"/>
        <v>Pesado de Passageiros M3: I : Gasóleo : E6</v>
      </c>
      <c r="J3395" s="125"/>
      <c r="K3395" s="264">
        <v>2022</v>
      </c>
      <c r="L3395" s="85">
        <v>316.6028</v>
      </c>
      <c r="M3395" s="85" t="s">
        <v>630</v>
      </c>
      <c r="N3395" s="128">
        <v>694</v>
      </c>
      <c r="O3395" s="128">
        <f t="shared" si="133"/>
        <v>0</v>
      </c>
      <c r="P3395" s="125" t="s">
        <v>4610</v>
      </c>
      <c r="Q3395" s="85" t="s">
        <v>47</v>
      </c>
      <c r="R3395" s="220" t="s">
        <v>1888</v>
      </c>
      <c r="S3395" s="220" t="s">
        <v>1861</v>
      </c>
      <c r="T3395" s="85" t="s">
        <v>3434</v>
      </c>
    </row>
    <row r="3396" spans="1:20" ht="15.75" thickBot="1" x14ac:dyDescent="0.3">
      <c r="A3396" t="s">
        <v>1929</v>
      </c>
      <c r="B3396" t="s">
        <v>1929</v>
      </c>
      <c r="C3396" s="82" t="s">
        <v>1929</v>
      </c>
      <c r="D3396" s="83" t="s">
        <v>629</v>
      </c>
      <c r="E3396" s="262" t="s">
        <v>1970</v>
      </c>
      <c r="F3396" s="124" t="s">
        <v>620</v>
      </c>
      <c r="G3396" s="130"/>
      <c r="H3396" s="125" t="s">
        <v>733</v>
      </c>
      <c r="I3396" s="340" t="str">
        <f t="shared" si="134"/>
        <v>Pesado de Passageiros M3: I : Gasóleo : E6</v>
      </c>
      <c r="J3396" s="125"/>
      <c r="K3396" s="264">
        <v>2022</v>
      </c>
      <c r="L3396" s="85">
        <v>146.16</v>
      </c>
      <c r="M3396" s="85" t="s">
        <v>630</v>
      </c>
      <c r="N3396" s="128">
        <v>348</v>
      </c>
      <c r="O3396" s="128">
        <f t="shared" si="133"/>
        <v>0</v>
      </c>
      <c r="P3396" s="125" t="s">
        <v>4611</v>
      </c>
      <c r="Q3396" s="85" t="s">
        <v>47</v>
      </c>
      <c r="R3396" s="220" t="s">
        <v>1888</v>
      </c>
      <c r="S3396" s="220" t="s">
        <v>1861</v>
      </c>
      <c r="T3396" s="85" t="s">
        <v>4437</v>
      </c>
    </row>
    <row r="3397" spans="1:20" ht="15.75" thickBot="1" x14ac:dyDescent="0.3">
      <c r="A3397" t="s">
        <v>1929</v>
      </c>
      <c r="B3397" t="s">
        <v>1929</v>
      </c>
      <c r="C3397" s="82" t="s">
        <v>1929</v>
      </c>
      <c r="D3397" s="83" t="s">
        <v>629</v>
      </c>
      <c r="E3397" s="262" t="s">
        <v>1970</v>
      </c>
      <c r="F3397" s="124" t="s">
        <v>620</v>
      </c>
      <c r="G3397" s="130"/>
      <c r="H3397" s="125" t="s">
        <v>733</v>
      </c>
      <c r="I3397" s="340" t="str">
        <f t="shared" si="134"/>
        <v>Pesado de Passageiros M3: I : Gasóleo : E6</v>
      </c>
      <c r="J3397" s="125"/>
      <c r="K3397" s="264">
        <v>2022</v>
      </c>
      <c r="L3397" s="85">
        <v>166.32</v>
      </c>
      <c r="M3397" s="85" t="s">
        <v>630</v>
      </c>
      <c r="N3397" s="128">
        <v>396</v>
      </c>
      <c r="O3397" s="128">
        <f t="shared" si="133"/>
        <v>0</v>
      </c>
      <c r="P3397" s="125" t="s">
        <v>4612</v>
      </c>
      <c r="Q3397" s="85" t="s">
        <v>47</v>
      </c>
      <c r="R3397" s="220" t="s">
        <v>1888</v>
      </c>
      <c r="S3397" s="220" t="s">
        <v>1861</v>
      </c>
      <c r="T3397" s="85" t="s">
        <v>4438</v>
      </c>
    </row>
    <row r="3398" spans="1:20" ht="15.75" thickBot="1" x14ac:dyDescent="0.3">
      <c r="A3398" t="s">
        <v>1929</v>
      </c>
      <c r="B3398" t="s">
        <v>1929</v>
      </c>
      <c r="C3398" s="82" t="s">
        <v>1929</v>
      </c>
      <c r="D3398" s="83" t="s">
        <v>629</v>
      </c>
      <c r="E3398" s="262" t="s">
        <v>1970</v>
      </c>
      <c r="F3398" s="124" t="s">
        <v>620</v>
      </c>
      <c r="G3398" s="130"/>
      <c r="H3398" s="125" t="s">
        <v>733</v>
      </c>
      <c r="I3398" s="340" t="str">
        <f t="shared" si="134"/>
        <v>Pesado de Passageiros M3: I : Gasóleo : E6</v>
      </c>
      <c r="J3398" s="125"/>
      <c r="K3398" s="264">
        <v>2022</v>
      </c>
      <c r="L3398" s="85">
        <v>60</v>
      </c>
      <c r="M3398" s="85" t="s">
        <v>630</v>
      </c>
      <c r="N3398" s="128">
        <v>125</v>
      </c>
      <c r="O3398" s="128">
        <f t="shared" si="133"/>
        <v>0</v>
      </c>
      <c r="P3398" s="125" t="s">
        <v>4613</v>
      </c>
      <c r="Q3398" s="85" t="s">
        <v>47</v>
      </c>
      <c r="R3398" s="220" t="s">
        <v>1888</v>
      </c>
      <c r="S3398" s="220" t="s">
        <v>1861</v>
      </c>
      <c r="T3398" s="85" t="s">
        <v>3422</v>
      </c>
    </row>
    <row r="3399" spans="1:20" ht="15.75" thickBot="1" x14ac:dyDescent="0.3">
      <c r="A3399" t="s">
        <v>1929</v>
      </c>
      <c r="B3399" t="s">
        <v>1929</v>
      </c>
      <c r="C3399" s="82" t="s">
        <v>1929</v>
      </c>
      <c r="D3399" s="83" t="s">
        <v>629</v>
      </c>
      <c r="E3399" s="262" t="s">
        <v>1970</v>
      </c>
      <c r="F3399" s="124" t="s">
        <v>620</v>
      </c>
      <c r="G3399" s="130"/>
      <c r="H3399" s="125" t="s">
        <v>733</v>
      </c>
      <c r="I3399" s="340" t="str">
        <f t="shared" si="134"/>
        <v>Pesado de Passageiros M3: I : Gasóleo : E6</v>
      </c>
      <c r="J3399" s="125"/>
      <c r="K3399" s="264">
        <v>2022</v>
      </c>
      <c r="L3399" s="85">
        <v>466.72199999999998</v>
      </c>
      <c r="M3399" s="85" t="s">
        <v>630</v>
      </c>
      <c r="N3399" s="128">
        <v>1005</v>
      </c>
      <c r="O3399" s="128">
        <f t="shared" si="133"/>
        <v>0</v>
      </c>
      <c r="P3399" s="125" t="s">
        <v>4614</v>
      </c>
      <c r="Q3399" s="85" t="s">
        <v>47</v>
      </c>
      <c r="R3399" s="220" t="s">
        <v>1888</v>
      </c>
      <c r="S3399" s="220" t="s">
        <v>1861</v>
      </c>
      <c r="T3399" s="85" t="s">
        <v>4439</v>
      </c>
    </row>
    <row r="3400" spans="1:20" ht="15.75" thickBot="1" x14ac:dyDescent="0.3">
      <c r="A3400" t="s">
        <v>1929</v>
      </c>
      <c r="B3400" t="s">
        <v>1929</v>
      </c>
      <c r="C3400" s="82" t="s">
        <v>1929</v>
      </c>
      <c r="D3400" s="83" t="s">
        <v>629</v>
      </c>
      <c r="E3400" s="262" t="s">
        <v>1970</v>
      </c>
      <c r="F3400" s="124" t="s">
        <v>620</v>
      </c>
      <c r="G3400" s="130"/>
      <c r="H3400" s="125" t="s">
        <v>733</v>
      </c>
      <c r="I3400" s="340" t="str">
        <f t="shared" si="134"/>
        <v>Pesado de Passageiros M3: I : Gasóleo : E6</v>
      </c>
      <c r="J3400" s="125"/>
      <c r="K3400" s="264">
        <v>2022</v>
      </c>
      <c r="L3400" s="85">
        <v>162.232</v>
      </c>
      <c r="M3400" s="85" t="s">
        <v>630</v>
      </c>
      <c r="N3400" s="128">
        <v>560</v>
      </c>
      <c r="O3400" s="128">
        <f t="shared" si="133"/>
        <v>0</v>
      </c>
      <c r="P3400" s="125" t="s">
        <v>4615</v>
      </c>
      <c r="Q3400" s="85" t="s">
        <v>47</v>
      </c>
      <c r="R3400" s="220" t="s">
        <v>1888</v>
      </c>
      <c r="S3400" s="220" t="s">
        <v>1861</v>
      </c>
      <c r="T3400" s="85" t="s">
        <v>4440</v>
      </c>
    </row>
    <row r="3401" spans="1:20" ht="15.75" thickBot="1" x14ac:dyDescent="0.3">
      <c r="A3401" t="s">
        <v>1929</v>
      </c>
      <c r="B3401" t="s">
        <v>1929</v>
      </c>
      <c r="C3401" s="82" t="s">
        <v>1929</v>
      </c>
      <c r="D3401" s="83" t="s">
        <v>629</v>
      </c>
      <c r="E3401" s="262" t="s">
        <v>1970</v>
      </c>
      <c r="F3401" s="124" t="s">
        <v>620</v>
      </c>
      <c r="G3401" s="130"/>
      <c r="H3401" s="125" t="s">
        <v>733</v>
      </c>
      <c r="I3401" s="340" t="str">
        <f t="shared" si="134"/>
        <v>Pesado de Passageiros M3: I : Gasóleo : E6</v>
      </c>
      <c r="J3401" s="125"/>
      <c r="K3401" s="264">
        <v>2022</v>
      </c>
      <c r="L3401" s="85">
        <v>3367.9187999999999</v>
      </c>
      <c r="M3401" s="85" t="s">
        <v>630</v>
      </c>
      <c r="N3401" s="128">
        <v>9332</v>
      </c>
      <c r="O3401" s="128">
        <f t="shared" si="133"/>
        <v>0</v>
      </c>
      <c r="P3401" s="125" t="s">
        <v>4616</v>
      </c>
      <c r="Q3401" s="85" t="s">
        <v>47</v>
      </c>
      <c r="R3401" s="220" t="s">
        <v>1888</v>
      </c>
      <c r="S3401" s="220" t="s">
        <v>1861</v>
      </c>
      <c r="T3401" s="85" t="s">
        <v>4441</v>
      </c>
    </row>
    <row r="3402" spans="1:20" ht="15.75" thickBot="1" x14ac:dyDescent="0.3">
      <c r="A3402" t="s">
        <v>1929</v>
      </c>
      <c r="B3402" t="s">
        <v>1929</v>
      </c>
      <c r="C3402" s="82" t="s">
        <v>1929</v>
      </c>
      <c r="D3402" s="83" t="s">
        <v>629</v>
      </c>
      <c r="E3402" s="262" t="s">
        <v>1970</v>
      </c>
      <c r="F3402" s="124" t="s">
        <v>620</v>
      </c>
      <c r="G3402" s="130">
        <v>2022</v>
      </c>
      <c r="H3402" s="125" t="s">
        <v>733</v>
      </c>
      <c r="I3402" s="340" t="str">
        <f t="shared" si="134"/>
        <v>Pesado de Passageiros M3: I : Gasóleo : E6</v>
      </c>
      <c r="J3402" s="125">
        <v>83</v>
      </c>
      <c r="K3402" s="264">
        <v>2022</v>
      </c>
      <c r="L3402" s="421">
        <v>3254.7012</v>
      </c>
      <c r="M3402" s="85" t="s">
        <v>630</v>
      </c>
      <c r="N3402" s="128">
        <v>8828</v>
      </c>
      <c r="O3402" s="128">
        <f t="shared" si="133"/>
        <v>732724</v>
      </c>
      <c r="P3402" s="125">
        <v>2754</v>
      </c>
      <c r="Q3402" s="85" t="s">
        <v>47</v>
      </c>
      <c r="R3402" s="220" t="s">
        <v>1888</v>
      </c>
      <c r="S3402" s="220" t="s">
        <v>1861</v>
      </c>
      <c r="T3402" s="85" t="s">
        <v>4441</v>
      </c>
    </row>
    <row r="3403" spans="1:20" ht="15.75" thickBot="1" x14ac:dyDescent="0.3">
      <c r="A3403" t="s">
        <v>1929</v>
      </c>
      <c r="B3403" t="s">
        <v>1929</v>
      </c>
      <c r="C3403" s="82" t="s">
        <v>1929</v>
      </c>
      <c r="D3403" s="83" t="s">
        <v>629</v>
      </c>
      <c r="E3403" s="262" t="s">
        <v>1970</v>
      </c>
      <c r="F3403" s="124" t="s">
        <v>620</v>
      </c>
      <c r="G3403" s="130"/>
      <c r="H3403" s="125" t="s">
        <v>733</v>
      </c>
      <c r="I3403" s="340" t="str">
        <f t="shared" si="134"/>
        <v>Pesado de Passageiros M3: I : Gasóleo : E6</v>
      </c>
      <c r="J3403" s="125"/>
      <c r="K3403" s="264">
        <v>2022</v>
      </c>
      <c r="L3403" s="85">
        <v>297.12</v>
      </c>
      <c r="M3403" s="85" t="s">
        <v>630</v>
      </c>
      <c r="N3403" s="128">
        <v>619</v>
      </c>
      <c r="O3403" s="128">
        <f t="shared" si="133"/>
        <v>0</v>
      </c>
      <c r="P3403" s="125" t="s">
        <v>4617</v>
      </c>
      <c r="Q3403" s="85" t="s">
        <v>47</v>
      </c>
      <c r="R3403" s="220" t="s">
        <v>1888</v>
      </c>
      <c r="S3403" s="220" t="s">
        <v>1861</v>
      </c>
      <c r="T3403" s="85" t="s">
        <v>4442</v>
      </c>
    </row>
    <row r="3404" spans="1:20" ht="15.75" thickBot="1" x14ac:dyDescent="0.3">
      <c r="A3404" t="s">
        <v>1929</v>
      </c>
      <c r="B3404" t="s">
        <v>1929</v>
      </c>
      <c r="C3404" s="82" t="s">
        <v>1929</v>
      </c>
      <c r="D3404" s="83" t="s">
        <v>629</v>
      </c>
      <c r="E3404" s="262" t="s">
        <v>1970</v>
      </c>
      <c r="F3404" s="124" t="s">
        <v>620</v>
      </c>
      <c r="G3404" s="130"/>
      <c r="H3404" s="125" t="s">
        <v>733</v>
      </c>
      <c r="I3404" s="340" t="str">
        <f t="shared" si="134"/>
        <v>Pesado de Passageiros M3: I : Gasóleo : E6</v>
      </c>
      <c r="J3404" s="125"/>
      <c r="K3404" s="264">
        <v>2022</v>
      </c>
      <c r="L3404" s="85">
        <v>65.28</v>
      </c>
      <c r="M3404" s="85" t="s">
        <v>630</v>
      </c>
      <c r="N3404" s="128">
        <v>136</v>
      </c>
      <c r="O3404" s="128">
        <f t="shared" si="133"/>
        <v>0</v>
      </c>
      <c r="P3404" s="125" t="s">
        <v>4618</v>
      </c>
      <c r="Q3404" s="85" t="s">
        <v>47</v>
      </c>
      <c r="R3404" s="220" t="s">
        <v>1888</v>
      </c>
      <c r="S3404" s="220" t="s">
        <v>1861</v>
      </c>
      <c r="T3404" s="85" t="s">
        <v>4443</v>
      </c>
    </row>
    <row r="3405" spans="1:20" ht="15.75" thickBot="1" x14ac:dyDescent="0.3">
      <c r="A3405" t="s">
        <v>1929</v>
      </c>
      <c r="B3405" t="s">
        <v>1929</v>
      </c>
      <c r="C3405" s="82" t="s">
        <v>1929</v>
      </c>
      <c r="D3405" s="83" t="s">
        <v>629</v>
      </c>
      <c r="E3405" s="262" t="s">
        <v>1970</v>
      </c>
      <c r="F3405" s="124" t="s">
        <v>620</v>
      </c>
      <c r="G3405" s="130"/>
      <c r="H3405" s="125" t="s">
        <v>733</v>
      </c>
      <c r="I3405" s="340" t="str">
        <f t="shared" si="134"/>
        <v>Pesado de Passageiros M3: I : Gasóleo : E6</v>
      </c>
      <c r="J3405" s="125"/>
      <c r="K3405" s="264">
        <v>2022</v>
      </c>
      <c r="L3405" s="85">
        <v>204.96</v>
      </c>
      <c r="M3405" s="85" t="s">
        <v>630</v>
      </c>
      <c r="N3405" s="128">
        <v>427</v>
      </c>
      <c r="O3405" s="128">
        <f t="shared" si="133"/>
        <v>0</v>
      </c>
      <c r="P3405" s="125" t="s">
        <v>4619</v>
      </c>
      <c r="Q3405" s="85" t="s">
        <v>47</v>
      </c>
      <c r="R3405" s="220" t="s">
        <v>1888</v>
      </c>
      <c r="S3405" s="220" t="s">
        <v>1861</v>
      </c>
      <c r="T3405" s="85" t="s">
        <v>4444</v>
      </c>
    </row>
    <row r="3406" spans="1:20" ht="15.75" thickBot="1" x14ac:dyDescent="0.3">
      <c r="A3406" t="s">
        <v>1929</v>
      </c>
      <c r="B3406" t="s">
        <v>1929</v>
      </c>
      <c r="C3406" s="82" t="s">
        <v>1929</v>
      </c>
      <c r="D3406" s="83" t="s">
        <v>629</v>
      </c>
      <c r="E3406" s="262" t="s">
        <v>1970</v>
      </c>
      <c r="F3406" s="124" t="s">
        <v>620</v>
      </c>
      <c r="G3406" s="130"/>
      <c r="H3406" s="125" t="s">
        <v>733</v>
      </c>
      <c r="I3406" s="340" t="str">
        <f t="shared" si="134"/>
        <v>Pesado de Passageiros M3: I : Gasóleo : E6</v>
      </c>
      <c r="J3406" s="125"/>
      <c r="K3406" s="264">
        <v>2022</v>
      </c>
      <c r="L3406" s="253">
        <v>50.023000000000025</v>
      </c>
      <c r="M3406" s="85" t="s">
        <v>630</v>
      </c>
      <c r="N3406" s="128">
        <v>104</v>
      </c>
      <c r="O3406" s="128">
        <f t="shared" si="133"/>
        <v>0</v>
      </c>
      <c r="P3406" s="125" t="s">
        <v>4620</v>
      </c>
      <c r="Q3406" s="85" t="s">
        <v>47</v>
      </c>
      <c r="R3406" s="220" t="s">
        <v>1888</v>
      </c>
      <c r="S3406" s="220" t="s">
        <v>1861</v>
      </c>
      <c r="T3406" s="85" t="s">
        <v>4445</v>
      </c>
    </row>
    <row r="3407" spans="1:20" ht="15.75" thickBot="1" x14ac:dyDescent="0.3">
      <c r="A3407" t="s">
        <v>1929</v>
      </c>
      <c r="B3407" t="s">
        <v>1929</v>
      </c>
      <c r="C3407" s="82" t="s">
        <v>1929</v>
      </c>
      <c r="D3407" s="83" t="s">
        <v>629</v>
      </c>
      <c r="E3407" s="262" t="s">
        <v>1970</v>
      </c>
      <c r="F3407" s="124" t="s">
        <v>620</v>
      </c>
      <c r="G3407" s="130"/>
      <c r="H3407" s="125" t="s">
        <v>733</v>
      </c>
      <c r="I3407" s="340" t="str">
        <f t="shared" si="134"/>
        <v>Pesado de Passageiros M3: I : Gasóleo : E6</v>
      </c>
      <c r="J3407" s="125"/>
      <c r="K3407" s="264">
        <v>2022</v>
      </c>
      <c r="L3407" s="85">
        <v>451.02699999999999</v>
      </c>
      <c r="M3407" s="85" t="s">
        <v>630</v>
      </c>
      <c r="N3407" s="128">
        <v>1234</v>
      </c>
      <c r="O3407" s="128">
        <f t="shared" si="133"/>
        <v>0</v>
      </c>
      <c r="P3407" s="125" t="s">
        <v>4620</v>
      </c>
      <c r="Q3407" s="85" t="s">
        <v>47</v>
      </c>
      <c r="R3407" s="220" t="s">
        <v>1888</v>
      </c>
      <c r="S3407" s="220" t="s">
        <v>1861</v>
      </c>
      <c r="T3407" s="85" t="s">
        <v>4445</v>
      </c>
    </row>
    <row r="3408" spans="1:20" ht="15.75" thickBot="1" x14ac:dyDescent="0.3">
      <c r="A3408" t="s">
        <v>1929</v>
      </c>
      <c r="B3408" t="s">
        <v>1929</v>
      </c>
      <c r="C3408" s="82" t="s">
        <v>1929</v>
      </c>
      <c r="D3408" s="83" t="s">
        <v>629</v>
      </c>
      <c r="E3408" s="262" t="s">
        <v>1970</v>
      </c>
      <c r="F3408" s="124" t="s">
        <v>620</v>
      </c>
      <c r="G3408" s="130"/>
      <c r="H3408" s="125" t="s">
        <v>733</v>
      </c>
      <c r="I3408" s="340" t="str">
        <f t="shared" si="134"/>
        <v>Pesado de Passageiros M3: I : Gasóleo : E6</v>
      </c>
      <c r="J3408" s="125"/>
      <c r="K3408" s="264">
        <v>2022</v>
      </c>
      <c r="L3408" s="85">
        <v>341.31120000000004</v>
      </c>
      <c r="M3408" s="85" t="s">
        <v>630</v>
      </c>
      <c r="N3408" s="128">
        <v>852</v>
      </c>
      <c r="O3408" s="128">
        <f t="shared" si="133"/>
        <v>0</v>
      </c>
      <c r="P3408" s="125" t="s">
        <v>4621</v>
      </c>
      <c r="Q3408" s="85" t="s">
        <v>47</v>
      </c>
      <c r="R3408" s="220" t="s">
        <v>1888</v>
      </c>
      <c r="S3408" s="220" t="s">
        <v>1861</v>
      </c>
      <c r="T3408" s="85" t="s">
        <v>4446</v>
      </c>
    </row>
    <row r="3409" spans="1:20" ht="15.75" thickBot="1" x14ac:dyDescent="0.3">
      <c r="A3409" t="s">
        <v>1929</v>
      </c>
      <c r="B3409" t="s">
        <v>1929</v>
      </c>
      <c r="C3409" s="82" t="s">
        <v>1929</v>
      </c>
      <c r="D3409" s="83" t="s">
        <v>629</v>
      </c>
      <c r="E3409" s="262" t="s">
        <v>1970</v>
      </c>
      <c r="F3409" s="124" t="s">
        <v>620</v>
      </c>
      <c r="G3409" s="130">
        <v>2022</v>
      </c>
      <c r="H3409" s="125" t="s">
        <v>733</v>
      </c>
      <c r="I3409" s="340" t="str">
        <f t="shared" si="134"/>
        <v>Pesado de Passageiros M3: I : Gasóleo : E6</v>
      </c>
      <c r="J3409" s="125">
        <v>109</v>
      </c>
      <c r="K3409" s="264">
        <v>2022</v>
      </c>
      <c r="L3409" s="129">
        <v>4432.6127999999999</v>
      </c>
      <c r="M3409" s="85" t="s">
        <v>630</v>
      </c>
      <c r="N3409" s="128">
        <v>11792</v>
      </c>
      <c r="O3409" s="128">
        <f t="shared" si="133"/>
        <v>1285328</v>
      </c>
      <c r="P3409" s="125">
        <v>2371</v>
      </c>
      <c r="Q3409" s="85" t="s">
        <v>47</v>
      </c>
      <c r="R3409" s="220" t="s">
        <v>1888</v>
      </c>
      <c r="S3409" s="220" t="s">
        <v>1861</v>
      </c>
      <c r="T3409" s="85" t="s">
        <v>4447</v>
      </c>
    </row>
    <row r="3410" spans="1:20" ht="15.75" thickBot="1" x14ac:dyDescent="0.3">
      <c r="A3410" t="s">
        <v>1929</v>
      </c>
      <c r="B3410" t="s">
        <v>1929</v>
      </c>
      <c r="C3410" s="82" t="s">
        <v>1929</v>
      </c>
      <c r="D3410" s="83" t="s">
        <v>629</v>
      </c>
      <c r="E3410" s="262" t="s">
        <v>1970</v>
      </c>
      <c r="F3410" s="124" t="s">
        <v>620</v>
      </c>
      <c r="G3410" s="130"/>
      <c r="H3410" s="125" t="s">
        <v>733</v>
      </c>
      <c r="I3410" s="340" t="str">
        <f t="shared" si="134"/>
        <v>Pesado de Passageiros M3: I : Gasóleo : E6</v>
      </c>
      <c r="J3410" s="125"/>
      <c r="K3410" s="264">
        <v>2022</v>
      </c>
      <c r="L3410" s="85">
        <v>173.88</v>
      </c>
      <c r="M3410" s="85" t="s">
        <v>630</v>
      </c>
      <c r="N3410" s="128">
        <v>414</v>
      </c>
      <c r="O3410" s="128">
        <f t="shared" si="133"/>
        <v>0</v>
      </c>
      <c r="P3410" s="125" t="s">
        <v>4622</v>
      </c>
      <c r="Q3410" s="85" t="s">
        <v>47</v>
      </c>
      <c r="R3410" s="220" t="s">
        <v>1888</v>
      </c>
      <c r="S3410" s="220" t="s">
        <v>1861</v>
      </c>
      <c r="T3410" s="85" t="s">
        <v>3436</v>
      </c>
    </row>
    <row r="3411" spans="1:20" ht="15.75" thickBot="1" x14ac:dyDescent="0.3">
      <c r="A3411" t="s">
        <v>1929</v>
      </c>
      <c r="B3411" t="s">
        <v>1929</v>
      </c>
      <c r="C3411" s="82" t="s">
        <v>1929</v>
      </c>
      <c r="D3411" s="83" t="s">
        <v>629</v>
      </c>
      <c r="E3411" s="262" t="s">
        <v>1970</v>
      </c>
      <c r="F3411" s="124" t="s">
        <v>620</v>
      </c>
      <c r="G3411" s="130"/>
      <c r="H3411" s="125" t="s">
        <v>733</v>
      </c>
      <c r="I3411" s="340" t="str">
        <f t="shared" si="134"/>
        <v>Pesado de Passageiros M3: I : Gasóleo : E6</v>
      </c>
      <c r="J3411" s="125"/>
      <c r="K3411" s="264">
        <v>2022</v>
      </c>
      <c r="L3411" s="85">
        <v>235.84540000000001</v>
      </c>
      <c r="M3411" s="85" t="s">
        <v>630</v>
      </c>
      <c r="N3411" s="128">
        <v>406</v>
      </c>
      <c r="O3411" s="128">
        <f t="shared" si="133"/>
        <v>0</v>
      </c>
      <c r="P3411" s="125" t="s">
        <v>4623</v>
      </c>
      <c r="Q3411" s="85" t="s">
        <v>47</v>
      </c>
      <c r="R3411" s="220" t="s">
        <v>1888</v>
      </c>
      <c r="S3411" s="220" t="s">
        <v>1861</v>
      </c>
      <c r="T3411" s="85" t="s">
        <v>4448</v>
      </c>
    </row>
    <row r="3412" spans="1:20" ht="15.75" thickBot="1" x14ac:dyDescent="0.3">
      <c r="A3412" t="s">
        <v>1929</v>
      </c>
      <c r="B3412" t="s">
        <v>1929</v>
      </c>
      <c r="C3412" s="82" t="s">
        <v>1929</v>
      </c>
      <c r="D3412" s="83" t="s">
        <v>629</v>
      </c>
      <c r="E3412" s="262" t="s">
        <v>1970</v>
      </c>
      <c r="F3412" s="124" t="s">
        <v>620</v>
      </c>
      <c r="G3412" s="130"/>
      <c r="H3412" s="125" t="s">
        <v>733</v>
      </c>
      <c r="I3412" s="340" t="str">
        <f t="shared" si="134"/>
        <v>Pesado de Passageiros M3: I : Gasóleo : E6</v>
      </c>
      <c r="J3412" s="125"/>
      <c r="K3412" s="264">
        <v>2022</v>
      </c>
      <c r="L3412" s="85">
        <v>61.92</v>
      </c>
      <c r="M3412" s="85" t="s">
        <v>630</v>
      </c>
      <c r="N3412" s="128">
        <v>129</v>
      </c>
      <c r="O3412" s="128">
        <f t="shared" si="133"/>
        <v>0</v>
      </c>
      <c r="P3412" s="125" t="s">
        <v>4624</v>
      </c>
      <c r="Q3412" s="85" t="s">
        <v>47</v>
      </c>
      <c r="R3412" s="220" t="s">
        <v>1888</v>
      </c>
      <c r="S3412" s="220" t="s">
        <v>1861</v>
      </c>
      <c r="T3412" s="85" t="s">
        <v>3423</v>
      </c>
    </row>
    <row r="3413" spans="1:20" ht="15.75" thickBot="1" x14ac:dyDescent="0.3">
      <c r="A3413" t="s">
        <v>1929</v>
      </c>
      <c r="B3413" t="s">
        <v>1929</v>
      </c>
      <c r="C3413" s="82" t="s">
        <v>1929</v>
      </c>
      <c r="D3413" s="83" t="s">
        <v>629</v>
      </c>
      <c r="E3413" s="262" t="s">
        <v>1970</v>
      </c>
      <c r="F3413" s="124" t="s">
        <v>620</v>
      </c>
      <c r="G3413" s="130"/>
      <c r="H3413" s="125" t="s">
        <v>733</v>
      </c>
      <c r="I3413" s="340" t="str">
        <f t="shared" si="134"/>
        <v>Pesado de Passageiros M3: I : Gasóleo : E6</v>
      </c>
      <c r="J3413" s="125"/>
      <c r="K3413" s="264">
        <v>2022</v>
      </c>
      <c r="L3413" s="85">
        <v>373.48739999999998</v>
      </c>
      <c r="M3413" s="85" t="s">
        <v>630</v>
      </c>
      <c r="N3413" s="128">
        <v>858</v>
      </c>
      <c r="O3413" s="128">
        <f t="shared" si="133"/>
        <v>0</v>
      </c>
      <c r="P3413" s="125" t="s">
        <v>4625</v>
      </c>
      <c r="Q3413" s="85" t="s">
        <v>47</v>
      </c>
      <c r="R3413" s="220" t="s">
        <v>1888</v>
      </c>
      <c r="S3413" s="220" t="s">
        <v>1861</v>
      </c>
      <c r="T3413" s="85" t="s">
        <v>3433</v>
      </c>
    </row>
    <row r="3414" spans="1:20" ht="15.75" thickBot="1" x14ac:dyDescent="0.3">
      <c r="A3414" t="s">
        <v>1929</v>
      </c>
      <c r="B3414" t="s">
        <v>1929</v>
      </c>
      <c r="C3414" s="82" t="s">
        <v>1929</v>
      </c>
      <c r="D3414" s="83" t="s">
        <v>629</v>
      </c>
      <c r="E3414" s="262" t="s">
        <v>1970</v>
      </c>
      <c r="F3414" s="124" t="s">
        <v>620</v>
      </c>
      <c r="G3414" s="130"/>
      <c r="H3414" s="125" t="s">
        <v>733</v>
      </c>
      <c r="I3414" s="340" t="str">
        <f t="shared" si="134"/>
        <v>Pesado de Passageiros M3: I : Gasóleo : E6</v>
      </c>
      <c r="J3414" s="125"/>
      <c r="K3414" s="264">
        <v>2022</v>
      </c>
      <c r="L3414" s="85">
        <v>60</v>
      </c>
      <c r="M3414" s="85" t="s">
        <v>630</v>
      </c>
      <c r="N3414" s="128">
        <v>125</v>
      </c>
      <c r="O3414" s="128">
        <f t="shared" si="133"/>
        <v>0</v>
      </c>
      <c r="P3414" s="125" t="s">
        <v>4626</v>
      </c>
      <c r="Q3414" s="85" t="s">
        <v>47</v>
      </c>
      <c r="R3414" s="220" t="s">
        <v>1888</v>
      </c>
      <c r="S3414" s="220" t="s">
        <v>1861</v>
      </c>
      <c r="T3414" s="85" t="s">
        <v>4449</v>
      </c>
    </row>
    <row r="3415" spans="1:20" ht="15.75" thickBot="1" x14ac:dyDescent="0.3">
      <c r="A3415" t="s">
        <v>1929</v>
      </c>
      <c r="B3415" t="s">
        <v>1929</v>
      </c>
      <c r="C3415" s="82" t="s">
        <v>1929</v>
      </c>
      <c r="D3415" s="83" t="s">
        <v>629</v>
      </c>
      <c r="E3415" s="262" t="s">
        <v>1970</v>
      </c>
      <c r="F3415" s="124" t="s">
        <v>620</v>
      </c>
      <c r="G3415" s="130"/>
      <c r="H3415" s="125" t="s">
        <v>733</v>
      </c>
      <c r="I3415" s="340" t="str">
        <f t="shared" si="134"/>
        <v>Pesado de Passageiros M3: I : Gasóleo : E6</v>
      </c>
      <c r="J3415" s="125"/>
      <c r="K3415" s="264">
        <v>2022</v>
      </c>
      <c r="L3415" s="85">
        <v>194.8</v>
      </c>
      <c r="M3415" s="85" t="s">
        <v>630</v>
      </c>
      <c r="N3415" s="128">
        <v>487</v>
      </c>
      <c r="O3415" s="128">
        <f t="shared" si="133"/>
        <v>0</v>
      </c>
      <c r="P3415" s="125" t="s">
        <v>4627</v>
      </c>
      <c r="Q3415" s="85" t="s">
        <v>47</v>
      </c>
      <c r="R3415" s="220" t="s">
        <v>1888</v>
      </c>
      <c r="S3415" s="220" t="s">
        <v>1861</v>
      </c>
      <c r="T3415" s="85" t="s">
        <v>4450</v>
      </c>
    </row>
    <row r="3416" spans="1:20" ht="15.75" thickBot="1" x14ac:dyDescent="0.3">
      <c r="A3416" t="s">
        <v>1929</v>
      </c>
      <c r="B3416" t="s">
        <v>1929</v>
      </c>
      <c r="C3416" s="82" t="s">
        <v>1929</v>
      </c>
      <c r="D3416" s="83" t="s">
        <v>629</v>
      </c>
      <c r="E3416" s="262" t="s">
        <v>1970</v>
      </c>
      <c r="F3416" s="124" t="s">
        <v>620</v>
      </c>
      <c r="G3416" s="130"/>
      <c r="H3416" s="125" t="s">
        <v>733</v>
      </c>
      <c r="I3416" s="340" t="str">
        <f t="shared" si="134"/>
        <v>Pesado de Passageiros M3: I : Gasóleo : E6</v>
      </c>
      <c r="J3416" s="125"/>
      <c r="K3416" s="264">
        <v>2022</v>
      </c>
      <c r="L3416" s="85">
        <v>200.34</v>
      </c>
      <c r="M3416" s="85" t="s">
        <v>630</v>
      </c>
      <c r="N3416" s="128">
        <v>477</v>
      </c>
      <c r="O3416" s="128">
        <f t="shared" si="133"/>
        <v>0</v>
      </c>
      <c r="P3416" s="125" t="s">
        <v>4628</v>
      </c>
      <c r="Q3416" s="85" t="s">
        <v>47</v>
      </c>
      <c r="R3416" s="220" t="s">
        <v>1888</v>
      </c>
      <c r="S3416" s="220" t="s">
        <v>1861</v>
      </c>
      <c r="T3416" s="85" t="s">
        <v>4451</v>
      </c>
    </row>
    <row r="3417" spans="1:20" ht="15.75" thickBot="1" x14ac:dyDescent="0.3">
      <c r="A3417" t="s">
        <v>1929</v>
      </c>
      <c r="B3417" t="s">
        <v>1929</v>
      </c>
      <c r="C3417" s="82" t="s">
        <v>1929</v>
      </c>
      <c r="D3417" s="83" t="s">
        <v>629</v>
      </c>
      <c r="E3417" s="262" t="s">
        <v>1970</v>
      </c>
      <c r="F3417" s="124" t="s">
        <v>620</v>
      </c>
      <c r="G3417" s="130"/>
      <c r="H3417" s="125" t="s">
        <v>733</v>
      </c>
      <c r="I3417" s="340" t="str">
        <f t="shared" si="134"/>
        <v>Pesado de Passageiros M3: I : Gasóleo : E6</v>
      </c>
      <c r="J3417" s="125"/>
      <c r="K3417" s="264">
        <v>2022</v>
      </c>
      <c r="L3417" s="85">
        <v>49.92</v>
      </c>
      <c r="M3417" s="85" t="s">
        <v>630</v>
      </c>
      <c r="N3417" s="128">
        <v>104</v>
      </c>
      <c r="O3417" s="128">
        <f t="shared" si="133"/>
        <v>0</v>
      </c>
      <c r="P3417" s="125" t="s">
        <v>4629</v>
      </c>
      <c r="Q3417" s="85" t="s">
        <v>47</v>
      </c>
      <c r="R3417" s="220" t="s">
        <v>1888</v>
      </c>
      <c r="S3417" s="220" t="s">
        <v>1861</v>
      </c>
      <c r="T3417" s="85" t="s">
        <v>3421</v>
      </c>
    </row>
    <row r="3418" spans="1:20" ht="15.75" thickBot="1" x14ac:dyDescent="0.3">
      <c r="A3418" t="s">
        <v>1929</v>
      </c>
      <c r="B3418" t="s">
        <v>1929</v>
      </c>
      <c r="C3418" s="82" t="s">
        <v>1929</v>
      </c>
      <c r="D3418" s="83" t="s">
        <v>629</v>
      </c>
      <c r="E3418" s="262" t="s">
        <v>1970</v>
      </c>
      <c r="F3418" s="124" t="s">
        <v>620</v>
      </c>
      <c r="G3418" s="130"/>
      <c r="H3418" s="125" t="s">
        <v>733</v>
      </c>
      <c r="I3418" s="340" t="str">
        <f t="shared" si="134"/>
        <v>Pesado de Passageiros M3: I : Gasóleo : E6</v>
      </c>
      <c r="J3418" s="125"/>
      <c r="K3418" s="264">
        <v>2022</v>
      </c>
      <c r="L3418" s="85">
        <v>316.11950000000002</v>
      </c>
      <c r="M3418" s="85" t="s">
        <v>630</v>
      </c>
      <c r="N3418" s="128">
        <v>785</v>
      </c>
      <c r="O3418" s="128">
        <f t="shared" si="133"/>
        <v>0</v>
      </c>
      <c r="P3418" s="125" t="s">
        <v>4630</v>
      </c>
      <c r="Q3418" s="85" t="s">
        <v>47</v>
      </c>
      <c r="R3418" s="220" t="s">
        <v>1888</v>
      </c>
      <c r="S3418" s="220" t="s">
        <v>1861</v>
      </c>
      <c r="T3418" s="85" t="s">
        <v>4452</v>
      </c>
    </row>
    <row r="3419" spans="1:20" ht="15.75" thickBot="1" x14ac:dyDescent="0.3">
      <c r="A3419" t="s">
        <v>1929</v>
      </c>
      <c r="B3419" t="s">
        <v>1929</v>
      </c>
      <c r="C3419" s="82" t="s">
        <v>1929</v>
      </c>
      <c r="D3419" s="83" t="s">
        <v>629</v>
      </c>
      <c r="E3419" s="262" t="s">
        <v>1970</v>
      </c>
      <c r="F3419" s="124" t="s">
        <v>620</v>
      </c>
      <c r="G3419" s="130"/>
      <c r="H3419" s="125" t="s">
        <v>733</v>
      </c>
      <c r="I3419" s="340" t="str">
        <f t="shared" si="134"/>
        <v>Pesado de Passageiros M3: I : Gasóleo : E6</v>
      </c>
      <c r="J3419" s="125"/>
      <c r="K3419" s="264">
        <v>2022</v>
      </c>
      <c r="L3419" s="253">
        <v>42.48</v>
      </c>
      <c r="M3419" s="85" t="s">
        <v>630</v>
      </c>
      <c r="N3419" s="128">
        <v>88</v>
      </c>
      <c r="O3419" s="128">
        <f t="shared" si="133"/>
        <v>0</v>
      </c>
      <c r="P3419" s="125" t="s">
        <v>4631</v>
      </c>
      <c r="Q3419" s="85" t="s">
        <v>47</v>
      </c>
      <c r="R3419" s="220" t="s">
        <v>1888</v>
      </c>
      <c r="S3419" s="220" t="s">
        <v>1861</v>
      </c>
      <c r="T3419" s="85" t="s">
        <v>4453</v>
      </c>
    </row>
    <row r="3420" spans="1:20" ht="15.75" thickBot="1" x14ac:dyDescent="0.3">
      <c r="A3420" t="s">
        <v>1929</v>
      </c>
      <c r="B3420" t="s">
        <v>1929</v>
      </c>
      <c r="C3420" s="82" t="s">
        <v>1929</v>
      </c>
      <c r="D3420" s="83" t="s">
        <v>629</v>
      </c>
      <c r="E3420" s="262" t="s">
        <v>1970</v>
      </c>
      <c r="F3420" s="124" t="s">
        <v>620</v>
      </c>
      <c r="G3420" s="130"/>
      <c r="H3420" s="125" t="s">
        <v>733</v>
      </c>
      <c r="I3420" s="340" t="str">
        <f t="shared" si="134"/>
        <v>Pesado de Passageiros M3: I : Gasóleo : E6</v>
      </c>
      <c r="J3420" s="125"/>
      <c r="K3420" s="264">
        <v>2022</v>
      </c>
      <c r="L3420" s="85">
        <v>265.87080000000003</v>
      </c>
      <c r="M3420" s="85" t="s">
        <v>630</v>
      </c>
      <c r="N3420" s="128">
        <v>494</v>
      </c>
      <c r="O3420" s="128">
        <f t="shared" si="133"/>
        <v>0</v>
      </c>
      <c r="P3420" s="125" t="s">
        <v>4632</v>
      </c>
      <c r="Q3420" s="85" t="s">
        <v>47</v>
      </c>
      <c r="R3420" s="220" t="s">
        <v>1888</v>
      </c>
      <c r="S3420" s="220" t="s">
        <v>1861</v>
      </c>
      <c r="T3420" s="85" t="s">
        <v>3435</v>
      </c>
    </row>
    <row r="3421" spans="1:20" ht="15.75" thickBot="1" x14ac:dyDescent="0.3">
      <c r="A3421" t="s">
        <v>1929</v>
      </c>
      <c r="B3421" t="s">
        <v>1929</v>
      </c>
      <c r="C3421" s="82" t="s">
        <v>1929</v>
      </c>
      <c r="D3421" s="83" t="s">
        <v>629</v>
      </c>
      <c r="E3421" s="262" t="s">
        <v>1970</v>
      </c>
      <c r="F3421" s="124" t="s">
        <v>620</v>
      </c>
      <c r="G3421" s="130"/>
      <c r="H3421" s="125" t="s">
        <v>733</v>
      </c>
      <c r="I3421" s="340" t="str">
        <f t="shared" si="134"/>
        <v>Pesado de Passageiros M3: I : Gasóleo : E6</v>
      </c>
      <c r="J3421" s="125"/>
      <c r="K3421" s="264">
        <v>2022</v>
      </c>
      <c r="L3421" s="85">
        <v>60</v>
      </c>
      <c r="M3421" s="85" t="s">
        <v>630</v>
      </c>
      <c r="N3421" s="128">
        <v>125</v>
      </c>
      <c r="O3421" s="128">
        <f t="shared" si="133"/>
        <v>0</v>
      </c>
      <c r="P3421" s="125" t="s">
        <v>4633</v>
      </c>
      <c r="Q3421" s="85" t="s">
        <v>47</v>
      </c>
      <c r="R3421" s="220" t="s">
        <v>1888</v>
      </c>
      <c r="S3421" s="220" t="s">
        <v>1861</v>
      </c>
      <c r="T3421" s="85" t="s">
        <v>4454</v>
      </c>
    </row>
    <row r="3422" spans="1:20" ht="15.75" thickBot="1" x14ac:dyDescent="0.3">
      <c r="A3422" t="s">
        <v>1929</v>
      </c>
      <c r="B3422" t="s">
        <v>1929</v>
      </c>
      <c r="C3422" s="82" t="s">
        <v>1929</v>
      </c>
      <c r="D3422" s="83" t="s">
        <v>629</v>
      </c>
      <c r="E3422" s="262" t="s">
        <v>1970</v>
      </c>
      <c r="F3422" s="124" t="s">
        <v>620</v>
      </c>
      <c r="G3422" s="130"/>
      <c r="H3422" s="125" t="s">
        <v>733</v>
      </c>
      <c r="I3422" s="340" t="str">
        <f t="shared" si="134"/>
        <v>Pesado de Passageiros M3: I : Gasóleo : E6</v>
      </c>
      <c r="J3422" s="125"/>
      <c r="K3422" s="264">
        <v>2022</v>
      </c>
      <c r="L3422" s="85">
        <v>232.26</v>
      </c>
      <c r="M3422" s="85" t="s">
        <v>630</v>
      </c>
      <c r="N3422" s="128">
        <v>553</v>
      </c>
      <c r="O3422" s="128">
        <f t="shared" si="133"/>
        <v>0</v>
      </c>
      <c r="P3422" s="125" t="s">
        <v>4634</v>
      </c>
      <c r="Q3422" s="85" t="s">
        <v>47</v>
      </c>
      <c r="R3422" s="220" t="s">
        <v>1888</v>
      </c>
      <c r="S3422" s="220" t="s">
        <v>1861</v>
      </c>
      <c r="T3422" s="85" t="s">
        <v>3441</v>
      </c>
    </row>
    <row r="3423" spans="1:20" ht="15.75" thickBot="1" x14ac:dyDescent="0.3">
      <c r="A3423" t="s">
        <v>1929</v>
      </c>
      <c r="B3423" t="s">
        <v>1929</v>
      </c>
      <c r="C3423" s="82" t="s">
        <v>1929</v>
      </c>
      <c r="D3423" s="83" t="s">
        <v>629</v>
      </c>
      <c r="E3423" s="262" t="s">
        <v>1970</v>
      </c>
      <c r="F3423" s="124" t="s">
        <v>620</v>
      </c>
      <c r="G3423" s="130"/>
      <c r="H3423" s="125" t="s">
        <v>733</v>
      </c>
      <c r="I3423" s="340" t="str">
        <f t="shared" si="134"/>
        <v>Pesado de Passageiros M3: I : Gasóleo : E6</v>
      </c>
      <c r="J3423" s="125"/>
      <c r="K3423" s="264">
        <v>2022</v>
      </c>
      <c r="L3423" s="253">
        <v>50.01</v>
      </c>
      <c r="M3423" s="85" t="s">
        <v>630</v>
      </c>
      <c r="N3423" s="128">
        <v>104</v>
      </c>
      <c r="O3423" s="128">
        <f t="shared" si="133"/>
        <v>0</v>
      </c>
      <c r="P3423" s="125" t="s">
        <v>4635</v>
      </c>
      <c r="Q3423" s="85" t="s">
        <v>47</v>
      </c>
      <c r="R3423" s="220" t="s">
        <v>1888</v>
      </c>
      <c r="S3423" s="220" t="s">
        <v>1861</v>
      </c>
      <c r="T3423" s="85" t="s">
        <v>4455</v>
      </c>
    </row>
    <row r="3424" spans="1:20" ht="15.75" thickBot="1" x14ac:dyDescent="0.3">
      <c r="A3424" t="s">
        <v>1929</v>
      </c>
      <c r="B3424" t="s">
        <v>1929</v>
      </c>
      <c r="C3424" s="82" t="s">
        <v>1929</v>
      </c>
      <c r="D3424" s="83" t="s">
        <v>629</v>
      </c>
      <c r="E3424" s="262" t="s">
        <v>1970</v>
      </c>
      <c r="F3424" s="124" t="s">
        <v>620</v>
      </c>
      <c r="G3424" s="130"/>
      <c r="H3424" s="125" t="s">
        <v>733</v>
      </c>
      <c r="I3424" s="340" t="str">
        <f t="shared" si="134"/>
        <v>Pesado de Passageiros M3: I : Gasóleo : E6</v>
      </c>
      <c r="J3424" s="125"/>
      <c r="K3424" s="264">
        <v>2022</v>
      </c>
      <c r="L3424" s="85">
        <v>349.90899999999999</v>
      </c>
      <c r="M3424" s="85" t="s">
        <v>630</v>
      </c>
      <c r="N3424" s="128">
        <v>965</v>
      </c>
      <c r="O3424" s="128">
        <f t="shared" si="133"/>
        <v>0</v>
      </c>
      <c r="P3424" s="125" t="s">
        <v>4636</v>
      </c>
      <c r="Q3424" s="85" t="s">
        <v>47</v>
      </c>
      <c r="R3424" s="220" t="s">
        <v>1888</v>
      </c>
      <c r="S3424" s="220" t="s">
        <v>1861</v>
      </c>
      <c r="T3424" s="85" t="s">
        <v>4456</v>
      </c>
    </row>
    <row r="3425" spans="1:20" ht="15.75" thickBot="1" x14ac:dyDescent="0.3">
      <c r="A3425" t="s">
        <v>1929</v>
      </c>
      <c r="B3425" t="s">
        <v>1929</v>
      </c>
      <c r="C3425" s="82" t="s">
        <v>1929</v>
      </c>
      <c r="D3425" s="83" t="s">
        <v>629</v>
      </c>
      <c r="E3425" s="262" t="s">
        <v>1970</v>
      </c>
      <c r="F3425" s="124" t="s">
        <v>620</v>
      </c>
      <c r="G3425" s="130"/>
      <c r="H3425" s="125" t="s">
        <v>733</v>
      </c>
      <c r="I3425" s="340" t="str">
        <f t="shared" si="134"/>
        <v>Pesado de Passageiros M3: I : Gasóleo : E6</v>
      </c>
      <c r="J3425" s="125"/>
      <c r="K3425" s="264">
        <v>2022</v>
      </c>
      <c r="L3425" s="85">
        <v>252.96</v>
      </c>
      <c r="M3425" s="85" t="s">
        <v>630</v>
      </c>
      <c r="N3425" s="128">
        <v>527</v>
      </c>
      <c r="O3425" s="128">
        <f t="shared" si="133"/>
        <v>0</v>
      </c>
      <c r="P3425" s="125" t="s">
        <v>4637</v>
      </c>
      <c r="Q3425" s="85" t="s">
        <v>47</v>
      </c>
      <c r="R3425" s="220" t="s">
        <v>1888</v>
      </c>
      <c r="S3425" s="220" t="s">
        <v>1861</v>
      </c>
      <c r="T3425" s="85" t="s">
        <v>4457</v>
      </c>
    </row>
    <row r="3426" spans="1:20" ht="15.75" thickBot="1" x14ac:dyDescent="0.3">
      <c r="A3426" t="s">
        <v>1929</v>
      </c>
      <c r="B3426" t="s">
        <v>1929</v>
      </c>
      <c r="C3426" s="82" t="s">
        <v>1929</v>
      </c>
      <c r="D3426" s="83" t="s">
        <v>629</v>
      </c>
      <c r="E3426" s="262" t="s">
        <v>1970</v>
      </c>
      <c r="F3426" s="124" t="s">
        <v>620</v>
      </c>
      <c r="G3426" s="130"/>
      <c r="H3426" s="125" t="s">
        <v>733</v>
      </c>
      <c r="I3426" s="340" t="str">
        <f t="shared" si="134"/>
        <v>Pesado de Passageiros M3: I : Gasóleo : E6</v>
      </c>
      <c r="J3426" s="125"/>
      <c r="K3426" s="264">
        <v>2022</v>
      </c>
      <c r="L3426" s="85">
        <v>405.88419999999996</v>
      </c>
      <c r="M3426" s="85" t="s">
        <v>630</v>
      </c>
      <c r="N3426" s="128">
        <v>947</v>
      </c>
      <c r="O3426" s="128">
        <f t="shared" si="133"/>
        <v>0</v>
      </c>
      <c r="P3426" s="125" t="s">
        <v>4638</v>
      </c>
      <c r="Q3426" s="85" t="s">
        <v>47</v>
      </c>
      <c r="R3426" s="220" t="s">
        <v>1888</v>
      </c>
      <c r="S3426" s="220" t="s">
        <v>1861</v>
      </c>
      <c r="T3426" s="85" t="s">
        <v>4458</v>
      </c>
    </row>
    <row r="3427" spans="1:20" ht="15.75" thickBot="1" x14ac:dyDescent="0.3">
      <c r="A3427" t="s">
        <v>1929</v>
      </c>
      <c r="B3427" t="s">
        <v>1929</v>
      </c>
      <c r="C3427" s="82" t="s">
        <v>1929</v>
      </c>
      <c r="D3427" s="83" t="s">
        <v>629</v>
      </c>
      <c r="E3427" s="262" t="s">
        <v>1970</v>
      </c>
      <c r="F3427" s="124" t="s">
        <v>620</v>
      </c>
      <c r="G3427" s="130"/>
      <c r="H3427" s="125" t="s">
        <v>733</v>
      </c>
      <c r="I3427" s="340" t="str">
        <f t="shared" si="134"/>
        <v>Pesado de Passageiros M3: I : Gasóleo : E6</v>
      </c>
      <c r="J3427" s="125"/>
      <c r="K3427" s="264">
        <v>2022</v>
      </c>
      <c r="L3427" s="85">
        <v>62.92</v>
      </c>
      <c r="M3427" s="85" t="s">
        <v>630</v>
      </c>
      <c r="N3427" s="128">
        <v>286</v>
      </c>
      <c r="O3427" s="128">
        <f t="shared" si="133"/>
        <v>0</v>
      </c>
      <c r="P3427" s="125" t="s">
        <v>4639</v>
      </c>
      <c r="Q3427" s="85" t="s">
        <v>47</v>
      </c>
      <c r="R3427" s="220" t="s">
        <v>1888</v>
      </c>
      <c r="S3427" s="220" t="s">
        <v>1861</v>
      </c>
      <c r="T3427" s="85" t="s">
        <v>4459</v>
      </c>
    </row>
    <row r="3428" spans="1:20" ht="15.75" thickBot="1" x14ac:dyDescent="0.3">
      <c r="A3428" t="s">
        <v>1929</v>
      </c>
      <c r="B3428" t="s">
        <v>1929</v>
      </c>
      <c r="C3428" s="82" t="s">
        <v>1929</v>
      </c>
      <c r="D3428" s="83" t="s">
        <v>629</v>
      </c>
      <c r="E3428" s="262" t="s">
        <v>1970</v>
      </c>
      <c r="F3428" s="124" t="s">
        <v>620</v>
      </c>
      <c r="G3428" s="130"/>
      <c r="H3428" s="125" t="s">
        <v>733</v>
      </c>
      <c r="I3428" s="340" t="str">
        <f t="shared" si="134"/>
        <v>Pesado de Passageiros M3: I : Gasóleo : E6</v>
      </c>
      <c r="J3428" s="125"/>
      <c r="K3428" s="264">
        <v>2022</v>
      </c>
      <c r="L3428" s="85">
        <v>55.68</v>
      </c>
      <c r="M3428" s="85" t="s">
        <v>630</v>
      </c>
      <c r="N3428" s="128">
        <v>116</v>
      </c>
      <c r="O3428" s="128">
        <f t="shared" si="133"/>
        <v>0</v>
      </c>
      <c r="P3428" s="125" t="s">
        <v>4640</v>
      </c>
      <c r="Q3428" s="85" t="s">
        <v>47</v>
      </c>
      <c r="R3428" s="220" t="s">
        <v>1888</v>
      </c>
      <c r="S3428" s="220" t="s">
        <v>1861</v>
      </c>
      <c r="T3428" s="85" t="s">
        <v>4460</v>
      </c>
    </row>
    <row r="3429" spans="1:20" ht="15.75" thickBot="1" x14ac:dyDescent="0.3">
      <c r="A3429" t="s">
        <v>1929</v>
      </c>
      <c r="B3429" t="s">
        <v>1929</v>
      </c>
      <c r="C3429" s="82" t="s">
        <v>1929</v>
      </c>
      <c r="D3429" s="83" t="s">
        <v>629</v>
      </c>
      <c r="E3429" s="262" t="s">
        <v>1970</v>
      </c>
      <c r="F3429" s="124" t="s">
        <v>620</v>
      </c>
      <c r="G3429" s="130"/>
      <c r="H3429" s="125" t="s">
        <v>733</v>
      </c>
      <c r="I3429" s="340" t="str">
        <f t="shared" si="134"/>
        <v>Pesado de Passageiros M3: I : Gasóleo : E6</v>
      </c>
      <c r="J3429" s="125"/>
      <c r="K3429" s="264">
        <v>2022</v>
      </c>
      <c r="L3429" s="85">
        <v>244.32</v>
      </c>
      <c r="M3429" s="85" t="s">
        <v>630</v>
      </c>
      <c r="N3429" s="128">
        <v>509</v>
      </c>
      <c r="O3429" s="128">
        <f t="shared" si="133"/>
        <v>0</v>
      </c>
      <c r="P3429" s="125" t="s">
        <v>4641</v>
      </c>
      <c r="Q3429" s="85" t="s">
        <v>47</v>
      </c>
      <c r="R3429" s="220" t="s">
        <v>1888</v>
      </c>
      <c r="S3429" s="220" t="s">
        <v>1861</v>
      </c>
      <c r="T3429" s="85" t="s">
        <v>4461</v>
      </c>
    </row>
    <row r="3430" spans="1:20" ht="15.75" thickBot="1" x14ac:dyDescent="0.3">
      <c r="A3430" t="s">
        <v>1929</v>
      </c>
      <c r="B3430" t="s">
        <v>1929</v>
      </c>
      <c r="C3430" s="82" t="s">
        <v>1929</v>
      </c>
      <c r="D3430" s="83" t="s">
        <v>629</v>
      </c>
      <c r="E3430" s="262" t="s">
        <v>1970</v>
      </c>
      <c r="F3430" s="124" t="s">
        <v>620</v>
      </c>
      <c r="G3430" s="130"/>
      <c r="H3430" s="125" t="s">
        <v>733</v>
      </c>
      <c r="I3430" s="340" t="str">
        <f t="shared" si="134"/>
        <v>Pesado de Passageiros M3: I : Gasóleo : E6</v>
      </c>
      <c r="J3430" s="125"/>
      <c r="K3430" s="264">
        <v>2022</v>
      </c>
      <c r="L3430" s="85">
        <v>242.88</v>
      </c>
      <c r="M3430" s="85" t="s">
        <v>630</v>
      </c>
      <c r="N3430" s="128">
        <v>506</v>
      </c>
      <c r="O3430" s="128">
        <f t="shared" si="133"/>
        <v>0</v>
      </c>
      <c r="P3430" s="125" t="s">
        <v>4642</v>
      </c>
      <c r="Q3430" s="85" t="s">
        <v>47</v>
      </c>
      <c r="R3430" s="220" t="s">
        <v>1888</v>
      </c>
      <c r="S3430" s="220" t="s">
        <v>1861</v>
      </c>
      <c r="T3430" s="85" t="s">
        <v>3425</v>
      </c>
    </row>
    <row r="3431" spans="1:20" ht="15.75" thickBot="1" x14ac:dyDescent="0.3">
      <c r="A3431" t="s">
        <v>1929</v>
      </c>
      <c r="B3431" t="s">
        <v>1929</v>
      </c>
      <c r="C3431" s="82" t="s">
        <v>1929</v>
      </c>
      <c r="D3431" s="83" t="s">
        <v>629</v>
      </c>
      <c r="E3431" s="262" t="s">
        <v>1970</v>
      </c>
      <c r="F3431" s="124" t="s">
        <v>620</v>
      </c>
      <c r="G3431" s="130"/>
      <c r="H3431" s="125" t="s">
        <v>733</v>
      </c>
      <c r="I3431" s="340" t="str">
        <f t="shared" si="134"/>
        <v>Pesado de Passageiros M3: I : Gasóleo : E6</v>
      </c>
      <c r="J3431" s="125"/>
      <c r="K3431" s="264">
        <v>2022</v>
      </c>
      <c r="L3431" s="85">
        <v>281.1669</v>
      </c>
      <c r="M3431" s="85" t="s">
        <v>630</v>
      </c>
      <c r="N3431" s="128">
        <v>651</v>
      </c>
      <c r="O3431" s="128">
        <f t="shared" si="133"/>
        <v>0</v>
      </c>
      <c r="P3431" s="125" t="s">
        <v>4643</v>
      </c>
      <c r="Q3431" s="85" t="s">
        <v>47</v>
      </c>
      <c r="R3431" s="220" t="s">
        <v>1888</v>
      </c>
      <c r="S3431" s="220" t="s">
        <v>1861</v>
      </c>
      <c r="T3431" s="85" t="s">
        <v>4462</v>
      </c>
    </row>
    <row r="3432" spans="1:20" ht="15.75" thickBot="1" x14ac:dyDescent="0.3">
      <c r="A3432" t="s">
        <v>1929</v>
      </c>
      <c r="B3432" t="s">
        <v>1929</v>
      </c>
      <c r="C3432" s="82" t="s">
        <v>1929</v>
      </c>
      <c r="D3432" s="83" t="s">
        <v>629</v>
      </c>
      <c r="E3432" s="262" t="s">
        <v>1970</v>
      </c>
      <c r="F3432" s="124" t="s">
        <v>620</v>
      </c>
      <c r="G3432" s="130"/>
      <c r="H3432" s="125" t="s">
        <v>733</v>
      </c>
      <c r="I3432" s="340" t="str">
        <f t="shared" si="134"/>
        <v>Pesado de Passageiros M3: I : Gasóleo : E6</v>
      </c>
      <c r="J3432" s="125"/>
      <c r="K3432" s="264">
        <v>2022</v>
      </c>
      <c r="L3432" s="85">
        <v>233.76</v>
      </c>
      <c r="M3432" s="85" t="s">
        <v>630</v>
      </c>
      <c r="N3432" s="128">
        <v>487</v>
      </c>
      <c r="O3432" s="128">
        <f t="shared" si="133"/>
        <v>0</v>
      </c>
      <c r="P3432" s="125" t="s">
        <v>4644</v>
      </c>
      <c r="Q3432" s="85" t="s">
        <v>47</v>
      </c>
      <c r="R3432" s="220" t="s">
        <v>1888</v>
      </c>
      <c r="S3432" s="220" t="s">
        <v>1861</v>
      </c>
      <c r="T3432" s="85" t="s">
        <v>4463</v>
      </c>
    </row>
    <row r="3433" spans="1:20" ht="15.75" thickBot="1" x14ac:dyDescent="0.3">
      <c r="A3433" t="s">
        <v>1929</v>
      </c>
      <c r="B3433" t="s">
        <v>1929</v>
      </c>
      <c r="C3433" s="82" t="s">
        <v>1929</v>
      </c>
      <c r="D3433" s="83" t="s">
        <v>629</v>
      </c>
      <c r="E3433" s="262" t="s">
        <v>1970</v>
      </c>
      <c r="F3433" s="124" t="s">
        <v>620</v>
      </c>
      <c r="G3433" s="130"/>
      <c r="H3433" s="125" t="s">
        <v>733</v>
      </c>
      <c r="I3433" s="340" t="str">
        <f t="shared" si="134"/>
        <v>Pesado de Passageiros M3: I : Gasóleo : E6</v>
      </c>
      <c r="J3433" s="125"/>
      <c r="K3433" s="264">
        <v>2022</v>
      </c>
      <c r="L3433" s="85">
        <v>268.8</v>
      </c>
      <c r="M3433" s="85" t="s">
        <v>630</v>
      </c>
      <c r="N3433" s="128">
        <v>640</v>
      </c>
      <c r="O3433" s="128">
        <f t="shared" si="133"/>
        <v>0</v>
      </c>
      <c r="P3433" s="125" t="s">
        <v>4645</v>
      </c>
      <c r="Q3433" s="85" t="s">
        <v>47</v>
      </c>
      <c r="R3433" s="220" t="s">
        <v>1888</v>
      </c>
      <c r="S3433" s="220" t="s">
        <v>1861</v>
      </c>
      <c r="T3433" s="85" t="s">
        <v>4464</v>
      </c>
    </row>
    <row r="3434" spans="1:20" ht="15.75" thickBot="1" x14ac:dyDescent="0.3">
      <c r="A3434" t="s">
        <v>1929</v>
      </c>
      <c r="B3434" t="s">
        <v>1929</v>
      </c>
      <c r="C3434" s="82" t="s">
        <v>1929</v>
      </c>
      <c r="D3434" s="83" t="s">
        <v>629</v>
      </c>
      <c r="E3434" s="262" t="s">
        <v>1970</v>
      </c>
      <c r="F3434" s="124" t="s">
        <v>620</v>
      </c>
      <c r="G3434" s="130"/>
      <c r="H3434" s="125" t="s">
        <v>733</v>
      </c>
      <c r="I3434" s="340" t="str">
        <f t="shared" si="134"/>
        <v>Pesado de Passageiros M3: I : Gasóleo : E6</v>
      </c>
      <c r="J3434" s="125"/>
      <c r="K3434" s="264">
        <v>2022</v>
      </c>
      <c r="L3434" s="85">
        <v>78.231999999999999</v>
      </c>
      <c r="M3434" s="85" t="s">
        <v>630</v>
      </c>
      <c r="N3434" s="128">
        <v>508</v>
      </c>
      <c r="O3434" s="128">
        <f t="shared" si="133"/>
        <v>0</v>
      </c>
      <c r="P3434" s="125" t="s">
        <v>2245</v>
      </c>
      <c r="Q3434" s="85" t="s">
        <v>47</v>
      </c>
      <c r="R3434" s="220" t="s">
        <v>1888</v>
      </c>
      <c r="S3434" s="220" t="s">
        <v>1861</v>
      </c>
      <c r="T3434" s="85" t="s">
        <v>4465</v>
      </c>
    </row>
    <row r="3435" spans="1:20" ht="15.75" thickBot="1" x14ac:dyDescent="0.3">
      <c r="A3435" t="s">
        <v>1929</v>
      </c>
      <c r="B3435" t="s">
        <v>1929</v>
      </c>
      <c r="C3435" s="82" t="s">
        <v>1929</v>
      </c>
      <c r="D3435" s="83" t="s">
        <v>629</v>
      </c>
      <c r="E3435" s="262" t="s">
        <v>1970</v>
      </c>
      <c r="F3435" s="124" t="s">
        <v>620</v>
      </c>
      <c r="G3435" s="130"/>
      <c r="H3435" s="125" t="s">
        <v>733</v>
      </c>
      <c r="I3435" s="340" t="str">
        <f t="shared" si="134"/>
        <v>Pesado de Passageiros M3: I : Gasóleo : E6</v>
      </c>
      <c r="J3435" s="125"/>
      <c r="K3435" s="264">
        <v>2022</v>
      </c>
      <c r="L3435" s="85">
        <v>181.92</v>
      </c>
      <c r="M3435" s="85" t="s">
        <v>630</v>
      </c>
      <c r="N3435" s="128">
        <v>379</v>
      </c>
      <c r="O3435" s="128">
        <f t="shared" si="133"/>
        <v>0</v>
      </c>
      <c r="P3435" s="125" t="s">
        <v>4646</v>
      </c>
      <c r="Q3435" s="85" t="s">
        <v>47</v>
      </c>
      <c r="R3435" s="220" t="s">
        <v>1888</v>
      </c>
      <c r="S3435" s="220" t="s">
        <v>1861</v>
      </c>
      <c r="T3435" s="85" t="s">
        <v>4466</v>
      </c>
    </row>
    <row r="3436" spans="1:20" ht="15.75" thickBot="1" x14ac:dyDescent="0.3">
      <c r="A3436" t="s">
        <v>1929</v>
      </c>
      <c r="B3436" t="s">
        <v>1929</v>
      </c>
      <c r="C3436" s="82" t="s">
        <v>1929</v>
      </c>
      <c r="D3436" s="83" t="s">
        <v>629</v>
      </c>
      <c r="E3436" s="262" t="s">
        <v>1970</v>
      </c>
      <c r="F3436" s="124" t="s">
        <v>620</v>
      </c>
      <c r="G3436" s="130"/>
      <c r="H3436" s="125" t="s">
        <v>733</v>
      </c>
      <c r="I3436" s="340" t="str">
        <f t="shared" si="134"/>
        <v>Pesado de Passageiros M3: I : Gasóleo : E6</v>
      </c>
      <c r="J3436" s="125"/>
      <c r="K3436" s="264">
        <v>2022</v>
      </c>
      <c r="L3436" s="85">
        <v>69.928600000000003</v>
      </c>
      <c r="M3436" s="85" t="s">
        <v>630</v>
      </c>
      <c r="N3436" s="128">
        <v>398</v>
      </c>
      <c r="O3436" s="128">
        <f t="shared" si="133"/>
        <v>0</v>
      </c>
      <c r="P3436" s="125" t="s">
        <v>2246</v>
      </c>
      <c r="Q3436" s="85" t="s">
        <v>47</v>
      </c>
      <c r="R3436" s="220" t="s">
        <v>1888</v>
      </c>
      <c r="S3436" s="220" t="s">
        <v>1861</v>
      </c>
      <c r="T3436" s="85" t="s">
        <v>4467</v>
      </c>
    </row>
    <row r="3437" spans="1:20" ht="15.75" thickBot="1" x14ac:dyDescent="0.3">
      <c r="A3437" t="s">
        <v>1929</v>
      </c>
      <c r="B3437" t="s">
        <v>1929</v>
      </c>
      <c r="C3437" s="82" t="s">
        <v>1929</v>
      </c>
      <c r="D3437" s="83" t="s">
        <v>629</v>
      </c>
      <c r="E3437" s="262" t="s">
        <v>1970</v>
      </c>
      <c r="F3437" s="124" t="s">
        <v>620</v>
      </c>
      <c r="G3437" s="130"/>
      <c r="H3437" s="125" t="s">
        <v>733</v>
      </c>
      <c r="I3437" s="340" t="str">
        <f t="shared" si="134"/>
        <v>Pesado de Passageiros M3: I : Gasóleo : E6</v>
      </c>
      <c r="J3437" s="125"/>
      <c r="K3437" s="264">
        <v>2022</v>
      </c>
      <c r="L3437" s="85">
        <v>116.16</v>
      </c>
      <c r="M3437" s="85" t="s">
        <v>630</v>
      </c>
      <c r="N3437" s="128">
        <v>242</v>
      </c>
      <c r="O3437" s="128">
        <f t="shared" si="133"/>
        <v>0</v>
      </c>
      <c r="P3437" s="125" t="s">
        <v>4647</v>
      </c>
      <c r="Q3437" s="85" t="s">
        <v>47</v>
      </c>
      <c r="R3437" s="220" t="s">
        <v>1888</v>
      </c>
      <c r="S3437" s="220" t="s">
        <v>1861</v>
      </c>
      <c r="T3437" s="85" t="s">
        <v>4468</v>
      </c>
    </row>
    <row r="3438" spans="1:20" ht="15.75" thickBot="1" x14ac:dyDescent="0.3">
      <c r="A3438" t="s">
        <v>1929</v>
      </c>
      <c r="B3438" t="s">
        <v>1929</v>
      </c>
      <c r="C3438" s="82" t="s">
        <v>1929</v>
      </c>
      <c r="D3438" s="83" t="s">
        <v>629</v>
      </c>
      <c r="E3438" s="262" t="s">
        <v>1970</v>
      </c>
      <c r="F3438" s="124" t="s">
        <v>620</v>
      </c>
      <c r="G3438" s="130"/>
      <c r="H3438" s="125" t="s">
        <v>733</v>
      </c>
      <c r="I3438" s="340" t="str">
        <f t="shared" si="134"/>
        <v>Pesado de Passageiros M3: I : Gasóleo : E6</v>
      </c>
      <c r="J3438" s="125"/>
      <c r="K3438" s="264">
        <v>2022</v>
      </c>
      <c r="L3438" s="85">
        <v>290.88</v>
      </c>
      <c r="M3438" s="85" t="s">
        <v>630</v>
      </c>
      <c r="N3438" s="128">
        <v>606</v>
      </c>
      <c r="O3438" s="128">
        <f t="shared" si="133"/>
        <v>0</v>
      </c>
      <c r="P3438" s="125" t="s">
        <v>4648</v>
      </c>
      <c r="Q3438" s="85" t="s">
        <v>47</v>
      </c>
      <c r="R3438" s="220" t="s">
        <v>1888</v>
      </c>
      <c r="S3438" s="220" t="s">
        <v>1861</v>
      </c>
      <c r="T3438" s="85" t="s">
        <v>4469</v>
      </c>
    </row>
    <row r="3439" spans="1:20" ht="15.75" thickBot="1" x14ac:dyDescent="0.3">
      <c r="A3439" t="s">
        <v>1929</v>
      </c>
      <c r="B3439" t="s">
        <v>1929</v>
      </c>
      <c r="C3439" s="82" t="s">
        <v>1929</v>
      </c>
      <c r="D3439" s="83" t="s">
        <v>629</v>
      </c>
      <c r="E3439" s="262" t="s">
        <v>1970</v>
      </c>
      <c r="F3439" s="124" t="s">
        <v>620</v>
      </c>
      <c r="G3439" s="130"/>
      <c r="H3439" s="125" t="s">
        <v>733</v>
      </c>
      <c r="I3439" s="340" t="str">
        <f t="shared" si="134"/>
        <v>Pesado de Passageiros M3: I : Gasóleo : E6</v>
      </c>
      <c r="J3439" s="125"/>
      <c r="K3439" s="264">
        <v>2022</v>
      </c>
      <c r="L3439" s="85">
        <v>296.30840000000001</v>
      </c>
      <c r="M3439" s="85" t="s">
        <v>630</v>
      </c>
      <c r="N3439" s="128">
        <v>1486</v>
      </c>
      <c r="O3439" s="128">
        <f t="shared" si="133"/>
        <v>0</v>
      </c>
      <c r="P3439" s="125" t="s">
        <v>2222</v>
      </c>
      <c r="Q3439" s="85" t="s">
        <v>47</v>
      </c>
      <c r="R3439" s="220" t="s">
        <v>1888</v>
      </c>
      <c r="S3439" s="220" t="s">
        <v>1861</v>
      </c>
      <c r="T3439" s="85" t="s">
        <v>4470</v>
      </c>
    </row>
    <row r="3440" spans="1:20" ht="15.75" thickBot="1" x14ac:dyDescent="0.3">
      <c r="A3440" t="s">
        <v>1929</v>
      </c>
      <c r="B3440" t="s">
        <v>1929</v>
      </c>
      <c r="C3440" s="82" t="s">
        <v>1929</v>
      </c>
      <c r="D3440" s="83" t="s">
        <v>629</v>
      </c>
      <c r="E3440" s="262" t="s">
        <v>1970</v>
      </c>
      <c r="F3440" s="124" t="s">
        <v>620</v>
      </c>
      <c r="G3440" s="130"/>
      <c r="H3440" s="125" t="s">
        <v>733</v>
      </c>
      <c r="I3440" s="340" t="str">
        <f t="shared" si="134"/>
        <v>Pesado de Passageiros M3: I : Gasóleo : E6</v>
      </c>
      <c r="J3440" s="125"/>
      <c r="K3440" s="264">
        <v>2022</v>
      </c>
      <c r="L3440" s="253">
        <v>50.309999999999974</v>
      </c>
      <c r="M3440" s="85" t="s">
        <v>630</v>
      </c>
      <c r="N3440" s="128">
        <v>142</v>
      </c>
      <c r="O3440" s="128">
        <f t="shared" si="133"/>
        <v>0</v>
      </c>
      <c r="P3440" s="125" t="s">
        <v>4649</v>
      </c>
      <c r="Q3440" s="85" t="s">
        <v>47</v>
      </c>
      <c r="R3440" s="220" t="s">
        <v>1888</v>
      </c>
      <c r="S3440" s="220" t="s">
        <v>1861</v>
      </c>
      <c r="T3440" s="85" t="s">
        <v>4471</v>
      </c>
    </row>
    <row r="3441" spans="1:20" ht="15.75" thickBot="1" x14ac:dyDescent="0.3">
      <c r="A3441" t="s">
        <v>1929</v>
      </c>
      <c r="B3441" t="s">
        <v>1929</v>
      </c>
      <c r="C3441" s="82" t="s">
        <v>1929</v>
      </c>
      <c r="D3441" s="83" t="s">
        <v>629</v>
      </c>
      <c r="E3441" s="262" t="s">
        <v>1970</v>
      </c>
      <c r="F3441" s="124" t="s">
        <v>620</v>
      </c>
      <c r="G3441" s="130"/>
      <c r="H3441" s="125" t="s">
        <v>733</v>
      </c>
      <c r="I3441" s="340" t="str">
        <f t="shared" si="134"/>
        <v>Pesado de Passageiros M3: I : Gasóleo : E6</v>
      </c>
      <c r="J3441" s="125"/>
      <c r="K3441" s="264">
        <v>2022</v>
      </c>
      <c r="L3441" s="85">
        <v>248.15</v>
      </c>
      <c r="M3441" s="85" t="s">
        <v>630</v>
      </c>
      <c r="N3441" s="128">
        <v>709</v>
      </c>
      <c r="O3441" s="128">
        <f t="shared" ref="O3441:O3478" si="135">N3441*J3441</f>
        <v>0</v>
      </c>
      <c r="P3441" s="125" t="s">
        <v>4649</v>
      </c>
      <c r="Q3441" s="85" t="s">
        <v>47</v>
      </c>
      <c r="R3441" s="220" t="s">
        <v>1888</v>
      </c>
      <c r="S3441" s="220" t="s">
        <v>1861</v>
      </c>
      <c r="T3441" s="85" t="s">
        <v>4471</v>
      </c>
    </row>
    <row r="3442" spans="1:20" ht="15.75" thickBot="1" x14ac:dyDescent="0.3">
      <c r="A3442" t="s">
        <v>1929</v>
      </c>
      <c r="B3442" t="s">
        <v>1929</v>
      </c>
      <c r="C3442" s="82" t="s">
        <v>1929</v>
      </c>
      <c r="D3442" s="83" t="s">
        <v>629</v>
      </c>
      <c r="E3442" s="262" t="s">
        <v>1970</v>
      </c>
      <c r="F3442" s="124" t="s">
        <v>620</v>
      </c>
      <c r="G3442" s="130"/>
      <c r="H3442" s="125" t="s">
        <v>733</v>
      </c>
      <c r="I3442" s="340" t="str">
        <f t="shared" si="134"/>
        <v>Pesado de Passageiros M3: I : Gasóleo : E6</v>
      </c>
      <c r="J3442" s="125"/>
      <c r="K3442" s="264">
        <v>2022</v>
      </c>
      <c r="L3442" s="85">
        <v>70</v>
      </c>
      <c r="M3442" s="85" t="s">
        <v>630</v>
      </c>
      <c r="N3442" s="128">
        <v>200</v>
      </c>
      <c r="O3442" s="128">
        <f t="shared" si="135"/>
        <v>0</v>
      </c>
      <c r="P3442" s="125" t="s">
        <v>4650</v>
      </c>
      <c r="Q3442" s="85" t="s">
        <v>47</v>
      </c>
      <c r="R3442" s="220" t="s">
        <v>1888</v>
      </c>
      <c r="S3442" s="220" t="s">
        <v>1861</v>
      </c>
      <c r="T3442" s="85" t="s">
        <v>3454</v>
      </c>
    </row>
    <row r="3443" spans="1:20" ht="15.75" thickBot="1" x14ac:dyDescent="0.3">
      <c r="A3443" t="s">
        <v>1929</v>
      </c>
      <c r="B3443" t="s">
        <v>1929</v>
      </c>
      <c r="C3443" s="82" t="s">
        <v>1929</v>
      </c>
      <c r="D3443" s="83" t="s">
        <v>629</v>
      </c>
      <c r="E3443" s="262" t="s">
        <v>1970</v>
      </c>
      <c r="F3443" s="124" t="s">
        <v>620</v>
      </c>
      <c r="G3443" s="130"/>
      <c r="H3443" s="125" t="s">
        <v>733</v>
      </c>
      <c r="I3443" s="340" t="str">
        <f t="shared" si="134"/>
        <v>Pesado de Passageiros M3: I : Gasóleo : E6</v>
      </c>
      <c r="J3443" s="125"/>
      <c r="K3443" s="264">
        <v>2022</v>
      </c>
      <c r="L3443" s="85">
        <v>71.75</v>
      </c>
      <c r="M3443" s="85" t="s">
        <v>630</v>
      </c>
      <c r="N3443" s="128">
        <v>205</v>
      </c>
      <c r="O3443" s="128">
        <f t="shared" si="135"/>
        <v>0</v>
      </c>
      <c r="P3443" s="125" t="s">
        <v>4651</v>
      </c>
      <c r="Q3443" s="85" t="s">
        <v>47</v>
      </c>
      <c r="R3443" s="220" t="s">
        <v>1888</v>
      </c>
      <c r="S3443" s="220" t="s">
        <v>1861</v>
      </c>
      <c r="T3443" s="85" t="s">
        <v>3455</v>
      </c>
    </row>
    <row r="3444" spans="1:20" ht="15.75" thickBot="1" x14ac:dyDescent="0.3">
      <c r="A3444" t="s">
        <v>1929</v>
      </c>
      <c r="B3444" t="s">
        <v>1929</v>
      </c>
      <c r="C3444" s="82" t="s">
        <v>1929</v>
      </c>
      <c r="D3444" s="83" t="s">
        <v>629</v>
      </c>
      <c r="E3444" s="262" t="s">
        <v>1970</v>
      </c>
      <c r="F3444" s="124" t="s">
        <v>620</v>
      </c>
      <c r="G3444" s="130"/>
      <c r="H3444" s="125" t="s">
        <v>733</v>
      </c>
      <c r="I3444" s="340" t="str">
        <f t="shared" si="134"/>
        <v>Pesado de Passageiros M3: I : Gasóleo : E6</v>
      </c>
      <c r="J3444" s="125"/>
      <c r="K3444" s="264">
        <v>2022</v>
      </c>
      <c r="L3444" s="85">
        <v>147</v>
      </c>
      <c r="M3444" s="85" t="s">
        <v>630</v>
      </c>
      <c r="N3444" s="128">
        <v>420</v>
      </c>
      <c r="O3444" s="128">
        <f t="shared" si="135"/>
        <v>0</v>
      </c>
      <c r="P3444" s="125" t="s">
        <v>4652</v>
      </c>
      <c r="Q3444" s="85" t="s">
        <v>47</v>
      </c>
      <c r="R3444" s="220" t="s">
        <v>1888</v>
      </c>
      <c r="S3444" s="220" t="s">
        <v>1861</v>
      </c>
      <c r="T3444" s="85" t="s">
        <v>3452</v>
      </c>
    </row>
    <row r="3445" spans="1:20" ht="15.75" thickBot="1" x14ac:dyDescent="0.3">
      <c r="A3445" t="s">
        <v>1929</v>
      </c>
      <c r="B3445" t="s">
        <v>1929</v>
      </c>
      <c r="C3445" s="82" t="s">
        <v>1929</v>
      </c>
      <c r="D3445" s="83" t="s">
        <v>629</v>
      </c>
      <c r="E3445" s="262" t="s">
        <v>1970</v>
      </c>
      <c r="F3445" s="124" t="s">
        <v>620</v>
      </c>
      <c r="G3445" s="130"/>
      <c r="H3445" s="125" t="s">
        <v>733</v>
      </c>
      <c r="I3445" s="340" t="str">
        <f t="shared" si="134"/>
        <v>Pesado de Passageiros M3: I : Gasóleo : E6</v>
      </c>
      <c r="J3445" s="125"/>
      <c r="K3445" s="264">
        <v>2022</v>
      </c>
      <c r="L3445" s="85">
        <v>50.05</v>
      </c>
      <c r="M3445" s="85" t="s">
        <v>630</v>
      </c>
      <c r="N3445" s="128">
        <v>143</v>
      </c>
      <c r="O3445" s="128">
        <f t="shared" si="135"/>
        <v>0</v>
      </c>
      <c r="P3445" s="125" t="s">
        <v>4653</v>
      </c>
      <c r="Q3445" s="85" t="s">
        <v>47</v>
      </c>
      <c r="R3445" s="220" t="s">
        <v>1888</v>
      </c>
      <c r="S3445" s="220" t="s">
        <v>1861</v>
      </c>
      <c r="T3445" s="85" t="s">
        <v>4472</v>
      </c>
    </row>
    <row r="3446" spans="1:20" ht="15.75" thickBot="1" x14ac:dyDescent="0.3">
      <c r="A3446" t="s">
        <v>1929</v>
      </c>
      <c r="B3446" t="s">
        <v>1929</v>
      </c>
      <c r="C3446" s="82" t="s">
        <v>1929</v>
      </c>
      <c r="D3446" s="83" t="s">
        <v>629</v>
      </c>
      <c r="E3446" s="262" t="s">
        <v>1970</v>
      </c>
      <c r="F3446" s="124" t="s">
        <v>620</v>
      </c>
      <c r="G3446" s="130"/>
      <c r="H3446" s="125" t="s">
        <v>733</v>
      </c>
      <c r="I3446" s="340" t="str">
        <f t="shared" ref="I3446:I3478" si="136">D3446&amp;": "&amp;E3446&amp;" : "&amp;F3446&amp;" : "&amp;H3446</f>
        <v>Pesado de Passageiros M3: I : Gasóleo : E6</v>
      </c>
      <c r="J3446" s="125"/>
      <c r="K3446" s="264">
        <v>2022</v>
      </c>
      <c r="L3446" s="85">
        <v>333.81739999999996</v>
      </c>
      <c r="M3446" s="85" t="s">
        <v>630</v>
      </c>
      <c r="N3446" s="128">
        <v>1127</v>
      </c>
      <c r="O3446" s="128">
        <f t="shared" si="135"/>
        <v>0</v>
      </c>
      <c r="P3446" s="125" t="s">
        <v>4654</v>
      </c>
      <c r="Q3446" s="85" t="s">
        <v>47</v>
      </c>
      <c r="R3446" s="220" t="s">
        <v>1888</v>
      </c>
      <c r="S3446" s="220" t="s">
        <v>1861</v>
      </c>
      <c r="T3446" s="85" t="s">
        <v>4473</v>
      </c>
    </row>
    <row r="3447" spans="1:20" ht="15.75" thickBot="1" x14ac:dyDescent="0.3">
      <c r="A3447" t="s">
        <v>1929</v>
      </c>
      <c r="B3447" t="s">
        <v>1929</v>
      </c>
      <c r="C3447" s="82" t="s">
        <v>1929</v>
      </c>
      <c r="D3447" s="83" t="s">
        <v>629</v>
      </c>
      <c r="E3447" s="262" t="s">
        <v>1970</v>
      </c>
      <c r="F3447" s="124" t="s">
        <v>620</v>
      </c>
      <c r="G3447" s="130"/>
      <c r="H3447" s="125" t="s">
        <v>733</v>
      </c>
      <c r="I3447" s="340" t="str">
        <f t="shared" si="136"/>
        <v>Pesado de Passageiros M3: I : Gasóleo : E6</v>
      </c>
      <c r="J3447" s="125"/>
      <c r="K3447" s="264">
        <v>2022</v>
      </c>
      <c r="L3447" s="85">
        <v>387.1</v>
      </c>
      <c r="M3447" s="85" t="s">
        <v>630</v>
      </c>
      <c r="N3447" s="128">
        <v>1106</v>
      </c>
      <c r="O3447" s="128">
        <f t="shared" si="135"/>
        <v>0</v>
      </c>
      <c r="P3447" s="125" t="s">
        <v>4655</v>
      </c>
      <c r="Q3447" s="85" t="s">
        <v>47</v>
      </c>
      <c r="R3447" s="220" t="s">
        <v>1888</v>
      </c>
      <c r="S3447" s="220" t="s">
        <v>1861</v>
      </c>
      <c r="T3447" s="85" t="s">
        <v>3453</v>
      </c>
    </row>
    <row r="3448" spans="1:20" ht="15.75" thickBot="1" x14ac:dyDescent="0.3">
      <c r="A3448" t="s">
        <v>1929</v>
      </c>
      <c r="B3448" t="s">
        <v>1929</v>
      </c>
      <c r="C3448" s="82" t="s">
        <v>1929</v>
      </c>
      <c r="D3448" s="83" t="s">
        <v>629</v>
      </c>
      <c r="E3448" s="262" t="s">
        <v>1970</v>
      </c>
      <c r="F3448" s="124" t="s">
        <v>620</v>
      </c>
      <c r="G3448" s="130"/>
      <c r="H3448" s="125" t="s">
        <v>733</v>
      </c>
      <c r="I3448" s="340" t="str">
        <f t="shared" si="136"/>
        <v>Pesado de Passageiros M3: I : Gasóleo : E6</v>
      </c>
      <c r="J3448" s="125"/>
      <c r="K3448" s="264">
        <v>2022</v>
      </c>
      <c r="L3448" s="85">
        <v>297.14999999999998</v>
      </c>
      <c r="M3448" s="85" t="s">
        <v>630</v>
      </c>
      <c r="N3448" s="128">
        <v>849</v>
      </c>
      <c r="O3448" s="128">
        <f t="shared" si="135"/>
        <v>0</v>
      </c>
      <c r="P3448" s="125" t="s">
        <v>4656</v>
      </c>
      <c r="Q3448" s="85" t="s">
        <v>47</v>
      </c>
      <c r="R3448" s="220" t="s">
        <v>1888</v>
      </c>
      <c r="S3448" s="220" t="s">
        <v>1861</v>
      </c>
      <c r="T3448" s="85" t="s">
        <v>4474</v>
      </c>
    </row>
    <row r="3449" spans="1:20" ht="15.75" thickBot="1" x14ac:dyDescent="0.3">
      <c r="A3449" t="s">
        <v>1929</v>
      </c>
      <c r="B3449" t="s">
        <v>1929</v>
      </c>
      <c r="C3449" s="82" t="s">
        <v>1929</v>
      </c>
      <c r="D3449" s="83" t="s">
        <v>629</v>
      </c>
      <c r="E3449" s="262" t="s">
        <v>1970</v>
      </c>
      <c r="F3449" s="124" t="s">
        <v>620</v>
      </c>
      <c r="G3449" s="130"/>
      <c r="H3449" s="125" t="s">
        <v>733</v>
      </c>
      <c r="I3449" s="340" t="str">
        <f t="shared" si="136"/>
        <v>Pesado de Passageiros M3: I : Gasóleo : E6</v>
      </c>
      <c r="J3449" s="125"/>
      <c r="K3449" s="264">
        <v>2022</v>
      </c>
      <c r="L3449" s="85">
        <v>134.75</v>
      </c>
      <c r="M3449" s="85" t="s">
        <v>630</v>
      </c>
      <c r="N3449" s="128">
        <v>385</v>
      </c>
      <c r="O3449" s="128">
        <f t="shared" si="135"/>
        <v>0</v>
      </c>
      <c r="P3449" s="125" t="s">
        <v>4657</v>
      </c>
      <c r="Q3449" s="85" t="s">
        <v>47</v>
      </c>
      <c r="R3449" s="220" t="s">
        <v>1888</v>
      </c>
      <c r="S3449" s="220" t="s">
        <v>1861</v>
      </c>
      <c r="T3449" s="85" t="s">
        <v>4475</v>
      </c>
    </row>
    <row r="3450" spans="1:20" ht="15.75" thickBot="1" x14ac:dyDescent="0.3">
      <c r="A3450" t="s">
        <v>1929</v>
      </c>
      <c r="B3450" t="s">
        <v>1929</v>
      </c>
      <c r="C3450" s="82" t="s">
        <v>1929</v>
      </c>
      <c r="D3450" s="83" t="s">
        <v>629</v>
      </c>
      <c r="E3450" s="262" t="s">
        <v>1970</v>
      </c>
      <c r="F3450" s="124" t="s">
        <v>620</v>
      </c>
      <c r="G3450" s="130"/>
      <c r="H3450" s="125" t="s">
        <v>733</v>
      </c>
      <c r="I3450" s="340" t="str">
        <f t="shared" si="136"/>
        <v>Pesado de Passageiros M3: I : Gasóleo : E6</v>
      </c>
      <c r="J3450" s="125"/>
      <c r="K3450" s="264">
        <v>2022</v>
      </c>
      <c r="L3450" s="85">
        <v>457.80349999999999</v>
      </c>
      <c r="M3450" s="85" t="s">
        <v>630</v>
      </c>
      <c r="N3450" s="128">
        <v>1265</v>
      </c>
      <c r="O3450" s="128">
        <f t="shared" si="135"/>
        <v>0</v>
      </c>
      <c r="P3450" s="125" t="s">
        <v>4658</v>
      </c>
      <c r="Q3450" s="85" t="s">
        <v>47</v>
      </c>
      <c r="R3450" s="220" t="s">
        <v>1888</v>
      </c>
      <c r="S3450" s="220" t="s">
        <v>1861</v>
      </c>
      <c r="T3450" s="85" t="s">
        <v>3447</v>
      </c>
    </row>
    <row r="3451" spans="1:20" ht="15.75" thickBot="1" x14ac:dyDescent="0.3">
      <c r="A3451" t="s">
        <v>1929</v>
      </c>
      <c r="B3451" t="s">
        <v>1929</v>
      </c>
      <c r="C3451" s="82" t="s">
        <v>1929</v>
      </c>
      <c r="D3451" s="83" t="s">
        <v>629</v>
      </c>
      <c r="E3451" s="262" t="s">
        <v>1970</v>
      </c>
      <c r="F3451" s="124" t="s">
        <v>620</v>
      </c>
      <c r="G3451" s="130"/>
      <c r="H3451" s="125" t="s">
        <v>733</v>
      </c>
      <c r="I3451" s="340" t="str">
        <f t="shared" si="136"/>
        <v>Pesado de Passageiros M3: I : Gasóleo : E6</v>
      </c>
      <c r="J3451" s="125"/>
      <c r="K3451" s="264">
        <v>2022</v>
      </c>
      <c r="L3451" s="85">
        <v>516.27739999999994</v>
      </c>
      <c r="M3451" s="85" t="s">
        <v>630</v>
      </c>
      <c r="N3451" s="128">
        <v>1117</v>
      </c>
      <c r="O3451" s="128">
        <f t="shared" si="135"/>
        <v>0</v>
      </c>
      <c r="P3451" s="125" t="s">
        <v>4659</v>
      </c>
      <c r="Q3451" s="85" t="s">
        <v>47</v>
      </c>
      <c r="R3451" s="220" t="s">
        <v>1888</v>
      </c>
      <c r="S3451" s="220" t="s">
        <v>1861</v>
      </c>
      <c r="T3451" s="85" t="s">
        <v>4476</v>
      </c>
    </row>
    <row r="3452" spans="1:20" ht="15.75" thickBot="1" x14ac:dyDescent="0.3">
      <c r="A3452" t="s">
        <v>1929</v>
      </c>
      <c r="B3452" t="s">
        <v>1929</v>
      </c>
      <c r="C3452" s="82" t="s">
        <v>1929</v>
      </c>
      <c r="D3452" s="83" t="s">
        <v>629</v>
      </c>
      <c r="E3452" s="262" t="s">
        <v>1970</v>
      </c>
      <c r="F3452" s="124" t="s">
        <v>620</v>
      </c>
      <c r="G3452" s="130"/>
      <c r="H3452" s="125" t="s">
        <v>733</v>
      </c>
      <c r="I3452" s="340" t="str">
        <f t="shared" si="136"/>
        <v>Pesado de Passageiros M3: I : Gasóleo : E6</v>
      </c>
      <c r="J3452" s="125"/>
      <c r="K3452" s="264">
        <v>2022</v>
      </c>
      <c r="L3452" s="85">
        <v>147.35</v>
      </c>
      <c r="M3452" s="85" t="s">
        <v>630</v>
      </c>
      <c r="N3452" s="128">
        <v>421</v>
      </c>
      <c r="O3452" s="128">
        <f t="shared" si="135"/>
        <v>0</v>
      </c>
      <c r="P3452" s="125" t="s">
        <v>4660</v>
      </c>
      <c r="Q3452" s="85" t="s">
        <v>47</v>
      </c>
      <c r="R3452" s="220" t="s">
        <v>1888</v>
      </c>
      <c r="S3452" s="220" t="s">
        <v>1861</v>
      </c>
      <c r="T3452" s="85" t="s">
        <v>4477</v>
      </c>
    </row>
    <row r="3453" spans="1:20" ht="15.75" thickBot="1" x14ac:dyDescent="0.3">
      <c r="A3453" t="s">
        <v>1929</v>
      </c>
      <c r="B3453" t="s">
        <v>1929</v>
      </c>
      <c r="C3453" s="82" t="s">
        <v>1929</v>
      </c>
      <c r="D3453" s="83" t="s">
        <v>629</v>
      </c>
      <c r="E3453" s="262" t="s">
        <v>1970</v>
      </c>
      <c r="F3453" s="124" t="s">
        <v>620</v>
      </c>
      <c r="G3453" s="130"/>
      <c r="H3453" s="125" t="s">
        <v>733</v>
      </c>
      <c r="I3453" s="340" t="str">
        <f t="shared" si="136"/>
        <v>Pesado de Passageiros M3: I : Gasóleo : E6</v>
      </c>
      <c r="J3453" s="125"/>
      <c r="K3453" s="264">
        <v>2022</v>
      </c>
      <c r="L3453" s="85">
        <v>49.7</v>
      </c>
      <c r="M3453" s="85" t="s">
        <v>630</v>
      </c>
      <c r="N3453" s="128">
        <v>142</v>
      </c>
      <c r="O3453" s="128">
        <f t="shared" si="135"/>
        <v>0</v>
      </c>
      <c r="P3453" s="125" t="s">
        <v>4661</v>
      </c>
      <c r="Q3453" s="85" t="s">
        <v>47</v>
      </c>
      <c r="R3453" s="220" t="s">
        <v>1888</v>
      </c>
      <c r="S3453" s="220" t="s">
        <v>1861</v>
      </c>
      <c r="T3453" s="85" t="s">
        <v>4478</v>
      </c>
    </row>
    <row r="3454" spans="1:20" ht="15.75" thickBot="1" x14ac:dyDescent="0.3">
      <c r="A3454" t="s">
        <v>1929</v>
      </c>
      <c r="B3454" t="s">
        <v>1929</v>
      </c>
      <c r="C3454" s="82" t="s">
        <v>1929</v>
      </c>
      <c r="D3454" s="83" t="s">
        <v>629</v>
      </c>
      <c r="E3454" s="262" t="s">
        <v>1970</v>
      </c>
      <c r="F3454" s="124" t="s">
        <v>620</v>
      </c>
      <c r="G3454" s="130"/>
      <c r="H3454" s="125" t="s">
        <v>733</v>
      </c>
      <c r="I3454" s="340" t="str">
        <f t="shared" si="136"/>
        <v>Pesado de Passageiros M3: I : Gasóleo : E6</v>
      </c>
      <c r="J3454" s="125"/>
      <c r="K3454" s="264">
        <v>2022</v>
      </c>
      <c r="L3454" s="85">
        <v>267.77519999999998</v>
      </c>
      <c r="M3454" s="85" t="s">
        <v>630</v>
      </c>
      <c r="N3454" s="128">
        <v>588</v>
      </c>
      <c r="O3454" s="128">
        <f t="shared" si="135"/>
        <v>0</v>
      </c>
      <c r="P3454" s="125" t="s">
        <v>4662</v>
      </c>
      <c r="Q3454" s="85" t="s">
        <v>47</v>
      </c>
      <c r="R3454" s="220" t="s">
        <v>1888</v>
      </c>
      <c r="S3454" s="220" t="s">
        <v>1861</v>
      </c>
      <c r="T3454" s="85" t="s">
        <v>4479</v>
      </c>
    </row>
    <row r="3455" spans="1:20" ht="15.75" thickBot="1" x14ac:dyDescent="0.3">
      <c r="A3455" t="s">
        <v>1929</v>
      </c>
      <c r="B3455" t="s">
        <v>1929</v>
      </c>
      <c r="C3455" s="82" t="s">
        <v>1929</v>
      </c>
      <c r="D3455" s="83" t="s">
        <v>629</v>
      </c>
      <c r="E3455" s="262" t="s">
        <v>1970</v>
      </c>
      <c r="F3455" s="124" t="s">
        <v>620</v>
      </c>
      <c r="G3455" s="130"/>
      <c r="H3455" s="125" t="s">
        <v>733</v>
      </c>
      <c r="I3455" s="340" t="str">
        <f t="shared" si="136"/>
        <v>Pesado de Passageiros M3: I : Gasóleo : E6</v>
      </c>
      <c r="J3455" s="125"/>
      <c r="K3455" s="264">
        <v>2022</v>
      </c>
      <c r="L3455" s="85">
        <v>44.1</v>
      </c>
      <c r="M3455" s="85" t="s">
        <v>630</v>
      </c>
      <c r="N3455" s="128">
        <v>105</v>
      </c>
      <c r="O3455" s="128">
        <f t="shared" si="135"/>
        <v>0</v>
      </c>
      <c r="P3455" s="125" t="s">
        <v>4663</v>
      </c>
      <c r="Q3455" s="85" t="s">
        <v>47</v>
      </c>
      <c r="R3455" s="220" t="s">
        <v>1888</v>
      </c>
      <c r="S3455" s="220" t="s">
        <v>1861</v>
      </c>
      <c r="T3455" s="85" t="s">
        <v>4480</v>
      </c>
    </row>
    <row r="3456" spans="1:20" ht="15.75" thickBot="1" x14ac:dyDescent="0.3">
      <c r="A3456" t="s">
        <v>1929</v>
      </c>
      <c r="B3456" t="s">
        <v>1929</v>
      </c>
      <c r="C3456" s="82" t="s">
        <v>1929</v>
      </c>
      <c r="D3456" s="83" t="s">
        <v>629</v>
      </c>
      <c r="E3456" s="262" t="s">
        <v>1970</v>
      </c>
      <c r="F3456" s="124" t="s">
        <v>620</v>
      </c>
      <c r="G3456" s="130"/>
      <c r="H3456" s="125" t="s">
        <v>733</v>
      </c>
      <c r="I3456" s="340" t="str">
        <f t="shared" si="136"/>
        <v>Pesado de Passageiros M3: I : Gasóleo : E6</v>
      </c>
      <c r="J3456" s="125"/>
      <c r="K3456" s="264">
        <v>2022</v>
      </c>
      <c r="L3456" s="85">
        <v>533.13900000000001</v>
      </c>
      <c r="M3456" s="85" t="s">
        <v>630</v>
      </c>
      <c r="N3456" s="128">
        <v>1065</v>
      </c>
      <c r="O3456" s="128">
        <f t="shared" si="135"/>
        <v>0</v>
      </c>
      <c r="P3456" s="125" t="s">
        <v>4664</v>
      </c>
      <c r="Q3456" s="85" t="s">
        <v>47</v>
      </c>
      <c r="R3456" s="220" t="s">
        <v>1888</v>
      </c>
      <c r="S3456" s="220" t="s">
        <v>1861</v>
      </c>
      <c r="T3456" s="85" t="s">
        <v>4481</v>
      </c>
    </row>
    <row r="3457" spans="1:20" ht="15.75" thickBot="1" x14ac:dyDescent="0.3">
      <c r="A3457" t="s">
        <v>1929</v>
      </c>
      <c r="B3457" t="s">
        <v>1929</v>
      </c>
      <c r="C3457" s="82" t="s">
        <v>1929</v>
      </c>
      <c r="D3457" s="83" t="s">
        <v>629</v>
      </c>
      <c r="E3457" s="262" t="s">
        <v>1970</v>
      </c>
      <c r="F3457" s="124" t="s">
        <v>620</v>
      </c>
      <c r="G3457" s="130"/>
      <c r="H3457" s="125" t="s">
        <v>733</v>
      </c>
      <c r="I3457" s="340" t="str">
        <f t="shared" si="136"/>
        <v>Pesado de Passageiros M3: I : Gasóleo : E6</v>
      </c>
      <c r="J3457" s="125"/>
      <c r="K3457" s="264">
        <v>2022</v>
      </c>
      <c r="L3457" s="85">
        <v>304.85000000000002</v>
      </c>
      <c r="M3457" s="85" t="s">
        <v>630</v>
      </c>
      <c r="N3457" s="128">
        <v>871</v>
      </c>
      <c r="O3457" s="128">
        <f t="shared" si="135"/>
        <v>0</v>
      </c>
      <c r="P3457" s="125" t="s">
        <v>4665</v>
      </c>
      <c r="Q3457" s="85" t="s">
        <v>47</v>
      </c>
      <c r="R3457" s="220" t="s">
        <v>1888</v>
      </c>
      <c r="S3457" s="220" t="s">
        <v>1861</v>
      </c>
      <c r="T3457" s="85" t="s">
        <v>4482</v>
      </c>
    </row>
    <row r="3458" spans="1:20" ht="15.75" thickBot="1" x14ac:dyDescent="0.3">
      <c r="A3458" t="s">
        <v>1929</v>
      </c>
      <c r="B3458" t="s">
        <v>1929</v>
      </c>
      <c r="C3458" s="82" t="s">
        <v>1929</v>
      </c>
      <c r="D3458" s="83" t="s">
        <v>629</v>
      </c>
      <c r="E3458" s="262" t="s">
        <v>1970</v>
      </c>
      <c r="F3458" s="124" t="s">
        <v>620</v>
      </c>
      <c r="G3458" s="130"/>
      <c r="H3458" s="125" t="s">
        <v>733</v>
      </c>
      <c r="I3458" s="340" t="str">
        <f t="shared" si="136"/>
        <v>Pesado de Passageiros M3: I : Gasóleo : E6</v>
      </c>
      <c r="J3458" s="125"/>
      <c r="K3458" s="264">
        <v>2022</v>
      </c>
      <c r="L3458" s="85">
        <v>84.218799999999987</v>
      </c>
      <c r="M3458" s="85" t="s">
        <v>630</v>
      </c>
      <c r="N3458" s="128">
        <v>311</v>
      </c>
      <c r="O3458" s="128">
        <f t="shared" si="135"/>
        <v>0</v>
      </c>
      <c r="P3458" s="125" t="s">
        <v>4666</v>
      </c>
      <c r="Q3458" s="85" t="s">
        <v>47</v>
      </c>
      <c r="R3458" s="220" t="s">
        <v>1888</v>
      </c>
      <c r="S3458" s="220" t="s">
        <v>1861</v>
      </c>
      <c r="T3458" s="85" t="s">
        <v>3443</v>
      </c>
    </row>
    <row r="3459" spans="1:20" ht="15.75" thickBot="1" x14ac:dyDescent="0.3">
      <c r="A3459" t="s">
        <v>1929</v>
      </c>
      <c r="B3459" t="s">
        <v>1929</v>
      </c>
      <c r="C3459" s="82" t="s">
        <v>1929</v>
      </c>
      <c r="D3459" s="83" t="s">
        <v>629</v>
      </c>
      <c r="E3459" s="262" t="s">
        <v>1970</v>
      </c>
      <c r="F3459" s="124" t="s">
        <v>620</v>
      </c>
      <c r="G3459" s="130"/>
      <c r="H3459" s="125" t="s">
        <v>733</v>
      </c>
      <c r="I3459" s="340" t="str">
        <f t="shared" si="136"/>
        <v>Pesado de Passageiros M3: I : Gasóleo : E6</v>
      </c>
      <c r="J3459" s="125"/>
      <c r="K3459" s="264">
        <v>2022</v>
      </c>
      <c r="L3459" s="85">
        <v>462.99990000000003</v>
      </c>
      <c r="M3459" s="85" t="s">
        <v>630</v>
      </c>
      <c r="N3459" s="128">
        <v>811</v>
      </c>
      <c r="O3459" s="128">
        <f t="shared" si="135"/>
        <v>0</v>
      </c>
      <c r="P3459" s="125" t="s">
        <v>4667</v>
      </c>
      <c r="Q3459" s="85" t="s">
        <v>47</v>
      </c>
      <c r="R3459" s="220" t="s">
        <v>1888</v>
      </c>
      <c r="S3459" s="220" t="s">
        <v>1861</v>
      </c>
      <c r="T3459" s="85" t="s">
        <v>3440</v>
      </c>
    </row>
    <row r="3460" spans="1:20" ht="15.75" thickBot="1" x14ac:dyDescent="0.3">
      <c r="A3460" t="s">
        <v>1929</v>
      </c>
      <c r="B3460" t="s">
        <v>1929</v>
      </c>
      <c r="C3460" s="82" t="s">
        <v>1929</v>
      </c>
      <c r="D3460" s="83" t="s">
        <v>629</v>
      </c>
      <c r="E3460" s="262" t="s">
        <v>1970</v>
      </c>
      <c r="F3460" s="124" t="s">
        <v>620</v>
      </c>
      <c r="G3460" s="130"/>
      <c r="H3460" s="125" t="s">
        <v>733</v>
      </c>
      <c r="I3460" s="340" t="str">
        <f t="shared" si="136"/>
        <v>Pesado de Passageiros M3: I : Gasóleo : E6</v>
      </c>
      <c r="J3460" s="125"/>
      <c r="K3460" s="264">
        <v>2022</v>
      </c>
      <c r="L3460" s="85">
        <v>224.84280000000001</v>
      </c>
      <c r="M3460" s="85" t="s">
        <v>630</v>
      </c>
      <c r="N3460" s="128">
        <v>497</v>
      </c>
      <c r="O3460" s="128">
        <f t="shared" si="135"/>
        <v>0</v>
      </c>
      <c r="P3460" s="125" t="s">
        <v>4668</v>
      </c>
      <c r="Q3460" s="85" t="s">
        <v>47</v>
      </c>
      <c r="R3460" s="220" t="s">
        <v>1888</v>
      </c>
      <c r="S3460" s="220" t="s">
        <v>1861</v>
      </c>
      <c r="T3460" s="85" t="s">
        <v>4483</v>
      </c>
    </row>
    <row r="3461" spans="1:20" ht="15.75" thickBot="1" x14ac:dyDescent="0.3">
      <c r="A3461" t="s">
        <v>1929</v>
      </c>
      <c r="B3461" t="s">
        <v>1929</v>
      </c>
      <c r="C3461" s="82" t="s">
        <v>1929</v>
      </c>
      <c r="D3461" s="83" t="s">
        <v>629</v>
      </c>
      <c r="E3461" s="262" t="s">
        <v>1970</v>
      </c>
      <c r="F3461" s="124" t="s">
        <v>620</v>
      </c>
      <c r="G3461" s="130"/>
      <c r="H3461" s="125" t="s">
        <v>733</v>
      </c>
      <c r="I3461" s="340" t="str">
        <f t="shared" si="136"/>
        <v>Pesado de Passageiros M3: I : Gasóleo : E6</v>
      </c>
      <c r="J3461" s="125"/>
      <c r="K3461" s="264">
        <v>2022</v>
      </c>
      <c r="L3461" s="85">
        <v>249.2</v>
      </c>
      <c r="M3461" s="85" t="s">
        <v>630</v>
      </c>
      <c r="N3461" s="128">
        <v>712</v>
      </c>
      <c r="O3461" s="128">
        <f t="shared" si="135"/>
        <v>0</v>
      </c>
      <c r="P3461" s="125" t="s">
        <v>4669</v>
      </c>
      <c r="Q3461" s="85" t="s">
        <v>47</v>
      </c>
      <c r="R3461" s="220" t="s">
        <v>1888</v>
      </c>
      <c r="S3461" s="220" t="s">
        <v>1861</v>
      </c>
      <c r="T3461" s="85" t="s">
        <v>4484</v>
      </c>
    </row>
    <row r="3462" spans="1:20" ht="15.75" thickBot="1" x14ac:dyDescent="0.3">
      <c r="A3462" t="s">
        <v>1929</v>
      </c>
      <c r="B3462" t="s">
        <v>1929</v>
      </c>
      <c r="C3462" s="82" t="s">
        <v>1929</v>
      </c>
      <c r="D3462" s="83" t="s">
        <v>629</v>
      </c>
      <c r="E3462" s="262" t="s">
        <v>1970</v>
      </c>
      <c r="F3462" s="124" t="s">
        <v>620</v>
      </c>
      <c r="G3462" s="130"/>
      <c r="H3462" s="125" t="s">
        <v>733</v>
      </c>
      <c r="I3462" s="340" t="str">
        <f t="shared" si="136"/>
        <v>Pesado de Passageiros M3: I : Gasóleo : E6</v>
      </c>
      <c r="J3462" s="125"/>
      <c r="K3462" s="264">
        <v>2022</v>
      </c>
      <c r="L3462" s="85">
        <v>594.70950000000005</v>
      </c>
      <c r="M3462" s="85" t="s">
        <v>630</v>
      </c>
      <c r="N3462" s="128">
        <v>1355</v>
      </c>
      <c r="O3462" s="128">
        <f t="shared" si="135"/>
        <v>0</v>
      </c>
      <c r="P3462" s="125" t="s">
        <v>4670</v>
      </c>
      <c r="Q3462" s="85" t="s">
        <v>47</v>
      </c>
      <c r="R3462" s="220" t="s">
        <v>1888</v>
      </c>
      <c r="S3462" s="220" t="s">
        <v>1861</v>
      </c>
      <c r="T3462" s="85" t="s">
        <v>4485</v>
      </c>
    </row>
    <row r="3463" spans="1:20" ht="15.75" thickBot="1" x14ac:dyDescent="0.3">
      <c r="A3463" t="s">
        <v>1929</v>
      </c>
      <c r="B3463" t="s">
        <v>1929</v>
      </c>
      <c r="C3463" s="82" t="s">
        <v>1929</v>
      </c>
      <c r="D3463" s="83" t="s">
        <v>629</v>
      </c>
      <c r="E3463" s="262" t="s">
        <v>1970</v>
      </c>
      <c r="F3463" s="124" t="s">
        <v>620</v>
      </c>
      <c r="G3463" s="130"/>
      <c r="H3463" s="125" t="s">
        <v>733</v>
      </c>
      <c r="I3463" s="340" t="str">
        <f t="shared" si="136"/>
        <v>Pesado de Passageiros M3: I : Gasóleo : E6</v>
      </c>
      <c r="J3463" s="125"/>
      <c r="K3463" s="264">
        <v>2022</v>
      </c>
      <c r="L3463" s="85">
        <v>494.11800000000005</v>
      </c>
      <c r="M3463" s="85" t="s">
        <v>630</v>
      </c>
      <c r="N3463" s="128">
        <v>1455</v>
      </c>
      <c r="O3463" s="128">
        <f t="shared" si="135"/>
        <v>0</v>
      </c>
      <c r="P3463" s="125" t="s">
        <v>4671</v>
      </c>
      <c r="Q3463" s="85" t="s">
        <v>47</v>
      </c>
      <c r="R3463" s="220" t="s">
        <v>1888</v>
      </c>
      <c r="S3463" s="220" t="s">
        <v>1861</v>
      </c>
      <c r="T3463" s="85" t="s">
        <v>4486</v>
      </c>
    </row>
    <row r="3464" spans="1:20" ht="15.75" thickBot="1" x14ac:dyDescent="0.3">
      <c r="A3464" t="s">
        <v>1929</v>
      </c>
      <c r="B3464" t="s">
        <v>1929</v>
      </c>
      <c r="C3464" s="82" t="s">
        <v>1929</v>
      </c>
      <c r="D3464" s="83" t="s">
        <v>629</v>
      </c>
      <c r="E3464" s="262" t="s">
        <v>1970</v>
      </c>
      <c r="F3464" s="124" t="s">
        <v>620</v>
      </c>
      <c r="G3464" s="130"/>
      <c r="H3464" s="125" t="s">
        <v>733</v>
      </c>
      <c r="I3464" s="340" t="str">
        <f t="shared" si="136"/>
        <v>Pesado de Passageiros M3: I : Gasóleo : E6</v>
      </c>
      <c r="J3464" s="125"/>
      <c r="K3464" s="264">
        <v>2022</v>
      </c>
      <c r="L3464" s="253">
        <v>51.039999999999992</v>
      </c>
      <c r="M3464" s="85" t="s">
        <v>630</v>
      </c>
      <c r="N3464" s="128">
        <v>145</v>
      </c>
      <c r="O3464" s="128">
        <f t="shared" si="135"/>
        <v>0</v>
      </c>
      <c r="P3464" s="125" t="s">
        <v>4672</v>
      </c>
      <c r="Q3464" s="85" t="s">
        <v>47</v>
      </c>
      <c r="R3464" s="220" t="s">
        <v>1888</v>
      </c>
      <c r="S3464" s="220" t="s">
        <v>1861</v>
      </c>
      <c r="T3464" s="85" t="s">
        <v>4487</v>
      </c>
    </row>
    <row r="3465" spans="1:20" ht="15.75" thickBot="1" x14ac:dyDescent="0.3">
      <c r="A3465" t="s">
        <v>1929</v>
      </c>
      <c r="B3465" t="s">
        <v>1929</v>
      </c>
      <c r="C3465" s="82" t="s">
        <v>1929</v>
      </c>
      <c r="D3465" s="83" t="s">
        <v>629</v>
      </c>
      <c r="E3465" s="262" t="s">
        <v>1970</v>
      </c>
      <c r="F3465" s="124" t="s">
        <v>620</v>
      </c>
      <c r="G3465" s="130"/>
      <c r="H3465" s="125" t="s">
        <v>733</v>
      </c>
      <c r="I3465" s="340" t="str">
        <f t="shared" si="136"/>
        <v>Pesado de Passageiros M3: I : Gasóleo : E6</v>
      </c>
      <c r="J3465" s="125"/>
      <c r="K3465" s="264">
        <v>2022</v>
      </c>
      <c r="L3465" s="85">
        <v>163.80000000000001</v>
      </c>
      <c r="M3465" s="85" t="s">
        <v>630</v>
      </c>
      <c r="N3465" s="128">
        <v>468</v>
      </c>
      <c r="O3465" s="128">
        <f t="shared" si="135"/>
        <v>0</v>
      </c>
      <c r="P3465" s="125" t="s">
        <v>4672</v>
      </c>
      <c r="Q3465" s="85" t="s">
        <v>47</v>
      </c>
      <c r="R3465" s="220" t="s">
        <v>1888</v>
      </c>
      <c r="S3465" s="220" t="s">
        <v>1861</v>
      </c>
      <c r="T3465" s="85" t="s">
        <v>4487</v>
      </c>
    </row>
    <row r="3466" spans="1:20" ht="15.75" thickBot="1" x14ac:dyDescent="0.3">
      <c r="A3466" t="s">
        <v>1929</v>
      </c>
      <c r="B3466" t="s">
        <v>1929</v>
      </c>
      <c r="C3466" s="82" t="s">
        <v>1929</v>
      </c>
      <c r="D3466" s="83" t="s">
        <v>629</v>
      </c>
      <c r="E3466" s="262" t="s">
        <v>1970</v>
      </c>
      <c r="F3466" s="124" t="s">
        <v>620</v>
      </c>
      <c r="G3466" s="130"/>
      <c r="H3466" s="125" t="s">
        <v>733</v>
      </c>
      <c r="I3466" s="340" t="str">
        <f t="shared" si="136"/>
        <v>Pesado de Passageiros M3: I : Gasóleo : E6</v>
      </c>
      <c r="J3466" s="125"/>
      <c r="K3466" s="264">
        <v>2022</v>
      </c>
      <c r="L3466" s="253">
        <v>52.299999999999983</v>
      </c>
      <c r="M3466" s="85" t="s">
        <v>630</v>
      </c>
      <c r="N3466" s="128">
        <v>149</v>
      </c>
      <c r="O3466" s="128">
        <f t="shared" si="135"/>
        <v>0</v>
      </c>
      <c r="P3466" s="125" t="s">
        <v>4673</v>
      </c>
      <c r="Q3466" s="85" t="s">
        <v>47</v>
      </c>
      <c r="R3466" s="220" t="s">
        <v>1888</v>
      </c>
      <c r="S3466" s="220" t="s">
        <v>1861</v>
      </c>
      <c r="T3466" s="85" t="s">
        <v>4488</v>
      </c>
    </row>
    <row r="3467" spans="1:20" ht="15.75" thickBot="1" x14ac:dyDescent="0.3">
      <c r="A3467" t="s">
        <v>1929</v>
      </c>
      <c r="B3467" t="s">
        <v>1929</v>
      </c>
      <c r="C3467" s="82" t="s">
        <v>1929</v>
      </c>
      <c r="D3467" s="83" t="s">
        <v>629</v>
      </c>
      <c r="E3467" s="262" t="s">
        <v>1970</v>
      </c>
      <c r="F3467" s="124" t="s">
        <v>620</v>
      </c>
      <c r="G3467" s="130"/>
      <c r="H3467" s="125" t="s">
        <v>733</v>
      </c>
      <c r="I3467" s="340" t="str">
        <f t="shared" si="136"/>
        <v>Pesado de Passageiros M3: I : Gasóleo : E6</v>
      </c>
      <c r="J3467" s="125"/>
      <c r="K3467" s="264">
        <v>2022</v>
      </c>
      <c r="L3467" s="85">
        <v>255.85</v>
      </c>
      <c r="M3467" s="85" t="s">
        <v>630</v>
      </c>
      <c r="N3467" s="128">
        <v>731</v>
      </c>
      <c r="O3467" s="128">
        <f t="shared" si="135"/>
        <v>0</v>
      </c>
      <c r="P3467" s="125" t="s">
        <v>4673</v>
      </c>
      <c r="Q3467" s="85" t="s">
        <v>47</v>
      </c>
      <c r="R3467" s="220" t="s">
        <v>1888</v>
      </c>
      <c r="S3467" s="220" t="s">
        <v>1861</v>
      </c>
      <c r="T3467" s="85" t="s">
        <v>4488</v>
      </c>
    </row>
    <row r="3468" spans="1:20" ht="15.75" thickBot="1" x14ac:dyDescent="0.3">
      <c r="A3468" t="s">
        <v>1929</v>
      </c>
      <c r="B3468" t="s">
        <v>1929</v>
      </c>
      <c r="C3468" s="82" t="s">
        <v>1929</v>
      </c>
      <c r="D3468" s="83" t="s">
        <v>629</v>
      </c>
      <c r="E3468" s="262" t="s">
        <v>1970</v>
      </c>
      <c r="F3468" s="124" t="s">
        <v>620</v>
      </c>
      <c r="G3468" s="130"/>
      <c r="H3468" s="125" t="s">
        <v>733</v>
      </c>
      <c r="I3468" s="340" t="str">
        <f t="shared" si="136"/>
        <v>Pesado de Passageiros M3: I : Gasóleo : E6</v>
      </c>
      <c r="J3468" s="125"/>
      <c r="K3468" s="264">
        <v>2022</v>
      </c>
      <c r="L3468" s="85">
        <v>433.65</v>
      </c>
      <c r="M3468" s="85" t="s">
        <v>630</v>
      </c>
      <c r="N3468" s="128">
        <v>1239</v>
      </c>
      <c r="O3468" s="128">
        <f t="shared" si="135"/>
        <v>0</v>
      </c>
      <c r="P3468" s="125" t="s">
        <v>4674</v>
      </c>
      <c r="Q3468" s="85" t="s">
        <v>47</v>
      </c>
      <c r="R3468" s="220" t="s">
        <v>1888</v>
      </c>
      <c r="S3468" s="220" t="s">
        <v>1861</v>
      </c>
      <c r="T3468" s="85" t="s">
        <v>3448</v>
      </c>
    </row>
    <row r="3469" spans="1:20" ht="15.75" thickBot="1" x14ac:dyDescent="0.3">
      <c r="A3469" t="s">
        <v>1929</v>
      </c>
      <c r="B3469" t="s">
        <v>1929</v>
      </c>
      <c r="C3469" s="82" t="s">
        <v>1929</v>
      </c>
      <c r="D3469" s="83" t="s">
        <v>629</v>
      </c>
      <c r="E3469" s="262" t="s">
        <v>1970</v>
      </c>
      <c r="F3469" s="124" t="s">
        <v>620</v>
      </c>
      <c r="G3469" s="130"/>
      <c r="H3469" s="125" t="s">
        <v>733</v>
      </c>
      <c r="I3469" s="340" t="str">
        <f t="shared" si="136"/>
        <v>Pesado de Passageiros M3: I : Gasóleo : E6</v>
      </c>
      <c r="J3469" s="125"/>
      <c r="K3469" s="264">
        <v>2022</v>
      </c>
      <c r="L3469" s="85">
        <v>154.35</v>
      </c>
      <c r="M3469" s="85" t="s">
        <v>630</v>
      </c>
      <c r="N3469" s="128">
        <v>441</v>
      </c>
      <c r="O3469" s="128">
        <f t="shared" si="135"/>
        <v>0</v>
      </c>
      <c r="P3469" s="125" t="s">
        <v>4675</v>
      </c>
      <c r="Q3469" s="85" t="s">
        <v>47</v>
      </c>
      <c r="R3469" s="220" t="s">
        <v>1888</v>
      </c>
      <c r="S3469" s="220" t="s">
        <v>1861</v>
      </c>
      <c r="T3469" s="85" t="s">
        <v>4489</v>
      </c>
    </row>
    <row r="3470" spans="1:20" ht="15.75" thickBot="1" x14ac:dyDescent="0.3">
      <c r="A3470" t="s">
        <v>1929</v>
      </c>
      <c r="B3470" t="s">
        <v>1929</v>
      </c>
      <c r="C3470" s="82" t="s">
        <v>1929</v>
      </c>
      <c r="D3470" s="83" t="s">
        <v>629</v>
      </c>
      <c r="E3470" s="262" t="s">
        <v>1970</v>
      </c>
      <c r="F3470" s="124" t="s">
        <v>620</v>
      </c>
      <c r="G3470" s="130"/>
      <c r="H3470" s="125" t="s">
        <v>733</v>
      </c>
      <c r="I3470" s="340" t="str">
        <f t="shared" si="136"/>
        <v>Pesado de Passageiros M3: I : Gasóleo : E6</v>
      </c>
      <c r="J3470" s="125"/>
      <c r="K3470" s="264">
        <v>2022</v>
      </c>
      <c r="L3470" s="85">
        <v>445.7079</v>
      </c>
      <c r="M3470" s="85" t="s">
        <v>630</v>
      </c>
      <c r="N3470" s="128">
        <v>1161</v>
      </c>
      <c r="O3470" s="128">
        <f t="shared" si="135"/>
        <v>0</v>
      </c>
      <c r="P3470" s="125" t="s">
        <v>4676</v>
      </c>
      <c r="Q3470" s="85" t="s">
        <v>47</v>
      </c>
      <c r="R3470" s="220" t="s">
        <v>1888</v>
      </c>
      <c r="S3470" s="220" t="s">
        <v>1861</v>
      </c>
      <c r="T3470" s="85" t="s">
        <v>4490</v>
      </c>
    </row>
    <row r="3471" spans="1:20" ht="15.75" thickBot="1" x14ac:dyDescent="0.3">
      <c r="A3471" t="s">
        <v>1929</v>
      </c>
      <c r="B3471" t="s">
        <v>1929</v>
      </c>
      <c r="C3471" s="82" t="s">
        <v>1929</v>
      </c>
      <c r="D3471" s="83" t="s">
        <v>629</v>
      </c>
      <c r="E3471" s="262" t="s">
        <v>1970</v>
      </c>
      <c r="F3471" s="124" t="s">
        <v>620</v>
      </c>
      <c r="G3471" s="130"/>
      <c r="H3471" s="125" t="s">
        <v>733</v>
      </c>
      <c r="I3471" s="340" t="str">
        <f t="shared" si="136"/>
        <v>Pesado de Passageiros M3: I : Gasóleo : E6</v>
      </c>
      <c r="J3471" s="125"/>
      <c r="K3471" s="264">
        <v>2022</v>
      </c>
      <c r="L3471" s="85">
        <v>192.8</v>
      </c>
      <c r="M3471" s="85" t="s">
        <v>630</v>
      </c>
      <c r="N3471" s="128">
        <v>482</v>
      </c>
      <c r="O3471" s="128">
        <f t="shared" si="135"/>
        <v>0</v>
      </c>
      <c r="P3471" s="125" t="s">
        <v>4677</v>
      </c>
      <c r="Q3471" s="85" t="s">
        <v>47</v>
      </c>
      <c r="R3471" s="220" t="s">
        <v>1888</v>
      </c>
      <c r="S3471" s="220" t="s">
        <v>1861</v>
      </c>
      <c r="T3471" s="85" t="s">
        <v>3439</v>
      </c>
    </row>
    <row r="3472" spans="1:20" ht="15.75" thickBot="1" x14ac:dyDescent="0.3">
      <c r="A3472" t="s">
        <v>1929</v>
      </c>
      <c r="B3472" t="s">
        <v>1929</v>
      </c>
      <c r="C3472" s="82" t="s">
        <v>1929</v>
      </c>
      <c r="D3472" s="83" t="s">
        <v>629</v>
      </c>
      <c r="E3472" s="262" t="s">
        <v>1970</v>
      </c>
      <c r="F3472" s="124" t="s">
        <v>620</v>
      </c>
      <c r="G3472" s="130"/>
      <c r="H3472" s="125" t="s">
        <v>733</v>
      </c>
      <c r="I3472" s="340" t="str">
        <f t="shared" si="136"/>
        <v>Pesado de Passageiros M3: I : Gasóleo : E6</v>
      </c>
      <c r="J3472" s="125"/>
      <c r="K3472" s="264">
        <v>2022</v>
      </c>
      <c r="L3472" s="85">
        <v>591.971</v>
      </c>
      <c r="M3472" s="85" t="s">
        <v>630</v>
      </c>
      <c r="N3472" s="128">
        <v>1613</v>
      </c>
      <c r="O3472" s="128">
        <f t="shared" si="135"/>
        <v>0</v>
      </c>
      <c r="P3472" s="125" t="s">
        <v>4678</v>
      </c>
      <c r="Q3472" s="85" t="s">
        <v>47</v>
      </c>
      <c r="R3472" s="220" t="s">
        <v>1888</v>
      </c>
      <c r="S3472" s="220" t="s">
        <v>1861</v>
      </c>
      <c r="T3472" s="85" t="s">
        <v>3442</v>
      </c>
    </row>
    <row r="3473" spans="1:20" ht="15.75" thickBot="1" x14ac:dyDescent="0.3">
      <c r="A3473" t="s">
        <v>1929</v>
      </c>
      <c r="B3473" t="s">
        <v>1929</v>
      </c>
      <c r="C3473" s="82" t="s">
        <v>1929</v>
      </c>
      <c r="D3473" s="83" t="s">
        <v>629</v>
      </c>
      <c r="E3473" s="262" t="s">
        <v>1970</v>
      </c>
      <c r="F3473" s="124" t="s">
        <v>620</v>
      </c>
      <c r="G3473" s="130"/>
      <c r="H3473" s="125" t="s">
        <v>733</v>
      </c>
      <c r="I3473" s="340" t="str">
        <f t="shared" si="136"/>
        <v>Pesado de Passageiros M3: I : Gasóleo : E6</v>
      </c>
      <c r="J3473" s="125"/>
      <c r="K3473" s="264">
        <v>2022</v>
      </c>
      <c r="L3473" s="253">
        <v>50.288999999999987</v>
      </c>
      <c r="M3473" s="85" t="s">
        <v>630</v>
      </c>
      <c r="N3473" s="128">
        <v>142</v>
      </c>
      <c r="O3473" s="128">
        <f t="shared" si="135"/>
        <v>0</v>
      </c>
      <c r="P3473" s="125" t="s">
        <v>4678</v>
      </c>
      <c r="Q3473" s="85" t="s">
        <v>47</v>
      </c>
      <c r="R3473" s="220" t="s">
        <v>1888</v>
      </c>
      <c r="S3473" s="220" t="s">
        <v>1861</v>
      </c>
      <c r="T3473" s="85" t="s">
        <v>3442</v>
      </c>
    </row>
    <row r="3474" spans="1:20" ht="15.75" thickBot="1" x14ac:dyDescent="0.3">
      <c r="A3474" t="s">
        <v>1929</v>
      </c>
      <c r="B3474" t="s">
        <v>1929</v>
      </c>
      <c r="C3474" s="82" t="s">
        <v>1929</v>
      </c>
      <c r="D3474" s="83" t="s">
        <v>629</v>
      </c>
      <c r="E3474" s="262" t="s">
        <v>1970</v>
      </c>
      <c r="F3474" s="124" t="s">
        <v>620</v>
      </c>
      <c r="G3474" s="130"/>
      <c r="H3474" s="125" t="s">
        <v>733</v>
      </c>
      <c r="I3474" s="340" t="str">
        <f t="shared" si="136"/>
        <v>Pesado de Passageiros M3: I : Gasóleo : E6</v>
      </c>
      <c r="J3474" s="125"/>
      <c r="K3474" s="264">
        <v>2022</v>
      </c>
      <c r="L3474" s="253">
        <v>50.03</v>
      </c>
      <c r="M3474" s="85" t="s">
        <v>630</v>
      </c>
      <c r="N3474" s="128">
        <v>119</v>
      </c>
      <c r="O3474" s="128">
        <f t="shared" si="135"/>
        <v>0</v>
      </c>
      <c r="P3474" s="125" t="s">
        <v>4679</v>
      </c>
      <c r="Q3474" s="85" t="s">
        <v>47</v>
      </c>
      <c r="R3474" s="220" t="s">
        <v>1888</v>
      </c>
      <c r="S3474" s="220" t="s">
        <v>1861</v>
      </c>
      <c r="T3474" s="85" t="s">
        <v>4491</v>
      </c>
    </row>
    <row r="3475" spans="1:20" ht="15.75" thickBot="1" x14ac:dyDescent="0.3">
      <c r="A3475" t="s">
        <v>1929</v>
      </c>
      <c r="B3475" t="s">
        <v>1929</v>
      </c>
      <c r="C3475" s="82" t="s">
        <v>1929</v>
      </c>
      <c r="D3475" s="83" t="s">
        <v>629</v>
      </c>
      <c r="E3475" s="262" t="s">
        <v>1970</v>
      </c>
      <c r="F3475" s="124" t="s">
        <v>620</v>
      </c>
      <c r="G3475" s="130"/>
      <c r="H3475" s="125" t="s">
        <v>733</v>
      </c>
      <c r="I3475" s="340" t="str">
        <f t="shared" si="136"/>
        <v>Pesado de Passageiros M3: I : Gasóleo : E6</v>
      </c>
      <c r="J3475" s="125"/>
      <c r="K3475" s="264">
        <v>2022</v>
      </c>
      <c r="L3475" s="85">
        <v>168.8</v>
      </c>
      <c r="M3475" s="85" t="s">
        <v>630</v>
      </c>
      <c r="N3475" s="128">
        <v>422</v>
      </c>
      <c r="O3475" s="128">
        <f t="shared" si="135"/>
        <v>0</v>
      </c>
      <c r="P3475" s="125" t="s">
        <v>4679</v>
      </c>
      <c r="Q3475" s="85" t="s">
        <v>47</v>
      </c>
      <c r="R3475" s="220" t="s">
        <v>1888</v>
      </c>
      <c r="S3475" s="220" t="s">
        <v>1861</v>
      </c>
      <c r="T3475" s="85" t="s">
        <v>4491</v>
      </c>
    </row>
    <row r="3476" spans="1:20" ht="15.75" thickBot="1" x14ac:dyDescent="0.3">
      <c r="A3476" t="s">
        <v>1929</v>
      </c>
      <c r="B3476" t="s">
        <v>1929</v>
      </c>
      <c r="C3476" s="82" t="s">
        <v>1929</v>
      </c>
      <c r="D3476" s="83" t="s">
        <v>629</v>
      </c>
      <c r="E3476" s="262" t="s">
        <v>1970</v>
      </c>
      <c r="F3476" s="124" t="s">
        <v>620</v>
      </c>
      <c r="G3476" s="130"/>
      <c r="H3476" s="125" t="s">
        <v>733</v>
      </c>
      <c r="I3476" s="340" t="str">
        <f t="shared" si="136"/>
        <v>Pesado de Passageiros M3: I : Gasóleo : E6</v>
      </c>
      <c r="J3476" s="125"/>
      <c r="K3476" s="264">
        <v>2022</v>
      </c>
      <c r="L3476" s="85">
        <v>152.6</v>
      </c>
      <c r="M3476" s="85" t="s">
        <v>630</v>
      </c>
      <c r="N3476" s="128">
        <v>436</v>
      </c>
      <c r="O3476" s="128">
        <f t="shared" si="135"/>
        <v>0</v>
      </c>
      <c r="P3476" s="125" t="s">
        <v>4680</v>
      </c>
      <c r="Q3476" s="85" t="s">
        <v>47</v>
      </c>
      <c r="R3476" s="220" t="s">
        <v>1888</v>
      </c>
      <c r="S3476" s="220" t="s">
        <v>1861</v>
      </c>
      <c r="T3476" s="85" t="s">
        <v>4492</v>
      </c>
    </row>
    <row r="3477" spans="1:20" ht="15.75" thickBot="1" x14ac:dyDescent="0.3">
      <c r="A3477" t="s">
        <v>1929</v>
      </c>
      <c r="B3477" t="s">
        <v>1929</v>
      </c>
      <c r="C3477" s="82" t="s">
        <v>1929</v>
      </c>
      <c r="D3477" s="83" t="s">
        <v>629</v>
      </c>
      <c r="E3477" s="262" t="s">
        <v>1970</v>
      </c>
      <c r="F3477" s="124" t="s">
        <v>620</v>
      </c>
      <c r="G3477" s="130"/>
      <c r="H3477" s="125" t="s">
        <v>733</v>
      </c>
      <c r="I3477" s="340" t="str">
        <f t="shared" si="136"/>
        <v>Pesado de Passageiros M3: I : Gasóleo : E6</v>
      </c>
      <c r="J3477" s="125"/>
      <c r="K3477" s="264">
        <v>2022</v>
      </c>
      <c r="L3477" s="421">
        <v>50</v>
      </c>
      <c r="M3477" s="85" t="s">
        <v>630</v>
      </c>
      <c r="N3477" s="128">
        <v>142</v>
      </c>
      <c r="O3477" s="128">
        <f t="shared" si="135"/>
        <v>0</v>
      </c>
      <c r="P3477" s="125" t="s">
        <v>4681</v>
      </c>
      <c r="Q3477" s="85" t="s">
        <v>47</v>
      </c>
      <c r="R3477" s="220" t="s">
        <v>1888</v>
      </c>
      <c r="S3477" s="220" t="s">
        <v>1861</v>
      </c>
      <c r="T3477" s="85" t="s">
        <v>4492</v>
      </c>
    </row>
    <row r="3478" spans="1:20" ht="15.75" thickBot="1" x14ac:dyDescent="0.3">
      <c r="A3478" t="s">
        <v>1929</v>
      </c>
      <c r="B3478" t="s">
        <v>1929</v>
      </c>
      <c r="C3478" s="82" t="s">
        <v>1929</v>
      </c>
      <c r="D3478" s="83" t="s">
        <v>629</v>
      </c>
      <c r="E3478" s="262" t="s">
        <v>1970</v>
      </c>
      <c r="F3478" s="124" t="s">
        <v>620</v>
      </c>
      <c r="G3478" s="130"/>
      <c r="H3478" s="125" t="s">
        <v>733</v>
      </c>
      <c r="I3478" s="340" t="str">
        <f t="shared" si="136"/>
        <v>Pesado de Passageiros M3: I : Gasóleo : E6</v>
      </c>
      <c r="J3478" s="125"/>
      <c r="K3478" s="264">
        <v>2022</v>
      </c>
      <c r="L3478" s="85">
        <v>191.1</v>
      </c>
      <c r="M3478" s="85" t="s">
        <v>630</v>
      </c>
      <c r="N3478" s="128">
        <v>455</v>
      </c>
      <c r="O3478" s="128">
        <f t="shared" si="135"/>
        <v>0</v>
      </c>
      <c r="P3478" s="125" t="s">
        <v>4682</v>
      </c>
      <c r="Q3478" s="85" t="s">
        <v>47</v>
      </c>
      <c r="R3478" s="220" t="s">
        <v>1888</v>
      </c>
      <c r="S3478" s="220" t="s">
        <v>1861</v>
      </c>
      <c r="T3478" s="85" t="s">
        <v>4493</v>
      </c>
    </row>
  </sheetData>
  <autoFilter ref="A1:V3478"/>
  <mergeCells count="22">
    <mergeCell ref="Q1:Q2"/>
    <mergeCell ref="A1:A2"/>
    <mergeCell ref="D1:D2"/>
    <mergeCell ref="F1:F2"/>
    <mergeCell ref="G1:G2"/>
    <mergeCell ref="H1:H2"/>
    <mergeCell ref="W1:W2"/>
    <mergeCell ref="U1:U2"/>
    <mergeCell ref="V1:V2"/>
    <mergeCell ref="T1:T2"/>
    <mergeCell ref="B1:B2"/>
    <mergeCell ref="C1:C2"/>
    <mergeCell ref="E1:E2"/>
    <mergeCell ref="K1:K2"/>
    <mergeCell ref="J1:J2"/>
    <mergeCell ref="L1:L2"/>
    <mergeCell ref="M1:M2"/>
    <mergeCell ref="N1:N2"/>
    <mergeCell ref="R1:R2"/>
    <mergeCell ref="S1:S2"/>
    <mergeCell ref="O1:O2"/>
    <mergeCell ref="P1:P2"/>
  </mergeCells>
  <dataValidations count="4">
    <dataValidation type="list" allowBlank="1" showInputMessage="1" showErrorMessage="1" sqref="M3:M889 M1164:M3478">
      <formula1>"l (litros), kg (quilos), Nm3 (metros cubicos norm.), € (euros)"</formula1>
    </dataValidation>
    <dataValidation type="list" allowBlank="1" showInputMessage="1" showErrorMessage="1" sqref="F3:F889 F2673:F3478">
      <formula1>"Gasóleo, Gasolina, GPL, GNC, GNV, Butano, Propano, H2"</formula1>
    </dataValidation>
    <dataValidation type="list" allowBlank="1" showInputMessage="1" showErrorMessage="1" sqref="D3:D889 D2673:D3478">
      <formula1>"Pesado de Passageiros M3, Pesado de Passageiros M2, Ligeiro de Passageiros M1, Pesado de Mercadorias N3, Pesado de Mercadorias N2, Ligeiro de Mercadorias N1, Misto"</formula1>
    </dataValidation>
    <dataValidation type="list" allowBlank="1" showInputMessage="1" showErrorMessage="1" sqref="E1816:E1998 E1738:E1795 E2126:E2660 E1164:E1735 E929:E959 E3:E927">
      <formula1>"I, II, III"</formula1>
    </dataValidation>
  </dataValidations>
  <pageMargins left="0.7" right="0.7" top="0.75" bottom="0.75" header="0.3" footer="0.3"/>
  <pageSetup paperSize="9" orientation="portrait" r:id="rId1"/>
  <customProperties>
    <customPr name="GUID" r:id="rId2"/>
  </customPropertie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1"/>
  <dimension ref="B6:U48"/>
  <sheetViews>
    <sheetView topLeftCell="A16" workbookViewId="0">
      <selection activeCell="D41" sqref="D41"/>
    </sheetView>
    <sheetView workbookViewId="1"/>
  </sheetViews>
  <sheetFormatPr defaultRowHeight="15" x14ac:dyDescent="0.25"/>
  <cols>
    <col min="2" max="2" width="54.42578125" customWidth="1"/>
    <col min="3" max="3" width="33" customWidth="1"/>
    <col min="4" max="5" width="21.5703125" customWidth="1"/>
    <col min="6" max="6" width="27.140625" bestFit="1" customWidth="1"/>
    <col min="7" max="8" width="28.28515625" customWidth="1"/>
    <col min="9" max="9" width="29.5703125" customWidth="1"/>
    <col min="10" max="11" width="28.28515625" customWidth="1"/>
  </cols>
  <sheetData>
    <row r="6" spans="2:21" ht="15.75" thickBot="1" x14ac:dyDescent="0.3"/>
    <row r="7" spans="2:21" x14ac:dyDescent="0.25">
      <c r="B7" s="78" t="s">
        <v>118</v>
      </c>
      <c r="C7" s="80"/>
    </row>
    <row r="9" spans="2:21" x14ac:dyDescent="0.25">
      <c r="B9" s="516" t="str">
        <f>"Grupo Barraqueiro: "&amp;'Folha de Rosto'!C6&amp;" "&amp;'Folha de Rosto'!I6&amp;" - Emissões de GEE de Âmbito 1"</f>
        <v>Grupo Barraqueiro: PEGADA DE CARBONO 2022 - Emissões de GEE de Âmbito 1</v>
      </c>
      <c r="C9" s="516"/>
      <c r="D9" s="516"/>
      <c r="E9" s="516"/>
      <c r="F9" s="516"/>
      <c r="G9" s="516"/>
      <c r="H9" s="516"/>
      <c r="I9" s="516"/>
      <c r="J9" s="516"/>
      <c r="K9" s="516"/>
      <c r="L9" s="516"/>
      <c r="M9" s="516"/>
      <c r="N9" s="516"/>
      <c r="O9" s="516"/>
      <c r="P9" s="516"/>
      <c r="Q9" s="516"/>
      <c r="R9" s="516"/>
      <c r="S9" s="516"/>
      <c r="T9" s="516"/>
      <c r="U9" s="516"/>
    </row>
    <row r="10" spans="2:21" ht="15.75" thickBot="1" x14ac:dyDescent="0.3"/>
    <row r="11" spans="2:21" ht="33.75" customHeight="1" thickBot="1" x14ac:dyDescent="0.3">
      <c r="B11" s="512" t="s">
        <v>119</v>
      </c>
      <c r="C11" s="512"/>
      <c r="D11" s="518" t="s">
        <v>127</v>
      </c>
      <c r="E11" s="519"/>
      <c r="F11" s="519"/>
      <c r="G11" s="519"/>
      <c r="H11" s="519"/>
      <c r="I11" s="519"/>
      <c r="J11" s="519"/>
      <c r="K11" s="519"/>
      <c r="L11" s="519"/>
      <c r="M11" s="519"/>
      <c r="N11" s="519"/>
      <c r="O11" s="519"/>
      <c r="P11" s="520"/>
    </row>
    <row r="12" spans="2:21" ht="67.5" customHeight="1" thickBot="1" x14ac:dyDescent="0.3">
      <c r="B12" s="512" t="s">
        <v>120</v>
      </c>
      <c r="C12" s="512"/>
      <c r="D12" s="521" t="s">
        <v>151</v>
      </c>
      <c r="E12" s="522"/>
      <c r="F12" s="522"/>
      <c r="G12" s="522"/>
      <c r="H12" s="522"/>
      <c r="I12" s="522"/>
      <c r="J12" s="522"/>
      <c r="K12" s="522"/>
      <c r="L12" s="522"/>
      <c r="M12" s="522"/>
      <c r="N12" s="522"/>
      <c r="O12" s="522"/>
      <c r="P12" s="523"/>
    </row>
    <row r="13" spans="2:21" ht="60" customHeight="1" thickBot="1" x14ac:dyDescent="0.3">
      <c r="B13" s="512" t="s">
        <v>121</v>
      </c>
      <c r="C13" s="512"/>
      <c r="D13" s="513" t="s">
        <v>1529</v>
      </c>
      <c r="E13" s="514"/>
      <c r="F13" s="514"/>
      <c r="G13" s="514"/>
      <c r="H13" s="514"/>
      <c r="I13" s="514"/>
      <c r="J13" s="514"/>
      <c r="K13" s="514"/>
      <c r="L13" s="514"/>
      <c r="M13" s="514"/>
      <c r="N13" s="514"/>
      <c r="O13" s="514"/>
      <c r="P13" s="515"/>
    </row>
    <row r="14" spans="2:21" ht="60" customHeight="1" thickBot="1" x14ac:dyDescent="0.3">
      <c r="B14" s="512" t="s">
        <v>122</v>
      </c>
      <c r="C14" s="512"/>
      <c r="D14" s="513" t="s">
        <v>123</v>
      </c>
      <c r="E14" s="514"/>
      <c r="F14" s="514"/>
      <c r="G14" s="514"/>
      <c r="H14" s="514"/>
      <c r="I14" s="514"/>
      <c r="J14" s="514"/>
      <c r="K14" s="514"/>
      <c r="L14" s="514"/>
      <c r="M14" s="514"/>
      <c r="N14" s="514"/>
      <c r="O14" s="514"/>
      <c r="P14" s="515"/>
    </row>
    <row r="15" spans="2:21" ht="60" customHeight="1" thickBot="1" x14ac:dyDescent="0.3">
      <c r="B15" s="512" t="s">
        <v>128</v>
      </c>
      <c r="C15" s="512"/>
      <c r="D15" s="513" t="s">
        <v>129</v>
      </c>
      <c r="E15" s="514"/>
      <c r="F15" s="514"/>
      <c r="G15" s="514"/>
      <c r="H15" s="514"/>
      <c r="I15" s="514"/>
      <c r="J15" s="514"/>
      <c r="K15" s="514"/>
      <c r="L15" s="514"/>
      <c r="M15" s="514"/>
      <c r="N15" s="514"/>
      <c r="O15" s="514"/>
      <c r="P15" s="515"/>
    </row>
    <row r="17" spans="2:21" x14ac:dyDescent="0.25">
      <c r="B17" s="516" t="s">
        <v>137</v>
      </c>
      <c r="C17" s="516"/>
      <c r="D17" s="516"/>
      <c r="E17" s="516"/>
      <c r="F17" s="516"/>
      <c r="G17" s="516"/>
      <c r="H17" s="516"/>
      <c r="I17" s="516"/>
      <c r="J17" s="516"/>
      <c r="K17" s="516"/>
      <c r="L17" s="516"/>
      <c r="M17" s="516"/>
      <c r="N17" s="516"/>
      <c r="O17" s="516"/>
      <c r="P17" s="516"/>
      <c r="Q17" s="516"/>
      <c r="R17" s="516"/>
      <c r="S17" s="516"/>
      <c r="T17" s="516"/>
      <c r="U17" s="516"/>
    </row>
    <row r="18" spans="2:21" x14ac:dyDescent="0.25">
      <c r="B18" t="s">
        <v>130</v>
      </c>
    </row>
    <row r="20" spans="2:21" x14ac:dyDescent="0.25">
      <c r="B20" s="81" t="s">
        <v>135</v>
      </c>
    </row>
    <row r="21" spans="2:21" x14ac:dyDescent="0.25">
      <c r="B21" s="517"/>
      <c r="C21" s="517"/>
      <c r="D21" s="517"/>
      <c r="E21" s="517"/>
      <c r="F21" s="517"/>
      <c r="G21" s="517"/>
      <c r="H21" s="517"/>
      <c r="I21" s="517"/>
      <c r="J21" s="517"/>
      <c r="K21" s="517"/>
      <c r="L21" s="517"/>
      <c r="M21" s="517"/>
      <c r="N21" s="517"/>
      <c r="O21" s="517"/>
      <c r="P21" s="517"/>
      <c r="Q21" s="517"/>
      <c r="R21" s="517"/>
      <c r="S21" s="517"/>
    </row>
    <row r="22" spans="2:21" x14ac:dyDescent="0.25">
      <c r="B22" s="517"/>
      <c r="C22" s="517"/>
      <c r="D22" s="517"/>
      <c r="E22" s="517"/>
      <c r="F22" s="517"/>
      <c r="G22" s="517"/>
      <c r="H22" s="517"/>
      <c r="I22" s="517"/>
      <c r="J22" s="517"/>
      <c r="K22" s="517"/>
      <c r="L22" s="517"/>
      <c r="M22" s="517"/>
      <c r="N22" s="517"/>
      <c r="O22" s="517"/>
      <c r="P22" s="517"/>
      <c r="Q22" s="517"/>
      <c r="R22" s="517"/>
      <c r="S22" s="517"/>
    </row>
    <row r="24" spans="2:21" x14ac:dyDescent="0.25">
      <c r="B24" s="81" t="s">
        <v>136</v>
      </c>
    </row>
    <row r="25" spans="2:21" x14ac:dyDescent="0.25">
      <c r="B25" s="517"/>
      <c r="C25" s="517"/>
      <c r="D25" s="517"/>
      <c r="E25" s="517"/>
      <c r="F25" s="517"/>
      <c r="G25" s="517"/>
      <c r="H25" s="517"/>
      <c r="I25" s="517"/>
      <c r="J25" s="517"/>
      <c r="K25" s="517"/>
      <c r="L25" s="517"/>
      <c r="M25" s="517"/>
      <c r="N25" s="517"/>
      <c r="O25" s="517"/>
      <c r="P25" s="517"/>
      <c r="Q25" s="517"/>
      <c r="R25" s="517"/>
      <c r="S25" s="517"/>
    </row>
    <row r="26" spans="2:21" x14ac:dyDescent="0.25">
      <c r="B26" s="517"/>
      <c r="C26" s="517"/>
      <c r="D26" s="517"/>
      <c r="E26" s="517"/>
      <c r="F26" s="517"/>
      <c r="G26" s="517"/>
      <c r="H26" s="517"/>
      <c r="I26" s="517"/>
      <c r="J26" s="517"/>
      <c r="K26" s="517"/>
      <c r="L26" s="517"/>
      <c r="M26" s="517"/>
      <c r="N26" s="517"/>
      <c r="O26" s="517"/>
      <c r="P26" s="517"/>
      <c r="Q26" s="517"/>
      <c r="R26" s="517"/>
      <c r="S26" s="517"/>
    </row>
    <row r="27" spans="2:21" ht="15.75" thickBot="1" x14ac:dyDescent="0.3"/>
    <row r="28" spans="2:21" ht="15.75" thickBot="1" x14ac:dyDescent="0.3">
      <c r="B28" s="543" t="s">
        <v>131</v>
      </c>
      <c r="C28" s="545" t="s">
        <v>138</v>
      </c>
      <c r="D28" s="508" t="s">
        <v>139</v>
      </c>
      <c r="E28" s="545" t="s">
        <v>140</v>
      </c>
      <c r="F28" s="543" t="s">
        <v>141</v>
      </c>
      <c r="G28" s="543" t="s">
        <v>143</v>
      </c>
      <c r="H28" s="543" t="s">
        <v>144</v>
      </c>
      <c r="I28" s="543" t="s">
        <v>134</v>
      </c>
      <c r="J28" s="542" t="s">
        <v>142</v>
      </c>
    </row>
    <row r="29" spans="2:21" ht="15.75" thickBot="1" x14ac:dyDescent="0.3">
      <c r="B29" s="544"/>
      <c r="C29" s="545"/>
      <c r="D29" s="509"/>
      <c r="E29" s="545"/>
      <c r="F29" s="544"/>
      <c r="G29" s="544"/>
      <c r="H29" s="544"/>
      <c r="I29" s="544"/>
      <c r="J29" s="542"/>
    </row>
    <row r="30" spans="2:21" ht="15.75" thickBot="1" x14ac:dyDescent="0.3">
      <c r="B30" s="82" t="s">
        <v>536</v>
      </c>
      <c r="C30" s="83" t="s">
        <v>623</v>
      </c>
      <c r="D30" s="122" t="s">
        <v>620</v>
      </c>
      <c r="E30" s="133">
        <v>4364.8</v>
      </c>
      <c r="F30" s="85" t="s">
        <v>621</v>
      </c>
      <c r="G30" s="91"/>
      <c r="H30" s="85"/>
      <c r="I30" s="125" t="s">
        <v>627</v>
      </c>
      <c r="J30" s="91" t="s">
        <v>625</v>
      </c>
    </row>
    <row r="31" spans="2:21" ht="15.75" thickBot="1" x14ac:dyDescent="0.3">
      <c r="B31" s="82" t="s">
        <v>536</v>
      </c>
      <c r="C31" s="83" t="s">
        <v>624</v>
      </c>
      <c r="D31" s="122" t="s">
        <v>620</v>
      </c>
      <c r="E31" s="133">
        <v>3073.93</v>
      </c>
      <c r="F31" s="85" t="s">
        <v>621</v>
      </c>
      <c r="G31" s="91"/>
      <c r="H31" s="85"/>
      <c r="I31" s="125" t="s">
        <v>627</v>
      </c>
      <c r="J31" s="91" t="s">
        <v>626</v>
      </c>
    </row>
    <row r="32" spans="2:21" ht="15.75" thickBot="1" x14ac:dyDescent="0.3">
      <c r="B32" s="82" t="s">
        <v>534</v>
      </c>
      <c r="C32" s="83" t="s">
        <v>623</v>
      </c>
      <c r="D32" s="122" t="s">
        <v>620</v>
      </c>
      <c r="E32" s="133">
        <f>SUM(E36:E43)</f>
        <v>30393.268</v>
      </c>
      <c r="F32" s="85" t="s">
        <v>630</v>
      </c>
      <c r="G32" s="84">
        <f>SUM(G36:G43)</f>
        <v>510894</v>
      </c>
      <c r="H32" s="85" t="s">
        <v>1509</v>
      </c>
      <c r="I32" s="133">
        <f>IFERROR(E32/G32*100,0)</f>
        <v>5.9490360035545535</v>
      </c>
      <c r="J32" s="91" t="s">
        <v>625</v>
      </c>
    </row>
    <row r="33" spans="2:10" ht="15.75" thickBot="1" x14ac:dyDescent="0.3">
      <c r="B33" s="82" t="s">
        <v>535</v>
      </c>
      <c r="C33" s="83" t="s">
        <v>623</v>
      </c>
      <c r="D33" s="122" t="s">
        <v>620</v>
      </c>
      <c r="E33" s="133">
        <v>0</v>
      </c>
      <c r="F33" s="85" t="s">
        <v>630</v>
      </c>
      <c r="G33" s="84">
        <v>0</v>
      </c>
      <c r="H33" s="85" t="s">
        <v>1505</v>
      </c>
      <c r="I33" s="133">
        <f t="shared" ref="I33:I48" si="0">IFERROR(E33/G33*100,0)</f>
        <v>0</v>
      </c>
      <c r="J33" s="91" t="s">
        <v>625</v>
      </c>
    </row>
    <row r="34" spans="2:10" ht="15.75" thickBot="1" x14ac:dyDescent="0.3">
      <c r="B34" s="82" t="s">
        <v>536</v>
      </c>
      <c r="C34" s="83" t="s">
        <v>623</v>
      </c>
      <c r="D34" s="122" t="s">
        <v>620</v>
      </c>
      <c r="E34" s="133">
        <v>20262.43</v>
      </c>
      <c r="F34" s="85" t="s">
        <v>630</v>
      </c>
      <c r="G34" s="84">
        <v>255314</v>
      </c>
      <c r="H34" s="85" t="s">
        <v>1501</v>
      </c>
      <c r="I34" s="133">
        <f t="shared" si="0"/>
        <v>7.9362784649490443</v>
      </c>
      <c r="J34" s="91" t="s">
        <v>625</v>
      </c>
    </row>
    <row r="35" spans="2:10" ht="15.75" thickBot="1" x14ac:dyDescent="0.3">
      <c r="B35" s="82" t="s">
        <v>602</v>
      </c>
      <c r="C35" s="83" t="s">
        <v>623</v>
      </c>
      <c r="D35" s="122" t="s">
        <v>620</v>
      </c>
      <c r="E35" s="133">
        <v>11021.172999999999</v>
      </c>
      <c r="F35" s="85" t="s">
        <v>630</v>
      </c>
      <c r="G35" s="84">
        <v>131411</v>
      </c>
      <c r="H35" s="85" t="s">
        <v>1506</v>
      </c>
      <c r="I35" s="133">
        <f t="shared" si="0"/>
        <v>8.3867963869082498</v>
      </c>
      <c r="J35" s="91" t="s">
        <v>625</v>
      </c>
    </row>
    <row r="36" spans="2:10" ht="15.75" thickBot="1" x14ac:dyDescent="0.3">
      <c r="B36" s="82" t="s">
        <v>544</v>
      </c>
      <c r="C36" s="83" t="s">
        <v>623</v>
      </c>
      <c r="D36" s="122" t="s">
        <v>620</v>
      </c>
      <c r="E36" s="133">
        <v>0</v>
      </c>
      <c r="F36" s="85" t="s">
        <v>630</v>
      </c>
      <c r="G36" s="84">
        <v>0</v>
      </c>
      <c r="H36" s="85" t="s">
        <v>1505</v>
      </c>
      <c r="I36" s="133">
        <f t="shared" si="0"/>
        <v>0</v>
      </c>
      <c r="J36" s="91" t="s">
        <v>625</v>
      </c>
    </row>
    <row r="37" spans="2:10" ht="15.75" thickBot="1" x14ac:dyDescent="0.3">
      <c r="B37" s="82" t="s">
        <v>541</v>
      </c>
      <c r="C37" s="83" t="s">
        <v>623</v>
      </c>
      <c r="D37" s="122" t="s">
        <v>620</v>
      </c>
      <c r="E37" s="133">
        <v>5268.8919999999998</v>
      </c>
      <c r="F37" s="85" t="s">
        <v>630</v>
      </c>
      <c r="G37" s="84">
        <v>81887</v>
      </c>
      <c r="H37" s="85" t="s">
        <v>1502</v>
      </c>
      <c r="I37" s="133">
        <f t="shared" si="0"/>
        <v>6.4343448899092648</v>
      </c>
      <c r="J37" s="91" t="s">
        <v>625</v>
      </c>
    </row>
    <row r="38" spans="2:10" ht="15.75" thickBot="1" x14ac:dyDescent="0.3">
      <c r="B38" s="82" t="s">
        <v>545</v>
      </c>
      <c r="C38" s="83" t="s">
        <v>623</v>
      </c>
      <c r="D38" s="122" t="s">
        <v>620</v>
      </c>
      <c r="E38" s="133">
        <v>3918.99</v>
      </c>
      <c r="F38" s="85" t="s">
        <v>630</v>
      </c>
      <c r="G38" s="84">
        <v>72577</v>
      </c>
      <c r="H38" s="85" t="s">
        <v>1503</v>
      </c>
      <c r="I38" s="133">
        <f t="shared" si="0"/>
        <v>5.3997685217079789</v>
      </c>
      <c r="J38" s="91" t="s">
        <v>625</v>
      </c>
    </row>
    <row r="39" spans="2:10" ht="15.75" thickBot="1" x14ac:dyDescent="0.3">
      <c r="B39" s="82" t="s">
        <v>1072</v>
      </c>
      <c r="C39" s="83" t="s">
        <v>623</v>
      </c>
      <c r="D39" s="122" t="s">
        <v>620</v>
      </c>
      <c r="E39" s="133">
        <v>1052.73</v>
      </c>
      <c r="F39" s="85" t="s">
        <v>630</v>
      </c>
      <c r="G39" s="84">
        <v>13537</v>
      </c>
      <c r="H39" s="85" t="s">
        <v>1500</v>
      </c>
      <c r="I39" s="133">
        <f t="shared" si="0"/>
        <v>7.7766861195242676</v>
      </c>
      <c r="J39" s="91" t="s">
        <v>625</v>
      </c>
    </row>
    <row r="40" spans="2:10" ht="15.75" thickBot="1" x14ac:dyDescent="0.3">
      <c r="B40" s="82" t="s">
        <v>542</v>
      </c>
      <c r="C40" s="83" t="s">
        <v>623</v>
      </c>
      <c r="D40" s="122" t="s">
        <v>620</v>
      </c>
      <c r="E40" s="133">
        <v>3716.3199999999997</v>
      </c>
      <c r="F40" s="85" t="s">
        <v>630</v>
      </c>
      <c r="G40" s="84">
        <v>57990</v>
      </c>
      <c r="H40" s="85" t="s">
        <v>1502</v>
      </c>
      <c r="I40" s="133">
        <f t="shared" si="0"/>
        <v>6.4085531988273843</v>
      </c>
      <c r="J40" s="91" t="s">
        <v>625</v>
      </c>
    </row>
    <row r="41" spans="2:10" ht="15.75" thickBot="1" x14ac:dyDescent="0.3">
      <c r="B41" s="82" t="s">
        <v>543</v>
      </c>
      <c r="C41" s="83" t="s">
        <v>623</v>
      </c>
      <c r="D41" s="122" t="s">
        <v>620</v>
      </c>
      <c r="E41" s="133">
        <v>0</v>
      </c>
      <c r="F41" s="85" t="s">
        <v>630</v>
      </c>
      <c r="G41" s="84">
        <v>0</v>
      </c>
      <c r="H41" s="85" t="s">
        <v>1505</v>
      </c>
      <c r="I41" s="133">
        <f t="shared" si="0"/>
        <v>0</v>
      </c>
      <c r="J41" s="91" t="s">
        <v>625</v>
      </c>
    </row>
    <row r="42" spans="2:10" ht="15.75" thickBot="1" x14ac:dyDescent="0.3">
      <c r="B42" s="82" t="s">
        <v>540</v>
      </c>
      <c r="C42" s="83" t="s">
        <v>623</v>
      </c>
      <c r="D42" s="122" t="s">
        <v>620</v>
      </c>
      <c r="E42" s="133">
        <v>13565.86</v>
      </c>
      <c r="F42" s="85" t="s">
        <v>630</v>
      </c>
      <c r="G42" s="84">
        <v>240825</v>
      </c>
      <c r="H42" s="85" t="s">
        <v>1507</v>
      </c>
      <c r="I42" s="133">
        <f t="shared" si="0"/>
        <v>5.6330779611751272</v>
      </c>
      <c r="J42" s="91" t="s">
        <v>625</v>
      </c>
    </row>
    <row r="43" spans="2:10" ht="15.75" thickBot="1" x14ac:dyDescent="0.3">
      <c r="B43" s="82" t="s">
        <v>1504</v>
      </c>
      <c r="C43" s="83" t="s">
        <v>623</v>
      </c>
      <c r="D43" s="122" t="s">
        <v>620</v>
      </c>
      <c r="E43" s="133">
        <v>2870.4760000000001</v>
      </c>
      <c r="F43" s="85" t="s">
        <v>630</v>
      </c>
      <c r="G43" s="84">
        <v>44078</v>
      </c>
      <c r="H43" s="85" t="s">
        <v>1500</v>
      </c>
      <c r="I43" s="133">
        <f t="shared" si="0"/>
        <v>6.5122646218067972</v>
      </c>
      <c r="J43" s="91" t="s">
        <v>625</v>
      </c>
    </row>
    <row r="44" spans="2:10" ht="15.75" thickBot="1" x14ac:dyDescent="0.3">
      <c r="B44" s="82" t="s">
        <v>534</v>
      </c>
      <c r="C44" s="83" t="s">
        <v>624</v>
      </c>
      <c r="D44" s="122" t="s">
        <v>620</v>
      </c>
      <c r="E44" s="133">
        <f>SUM(E45:E47)</f>
        <v>5016.9610000000002</v>
      </c>
      <c r="F44" s="85" t="s">
        <v>630</v>
      </c>
      <c r="G44" s="84">
        <f>SUM(G45:G47)</f>
        <v>52393</v>
      </c>
      <c r="H44" s="85" t="s">
        <v>1508</v>
      </c>
      <c r="I44" s="133">
        <f t="shared" si="0"/>
        <v>9.5756322409482184</v>
      </c>
      <c r="J44" s="91" t="s">
        <v>626</v>
      </c>
    </row>
    <row r="45" spans="2:10" ht="15.75" thickBot="1" x14ac:dyDescent="0.3">
      <c r="B45" s="82" t="s">
        <v>545</v>
      </c>
      <c r="C45" s="83" t="s">
        <v>624</v>
      </c>
      <c r="D45" s="122" t="s">
        <v>620</v>
      </c>
      <c r="E45" s="133">
        <v>2237.7800000000002</v>
      </c>
      <c r="F45" s="85" t="s">
        <v>630</v>
      </c>
      <c r="G45" s="84">
        <v>27278</v>
      </c>
      <c r="H45" s="85" t="s">
        <v>1503</v>
      </c>
      <c r="I45" s="133">
        <f t="shared" si="0"/>
        <v>8.2036073025881677</v>
      </c>
      <c r="J45" s="91" t="s">
        <v>626</v>
      </c>
    </row>
    <row r="46" spans="2:10" ht="15.75" thickBot="1" x14ac:dyDescent="0.3">
      <c r="B46" s="82" t="s">
        <v>542</v>
      </c>
      <c r="C46" s="83" t="s">
        <v>624</v>
      </c>
      <c r="D46" s="122" t="s">
        <v>620</v>
      </c>
      <c r="E46" s="133">
        <v>476.75</v>
      </c>
      <c r="F46" s="85" t="s">
        <v>630</v>
      </c>
      <c r="G46" s="84">
        <v>5706</v>
      </c>
      <c r="H46" s="85" t="s">
        <v>1500</v>
      </c>
      <c r="I46" s="133">
        <f t="shared" si="0"/>
        <v>8.3552400981423069</v>
      </c>
      <c r="J46" s="91" t="s">
        <v>626</v>
      </c>
    </row>
    <row r="47" spans="2:10" ht="15.75" thickBot="1" x14ac:dyDescent="0.3">
      <c r="B47" s="82" t="s">
        <v>1504</v>
      </c>
      <c r="C47" s="83" t="s">
        <v>624</v>
      </c>
      <c r="D47" s="122" t="s">
        <v>620</v>
      </c>
      <c r="E47" s="133">
        <v>2302.431</v>
      </c>
      <c r="F47" s="85" t="s">
        <v>630</v>
      </c>
      <c r="G47" s="84">
        <v>19409</v>
      </c>
      <c r="H47" s="85" t="s">
        <v>1500</v>
      </c>
      <c r="I47" s="133">
        <f t="shared" si="0"/>
        <v>11.862697717553711</v>
      </c>
      <c r="J47" s="91" t="s">
        <v>626</v>
      </c>
    </row>
    <row r="48" spans="2:10" ht="15.75" thickBot="1" x14ac:dyDescent="0.3">
      <c r="B48" s="82" t="s">
        <v>536</v>
      </c>
      <c r="C48" s="83" t="s">
        <v>624</v>
      </c>
      <c r="D48" s="122" t="s">
        <v>620</v>
      </c>
      <c r="E48" s="133">
        <v>464.12</v>
      </c>
      <c r="F48" s="85" t="s">
        <v>630</v>
      </c>
      <c r="G48" s="84">
        <v>8417</v>
      </c>
      <c r="H48" s="85" t="s">
        <v>1500</v>
      </c>
      <c r="I48" s="133">
        <f t="shared" si="0"/>
        <v>5.5140786503504815</v>
      </c>
      <c r="J48" s="91" t="s">
        <v>626</v>
      </c>
    </row>
  </sheetData>
  <mergeCells count="23">
    <mergeCell ref="B21:S22"/>
    <mergeCell ref="B9:U9"/>
    <mergeCell ref="B11:C11"/>
    <mergeCell ref="D11:P11"/>
    <mergeCell ref="B12:C12"/>
    <mergeCell ref="D12:P12"/>
    <mergeCell ref="B13:C13"/>
    <mergeCell ref="D13:P13"/>
    <mergeCell ref="B14:C14"/>
    <mergeCell ref="D14:P14"/>
    <mergeCell ref="B15:C15"/>
    <mergeCell ref="D15:P15"/>
    <mergeCell ref="B17:U17"/>
    <mergeCell ref="J28:J29"/>
    <mergeCell ref="B25:S26"/>
    <mergeCell ref="B28:B29"/>
    <mergeCell ref="C28:C29"/>
    <mergeCell ref="D28:D29"/>
    <mergeCell ref="E28:E29"/>
    <mergeCell ref="F28:F29"/>
    <mergeCell ref="G28:G29"/>
    <mergeCell ref="H28:H29"/>
    <mergeCell ref="I28:I29"/>
  </mergeCells>
  <dataValidations count="3">
    <dataValidation type="list" allowBlank="1" showInputMessage="1" showErrorMessage="1" sqref="D30:D48">
      <formula1>"Gasóleo, Gasolina, GPL, GNC, GNV, Butano, Propano, H2"</formula1>
    </dataValidation>
    <dataValidation type="list" allowBlank="1" showInputMessage="1" showErrorMessage="1" sqref="C30:C48">
      <formula1>"Pesado de Passageiros M3, Pesado de Passageiros M2, Ligeiro de Passageiros M1, Pesado de Mercadorias N3, Pesado de Mercadorias N2, Ligeiro de Mercadorias N1, Misto"</formula1>
    </dataValidation>
    <dataValidation type="list" allowBlank="1" showInputMessage="1" showErrorMessage="1" sqref="F30:F48">
      <formula1>"l (litros), kg (quilos), Nm3 (metros cubicos norm.), € (euros)"</formula1>
    </dataValidation>
  </dataValidations>
  <pageMargins left="0.7" right="0.7" top="0.75" bottom="0.75" header="0.3" footer="0.3"/>
  <customProperties>
    <customPr name="GUID" r:id="rId1"/>
  </customPropertie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dimension ref="A1:S113"/>
  <sheetViews>
    <sheetView topLeftCell="A85" zoomScale="85" zoomScaleNormal="85" workbookViewId="0">
      <selection activeCell="A105" sqref="A105:B105"/>
    </sheetView>
    <sheetView topLeftCell="A76" workbookViewId="1">
      <selection activeCell="A113" sqref="A113"/>
    </sheetView>
  </sheetViews>
  <sheetFormatPr defaultRowHeight="15" x14ac:dyDescent="0.25"/>
  <cols>
    <col min="1" max="1" width="72.42578125" customWidth="1"/>
    <col min="2" max="2" width="72" customWidth="1"/>
    <col min="3" max="4" width="54.42578125" customWidth="1"/>
    <col min="5" max="5" width="33" customWidth="1"/>
    <col min="6" max="8" width="21.5703125" customWidth="1"/>
    <col min="9" max="9" width="52.42578125" customWidth="1"/>
    <col min="10" max="10" width="21.5703125" style="271" customWidth="1"/>
    <col min="11" max="11" width="27.140625" bestFit="1" customWidth="1"/>
    <col min="12" max="12" width="28.28515625" customWidth="1"/>
    <col min="13" max="13" width="28.28515625" style="89" customWidth="1"/>
    <col min="14" max="14" width="29.5703125" customWidth="1"/>
    <col min="15" max="15" width="47.140625" bestFit="1" customWidth="1"/>
    <col min="16" max="16" width="28.28515625" customWidth="1"/>
    <col min="17" max="17" width="14" customWidth="1"/>
    <col min="18" max="18" width="12.28515625" customWidth="1"/>
    <col min="19" max="19" width="14.140625" customWidth="1"/>
  </cols>
  <sheetData>
    <row r="1" spans="1:19" ht="15.75" thickBot="1" x14ac:dyDescent="0.3">
      <c r="A1" s="543" t="s">
        <v>1851</v>
      </c>
      <c r="B1" s="508" t="s">
        <v>131</v>
      </c>
      <c r="C1" s="508" t="s">
        <v>1852</v>
      </c>
      <c r="D1" s="202" t="s">
        <v>1856</v>
      </c>
      <c r="E1" s="545" t="s">
        <v>138</v>
      </c>
      <c r="F1" s="508" t="s">
        <v>139</v>
      </c>
      <c r="G1" s="225" t="s">
        <v>2846</v>
      </c>
      <c r="H1" s="225" t="s">
        <v>2847</v>
      </c>
      <c r="I1" s="202" t="s">
        <v>119</v>
      </c>
      <c r="J1" s="546" t="s">
        <v>140</v>
      </c>
      <c r="K1" s="543" t="s">
        <v>141</v>
      </c>
      <c r="L1" s="543" t="s">
        <v>143</v>
      </c>
      <c r="M1" s="529" t="s">
        <v>144</v>
      </c>
      <c r="N1" s="543" t="s">
        <v>134</v>
      </c>
      <c r="O1" s="542" t="s">
        <v>142</v>
      </c>
      <c r="P1" s="528" t="s">
        <v>1887</v>
      </c>
      <c r="Q1" s="528" t="s">
        <v>1889</v>
      </c>
      <c r="R1" s="528" t="s">
        <v>2831</v>
      </c>
      <c r="S1" s="528" t="s">
        <v>3628</v>
      </c>
    </row>
    <row r="2" spans="1:19" ht="15.75" thickBot="1" x14ac:dyDescent="0.3">
      <c r="A2" s="544"/>
      <c r="B2" s="509"/>
      <c r="C2" s="509"/>
      <c r="D2" s="203"/>
      <c r="E2" s="545"/>
      <c r="F2" s="509"/>
      <c r="G2" s="226"/>
      <c r="H2" s="226"/>
      <c r="I2" s="203"/>
      <c r="J2" s="546"/>
      <c r="K2" s="544"/>
      <c r="L2" s="544"/>
      <c r="M2" s="530"/>
      <c r="N2" s="544"/>
      <c r="O2" s="542"/>
      <c r="P2" s="528"/>
      <c r="Q2" s="528"/>
      <c r="R2" s="528"/>
      <c r="S2" s="528"/>
    </row>
    <row r="3" spans="1:19" ht="15.75" thickBot="1" x14ac:dyDescent="0.3">
      <c r="A3" s="82" t="s">
        <v>4684</v>
      </c>
      <c r="B3" s="82" t="s">
        <v>4684</v>
      </c>
      <c r="C3" s="82" t="str">
        <f>IF(A3=B3,"X",RIGHT(A3,LEN(A3)-LEN(B3)-3))</f>
        <v>X</v>
      </c>
      <c r="D3" s="222">
        <v>2022</v>
      </c>
      <c r="E3" s="83" t="s">
        <v>623</v>
      </c>
      <c r="F3" s="122" t="s">
        <v>620</v>
      </c>
      <c r="G3" s="122"/>
      <c r="H3" s="122"/>
      <c r="I3" s="221" t="str">
        <f>IF(H3="",E3&amp;": Geral : "&amp;F3&amp;" : Geral",E3&amp;": Geral : "&amp;F3&amp;" : "&amp;H3)</f>
        <v>Ligeiro de Passageiros M1: Geral : Gasóleo : Geral</v>
      </c>
      <c r="J3" s="133">
        <v>4364.8</v>
      </c>
      <c r="K3" s="85" t="s">
        <v>621</v>
      </c>
      <c r="L3" s="91"/>
      <c r="M3" s="125"/>
      <c r="N3" s="125" t="s">
        <v>627</v>
      </c>
      <c r="O3" s="91" t="s">
        <v>625</v>
      </c>
      <c r="P3" s="220" t="s">
        <v>1891</v>
      </c>
      <c r="Q3" s="220" t="s">
        <v>1890</v>
      </c>
      <c r="R3" t="s">
        <v>1972</v>
      </c>
      <c r="S3" t="s">
        <v>2833</v>
      </c>
    </row>
    <row r="4" spans="1:19" ht="15.75" thickBot="1" x14ac:dyDescent="0.3">
      <c r="A4" s="82" t="s">
        <v>4684</v>
      </c>
      <c r="B4" s="82" t="s">
        <v>4684</v>
      </c>
      <c r="C4" s="82" t="str">
        <f t="shared" ref="C4:C67" si="0">IF(A4=B4,"X",RIGHT(A4,LEN(A4)-LEN(B4)-3))</f>
        <v>X</v>
      </c>
      <c r="D4" s="222">
        <v>2022</v>
      </c>
      <c r="E4" s="83" t="s">
        <v>624</v>
      </c>
      <c r="F4" s="122" t="s">
        <v>620</v>
      </c>
      <c r="G4" s="122"/>
      <c r="H4" s="122"/>
      <c r="I4" s="221" t="str">
        <f t="shared" ref="I4:I67" si="1">IF(H4="",E4&amp;": Geral : "&amp;F4&amp;" : Geral",E4&amp;": Geral : "&amp;F4&amp;" : "&amp;H4)</f>
        <v>Ligeiro de Mercadorias N1: Geral : Gasóleo : Geral</v>
      </c>
      <c r="J4" s="133">
        <v>3073.93</v>
      </c>
      <c r="K4" s="85" t="s">
        <v>621</v>
      </c>
      <c r="L4" s="91"/>
      <c r="M4" s="125"/>
      <c r="N4" s="125" t="s">
        <v>627</v>
      </c>
      <c r="O4" s="91" t="s">
        <v>626</v>
      </c>
      <c r="P4" s="220" t="s">
        <v>1891</v>
      </c>
      <c r="Q4" s="220" t="s">
        <v>1890</v>
      </c>
      <c r="R4" t="s">
        <v>1972</v>
      </c>
      <c r="S4" t="s">
        <v>2833</v>
      </c>
    </row>
    <row r="5" spans="1:19" ht="15.75" thickBot="1" x14ac:dyDescent="0.3">
      <c r="A5" s="82" t="s">
        <v>45</v>
      </c>
      <c r="B5" s="82" t="str">
        <f t="shared" ref="B5:B20" si="2">LEFT(A5,IFERROR(FIND(" - ",A5)-1,LEN(A5)))</f>
        <v>Barraqueiro Transportes, S.A.</v>
      </c>
      <c r="C5" s="82" t="str">
        <f t="shared" si="0"/>
        <v>X</v>
      </c>
      <c r="D5" s="222">
        <v>2022</v>
      </c>
      <c r="E5" s="83" t="s">
        <v>623</v>
      </c>
      <c r="F5" s="122" t="s">
        <v>620</v>
      </c>
      <c r="G5" s="122"/>
      <c r="H5" s="122"/>
      <c r="I5" s="221" t="str">
        <f t="shared" si="1"/>
        <v>Ligeiro de Passageiros M1: Geral : Gasóleo : Geral</v>
      </c>
      <c r="J5" s="133">
        <f>SUM(J9:J16)</f>
        <v>30393.268</v>
      </c>
      <c r="K5" s="85" t="s">
        <v>630</v>
      </c>
      <c r="L5" s="84">
        <f>SUM(L9:L16)</f>
        <v>510894</v>
      </c>
      <c r="M5" s="125" t="s">
        <v>1509</v>
      </c>
      <c r="N5" s="133">
        <f>IFERROR(J5/L5*100,0)</f>
        <v>5.9490360035545535</v>
      </c>
      <c r="O5" s="91" t="s">
        <v>625</v>
      </c>
      <c r="P5" s="220" t="s">
        <v>1888</v>
      </c>
      <c r="Q5" s="220" t="s">
        <v>1861</v>
      </c>
      <c r="R5" t="s">
        <v>1972</v>
      </c>
      <c r="S5" t="s">
        <v>2833</v>
      </c>
    </row>
    <row r="6" spans="1:19" ht="15.75" thickBot="1" x14ac:dyDescent="0.3">
      <c r="A6" s="82" t="s">
        <v>4683</v>
      </c>
      <c r="B6" s="82" t="s">
        <v>4683</v>
      </c>
      <c r="C6" s="82" t="str">
        <f t="shared" si="0"/>
        <v>X</v>
      </c>
      <c r="D6" s="222">
        <v>2022</v>
      </c>
      <c r="E6" s="83" t="s">
        <v>623</v>
      </c>
      <c r="F6" s="122" t="s">
        <v>620</v>
      </c>
      <c r="G6" s="122"/>
      <c r="H6" s="122"/>
      <c r="I6" s="221" t="str">
        <f t="shared" si="1"/>
        <v>Ligeiro de Passageiros M1: Geral : Gasóleo : Geral</v>
      </c>
      <c r="J6" s="133">
        <v>0</v>
      </c>
      <c r="K6" s="85" t="s">
        <v>630</v>
      </c>
      <c r="L6" s="84">
        <v>0</v>
      </c>
      <c r="M6" s="125" t="s">
        <v>1505</v>
      </c>
      <c r="N6" s="133">
        <f t="shared" ref="N6:N69" si="3">IFERROR(J6/L6*100,0)</f>
        <v>0</v>
      </c>
      <c r="O6" s="91" t="s">
        <v>625</v>
      </c>
      <c r="P6" s="220" t="s">
        <v>1888</v>
      </c>
      <c r="Q6" s="220" t="s">
        <v>1861</v>
      </c>
      <c r="R6" t="s">
        <v>1972</v>
      </c>
      <c r="S6" t="s">
        <v>2833</v>
      </c>
    </row>
    <row r="7" spans="1:19" ht="15.75" thickBot="1" x14ac:dyDescent="0.3">
      <c r="A7" s="82" t="s">
        <v>4684</v>
      </c>
      <c r="B7" s="82" t="s">
        <v>4684</v>
      </c>
      <c r="C7" s="82" t="str">
        <f t="shared" si="0"/>
        <v>X</v>
      </c>
      <c r="D7" s="222">
        <v>2022</v>
      </c>
      <c r="E7" s="83" t="s">
        <v>623</v>
      </c>
      <c r="F7" s="122" t="s">
        <v>620</v>
      </c>
      <c r="G7" s="122"/>
      <c r="H7" s="122"/>
      <c r="I7" s="221" t="str">
        <f t="shared" si="1"/>
        <v>Ligeiro de Passageiros M1: Geral : Gasóleo : Geral</v>
      </c>
      <c r="J7" s="133">
        <v>20262.43</v>
      </c>
      <c r="K7" s="85" t="s">
        <v>630</v>
      </c>
      <c r="L7" s="84">
        <v>255314</v>
      </c>
      <c r="M7" s="125" t="s">
        <v>1501</v>
      </c>
      <c r="N7" s="133">
        <f t="shared" si="3"/>
        <v>7.9362784649490443</v>
      </c>
      <c r="O7" s="91" t="s">
        <v>625</v>
      </c>
      <c r="P7" s="220" t="s">
        <v>1888</v>
      </c>
      <c r="Q7" s="220" t="s">
        <v>1861</v>
      </c>
      <c r="R7" t="s">
        <v>1972</v>
      </c>
      <c r="S7" t="s">
        <v>2833</v>
      </c>
    </row>
    <row r="8" spans="1:19" ht="15.75" thickBot="1" x14ac:dyDescent="0.3">
      <c r="A8" s="82" t="s">
        <v>4685</v>
      </c>
      <c r="B8" s="82" t="s">
        <v>4685</v>
      </c>
      <c r="C8" s="82" t="str">
        <f t="shared" si="0"/>
        <v>X</v>
      </c>
      <c r="D8" s="222">
        <v>2022</v>
      </c>
      <c r="E8" s="83" t="s">
        <v>623</v>
      </c>
      <c r="F8" s="122" t="s">
        <v>620</v>
      </c>
      <c r="G8" s="122"/>
      <c r="H8" s="122"/>
      <c r="I8" s="221" t="str">
        <f t="shared" si="1"/>
        <v>Ligeiro de Passageiros M1: Geral : Gasóleo : Geral</v>
      </c>
      <c r="J8" s="133">
        <v>11021.172999999999</v>
      </c>
      <c r="K8" s="85" t="s">
        <v>630</v>
      </c>
      <c r="L8" s="84">
        <v>131411</v>
      </c>
      <c r="M8" s="125" t="s">
        <v>1506</v>
      </c>
      <c r="N8" s="133">
        <f t="shared" si="3"/>
        <v>8.3867963869082498</v>
      </c>
      <c r="O8" s="91" t="s">
        <v>625</v>
      </c>
      <c r="P8" s="220" t="s">
        <v>1888</v>
      </c>
      <c r="Q8" s="220" t="s">
        <v>1861</v>
      </c>
      <c r="R8" t="s">
        <v>1972</v>
      </c>
      <c r="S8" t="s">
        <v>2833</v>
      </c>
    </row>
    <row r="9" spans="1:19" ht="15.75" thickBot="1" x14ac:dyDescent="0.3">
      <c r="A9" s="82" t="s">
        <v>3506</v>
      </c>
      <c r="B9" s="82" t="str">
        <f t="shared" si="2"/>
        <v>Barraqueiro Transportes, S.A.</v>
      </c>
      <c r="C9" s="82" t="str">
        <f t="shared" si="0"/>
        <v>Mafrense</v>
      </c>
      <c r="D9" s="222">
        <v>2022</v>
      </c>
      <c r="E9" s="83" t="s">
        <v>623</v>
      </c>
      <c r="F9" s="122" t="s">
        <v>620</v>
      </c>
      <c r="G9" s="122"/>
      <c r="H9" s="122"/>
      <c r="I9" s="221" t="str">
        <f t="shared" si="1"/>
        <v>Ligeiro de Passageiros M1: Geral : Gasóleo : Geral</v>
      </c>
      <c r="J9" s="133">
        <v>0</v>
      </c>
      <c r="K9" s="85" t="s">
        <v>630</v>
      </c>
      <c r="L9" s="84">
        <v>0</v>
      </c>
      <c r="M9" s="125" t="s">
        <v>1505</v>
      </c>
      <c r="N9" s="133">
        <f t="shared" si="3"/>
        <v>0</v>
      </c>
      <c r="O9" s="91" t="s">
        <v>625</v>
      </c>
      <c r="P9" s="220" t="s">
        <v>1888</v>
      </c>
      <c r="Q9" s="220" t="s">
        <v>1861</v>
      </c>
      <c r="R9" t="s">
        <v>1972</v>
      </c>
      <c r="S9" t="s">
        <v>2833</v>
      </c>
    </row>
    <row r="10" spans="1:19" ht="15.75" thickBot="1" x14ac:dyDescent="0.3">
      <c r="A10" s="82" t="s">
        <v>3314</v>
      </c>
      <c r="B10" s="82" t="str">
        <f t="shared" si="2"/>
        <v>Barraqueiro Transportes, S.A.</v>
      </c>
      <c r="C10" s="82" t="str">
        <f t="shared" si="0"/>
        <v>Barraqueiro Alugueres</v>
      </c>
      <c r="D10" s="222">
        <v>2022</v>
      </c>
      <c r="E10" s="83" t="s">
        <v>623</v>
      </c>
      <c r="F10" s="122" t="s">
        <v>620</v>
      </c>
      <c r="G10" s="122"/>
      <c r="H10" s="122"/>
      <c r="I10" s="221" t="str">
        <f t="shared" si="1"/>
        <v>Ligeiro de Passageiros M1: Geral : Gasóleo : Geral</v>
      </c>
      <c r="J10" s="133">
        <v>5268.8919999999998</v>
      </c>
      <c r="K10" s="85" t="s">
        <v>630</v>
      </c>
      <c r="L10" s="84">
        <v>81887</v>
      </c>
      <c r="M10" s="125" t="s">
        <v>1502</v>
      </c>
      <c r="N10" s="133">
        <f t="shared" si="3"/>
        <v>6.4343448899092648</v>
      </c>
      <c r="O10" s="91" t="s">
        <v>625</v>
      </c>
      <c r="P10" s="220" t="s">
        <v>1888</v>
      </c>
      <c r="Q10" s="220" t="s">
        <v>1861</v>
      </c>
      <c r="R10" t="s">
        <v>1972</v>
      </c>
      <c r="S10" t="s">
        <v>2833</v>
      </c>
    </row>
    <row r="11" spans="1:19" ht="15.75" thickBot="1" x14ac:dyDescent="0.3">
      <c r="A11" s="82" t="s">
        <v>3507</v>
      </c>
      <c r="B11" s="82" t="str">
        <f t="shared" si="2"/>
        <v>Barraqueiro Transportes, S.A.</v>
      </c>
      <c r="C11" s="82" t="str">
        <f t="shared" si="0"/>
        <v>Estremadura</v>
      </c>
      <c r="D11" s="222">
        <v>2022</v>
      </c>
      <c r="E11" s="83" t="s">
        <v>623</v>
      </c>
      <c r="F11" s="122" t="s">
        <v>620</v>
      </c>
      <c r="G11" s="122"/>
      <c r="H11" s="122"/>
      <c r="I11" s="221" t="str">
        <f t="shared" si="1"/>
        <v>Ligeiro de Passageiros M1: Geral : Gasóleo : Geral</v>
      </c>
      <c r="J11" s="133">
        <v>3918.99</v>
      </c>
      <c r="K11" s="85" t="s">
        <v>630</v>
      </c>
      <c r="L11" s="84">
        <v>72577</v>
      </c>
      <c r="M11" s="125" t="s">
        <v>1503</v>
      </c>
      <c r="N11" s="133">
        <f t="shared" si="3"/>
        <v>5.3997685217079789</v>
      </c>
      <c r="O11" s="91" t="s">
        <v>625</v>
      </c>
      <c r="P11" s="220" t="s">
        <v>1888</v>
      </c>
      <c r="Q11" s="220" t="s">
        <v>1861</v>
      </c>
      <c r="R11" t="s">
        <v>1972</v>
      </c>
      <c r="S11" t="s">
        <v>2833</v>
      </c>
    </row>
    <row r="12" spans="1:19" ht="15.75" thickBot="1" x14ac:dyDescent="0.3">
      <c r="A12" s="82" t="s">
        <v>3508</v>
      </c>
      <c r="B12" s="82" t="str">
        <f t="shared" si="2"/>
        <v>Barraqueiro Transportes, S.A.</v>
      </c>
      <c r="C12" s="82" t="str">
        <f t="shared" si="0"/>
        <v>Frota Azul</v>
      </c>
      <c r="D12" s="222">
        <v>2022</v>
      </c>
      <c r="E12" s="83" t="s">
        <v>623</v>
      </c>
      <c r="F12" s="122" t="s">
        <v>620</v>
      </c>
      <c r="G12" s="122"/>
      <c r="H12" s="122"/>
      <c r="I12" s="221" t="str">
        <f t="shared" si="1"/>
        <v>Ligeiro de Passageiros M1: Geral : Gasóleo : Geral</v>
      </c>
      <c r="J12" s="133">
        <v>1052.73</v>
      </c>
      <c r="K12" s="85" t="s">
        <v>630</v>
      </c>
      <c r="L12" s="84">
        <v>13537</v>
      </c>
      <c r="M12" s="125" t="s">
        <v>1500</v>
      </c>
      <c r="N12" s="133">
        <f t="shared" si="3"/>
        <v>7.7766861195242676</v>
      </c>
      <c r="O12" s="91" t="s">
        <v>625</v>
      </c>
      <c r="P12" s="220" t="s">
        <v>1888</v>
      </c>
      <c r="Q12" s="220" t="s">
        <v>1861</v>
      </c>
      <c r="R12" t="s">
        <v>1972</v>
      </c>
      <c r="S12" t="s">
        <v>2833</v>
      </c>
    </row>
    <row r="13" spans="1:19" ht="15.75" thickBot="1" x14ac:dyDescent="0.3">
      <c r="A13" s="82" t="s">
        <v>3509</v>
      </c>
      <c r="B13" s="82" t="str">
        <f t="shared" si="2"/>
        <v>Barraqueiro Transportes, S.A.</v>
      </c>
      <c r="C13" s="82" t="str">
        <f t="shared" si="0"/>
        <v>Barraqueiro Oeste</v>
      </c>
      <c r="D13" s="222">
        <v>2022</v>
      </c>
      <c r="E13" s="83" t="s">
        <v>623</v>
      </c>
      <c r="F13" s="122" t="s">
        <v>620</v>
      </c>
      <c r="G13" s="122"/>
      <c r="H13" s="122"/>
      <c r="I13" s="221" t="str">
        <f t="shared" si="1"/>
        <v>Ligeiro de Passageiros M1: Geral : Gasóleo : Geral</v>
      </c>
      <c r="J13" s="133">
        <v>3716.3199999999997</v>
      </c>
      <c r="K13" s="85" t="s">
        <v>630</v>
      </c>
      <c r="L13" s="84">
        <v>57990</v>
      </c>
      <c r="M13" s="125" t="s">
        <v>1502</v>
      </c>
      <c r="N13" s="133">
        <f t="shared" si="3"/>
        <v>6.4085531988273843</v>
      </c>
      <c r="O13" s="91" t="s">
        <v>625</v>
      </c>
      <c r="P13" s="220" t="s">
        <v>1888</v>
      </c>
      <c r="Q13" s="220" t="s">
        <v>1861</v>
      </c>
      <c r="R13" t="s">
        <v>1972</v>
      </c>
      <c r="S13" t="s">
        <v>2833</v>
      </c>
    </row>
    <row r="14" spans="1:19" ht="15.75" thickBot="1" x14ac:dyDescent="0.3">
      <c r="A14" s="82" t="s">
        <v>3510</v>
      </c>
      <c r="B14" s="82" t="str">
        <f t="shared" si="2"/>
        <v>Barraqueiro Transportes, S.A.</v>
      </c>
      <c r="C14" s="82" t="str">
        <f t="shared" si="0"/>
        <v>Boa Viagem</v>
      </c>
      <c r="D14" s="222">
        <v>2022</v>
      </c>
      <c r="E14" s="83" t="s">
        <v>623</v>
      </c>
      <c r="F14" s="122" t="s">
        <v>620</v>
      </c>
      <c r="G14" s="122"/>
      <c r="H14" s="122"/>
      <c r="I14" s="221" t="str">
        <f t="shared" si="1"/>
        <v>Ligeiro de Passageiros M1: Geral : Gasóleo : Geral</v>
      </c>
      <c r="J14" s="133">
        <v>0</v>
      </c>
      <c r="K14" s="85" t="s">
        <v>630</v>
      </c>
      <c r="L14" s="84">
        <v>0</v>
      </c>
      <c r="M14" s="125" t="s">
        <v>1505</v>
      </c>
      <c r="N14" s="133">
        <f t="shared" si="3"/>
        <v>0</v>
      </c>
      <c r="O14" s="91" t="s">
        <v>625</v>
      </c>
      <c r="P14" s="220" t="s">
        <v>1888</v>
      </c>
      <c r="Q14" s="220" t="s">
        <v>1861</v>
      </c>
      <c r="R14" t="s">
        <v>1972</v>
      </c>
      <c r="S14" t="s">
        <v>2833</v>
      </c>
    </row>
    <row r="15" spans="1:19" ht="15.75" thickBot="1" x14ac:dyDescent="0.3">
      <c r="A15" s="82" t="s">
        <v>3514</v>
      </c>
      <c r="B15" s="82" t="str">
        <f t="shared" si="2"/>
        <v>Barraqueiro Transportes, S.A.</v>
      </c>
      <c r="C15" s="82" t="str">
        <f t="shared" si="0"/>
        <v>Sede</v>
      </c>
      <c r="D15" s="222">
        <v>2022</v>
      </c>
      <c r="E15" s="83" t="s">
        <v>623</v>
      </c>
      <c r="F15" s="122" t="s">
        <v>620</v>
      </c>
      <c r="G15" s="122"/>
      <c r="H15" s="122"/>
      <c r="I15" s="221" t="str">
        <f t="shared" si="1"/>
        <v>Ligeiro de Passageiros M1: Geral : Gasóleo : Geral</v>
      </c>
      <c r="J15" s="133">
        <v>13565.86</v>
      </c>
      <c r="K15" s="85" t="s">
        <v>630</v>
      </c>
      <c r="L15" s="84">
        <v>240825</v>
      </c>
      <c r="M15" s="125" t="s">
        <v>1507</v>
      </c>
      <c r="N15" s="133">
        <f t="shared" si="3"/>
        <v>5.6330779611751272</v>
      </c>
      <c r="O15" s="91" t="s">
        <v>625</v>
      </c>
      <c r="P15" s="220" t="s">
        <v>1888</v>
      </c>
      <c r="Q15" s="220" t="s">
        <v>1861</v>
      </c>
      <c r="R15" t="s">
        <v>1972</v>
      </c>
      <c r="S15" t="s">
        <v>2833</v>
      </c>
    </row>
    <row r="16" spans="1:19" ht="15.75" thickBot="1" x14ac:dyDescent="0.3">
      <c r="A16" s="82" t="s">
        <v>3515</v>
      </c>
      <c r="B16" s="82" t="str">
        <f t="shared" si="2"/>
        <v>Barraqueiro Transportes, S.A.</v>
      </c>
      <c r="C16" s="82" t="str">
        <f t="shared" si="0"/>
        <v>Esevel</v>
      </c>
      <c r="D16" s="222">
        <v>2022</v>
      </c>
      <c r="E16" s="83" t="s">
        <v>623</v>
      </c>
      <c r="F16" s="122" t="s">
        <v>620</v>
      </c>
      <c r="G16" s="122"/>
      <c r="H16" s="122"/>
      <c r="I16" s="221" t="str">
        <f t="shared" si="1"/>
        <v>Ligeiro de Passageiros M1: Geral : Gasóleo : Geral</v>
      </c>
      <c r="J16" s="133">
        <v>2870.4760000000001</v>
      </c>
      <c r="K16" s="85" t="s">
        <v>630</v>
      </c>
      <c r="L16" s="84">
        <v>44078</v>
      </c>
      <c r="M16" s="125" t="s">
        <v>1500</v>
      </c>
      <c r="N16" s="133">
        <f t="shared" si="3"/>
        <v>6.5122646218067972</v>
      </c>
      <c r="O16" s="91" t="s">
        <v>625</v>
      </c>
      <c r="P16" s="220" t="s">
        <v>1888</v>
      </c>
      <c r="Q16" s="220" t="s">
        <v>1861</v>
      </c>
      <c r="R16" t="s">
        <v>1972</v>
      </c>
      <c r="S16" t="s">
        <v>2833</v>
      </c>
    </row>
    <row r="17" spans="1:19" ht="15.75" thickBot="1" x14ac:dyDescent="0.3">
      <c r="A17" s="82" t="s">
        <v>45</v>
      </c>
      <c r="B17" s="82" t="str">
        <f t="shared" si="2"/>
        <v>Barraqueiro Transportes, S.A.</v>
      </c>
      <c r="C17" s="82" t="str">
        <f t="shared" si="0"/>
        <v>X</v>
      </c>
      <c r="D17" s="222">
        <v>2022</v>
      </c>
      <c r="E17" s="83" t="s">
        <v>624</v>
      </c>
      <c r="F17" s="122" t="s">
        <v>620</v>
      </c>
      <c r="G17" s="122"/>
      <c r="H17" s="122"/>
      <c r="I17" s="221" t="str">
        <f t="shared" si="1"/>
        <v>Ligeiro de Mercadorias N1: Geral : Gasóleo : Geral</v>
      </c>
      <c r="J17" s="133">
        <f>SUM(J18:J20)</f>
        <v>5016.9610000000002</v>
      </c>
      <c r="K17" s="85" t="s">
        <v>630</v>
      </c>
      <c r="L17" s="84">
        <f>SUM(L18:L20)</f>
        <v>52393</v>
      </c>
      <c r="M17" s="125" t="s">
        <v>1508</v>
      </c>
      <c r="N17" s="133">
        <f t="shared" si="3"/>
        <v>9.5756322409482184</v>
      </c>
      <c r="O17" s="91" t="s">
        <v>626</v>
      </c>
      <c r="P17" s="220" t="s">
        <v>1888</v>
      </c>
      <c r="Q17" s="220" t="s">
        <v>1861</v>
      </c>
      <c r="R17" t="s">
        <v>1972</v>
      </c>
      <c r="S17" t="s">
        <v>2833</v>
      </c>
    </row>
    <row r="18" spans="1:19" ht="15.75" thickBot="1" x14ac:dyDescent="0.3">
      <c r="A18" s="82" t="s">
        <v>3507</v>
      </c>
      <c r="B18" s="82" t="str">
        <f t="shared" si="2"/>
        <v>Barraqueiro Transportes, S.A.</v>
      </c>
      <c r="C18" s="82" t="str">
        <f t="shared" si="0"/>
        <v>Estremadura</v>
      </c>
      <c r="D18" s="222">
        <v>2022</v>
      </c>
      <c r="E18" s="83" t="s">
        <v>624</v>
      </c>
      <c r="F18" s="122" t="s">
        <v>620</v>
      </c>
      <c r="G18" s="122"/>
      <c r="H18" s="122"/>
      <c r="I18" s="221" t="str">
        <f t="shared" si="1"/>
        <v>Ligeiro de Mercadorias N1: Geral : Gasóleo : Geral</v>
      </c>
      <c r="J18" s="133">
        <v>2237.7800000000002</v>
      </c>
      <c r="K18" s="85" t="s">
        <v>630</v>
      </c>
      <c r="L18" s="84">
        <v>27278</v>
      </c>
      <c r="M18" s="125" t="s">
        <v>1503</v>
      </c>
      <c r="N18" s="133">
        <f t="shared" si="3"/>
        <v>8.2036073025881677</v>
      </c>
      <c r="O18" s="91" t="s">
        <v>626</v>
      </c>
      <c r="P18" s="220" t="s">
        <v>1888</v>
      </c>
      <c r="Q18" s="220" t="s">
        <v>1861</v>
      </c>
      <c r="R18" t="s">
        <v>1972</v>
      </c>
      <c r="S18" t="s">
        <v>2833</v>
      </c>
    </row>
    <row r="19" spans="1:19" ht="15.75" thickBot="1" x14ac:dyDescent="0.3">
      <c r="A19" s="82" t="s">
        <v>3509</v>
      </c>
      <c r="B19" s="82" t="str">
        <f t="shared" si="2"/>
        <v>Barraqueiro Transportes, S.A.</v>
      </c>
      <c r="C19" s="82" t="str">
        <f t="shared" si="0"/>
        <v>Barraqueiro Oeste</v>
      </c>
      <c r="D19" s="222">
        <v>2022</v>
      </c>
      <c r="E19" s="83" t="s">
        <v>624</v>
      </c>
      <c r="F19" s="122" t="s">
        <v>620</v>
      </c>
      <c r="G19" s="122"/>
      <c r="H19" s="122"/>
      <c r="I19" s="221" t="str">
        <f t="shared" si="1"/>
        <v>Ligeiro de Mercadorias N1: Geral : Gasóleo : Geral</v>
      </c>
      <c r="J19" s="133">
        <v>476.75</v>
      </c>
      <c r="K19" s="85" t="s">
        <v>630</v>
      </c>
      <c r="L19" s="84">
        <v>5706</v>
      </c>
      <c r="M19" s="125" t="s">
        <v>1500</v>
      </c>
      <c r="N19" s="133">
        <f t="shared" si="3"/>
        <v>8.3552400981423069</v>
      </c>
      <c r="O19" s="91" t="s">
        <v>626</v>
      </c>
      <c r="P19" s="220" t="s">
        <v>1888</v>
      </c>
      <c r="Q19" s="220" t="s">
        <v>1861</v>
      </c>
      <c r="R19" t="s">
        <v>1972</v>
      </c>
      <c r="S19" t="s">
        <v>2833</v>
      </c>
    </row>
    <row r="20" spans="1:19" ht="15.75" thickBot="1" x14ac:dyDescent="0.3">
      <c r="A20" s="82" t="s">
        <v>3515</v>
      </c>
      <c r="B20" s="82" t="str">
        <f t="shared" si="2"/>
        <v>Barraqueiro Transportes, S.A.</v>
      </c>
      <c r="C20" s="82" t="str">
        <f t="shared" si="0"/>
        <v>Esevel</v>
      </c>
      <c r="D20" s="222">
        <v>2022</v>
      </c>
      <c r="E20" s="83" t="s">
        <v>624</v>
      </c>
      <c r="F20" s="122" t="s">
        <v>620</v>
      </c>
      <c r="G20" s="122"/>
      <c r="H20" s="122"/>
      <c r="I20" s="221" t="str">
        <f t="shared" si="1"/>
        <v>Ligeiro de Mercadorias N1: Geral : Gasóleo : Geral</v>
      </c>
      <c r="J20" s="133">
        <v>2302.431</v>
      </c>
      <c r="K20" s="85" t="s">
        <v>630</v>
      </c>
      <c r="L20" s="84">
        <v>19409</v>
      </c>
      <c r="M20" s="125" t="s">
        <v>1500</v>
      </c>
      <c r="N20" s="133">
        <f t="shared" si="3"/>
        <v>11.862697717553711</v>
      </c>
      <c r="O20" s="91" t="s">
        <v>626</v>
      </c>
      <c r="P20" s="220" t="s">
        <v>1888</v>
      </c>
      <c r="Q20" s="220" t="s">
        <v>1861</v>
      </c>
      <c r="R20" t="s">
        <v>1972</v>
      </c>
      <c r="S20" t="s">
        <v>2833</v>
      </c>
    </row>
    <row r="21" spans="1:19" ht="15.75" thickBot="1" x14ac:dyDescent="0.3">
      <c r="A21" s="82" t="s">
        <v>4684</v>
      </c>
      <c r="B21" s="82" t="s">
        <v>4684</v>
      </c>
      <c r="C21" s="82" t="str">
        <f t="shared" si="0"/>
        <v>X</v>
      </c>
      <c r="D21" s="222">
        <v>2022</v>
      </c>
      <c r="E21" s="83" t="s">
        <v>623</v>
      </c>
      <c r="F21" s="122" t="s">
        <v>620</v>
      </c>
      <c r="G21" s="122"/>
      <c r="H21" s="122"/>
      <c r="I21" s="221" t="str">
        <f t="shared" si="1"/>
        <v>Ligeiro de Passageiros M1: Geral : Gasóleo : Geral</v>
      </c>
      <c r="J21" s="133">
        <v>464.12</v>
      </c>
      <c r="K21" s="85" t="s">
        <v>630</v>
      </c>
      <c r="L21" s="84">
        <v>8417</v>
      </c>
      <c r="M21" s="125" t="s">
        <v>1500</v>
      </c>
      <c r="N21" s="133">
        <f t="shared" si="3"/>
        <v>5.5140786503504815</v>
      </c>
      <c r="O21" s="91" t="s">
        <v>626</v>
      </c>
      <c r="P21" s="220" t="s">
        <v>1888</v>
      </c>
      <c r="Q21" s="220" t="s">
        <v>1861</v>
      </c>
      <c r="R21" t="s">
        <v>1972</v>
      </c>
      <c r="S21" t="s">
        <v>2833</v>
      </c>
    </row>
    <row r="22" spans="1:19" ht="15.75" thickBot="1" x14ac:dyDescent="0.3">
      <c r="A22" s="82" t="s">
        <v>1929</v>
      </c>
      <c r="B22" s="82" t="s">
        <v>1929</v>
      </c>
      <c r="C22" s="82" t="str">
        <f t="shared" si="0"/>
        <v>X</v>
      </c>
      <c r="D22" s="222">
        <v>2022</v>
      </c>
      <c r="E22" s="83" t="s">
        <v>623</v>
      </c>
      <c r="F22" t="s">
        <v>620</v>
      </c>
      <c r="G22" s="269">
        <v>2015</v>
      </c>
      <c r="H22" t="s">
        <v>733</v>
      </c>
      <c r="I22" s="221" t="str">
        <f t="shared" si="1"/>
        <v>Ligeiro de Passageiros M1: Geral : Gasóleo : E6</v>
      </c>
      <c r="J22" s="272">
        <v>1565</v>
      </c>
      <c r="K22" t="s">
        <v>630</v>
      </c>
      <c r="L22">
        <v>25409</v>
      </c>
      <c r="M22" s="125">
        <v>4</v>
      </c>
      <c r="N22" s="133">
        <f t="shared" si="3"/>
        <v>6.1592349167617773</v>
      </c>
      <c r="O22" s="85" t="s">
        <v>2840</v>
      </c>
      <c r="P22" s="220" t="s">
        <v>1888</v>
      </c>
      <c r="Q22" s="220" t="s">
        <v>1861</v>
      </c>
      <c r="R22" t="s">
        <v>1972</v>
      </c>
      <c r="S22" t="s">
        <v>2833</v>
      </c>
    </row>
    <row r="23" spans="1:19" ht="15.75" thickBot="1" x14ac:dyDescent="0.3">
      <c r="A23" s="82" t="s">
        <v>1929</v>
      </c>
      <c r="B23" s="82" t="s">
        <v>1929</v>
      </c>
      <c r="C23" s="82" t="str">
        <f t="shared" si="0"/>
        <v>X</v>
      </c>
      <c r="D23" s="222">
        <v>2022</v>
      </c>
      <c r="E23" s="83" t="s">
        <v>623</v>
      </c>
      <c r="F23" t="s">
        <v>620</v>
      </c>
      <c r="G23" s="269">
        <v>2019</v>
      </c>
      <c r="H23" t="s">
        <v>733</v>
      </c>
      <c r="I23" s="221" t="str">
        <f t="shared" si="1"/>
        <v>Ligeiro de Passageiros M1: Geral : Gasóleo : E6</v>
      </c>
      <c r="J23" s="272">
        <v>406.3</v>
      </c>
      <c r="K23" t="s">
        <v>630</v>
      </c>
      <c r="L23">
        <v>9261</v>
      </c>
      <c r="M23" s="125">
        <v>4</v>
      </c>
      <c r="N23" s="133">
        <f t="shared" si="3"/>
        <v>4.387215203541734</v>
      </c>
      <c r="O23" s="85" t="s">
        <v>2840</v>
      </c>
      <c r="P23" s="220" t="s">
        <v>1888</v>
      </c>
      <c r="Q23" s="220" t="s">
        <v>1861</v>
      </c>
      <c r="R23" t="s">
        <v>1972</v>
      </c>
      <c r="S23" t="s">
        <v>2833</v>
      </c>
    </row>
    <row r="24" spans="1:19" ht="15.75" thickBot="1" x14ac:dyDescent="0.3">
      <c r="A24" s="82" t="s">
        <v>1929</v>
      </c>
      <c r="B24" s="82" t="s">
        <v>1929</v>
      </c>
      <c r="C24" s="82" t="str">
        <f t="shared" si="0"/>
        <v>X</v>
      </c>
      <c r="D24" s="222">
        <v>2022</v>
      </c>
      <c r="E24" s="83" t="s">
        <v>623</v>
      </c>
      <c r="F24" t="s">
        <v>620</v>
      </c>
      <c r="G24" s="269">
        <v>2018</v>
      </c>
      <c r="H24" t="s">
        <v>733</v>
      </c>
      <c r="I24" s="221" t="str">
        <f t="shared" si="1"/>
        <v>Ligeiro de Passageiros M1: Geral : Gasóleo : E6</v>
      </c>
      <c r="J24" s="272">
        <v>1419</v>
      </c>
      <c r="K24" t="s">
        <v>630</v>
      </c>
      <c r="L24">
        <v>28343</v>
      </c>
      <c r="M24" s="125">
        <v>4</v>
      </c>
      <c r="N24" s="133">
        <f t="shared" si="3"/>
        <v>5.0065271848428186</v>
      </c>
      <c r="O24" s="85" t="s">
        <v>2840</v>
      </c>
      <c r="P24" s="220" t="s">
        <v>1888</v>
      </c>
      <c r="Q24" s="220" t="s">
        <v>1861</v>
      </c>
      <c r="R24" t="s">
        <v>1972</v>
      </c>
      <c r="S24" t="s">
        <v>2833</v>
      </c>
    </row>
    <row r="25" spans="1:19" ht="15.75" thickBot="1" x14ac:dyDescent="0.3">
      <c r="A25" s="82" t="s">
        <v>1929</v>
      </c>
      <c r="B25" s="82" t="s">
        <v>1929</v>
      </c>
      <c r="C25" s="82" t="str">
        <f t="shared" si="0"/>
        <v>X</v>
      </c>
      <c r="D25" s="222">
        <v>2022</v>
      </c>
      <c r="E25" s="83" t="s">
        <v>623</v>
      </c>
      <c r="F25" t="s">
        <v>620</v>
      </c>
      <c r="G25" s="269">
        <v>2018</v>
      </c>
      <c r="H25" t="s">
        <v>733</v>
      </c>
      <c r="I25" s="221" t="str">
        <f t="shared" si="1"/>
        <v>Ligeiro de Passageiros M1: Geral : Gasóleo : E6</v>
      </c>
      <c r="J25" s="272">
        <v>915.2</v>
      </c>
      <c r="K25" t="s">
        <v>630</v>
      </c>
      <c r="L25">
        <v>20794</v>
      </c>
      <c r="M25" s="125">
        <v>4</v>
      </c>
      <c r="N25" s="133">
        <f t="shared" si="3"/>
        <v>4.4012695969991347</v>
      </c>
      <c r="O25" s="85" t="s">
        <v>2840</v>
      </c>
      <c r="P25" s="220" t="s">
        <v>1888</v>
      </c>
      <c r="Q25" s="220" t="s">
        <v>1861</v>
      </c>
      <c r="R25" t="s">
        <v>1972</v>
      </c>
      <c r="S25" t="s">
        <v>2833</v>
      </c>
    </row>
    <row r="26" spans="1:19" ht="15.75" thickBot="1" x14ac:dyDescent="0.3">
      <c r="A26" s="82" t="s">
        <v>1929</v>
      </c>
      <c r="B26" s="82" t="s">
        <v>1929</v>
      </c>
      <c r="C26" s="82" t="str">
        <f t="shared" si="0"/>
        <v>X</v>
      </c>
      <c r="D26" s="222">
        <v>2022</v>
      </c>
      <c r="E26" s="83" t="s">
        <v>623</v>
      </c>
      <c r="F26" t="s">
        <v>620</v>
      </c>
      <c r="G26" s="269">
        <v>2022</v>
      </c>
      <c r="H26" t="s">
        <v>733</v>
      </c>
      <c r="I26" s="221" t="str">
        <f t="shared" si="1"/>
        <v>Ligeiro de Passageiros M1: Geral : Gasóleo : E6</v>
      </c>
      <c r="J26" s="272">
        <v>257.5</v>
      </c>
      <c r="K26" t="s">
        <v>630</v>
      </c>
      <c r="L26">
        <v>16094</v>
      </c>
      <c r="M26" s="125">
        <v>4</v>
      </c>
      <c r="N26" s="133">
        <f t="shared" si="3"/>
        <v>1.5999751460171492</v>
      </c>
      <c r="O26" s="85" t="s">
        <v>2840</v>
      </c>
      <c r="P26" s="220" t="s">
        <v>1888</v>
      </c>
      <c r="Q26" s="220" t="s">
        <v>1861</v>
      </c>
      <c r="R26" t="s">
        <v>1972</v>
      </c>
      <c r="S26" t="s">
        <v>2833</v>
      </c>
    </row>
    <row r="27" spans="1:19" ht="15.75" thickBot="1" x14ac:dyDescent="0.3">
      <c r="A27" s="82" t="s">
        <v>1929</v>
      </c>
      <c r="B27" s="82" t="s">
        <v>1929</v>
      </c>
      <c r="C27" s="82" t="str">
        <f t="shared" si="0"/>
        <v>X</v>
      </c>
      <c r="D27" s="222">
        <v>2022</v>
      </c>
      <c r="E27" s="83" t="s">
        <v>623</v>
      </c>
      <c r="F27" t="s">
        <v>620</v>
      </c>
      <c r="G27" s="269">
        <v>2017</v>
      </c>
      <c r="H27" t="s">
        <v>733</v>
      </c>
      <c r="I27" s="221" t="str">
        <f t="shared" si="1"/>
        <v>Ligeiro de Passageiros M1: Geral : Gasóleo : E6</v>
      </c>
      <c r="J27" s="272">
        <v>855.3</v>
      </c>
      <c r="K27" t="s">
        <v>630</v>
      </c>
      <c r="L27">
        <v>16399</v>
      </c>
      <c r="M27" s="125">
        <v>4</v>
      </c>
      <c r="N27" s="133">
        <f t="shared" si="3"/>
        <v>5.2155619245075915</v>
      </c>
      <c r="O27" s="85" t="s">
        <v>2840</v>
      </c>
      <c r="P27" s="220" t="s">
        <v>1888</v>
      </c>
      <c r="Q27" s="220" t="s">
        <v>1861</v>
      </c>
      <c r="R27" t="s">
        <v>1972</v>
      </c>
      <c r="S27" t="s">
        <v>2833</v>
      </c>
    </row>
    <row r="28" spans="1:19" ht="15.75" thickBot="1" x14ac:dyDescent="0.3">
      <c r="A28" s="82" t="s">
        <v>1929</v>
      </c>
      <c r="B28" s="82" t="s">
        <v>1929</v>
      </c>
      <c r="C28" s="82" t="str">
        <f t="shared" si="0"/>
        <v>X</v>
      </c>
      <c r="D28" s="222">
        <v>2022</v>
      </c>
      <c r="E28" s="83" t="s">
        <v>623</v>
      </c>
      <c r="F28" t="s">
        <v>620</v>
      </c>
      <c r="G28" s="269">
        <v>2019</v>
      </c>
      <c r="H28" t="s">
        <v>733</v>
      </c>
      <c r="I28" s="221" t="str">
        <f t="shared" si="1"/>
        <v>Ligeiro de Passageiros M1: Geral : Gasóleo : E6</v>
      </c>
      <c r="J28" s="272">
        <v>722.6</v>
      </c>
      <c r="K28" t="s">
        <v>630</v>
      </c>
      <c r="L28">
        <v>10757</v>
      </c>
      <c r="M28" s="125">
        <v>4</v>
      </c>
      <c r="N28" s="133">
        <f t="shared" si="3"/>
        <v>6.7174862879985131</v>
      </c>
      <c r="O28" s="85" t="s">
        <v>2840</v>
      </c>
      <c r="P28" s="220" t="s">
        <v>1888</v>
      </c>
      <c r="Q28" s="220" t="s">
        <v>1861</v>
      </c>
      <c r="R28" t="s">
        <v>1972</v>
      </c>
      <c r="S28" t="s">
        <v>2833</v>
      </c>
    </row>
    <row r="29" spans="1:19" ht="15.75" thickBot="1" x14ac:dyDescent="0.3">
      <c r="A29" s="82" t="s">
        <v>1929</v>
      </c>
      <c r="B29" s="82" t="s">
        <v>1929</v>
      </c>
      <c r="C29" s="82" t="str">
        <f t="shared" si="0"/>
        <v>X</v>
      </c>
      <c r="D29" s="222">
        <v>2022</v>
      </c>
      <c r="E29" s="83" t="s">
        <v>623</v>
      </c>
      <c r="F29" t="s">
        <v>620</v>
      </c>
      <c r="G29" s="269">
        <v>2000</v>
      </c>
      <c r="I29" s="221" t="str">
        <f t="shared" si="1"/>
        <v>Ligeiro de Passageiros M1: Geral : Gasóleo : Geral</v>
      </c>
      <c r="J29" s="272">
        <v>1039.5999999999999</v>
      </c>
      <c r="K29" t="s">
        <v>630</v>
      </c>
      <c r="L29">
        <v>16169</v>
      </c>
      <c r="M29" s="125">
        <v>4</v>
      </c>
      <c r="N29" s="133">
        <f t="shared" si="3"/>
        <v>6.4295874822190608</v>
      </c>
      <c r="O29" s="85" t="s">
        <v>2840</v>
      </c>
      <c r="P29" s="220" t="s">
        <v>1888</v>
      </c>
      <c r="Q29" s="220" t="s">
        <v>1861</v>
      </c>
      <c r="R29" t="s">
        <v>1972</v>
      </c>
      <c r="S29" t="s">
        <v>2833</v>
      </c>
    </row>
    <row r="30" spans="1:19" ht="15.75" thickBot="1" x14ac:dyDescent="0.3">
      <c r="A30" s="82" t="s">
        <v>1929</v>
      </c>
      <c r="B30" s="82" t="s">
        <v>1929</v>
      </c>
      <c r="C30" s="82" t="str">
        <f t="shared" si="0"/>
        <v>X</v>
      </c>
      <c r="D30" s="222">
        <v>2022</v>
      </c>
      <c r="E30" s="83" t="s">
        <v>623</v>
      </c>
      <c r="F30" t="s">
        <v>620</v>
      </c>
      <c r="G30" s="269">
        <v>2018</v>
      </c>
      <c r="H30" t="s">
        <v>733</v>
      </c>
      <c r="I30" s="221" t="str">
        <f t="shared" si="1"/>
        <v>Ligeiro de Passageiros M1: Geral : Gasóleo : E6</v>
      </c>
      <c r="J30" s="272">
        <v>1954.6</v>
      </c>
      <c r="K30" t="s">
        <v>630</v>
      </c>
      <c r="L30">
        <v>41722</v>
      </c>
      <c r="M30" s="125">
        <v>4</v>
      </c>
      <c r="N30" s="133">
        <f t="shared" si="3"/>
        <v>4.6848185609510571</v>
      </c>
      <c r="O30" s="85" t="s">
        <v>2840</v>
      </c>
      <c r="P30" s="220" t="s">
        <v>1888</v>
      </c>
      <c r="Q30" s="220" t="s">
        <v>1861</v>
      </c>
      <c r="R30" t="s">
        <v>1972</v>
      </c>
      <c r="S30" t="s">
        <v>2833</v>
      </c>
    </row>
    <row r="31" spans="1:19" ht="15.75" thickBot="1" x14ac:dyDescent="0.3">
      <c r="A31" s="82" t="s">
        <v>1929</v>
      </c>
      <c r="B31" s="82" t="s">
        <v>1929</v>
      </c>
      <c r="C31" s="82" t="str">
        <f t="shared" si="0"/>
        <v>X</v>
      </c>
      <c r="D31" s="222">
        <v>2022</v>
      </c>
      <c r="E31" s="83" t="s">
        <v>623</v>
      </c>
      <c r="F31" t="s">
        <v>620</v>
      </c>
      <c r="G31" s="269">
        <v>2015</v>
      </c>
      <c r="H31" t="s">
        <v>733</v>
      </c>
      <c r="I31" s="221" t="str">
        <f t="shared" si="1"/>
        <v>Ligeiro de Passageiros M1: Geral : Gasóleo : E6</v>
      </c>
      <c r="J31" s="272">
        <v>788.3</v>
      </c>
      <c r="K31" t="s">
        <v>630</v>
      </c>
      <c r="L31">
        <v>11706</v>
      </c>
      <c r="M31" s="125">
        <v>4</v>
      </c>
      <c r="N31" s="133">
        <f t="shared" si="3"/>
        <v>6.7341534255937123</v>
      </c>
      <c r="O31" s="85" t="s">
        <v>2840</v>
      </c>
      <c r="P31" s="220" t="s">
        <v>1888</v>
      </c>
      <c r="Q31" s="220" t="s">
        <v>1861</v>
      </c>
      <c r="R31" t="s">
        <v>1972</v>
      </c>
      <c r="S31" t="s">
        <v>2833</v>
      </c>
    </row>
    <row r="32" spans="1:19" ht="15.75" thickBot="1" x14ac:dyDescent="0.3">
      <c r="A32" s="82" t="s">
        <v>1929</v>
      </c>
      <c r="B32" s="82" t="s">
        <v>1929</v>
      </c>
      <c r="C32" s="82" t="str">
        <f t="shared" si="0"/>
        <v>X</v>
      </c>
      <c r="D32" s="222">
        <v>2022</v>
      </c>
      <c r="E32" s="83" t="s">
        <v>623</v>
      </c>
      <c r="F32" t="s">
        <v>620</v>
      </c>
      <c r="G32" s="269">
        <v>2017</v>
      </c>
      <c r="H32" t="s">
        <v>733</v>
      </c>
      <c r="I32" s="221" t="str">
        <f t="shared" si="1"/>
        <v>Ligeiro de Passageiros M1: Geral : Gasóleo : E6</v>
      </c>
      <c r="J32" s="272">
        <v>1242.7</v>
      </c>
      <c r="K32" t="s">
        <v>630</v>
      </c>
      <c r="L32">
        <v>24109</v>
      </c>
      <c r="M32" s="125">
        <v>4</v>
      </c>
      <c r="N32" s="133">
        <f t="shared" si="3"/>
        <v>5.1545066157866355</v>
      </c>
      <c r="O32" s="85" t="s">
        <v>2840</v>
      </c>
      <c r="P32" s="220" t="s">
        <v>1888</v>
      </c>
      <c r="Q32" s="220" t="s">
        <v>1861</v>
      </c>
      <c r="R32" t="s">
        <v>1972</v>
      </c>
      <c r="S32" t="s">
        <v>2833</v>
      </c>
    </row>
    <row r="33" spans="1:19" ht="15.75" thickBot="1" x14ac:dyDescent="0.3">
      <c r="A33" s="82" t="s">
        <v>1929</v>
      </c>
      <c r="B33" s="82" t="s">
        <v>1929</v>
      </c>
      <c r="C33" s="82" t="str">
        <f t="shared" si="0"/>
        <v>X</v>
      </c>
      <c r="D33" s="222">
        <v>2022</v>
      </c>
      <c r="E33" s="83" t="s">
        <v>623</v>
      </c>
      <c r="F33" t="s">
        <v>620</v>
      </c>
      <c r="G33" s="269">
        <v>2010</v>
      </c>
      <c r="I33" s="221" t="str">
        <f t="shared" si="1"/>
        <v>Ligeiro de Passageiros M1: Geral : Gasóleo : Geral</v>
      </c>
      <c r="J33" s="272">
        <v>1210.5999999999999</v>
      </c>
      <c r="K33" t="s">
        <v>630</v>
      </c>
      <c r="L33">
        <v>19222</v>
      </c>
      <c r="M33" s="125">
        <v>4</v>
      </c>
      <c r="N33" s="133">
        <f t="shared" si="3"/>
        <v>6.2979918842992397</v>
      </c>
      <c r="O33" s="85" t="s">
        <v>2840</v>
      </c>
      <c r="P33" s="220" t="s">
        <v>1888</v>
      </c>
      <c r="Q33" s="220" t="s">
        <v>1861</v>
      </c>
      <c r="R33" t="s">
        <v>1972</v>
      </c>
      <c r="S33" t="s">
        <v>2833</v>
      </c>
    </row>
    <row r="34" spans="1:19" ht="15.75" thickBot="1" x14ac:dyDescent="0.3">
      <c r="A34" s="82" t="s">
        <v>1929</v>
      </c>
      <c r="B34" s="82" t="s">
        <v>1929</v>
      </c>
      <c r="C34" s="82" t="str">
        <f t="shared" si="0"/>
        <v>X</v>
      </c>
      <c r="D34" s="222">
        <v>2022</v>
      </c>
      <c r="E34" s="83" t="s">
        <v>623</v>
      </c>
      <c r="F34" t="s">
        <v>620</v>
      </c>
      <c r="G34" s="269">
        <v>2016</v>
      </c>
      <c r="H34" t="s">
        <v>733</v>
      </c>
      <c r="I34" s="221" t="str">
        <f t="shared" si="1"/>
        <v>Ligeiro de Passageiros M1: Geral : Gasóleo : E6</v>
      </c>
      <c r="J34" s="272">
        <v>789</v>
      </c>
      <c r="K34" t="s">
        <v>630</v>
      </c>
      <c r="L34">
        <v>11902</v>
      </c>
      <c r="M34" s="125">
        <v>4</v>
      </c>
      <c r="N34" s="133">
        <f t="shared" si="3"/>
        <v>6.6291379600067213</v>
      </c>
      <c r="O34" s="85" t="s">
        <v>2840</v>
      </c>
      <c r="P34" s="220" t="s">
        <v>1888</v>
      </c>
      <c r="Q34" s="220" t="s">
        <v>1861</v>
      </c>
      <c r="R34" t="s">
        <v>1972</v>
      </c>
      <c r="S34" t="s">
        <v>2833</v>
      </c>
    </row>
    <row r="35" spans="1:19" ht="15.75" thickBot="1" x14ac:dyDescent="0.3">
      <c r="A35" s="82" t="s">
        <v>1929</v>
      </c>
      <c r="B35" s="82" t="s">
        <v>1929</v>
      </c>
      <c r="C35" s="82" t="str">
        <f t="shared" si="0"/>
        <v>X</v>
      </c>
      <c r="D35" s="222">
        <v>2022</v>
      </c>
      <c r="E35" s="83" t="s">
        <v>623</v>
      </c>
      <c r="F35" t="s">
        <v>620</v>
      </c>
      <c r="G35" s="269">
        <v>2019</v>
      </c>
      <c r="H35" t="s">
        <v>733</v>
      </c>
      <c r="I35" s="221" t="str">
        <f t="shared" si="1"/>
        <v>Ligeiro de Passageiros M1: Geral : Gasóleo : E6</v>
      </c>
      <c r="J35" s="272">
        <v>1296.0999999999999</v>
      </c>
      <c r="K35" t="s">
        <v>630</v>
      </c>
      <c r="L35">
        <v>29419</v>
      </c>
      <c r="M35" s="125">
        <v>4</v>
      </c>
      <c r="N35" s="133">
        <f t="shared" si="3"/>
        <v>4.4056562085726902</v>
      </c>
      <c r="O35" s="85" t="s">
        <v>2840</v>
      </c>
      <c r="P35" s="220" t="s">
        <v>1888</v>
      </c>
      <c r="Q35" s="220" t="s">
        <v>1861</v>
      </c>
      <c r="R35" t="s">
        <v>1972</v>
      </c>
      <c r="S35" t="s">
        <v>2833</v>
      </c>
    </row>
    <row r="36" spans="1:19" ht="15.75" thickBot="1" x14ac:dyDescent="0.3">
      <c r="A36" s="82" t="s">
        <v>1929</v>
      </c>
      <c r="B36" s="82" t="s">
        <v>1929</v>
      </c>
      <c r="C36" s="82" t="str">
        <f t="shared" si="0"/>
        <v>X</v>
      </c>
      <c r="D36" s="222">
        <v>2022</v>
      </c>
      <c r="E36" s="83" t="s">
        <v>623</v>
      </c>
      <c r="F36" t="s">
        <v>620</v>
      </c>
      <c r="G36" s="269">
        <v>2015</v>
      </c>
      <c r="H36" t="s">
        <v>733</v>
      </c>
      <c r="I36" s="221" t="str">
        <f t="shared" si="1"/>
        <v>Ligeiro de Passageiros M1: Geral : Gasóleo : E6</v>
      </c>
      <c r="J36" s="272">
        <v>1253</v>
      </c>
      <c r="K36" t="s">
        <v>630</v>
      </c>
      <c r="L36">
        <v>19536</v>
      </c>
      <c r="M36" s="125">
        <v>4</v>
      </c>
      <c r="N36" s="133">
        <f t="shared" si="3"/>
        <v>6.4138001638001638</v>
      </c>
      <c r="O36" s="85" t="s">
        <v>2840</v>
      </c>
      <c r="P36" s="220" t="s">
        <v>1888</v>
      </c>
      <c r="Q36" s="220" t="s">
        <v>1861</v>
      </c>
      <c r="R36" t="s">
        <v>1972</v>
      </c>
      <c r="S36" t="s">
        <v>2833</v>
      </c>
    </row>
    <row r="37" spans="1:19" ht="15.75" thickBot="1" x14ac:dyDescent="0.3">
      <c r="A37" s="82" t="s">
        <v>1929</v>
      </c>
      <c r="B37" s="82" t="s">
        <v>1929</v>
      </c>
      <c r="C37" s="82" t="str">
        <f t="shared" si="0"/>
        <v>X</v>
      </c>
      <c r="D37" s="222">
        <v>2022</v>
      </c>
      <c r="E37" s="83" t="s">
        <v>623</v>
      </c>
      <c r="F37" t="s">
        <v>620</v>
      </c>
      <c r="G37" s="269">
        <v>2016</v>
      </c>
      <c r="H37" t="s">
        <v>733</v>
      </c>
      <c r="I37" s="221" t="str">
        <f t="shared" si="1"/>
        <v>Ligeiro de Passageiros M1: Geral : Gasóleo : E6</v>
      </c>
      <c r="J37" s="272">
        <v>2073.1</v>
      </c>
      <c r="K37" t="s">
        <v>630</v>
      </c>
      <c r="L37">
        <v>25908</v>
      </c>
      <c r="M37" s="125">
        <v>2</v>
      </c>
      <c r="N37" s="133">
        <f t="shared" si="3"/>
        <v>8.0017755133549464</v>
      </c>
      <c r="O37" s="85" t="s">
        <v>2841</v>
      </c>
      <c r="P37" s="220" t="s">
        <v>1888</v>
      </c>
      <c r="Q37" s="220" t="s">
        <v>1861</v>
      </c>
      <c r="R37" t="s">
        <v>1972</v>
      </c>
      <c r="S37" t="s">
        <v>2833</v>
      </c>
    </row>
    <row r="38" spans="1:19" ht="15.75" thickBot="1" x14ac:dyDescent="0.3">
      <c r="A38" s="82" t="s">
        <v>1929</v>
      </c>
      <c r="B38" s="82" t="s">
        <v>1929</v>
      </c>
      <c r="C38" s="82" t="str">
        <f t="shared" si="0"/>
        <v>X</v>
      </c>
      <c r="D38" s="222">
        <v>2022</v>
      </c>
      <c r="E38" s="83" t="s">
        <v>623</v>
      </c>
      <c r="F38" t="s">
        <v>620</v>
      </c>
      <c r="G38" s="269">
        <v>2019</v>
      </c>
      <c r="H38" t="s">
        <v>733</v>
      </c>
      <c r="I38" s="221" t="str">
        <f t="shared" si="1"/>
        <v>Ligeiro de Passageiros M1: Geral : Gasóleo : E6</v>
      </c>
      <c r="J38" s="272">
        <v>2183</v>
      </c>
      <c r="K38" t="s">
        <v>630</v>
      </c>
      <c r="L38">
        <v>50360</v>
      </c>
      <c r="M38" s="125">
        <v>2</v>
      </c>
      <c r="N38" s="133">
        <f t="shared" si="3"/>
        <v>4.3347895154884828</v>
      </c>
      <c r="O38" s="85" t="s">
        <v>2841</v>
      </c>
      <c r="P38" s="220" t="s">
        <v>1888</v>
      </c>
      <c r="Q38" s="220" t="s">
        <v>1861</v>
      </c>
      <c r="R38" t="s">
        <v>1972</v>
      </c>
      <c r="S38" t="s">
        <v>2833</v>
      </c>
    </row>
    <row r="39" spans="1:19" ht="15.75" thickBot="1" x14ac:dyDescent="0.3">
      <c r="A39" s="82" t="s">
        <v>1929</v>
      </c>
      <c r="B39" s="82" t="s">
        <v>1929</v>
      </c>
      <c r="C39" s="82" t="str">
        <f t="shared" si="0"/>
        <v>X</v>
      </c>
      <c r="D39" s="222">
        <v>2022</v>
      </c>
      <c r="E39" s="83" t="s">
        <v>623</v>
      </c>
      <c r="F39" t="s">
        <v>620</v>
      </c>
      <c r="G39" s="269">
        <v>2016</v>
      </c>
      <c r="H39" t="s">
        <v>733</v>
      </c>
      <c r="I39" s="221" t="str">
        <f t="shared" si="1"/>
        <v>Ligeiro de Passageiros M1: Geral : Gasóleo : E6</v>
      </c>
      <c r="J39" s="272">
        <v>1327</v>
      </c>
      <c r="K39" t="s">
        <v>630</v>
      </c>
      <c r="L39">
        <v>15458</v>
      </c>
      <c r="M39" s="125">
        <v>2</v>
      </c>
      <c r="N39" s="133">
        <f t="shared" si="3"/>
        <v>8.5845516884461119</v>
      </c>
      <c r="O39" s="85" t="s">
        <v>2841</v>
      </c>
      <c r="P39" s="220" t="s">
        <v>1888</v>
      </c>
      <c r="Q39" s="220" t="s">
        <v>1861</v>
      </c>
      <c r="R39" t="s">
        <v>1972</v>
      </c>
      <c r="S39" t="s">
        <v>2833</v>
      </c>
    </row>
    <row r="40" spans="1:19" ht="15.75" thickBot="1" x14ac:dyDescent="0.3">
      <c r="A40" s="82" t="s">
        <v>1929</v>
      </c>
      <c r="B40" s="82" t="s">
        <v>1929</v>
      </c>
      <c r="C40" s="82" t="str">
        <f t="shared" si="0"/>
        <v>X</v>
      </c>
      <c r="D40" s="222">
        <v>2022</v>
      </c>
      <c r="E40" s="83" t="s">
        <v>623</v>
      </c>
      <c r="F40" t="s">
        <v>620</v>
      </c>
      <c r="G40" s="269">
        <v>2010</v>
      </c>
      <c r="I40" s="221" t="str">
        <f t="shared" si="1"/>
        <v>Ligeiro de Passageiros M1: Geral : Gasóleo : Geral</v>
      </c>
      <c r="J40" s="272">
        <v>581</v>
      </c>
      <c r="K40" t="s">
        <v>630</v>
      </c>
      <c r="L40">
        <v>11076</v>
      </c>
      <c r="M40" s="125">
        <v>4</v>
      </c>
      <c r="N40" s="133">
        <f t="shared" si="3"/>
        <v>5.2455760202239077</v>
      </c>
      <c r="O40" s="85" t="s">
        <v>2840</v>
      </c>
      <c r="P40" s="220" t="s">
        <v>1888</v>
      </c>
      <c r="Q40" s="220" t="s">
        <v>1861</v>
      </c>
      <c r="R40" t="s">
        <v>1972</v>
      </c>
      <c r="S40" t="s">
        <v>2833</v>
      </c>
    </row>
    <row r="41" spans="1:19" ht="15.75" thickBot="1" x14ac:dyDescent="0.3">
      <c r="A41" s="82" t="s">
        <v>1929</v>
      </c>
      <c r="B41" s="82" t="s">
        <v>1929</v>
      </c>
      <c r="C41" s="82" t="str">
        <f t="shared" si="0"/>
        <v>X</v>
      </c>
      <c r="D41" s="222">
        <v>2022</v>
      </c>
      <c r="E41" s="83" t="s">
        <v>623</v>
      </c>
      <c r="F41" t="s">
        <v>620</v>
      </c>
      <c r="G41" s="269">
        <v>2018</v>
      </c>
      <c r="H41" t="s">
        <v>733</v>
      </c>
      <c r="I41" s="221" t="str">
        <f t="shared" si="1"/>
        <v>Ligeiro de Passageiros M1: Geral : Gasóleo : E6</v>
      </c>
      <c r="J41" s="272">
        <v>1243.2</v>
      </c>
      <c r="K41" t="s">
        <v>630</v>
      </c>
      <c r="L41">
        <v>18931</v>
      </c>
      <c r="M41" s="125">
        <v>4</v>
      </c>
      <c r="N41" s="133">
        <f t="shared" si="3"/>
        <v>6.5670064972795945</v>
      </c>
      <c r="O41" s="85" t="s">
        <v>2840</v>
      </c>
      <c r="P41" s="220" t="s">
        <v>1888</v>
      </c>
      <c r="Q41" s="220" t="s">
        <v>1861</v>
      </c>
      <c r="R41" t="s">
        <v>1972</v>
      </c>
      <c r="S41" t="s">
        <v>2833</v>
      </c>
    </row>
    <row r="42" spans="1:19" ht="15.75" thickBot="1" x14ac:dyDescent="0.3">
      <c r="A42" s="82" t="s">
        <v>1929</v>
      </c>
      <c r="B42" s="82" t="s">
        <v>1929</v>
      </c>
      <c r="C42" s="82" t="str">
        <f t="shared" si="0"/>
        <v>X</v>
      </c>
      <c r="D42" s="222">
        <v>2022</v>
      </c>
      <c r="E42" s="83" t="s">
        <v>623</v>
      </c>
      <c r="F42" t="s">
        <v>620</v>
      </c>
      <c r="G42" s="269">
        <v>2011</v>
      </c>
      <c r="I42" s="221" t="str">
        <f t="shared" si="1"/>
        <v>Ligeiro de Passageiros M1: Geral : Gasóleo : Geral</v>
      </c>
      <c r="J42" s="272">
        <v>1319.4</v>
      </c>
      <c r="K42" t="s">
        <v>630</v>
      </c>
      <c r="L42">
        <v>23761</v>
      </c>
      <c r="M42" s="125">
        <v>4</v>
      </c>
      <c r="N42" s="133">
        <f t="shared" si="3"/>
        <v>5.5527965994697199</v>
      </c>
      <c r="O42" s="85" t="s">
        <v>2840</v>
      </c>
      <c r="P42" s="220" t="s">
        <v>1888</v>
      </c>
      <c r="Q42" s="220" t="s">
        <v>1861</v>
      </c>
      <c r="R42" t="s">
        <v>1972</v>
      </c>
      <c r="S42" t="s">
        <v>2833</v>
      </c>
    </row>
    <row r="43" spans="1:19" ht="15.75" thickBot="1" x14ac:dyDescent="0.3">
      <c r="A43" s="82" t="s">
        <v>1929</v>
      </c>
      <c r="B43" s="82" t="s">
        <v>1929</v>
      </c>
      <c r="C43" s="82" t="str">
        <f t="shared" si="0"/>
        <v>X</v>
      </c>
      <c r="D43" s="222">
        <v>2022</v>
      </c>
      <c r="E43" s="83" t="s">
        <v>623</v>
      </c>
      <c r="F43" t="s">
        <v>620</v>
      </c>
      <c r="G43" s="269">
        <v>2010</v>
      </c>
      <c r="I43" s="221" t="str">
        <f t="shared" si="1"/>
        <v>Ligeiro de Passageiros M1: Geral : Gasóleo : Geral</v>
      </c>
      <c r="J43" s="272">
        <v>1225.3</v>
      </c>
      <c r="K43" t="s">
        <v>630</v>
      </c>
      <c r="L43">
        <v>16130</v>
      </c>
      <c r="M43" s="125">
        <v>2</v>
      </c>
      <c r="N43" s="133">
        <f t="shared" si="3"/>
        <v>7.5964042157470546</v>
      </c>
      <c r="O43" s="85" t="s">
        <v>2841</v>
      </c>
      <c r="P43" s="220" t="s">
        <v>1888</v>
      </c>
      <c r="Q43" s="220" t="s">
        <v>1861</v>
      </c>
      <c r="R43" t="s">
        <v>1972</v>
      </c>
      <c r="S43" t="s">
        <v>2833</v>
      </c>
    </row>
    <row r="44" spans="1:19" ht="15.75" thickBot="1" x14ac:dyDescent="0.3">
      <c r="A44" s="82" t="s">
        <v>1929</v>
      </c>
      <c r="B44" s="82" t="s">
        <v>1929</v>
      </c>
      <c r="C44" s="82" t="str">
        <f t="shared" si="0"/>
        <v>X</v>
      </c>
      <c r="D44" s="222">
        <v>2022</v>
      </c>
      <c r="E44" s="83" t="s">
        <v>623</v>
      </c>
      <c r="F44" t="s">
        <v>620</v>
      </c>
      <c r="G44" s="269">
        <v>2019</v>
      </c>
      <c r="H44" t="s">
        <v>733</v>
      </c>
      <c r="I44" s="221" t="str">
        <f t="shared" si="1"/>
        <v>Ligeiro de Passageiros M1: Geral : Gasóleo : E6</v>
      </c>
      <c r="J44" s="272">
        <v>1133.9000000000001</v>
      </c>
      <c r="K44" t="s">
        <v>630</v>
      </c>
      <c r="L44">
        <v>23859</v>
      </c>
      <c r="M44" s="125">
        <v>4</v>
      </c>
      <c r="N44" s="133">
        <f t="shared" si="3"/>
        <v>4.752504296072761</v>
      </c>
      <c r="O44" s="85" t="s">
        <v>2840</v>
      </c>
      <c r="P44" s="220" t="s">
        <v>1888</v>
      </c>
      <c r="Q44" s="220" t="s">
        <v>1861</v>
      </c>
      <c r="R44" t="s">
        <v>1972</v>
      </c>
      <c r="S44" t="s">
        <v>2833</v>
      </c>
    </row>
    <row r="45" spans="1:19" ht="15.75" thickBot="1" x14ac:dyDescent="0.3">
      <c r="A45" s="82" t="s">
        <v>1929</v>
      </c>
      <c r="B45" s="82" t="s">
        <v>1929</v>
      </c>
      <c r="C45" s="82" t="str">
        <f t="shared" si="0"/>
        <v>X</v>
      </c>
      <c r="D45" s="222">
        <v>2022</v>
      </c>
      <c r="E45" s="83" t="s">
        <v>623</v>
      </c>
      <c r="F45" t="s">
        <v>1952</v>
      </c>
      <c r="G45" s="269">
        <v>2014</v>
      </c>
      <c r="I45" s="221" t="str">
        <f t="shared" si="1"/>
        <v>Ligeiro de Passageiros M1: Geral : Gasolina : Geral</v>
      </c>
      <c r="J45" s="272">
        <v>4328.8999999999996</v>
      </c>
      <c r="K45" t="s">
        <v>630</v>
      </c>
      <c r="L45">
        <v>36004</v>
      </c>
      <c r="M45" s="125">
        <v>2</v>
      </c>
      <c r="N45" s="133">
        <f t="shared" si="3"/>
        <v>12.023386290412176</v>
      </c>
      <c r="O45" s="85" t="s">
        <v>2841</v>
      </c>
      <c r="P45" s="220" t="s">
        <v>1888</v>
      </c>
      <c r="Q45" s="220" t="s">
        <v>1861</v>
      </c>
      <c r="R45" t="s">
        <v>1972</v>
      </c>
      <c r="S45" t="s">
        <v>2833</v>
      </c>
    </row>
    <row r="46" spans="1:19" ht="15.75" thickBot="1" x14ac:dyDescent="0.3">
      <c r="A46" s="82" t="s">
        <v>2842</v>
      </c>
      <c r="B46" s="82" t="s">
        <v>2842</v>
      </c>
      <c r="C46" s="82" t="str">
        <f t="shared" si="0"/>
        <v>X</v>
      </c>
      <c r="D46" s="222">
        <v>2022</v>
      </c>
      <c r="E46" s="83" t="s">
        <v>623</v>
      </c>
      <c r="F46" t="s">
        <v>1952</v>
      </c>
      <c r="I46" s="221" t="str">
        <f t="shared" si="1"/>
        <v>Ligeiro de Passageiros M1: Geral : Gasolina : Geral</v>
      </c>
      <c r="M46" s="125">
        <v>2</v>
      </c>
      <c r="N46" s="133">
        <f t="shared" si="3"/>
        <v>0</v>
      </c>
      <c r="O46" s="91" t="s">
        <v>625</v>
      </c>
      <c r="P46" s="220" t="s">
        <v>1888</v>
      </c>
      <c r="Q46" s="220" t="s">
        <v>1861</v>
      </c>
      <c r="R46" t="s">
        <v>1972</v>
      </c>
      <c r="S46" t="s">
        <v>2833</v>
      </c>
    </row>
    <row r="47" spans="1:19" ht="15.75" thickBot="1" x14ac:dyDescent="0.3">
      <c r="A47" s="82" t="s">
        <v>2842</v>
      </c>
      <c r="B47" s="82" t="s">
        <v>2842</v>
      </c>
      <c r="C47" s="82" t="str">
        <f t="shared" si="0"/>
        <v>X</v>
      </c>
      <c r="D47" s="222">
        <v>2022</v>
      </c>
      <c r="E47" s="83" t="s">
        <v>623</v>
      </c>
      <c r="F47" t="s">
        <v>1952</v>
      </c>
      <c r="I47" s="221" t="str">
        <f t="shared" si="1"/>
        <v>Ligeiro de Passageiros M1: Geral : Gasolina : Geral</v>
      </c>
      <c r="M47" s="125">
        <v>5</v>
      </c>
      <c r="N47" s="133">
        <f t="shared" si="3"/>
        <v>0</v>
      </c>
      <c r="O47" s="91" t="s">
        <v>625</v>
      </c>
      <c r="P47" s="220" t="s">
        <v>1888</v>
      </c>
      <c r="Q47" s="220" t="s">
        <v>1861</v>
      </c>
      <c r="R47" t="s">
        <v>1972</v>
      </c>
      <c r="S47" t="s">
        <v>2833</v>
      </c>
    </row>
    <row r="48" spans="1:19" ht="15.75" thickBot="1" x14ac:dyDescent="0.3">
      <c r="A48" s="82" t="s">
        <v>2842</v>
      </c>
      <c r="B48" s="82" t="s">
        <v>2842</v>
      </c>
      <c r="C48" s="82" t="str">
        <f t="shared" si="0"/>
        <v>X</v>
      </c>
      <c r="D48" s="222">
        <v>2022</v>
      </c>
      <c r="E48" s="83" t="s">
        <v>623</v>
      </c>
      <c r="F48" t="s">
        <v>620</v>
      </c>
      <c r="I48" s="221" t="str">
        <f t="shared" si="1"/>
        <v>Ligeiro de Passageiros M1: Geral : Gasóleo : Geral</v>
      </c>
      <c r="M48" s="125">
        <v>5</v>
      </c>
      <c r="N48" s="133">
        <f t="shared" si="3"/>
        <v>0</v>
      </c>
      <c r="O48" s="91" t="s">
        <v>625</v>
      </c>
      <c r="P48" s="220" t="s">
        <v>1888</v>
      </c>
      <c r="Q48" s="220" t="s">
        <v>1861</v>
      </c>
      <c r="R48" t="s">
        <v>1972</v>
      </c>
      <c r="S48" t="s">
        <v>2833</v>
      </c>
    </row>
    <row r="49" spans="1:19" ht="15.75" thickBot="1" x14ac:dyDescent="0.3">
      <c r="A49" s="82" t="s">
        <v>2842</v>
      </c>
      <c r="B49" s="82" t="s">
        <v>2842</v>
      </c>
      <c r="C49" s="82" t="str">
        <f t="shared" si="0"/>
        <v>X</v>
      </c>
      <c r="D49" s="222">
        <v>2022</v>
      </c>
      <c r="E49" s="83" t="s">
        <v>623</v>
      </c>
      <c r="F49" t="s">
        <v>620</v>
      </c>
      <c r="I49" s="221" t="str">
        <f t="shared" si="1"/>
        <v>Ligeiro de Passageiros M1: Geral : Gasóleo : Geral</v>
      </c>
      <c r="M49" s="125">
        <v>2</v>
      </c>
      <c r="N49" s="133">
        <f t="shared" si="3"/>
        <v>0</v>
      </c>
      <c r="O49" s="91" t="s">
        <v>625</v>
      </c>
      <c r="P49" s="220" t="s">
        <v>1888</v>
      </c>
      <c r="Q49" s="220" t="s">
        <v>1861</v>
      </c>
      <c r="R49" t="s">
        <v>1972</v>
      </c>
      <c r="S49" t="s">
        <v>2833</v>
      </c>
    </row>
    <row r="50" spans="1:19" ht="15.75" thickBot="1" x14ac:dyDescent="0.3">
      <c r="A50" s="82" t="s">
        <v>2842</v>
      </c>
      <c r="B50" s="82" t="s">
        <v>2842</v>
      </c>
      <c r="C50" s="82" t="str">
        <f t="shared" si="0"/>
        <v>X</v>
      </c>
      <c r="D50" s="222">
        <v>2022</v>
      </c>
      <c r="E50" s="83" t="s">
        <v>623</v>
      </c>
      <c r="F50" t="s">
        <v>620</v>
      </c>
      <c r="I50" s="221" t="str">
        <f t="shared" si="1"/>
        <v>Ligeiro de Passageiros M1: Geral : Gasóleo : Geral</v>
      </c>
      <c r="M50" s="125">
        <v>5</v>
      </c>
      <c r="N50" s="133">
        <f t="shared" si="3"/>
        <v>0</v>
      </c>
      <c r="O50" s="91" t="s">
        <v>625</v>
      </c>
      <c r="P50" s="220" t="s">
        <v>1888</v>
      </c>
      <c r="Q50" s="220" t="s">
        <v>1861</v>
      </c>
      <c r="R50" t="s">
        <v>1972</v>
      </c>
      <c r="S50" t="s">
        <v>2833</v>
      </c>
    </row>
    <row r="51" spans="1:19" ht="15.75" thickBot="1" x14ac:dyDescent="0.3">
      <c r="A51" s="82" t="s">
        <v>2842</v>
      </c>
      <c r="B51" s="82" t="s">
        <v>2842</v>
      </c>
      <c r="C51" s="82" t="str">
        <f t="shared" si="0"/>
        <v>X</v>
      </c>
      <c r="D51" s="222">
        <v>2022</v>
      </c>
      <c r="E51" s="83" t="s">
        <v>623</v>
      </c>
      <c r="F51" t="s">
        <v>620</v>
      </c>
      <c r="I51" s="221" t="str">
        <f t="shared" si="1"/>
        <v>Ligeiro de Passageiros M1: Geral : Gasóleo : Geral</v>
      </c>
      <c r="M51" s="125">
        <v>5</v>
      </c>
      <c r="N51" s="133">
        <f t="shared" si="3"/>
        <v>0</v>
      </c>
      <c r="O51" s="91" t="s">
        <v>625</v>
      </c>
      <c r="P51" s="220" t="s">
        <v>1888</v>
      </c>
      <c r="Q51" s="220" t="s">
        <v>1861</v>
      </c>
      <c r="R51" t="s">
        <v>1972</v>
      </c>
      <c r="S51" t="s">
        <v>2833</v>
      </c>
    </row>
    <row r="52" spans="1:19" ht="15.75" thickBot="1" x14ac:dyDescent="0.3">
      <c r="A52" s="82" t="s">
        <v>2842</v>
      </c>
      <c r="B52" s="82" t="s">
        <v>2842</v>
      </c>
      <c r="C52" s="82" t="str">
        <f t="shared" si="0"/>
        <v>X</v>
      </c>
      <c r="D52" s="222">
        <v>2022</v>
      </c>
      <c r="E52" s="83" t="s">
        <v>624</v>
      </c>
      <c r="F52" t="s">
        <v>620</v>
      </c>
      <c r="I52" s="221" t="str">
        <f t="shared" si="1"/>
        <v>Ligeiro de Mercadorias N1: Geral : Gasóleo : Geral</v>
      </c>
      <c r="M52" s="125">
        <v>5</v>
      </c>
      <c r="N52" s="133">
        <f t="shared" si="3"/>
        <v>0</v>
      </c>
      <c r="O52" s="91" t="s">
        <v>625</v>
      </c>
      <c r="P52" s="220" t="s">
        <v>1888</v>
      </c>
      <c r="Q52" s="220" t="s">
        <v>1861</v>
      </c>
      <c r="R52" t="s">
        <v>1972</v>
      </c>
      <c r="S52" t="s">
        <v>2833</v>
      </c>
    </row>
    <row r="53" spans="1:19" ht="15.75" thickBot="1" x14ac:dyDescent="0.3">
      <c r="A53" s="82" t="s">
        <v>3512</v>
      </c>
      <c r="B53" s="82" t="s">
        <v>3512</v>
      </c>
      <c r="C53" s="82" t="str">
        <f t="shared" si="0"/>
        <v>X</v>
      </c>
      <c r="D53" s="222">
        <v>2022</v>
      </c>
      <c r="E53" s="83" t="s">
        <v>623</v>
      </c>
      <c r="F53" t="s">
        <v>620</v>
      </c>
      <c r="I53" s="221" t="str">
        <f t="shared" si="1"/>
        <v>Ligeiro de Passageiros M1: Geral : Gasóleo : Geral</v>
      </c>
      <c r="M53" s="125">
        <v>5</v>
      </c>
      <c r="N53" s="133">
        <f t="shared" si="3"/>
        <v>0</v>
      </c>
      <c r="O53" s="91" t="s">
        <v>625</v>
      </c>
      <c r="P53" s="220" t="s">
        <v>1888</v>
      </c>
      <c r="Q53" s="220" t="s">
        <v>1861</v>
      </c>
      <c r="R53" t="s">
        <v>1972</v>
      </c>
      <c r="S53" t="s">
        <v>2833</v>
      </c>
    </row>
    <row r="54" spans="1:19" ht="15.75" thickBot="1" x14ac:dyDescent="0.3">
      <c r="A54" s="82" t="s">
        <v>3513</v>
      </c>
      <c r="B54" s="82" t="s">
        <v>3513</v>
      </c>
      <c r="C54" s="82" t="str">
        <f t="shared" si="0"/>
        <v>X</v>
      </c>
      <c r="D54" s="222">
        <v>2022</v>
      </c>
      <c r="E54" s="83" t="s">
        <v>623</v>
      </c>
      <c r="F54" t="s">
        <v>620</v>
      </c>
      <c r="I54" s="221" t="str">
        <f t="shared" si="1"/>
        <v>Ligeiro de Passageiros M1: Geral : Gasóleo : Geral</v>
      </c>
      <c r="M54" s="125">
        <v>5</v>
      </c>
      <c r="N54" s="133">
        <f t="shared" si="3"/>
        <v>0</v>
      </c>
      <c r="O54" s="91" t="s">
        <v>625</v>
      </c>
      <c r="P54" s="220" t="s">
        <v>1888</v>
      </c>
      <c r="Q54" s="220" t="s">
        <v>1861</v>
      </c>
      <c r="R54" t="s">
        <v>1972</v>
      </c>
      <c r="S54" t="s">
        <v>2833</v>
      </c>
    </row>
    <row r="55" spans="1:19" ht="15.75" thickBot="1" x14ac:dyDescent="0.3">
      <c r="A55" s="82" t="s">
        <v>3513</v>
      </c>
      <c r="B55" s="82" t="s">
        <v>3513</v>
      </c>
      <c r="C55" s="82" t="str">
        <f t="shared" si="0"/>
        <v>X</v>
      </c>
      <c r="D55" s="222">
        <v>2022</v>
      </c>
      <c r="E55" s="83" t="s">
        <v>623</v>
      </c>
      <c r="F55" t="s">
        <v>620</v>
      </c>
      <c r="I55" s="221" t="str">
        <f t="shared" si="1"/>
        <v>Ligeiro de Passageiros M1: Geral : Gasóleo : Geral</v>
      </c>
      <c r="M55" s="125">
        <v>5</v>
      </c>
      <c r="N55" s="133">
        <f t="shared" si="3"/>
        <v>0</v>
      </c>
      <c r="O55" s="91" t="s">
        <v>625</v>
      </c>
      <c r="P55" s="220" t="s">
        <v>1888</v>
      </c>
      <c r="Q55" s="220" t="s">
        <v>1861</v>
      </c>
      <c r="R55" t="s">
        <v>1972</v>
      </c>
      <c r="S55" t="s">
        <v>2833</v>
      </c>
    </row>
    <row r="56" spans="1:19" ht="15.75" thickBot="1" x14ac:dyDescent="0.3">
      <c r="A56" s="82" t="s">
        <v>3513</v>
      </c>
      <c r="B56" s="82" t="s">
        <v>3513</v>
      </c>
      <c r="C56" s="82" t="str">
        <f t="shared" si="0"/>
        <v>X</v>
      </c>
      <c r="D56" s="222">
        <v>2022</v>
      </c>
      <c r="E56" s="83" t="s">
        <v>623</v>
      </c>
      <c r="F56" t="s">
        <v>620</v>
      </c>
      <c r="I56" s="221" t="str">
        <f t="shared" si="1"/>
        <v>Ligeiro de Passageiros M1: Geral : Gasóleo : Geral</v>
      </c>
      <c r="M56" s="125">
        <v>5</v>
      </c>
      <c r="N56" s="133">
        <f t="shared" si="3"/>
        <v>0</v>
      </c>
      <c r="O56" s="91" t="s">
        <v>625</v>
      </c>
      <c r="P56" s="220" t="s">
        <v>1888</v>
      </c>
      <c r="Q56" s="220" t="s">
        <v>1861</v>
      </c>
      <c r="R56" t="s">
        <v>1972</v>
      </c>
      <c r="S56" t="s">
        <v>2833</v>
      </c>
    </row>
    <row r="57" spans="1:19" ht="15.75" thickBot="1" x14ac:dyDescent="0.3">
      <c r="A57" s="82" t="s">
        <v>3513</v>
      </c>
      <c r="B57" s="82" t="s">
        <v>3513</v>
      </c>
      <c r="C57" s="82" t="str">
        <f t="shared" si="0"/>
        <v>X</v>
      </c>
      <c r="D57" s="222">
        <v>2022</v>
      </c>
      <c r="E57" s="83" t="s">
        <v>623</v>
      </c>
      <c r="F57" t="s">
        <v>620</v>
      </c>
      <c r="I57" s="221" t="str">
        <f t="shared" si="1"/>
        <v>Ligeiro de Passageiros M1: Geral : Gasóleo : Geral</v>
      </c>
      <c r="M57" s="125">
        <v>5</v>
      </c>
      <c r="N57" s="133">
        <f t="shared" si="3"/>
        <v>0</v>
      </c>
      <c r="O57" s="91" t="s">
        <v>625</v>
      </c>
      <c r="P57" s="220" t="s">
        <v>1888</v>
      </c>
      <c r="Q57" s="220" t="s">
        <v>1861</v>
      </c>
      <c r="R57" t="s">
        <v>1972</v>
      </c>
      <c r="S57" t="s">
        <v>2833</v>
      </c>
    </row>
    <row r="58" spans="1:19" ht="15.75" thickBot="1" x14ac:dyDescent="0.3">
      <c r="A58" s="82" t="s">
        <v>3513</v>
      </c>
      <c r="B58" s="82" t="s">
        <v>3513</v>
      </c>
      <c r="C58" s="82" t="str">
        <f t="shared" si="0"/>
        <v>X</v>
      </c>
      <c r="D58" s="222">
        <v>2022</v>
      </c>
      <c r="E58" s="83" t="s">
        <v>623</v>
      </c>
      <c r="F58" t="s">
        <v>620</v>
      </c>
      <c r="I58" s="221" t="str">
        <f t="shared" si="1"/>
        <v>Ligeiro de Passageiros M1: Geral : Gasóleo : Geral</v>
      </c>
      <c r="M58" s="125">
        <v>5</v>
      </c>
      <c r="N58" s="133">
        <f t="shared" si="3"/>
        <v>0</v>
      </c>
      <c r="O58" s="91" t="s">
        <v>625</v>
      </c>
      <c r="P58" s="220" t="s">
        <v>1888</v>
      </c>
      <c r="Q58" s="220" t="s">
        <v>1861</v>
      </c>
      <c r="R58" t="s">
        <v>1972</v>
      </c>
      <c r="S58" t="s">
        <v>2833</v>
      </c>
    </row>
    <row r="59" spans="1:19" ht="15.75" thickBot="1" x14ac:dyDescent="0.3">
      <c r="A59" s="82" t="s">
        <v>3513</v>
      </c>
      <c r="B59" s="82" t="s">
        <v>3513</v>
      </c>
      <c r="C59" s="82" t="str">
        <f t="shared" si="0"/>
        <v>X</v>
      </c>
      <c r="D59" s="222">
        <v>2022</v>
      </c>
      <c r="E59" s="83" t="s">
        <v>623</v>
      </c>
      <c r="F59" t="s">
        <v>620</v>
      </c>
      <c r="I59" s="221" t="str">
        <f t="shared" si="1"/>
        <v>Ligeiro de Passageiros M1: Geral : Gasóleo : Geral</v>
      </c>
      <c r="M59" s="125">
        <v>5</v>
      </c>
      <c r="N59" s="133">
        <f t="shared" si="3"/>
        <v>0</v>
      </c>
      <c r="O59" s="91" t="s">
        <v>625</v>
      </c>
      <c r="P59" s="220" t="s">
        <v>1888</v>
      </c>
      <c r="Q59" s="220" t="s">
        <v>1861</v>
      </c>
      <c r="R59" t="s">
        <v>1972</v>
      </c>
      <c r="S59" t="s">
        <v>2833</v>
      </c>
    </row>
    <row r="60" spans="1:19" ht="15.75" thickBot="1" x14ac:dyDescent="0.3">
      <c r="A60" s="82" t="s">
        <v>3513</v>
      </c>
      <c r="B60" s="82" t="s">
        <v>3513</v>
      </c>
      <c r="C60" s="82" t="str">
        <f t="shared" si="0"/>
        <v>X</v>
      </c>
      <c r="D60" s="222">
        <v>2022</v>
      </c>
      <c r="E60" s="83" t="s">
        <v>623</v>
      </c>
      <c r="F60" t="s">
        <v>620</v>
      </c>
      <c r="I60" s="221" t="str">
        <f t="shared" si="1"/>
        <v>Ligeiro de Passageiros M1: Geral : Gasóleo : Geral</v>
      </c>
      <c r="M60" s="125">
        <v>5</v>
      </c>
      <c r="N60" s="133">
        <f t="shared" si="3"/>
        <v>0</v>
      </c>
      <c r="O60" s="91" t="s">
        <v>625</v>
      </c>
      <c r="P60" s="220" t="s">
        <v>1888</v>
      </c>
      <c r="Q60" s="220" t="s">
        <v>1861</v>
      </c>
      <c r="R60" t="s">
        <v>1972</v>
      </c>
      <c r="S60" t="s">
        <v>2833</v>
      </c>
    </row>
    <row r="61" spans="1:19" ht="15.75" thickBot="1" x14ac:dyDescent="0.3">
      <c r="A61" s="82" t="s">
        <v>3513</v>
      </c>
      <c r="B61" s="82" t="s">
        <v>3513</v>
      </c>
      <c r="C61" s="82" t="str">
        <f t="shared" si="0"/>
        <v>X</v>
      </c>
      <c r="D61" s="222">
        <v>2022</v>
      </c>
      <c r="E61" s="83" t="s">
        <v>623</v>
      </c>
      <c r="F61" t="s">
        <v>620</v>
      </c>
      <c r="I61" s="221" t="str">
        <f t="shared" si="1"/>
        <v>Ligeiro de Passageiros M1: Geral : Gasóleo : Geral</v>
      </c>
      <c r="M61" s="125">
        <v>5</v>
      </c>
      <c r="N61" s="133">
        <f t="shared" si="3"/>
        <v>0</v>
      </c>
      <c r="O61" s="91" t="s">
        <v>625</v>
      </c>
      <c r="P61" s="220" t="s">
        <v>1888</v>
      </c>
      <c r="Q61" s="220" t="s">
        <v>1861</v>
      </c>
      <c r="R61" t="s">
        <v>1972</v>
      </c>
      <c r="S61" t="s">
        <v>2833</v>
      </c>
    </row>
    <row r="62" spans="1:19" ht="15.75" thickBot="1" x14ac:dyDescent="0.3">
      <c r="A62" s="82" t="s">
        <v>3513</v>
      </c>
      <c r="B62" s="82" t="s">
        <v>3513</v>
      </c>
      <c r="C62" s="82" t="str">
        <f t="shared" si="0"/>
        <v>X</v>
      </c>
      <c r="D62" s="222">
        <v>2022</v>
      </c>
      <c r="E62" s="83" t="s">
        <v>623</v>
      </c>
      <c r="F62" t="s">
        <v>620</v>
      </c>
      <c r="I62" s="221" t="str">
        <f t="shared" si="1"/>
        <v>Ligeiro de Passageiros M1: Geral : Gasóleo : Geral</v>
      </c>
      <c r="M62" s="125">
        <v>5</v>
      </c>
      <c r="N62" s="133">
        <f t="shared" si="3"/>
        <v>0</v>
      </c>
      <c r="O62" s="91" t="s">
        <v>625</v>
      </c>
      <c r="P62" s="220" t="s">
        <v>1888</v>
      </c>
      <c r="Q62" s="220" t="s">
        <v>1861</v>
      </c>
      <c r="R62" t="s">
        <v>1972</v>
      </c>
      <c r="S62" t="s">
        <v>2833</v>
      </c>
    </row>
    <row r="63" spans="1:19" ht="15.75" thickBot="1" x14ac:dyDescent="0.3">
      <c r="A63" s="82" t="s">
        <v>3513</v>
      </c>
      <c r="B63" s="82" t="s">
        <v>3513</v>
      </c>
      <c r="C63" s="82" t="str">
        <f t="shared" si="0"/>
        <v>X</v>
      </c>
      <c r="D63" s="222">
        <v>2022</v>
      </c>
      <c r="E63" s="83" t="s">
        <v>623</v>
      </c>
      <c r="F63" t="s">
        <v>620</v>
      </c>
      <c r="I63" s="221" t="str">
        <f t="shared" si="1"/>
        <v>Ligeiro de Passageiros M1: Geral : Gasóleo : Geral</v>
      </c>
      <c r="M63" s="125">
        <v>5</v>
      </c>
      <c r="N63" s="133">
        <f t="shared" si="3"/>
        <v>0</v>
      </c>
      <c r="O63" s="91" t="s">
        <v>625</v>
      </c>
      <c r="P63" s="220" t="s">
        <v>1888</v>
      </c>
      <c r="Q63" s="220" t="s">
        <v>1861</v>
      </c>
      <c r="R63" t="s">
        <v>1972</v>
      </c>
      <c r="S63" t="s">
        <v>2833</v>
      </c>
    </row>
    <row r="64" spans="1:19" ht="15.75" thickBot="1" x14ac:dyDescent="0.3">
      <c r="A64" s="82" t="s">
        <v>3513</v>
      </c>
      <c r="B64" s="82" t="s">
        <v>3513</v>
      </c>
      <c r="C64" s="82" t="str">
        <f t="shared" si="0"/>
        <v>X</v>
      </c>
      <c r="D64" s="222">
        <v>2022</v>
      </c>
      <c r="E64" s="83" t="s">
        <v>623</v>
      </c>
      <c r="F64" t="s">
        <v>620</v>
      </c>
      <c r="I64" s="221" t="str">
        <f t="shared" si="1"/>
        <v>Ligeiro de Passageiros M1: Geral : Gasóleo : Geral</v>
      </c>
      <c r="M64" s="125">
        <v>5</v>
      </c>
      <c r="N64" s="133">
        <f t="shared" si="3"/>
        <v>0</v>
      </c>
      <c r="O64" s="91" t="s">
        <v>625</v>
      </c>
      <c r="P64" s="220" t="s">
        <v>1888</v>
      </c>
      <c r="Q64" s="220" t="s">
        <v>1861</v>
      </c>
      <c r="R64" t="s">
        <v>1972</v>
      </c>
      <c r="S64" t="s">
        <v>2833</v>
      </c>
    </row>
    <row r="65" spans="1:19" ht="15.75" thickBot="1" x14ac:dyDescent="0.3">
      <c r="A65" s="82" t="s">
        <v>3513</v>
      </c>
      <c r="B65" s="82" t="s">
        <v>3513</v>
      </c>
      <c r="C65" s="82" t="str">
        <f t="shared" si="0"/>
        <v>X</v>
      </c>
      <c r="D65" s="222">
        <v>2022</v>
      </c>
      <c r="E65" s="83" t="s">
        <v>623</v>
      </c>
      <c r="F65" t="s">
        <v>620</v>
      </c>
      <c r="I65" s="221" t="str">
        <f t="shared" si="1"/>
        <v>Ligeiro de Passageiros M1: Geral : Gasóleo : Geral</v>
      </c>
      <c r="M65" s="125">
        <v>7</v>
      </c>
      <c r="N65" s="133">
        <f t="shared" si="3"/>
        <v>0</v>
      </c>
      <c r="O65" s="91" t="s">
        <v>625</v>
      </c>
      <c r="P65" s="220" t="s">
        <v>1888</v>
      </c>
      <c r="Q65" s="220" t="s">
        <v>1861</v>
      </c>
      <c r="R65" t="s">
        <v>1972</v>
      </c>
      <c r="S65" t="s">
        <v>2833</v>
      </c>
    </row>
    <row r="66" spans="1:19" ht="15.75" thickBot="1" x14ac:dyDescent="0.3">
      <c r="A66" s="82" t="s">
        <v>3513</v>
      </c>
      <c r="B66" s="82" t="s">
        <v>3513</v>
      </c>
      <c r="C66" s="82" t="str">
        <f t="shared" si="0"/>
        <v>X</v>
      </c>
      <c r="D66" s="222">
        <v>2022</v>
      </c>
      <c r="E66" s="83" t="s">
        <v>623</v>
      </c>
      <c r="F66" t="s">
        <v>620</v>
      </c>
      <c r="I66" s="221" t="str">
        <f t="shared" si="1"/>
        <v>Ligeiro de Passageiros M1: Geral : Gasóleo : Geral</v>
      </c>
      <c r="M66" s="125">
        <v>5</v>
      </c>
      <c r="N66" s="133">
        <f t="shared" si="3"/>
        <v>0</v>
      </c>
      <c r="O66" s="91" t="s">
        <v>625</v>
      </c>
      <c r="P66" s="220" t="s">
        <v>1888</v>
      </c>
      <c r="Q66" s="220" t="s">
        <v>1861</v>
      </c>
      <c r="R66" t="s">
        <v>1972</v>
      </c>
      <c r="S66" t="s">
        <v>2833</v>
      </c>
    </row>
    <row r="67" spans="1:19" ht="15.75" thickBot="1" x14ac:dyDescent="0.3">
      <c r="A67" s="82" t="s">
        <v>3513</v>
      </c>
      <c r="B67" s="82" t="s">
        <v>3513</v>
      </c>
      <c r="C67" s="82" t="str">
        <f t="shared" si="0"/>
        <v>X</v>
      </c>
      <c r="D67" s="222">
        <v>2022</v>
      </c>
      <c r="E67" s="83" t="s">
        <v>623</v>
      </c>
      <c r="F67" t="s">
        <v>620</v>
      </c>
      <c r="I67" s="221" t="str">
        <f t="shared" si="1"/>
        <v>Ligeiro de Passageiros M1: Geral : Gasóleo : Geral</v>
      </c>
      <c r="M67" s="125">
        <v>5</v>
      </c>
      <c r="N67" s="133">
        <f t="shared" si="3"/>
        <v>0</v>
      </c>
      <c r="O67" s="91" t="s">
        <v>625</v>
      </c>
      <c r="P67" s="220" t="s">
        <v>1888</v>
      </c>
      <c r="Q67" s="220" t="s">
        <v>1861</v>
      </c>
      <c r="R67" t="s">
        <v>1972</v>
      </c>
      <c r="S67" t="s">
        <v>2833</v>
      </c>
    </row>
    <row r="68" spans="1:19" ht="15.75" thickBot="1" x14ac:dyDescent="0.3">
      <c r="A68" s="82" t="s">
        <v>3513</v>
      </c>
      <c r="B68" s="82" t="s">
        <v>3513</v>
      </c>
      <c r="C68" s="82" t="str">
        <f t="shared" ref="C68:C103" si="4">IF(A68=B68,"X",RIGHT(A68,LEN(A68)-LEN(B68)-3))</f>
        <v>X</v>
      </c>
      <c r="D68" s="222">
        <v>2022</v>
      </c>
      <c r="E68" s="83" t="s">
        <v>623</v>
      </c>
      <c r="F68" t="s">
        <v>620</v>
      </c>
      <c r="I68" s="221" t="str">
        <f t="shared" ref="I68:I109" si="5">IF(H68="",E68&amp;": Geral : "&amp;F68&amp;" : Geral",E68&amp;": Geral : "&amp;F68&amp;" : "&amp;H68)</f>
        <v>Ligeiro de Passageiros M1: Geral : Gasóleo : Geral</v>
      </c>
      <c r="M68" s="125">
        <v>5</v>
      </c>
      <c r="N68" s="133">
        <f t="shared" si="3"/>
        <v>0</v>
      </c>
      <c r="O68" s="91" t="s">
        <v>625</v>
      </c>
      <c r="P68" s="220" t="s">
        <v>1888</v>
      </c>
      <c r="Q68" s="220" t="s">
        <v>1861</v>
      </c>
      <c r="R68" t="s">
        <v>1972</v>
      </c>
      <c r="S68" t="s">
        <v>2833</v>
      </c>
    </row>
    <row r="69" spans="1:19" ht="15.75" thickBot="1" x14ac:dyDescent="0.3">
      <c r="A69" s="82" t="s">
        <v>3513</v>
      </c>
      <c r="B69" s="82" t="s">
        <v>3513</v>
      </c>
      <c r="C69" s="82" t="str">
        <f t="shared" si="4"/>
        <v>X</v>
      </c>
      <c r="D69" s="222">
        <v>2022</v>
      </c>
      <c r="E69" s="83" t="s">
        <v>623</v>
      </c>
      <c r="F69" t="s">
        <v>1952</v>
      </c>
      <c r="I69" s="221" t="str">
        <f t="shared" si="5"/>
        <v>Ligeiro de Passageiros M1: Geral : Gasolina : Geral</v>
      </c>
      <c r="M69" s="125">
        <v>5</v>
      </c>
      <c r="N69" s="133">
        <f t="shared" si="3"/>
        <v>0</v>
      </c>
      <c r="O69" s="91" t="s">
        <v>625</v>
      </c>
      <c r="P69" s="220" t="s">
        <v>1888</v>
      </c>
      <c r="Q69" s="220" t="s">
        <v>1861</v>
      </c>
      <c r="R69" t="s">
        <v>1972</v>
      </c>
      <c r="S69" t="s">
        <v>2833</v>
      </c>
    </row>
    <row r="70" spans="1:19" ht="15.75" thickBot="1" x14ac:dyDescent="0.3">
      <c r="A70" s="82" t="s">
        <v>3513</v>
      </c>
      <c r="B70" s="82" t="s">
        <v>3513</v>
      </c>
      <c r="C70" s="82" t="str">
        <f t="shared" si="4"/>
        <v>X</v>
      </c>
      <c r="D70" s="222">
        <v>2022</v>
      </c>
      <c r="E70" s="83" t="s">
        <v>623</v>
      </c>
      <c r="F70" t="s">
        <v>620</v>
      </c>
      <c r="I70" s="221" t="str">
        <f t="shared" si="5"/>
        <v>Ligeiro de Passageiros M1: Geral : Gasóleo : Geral</v>
      </c>
      <c r="M70" s="125">
        <v>5</v>
      </c>
      <c r="N70" s="133">
        <f t="shared" ref="N70:N111" si="6">IFERROR(J70/L70*100,0)</f>
        <v>0</v>
      </c>
      <c r="O70" s="91" t="s">
        <v>625</v>
      </c>
      <c r="P70" s="220" t="s">
        <v>1888</v>
      </c>
      <c r="Q70" s="220" t="s">
        <v>1861</v>
      </c>
      <c r="R70" t="s">
        <v>1972</v>
      </c>
      <c r="S70" t="s">
        <v>2833</v>
      </c>
    </row>
    <row r="71" spans="1:19" ht="15.75" thickBot="1" x14ac:dyDescent="0.3">
      <c r="A71" s="82" t="s">
        <v>4708</v>
      </c>
      <c r="B71" s="82" t="s">
        <v>4708</v>
      </c>
      <c r="C71" s="82" t="str">
        <f t="shared" si="4"/>
        <v>X</v>
      </c>
      <c r="D71" s="222">
        <v>2022</v>
      </c>
      <c r="E71" s="83" t="s">
        <v>623</v>
      </c>
      <c r="F71" t="s">
        <v>1952</v>
      </c>
      <c r="I71" s="221" t="str">
        <f t="shared" si="5"/>
        <v>Ligeiro de Passageiros M1: Geral : Gasolina : Geral</v>
      </c>
      <c r="M71" s="125">
        <v>5</v>
      </c>
      <c r="N71" s="133">
        <f t="shared" si="6"/>
        <v>0</v>
      </c>
      <c r="O71" s="91" t="s">
        <v>625</v>
      </c>
      <c r="P71" s="220" t="s">
        <v>1888</v>
      </c>
      <c r="Q71" s="220" t="s">
        <v>1861</v>
      </c>
      <c r="R71" t="s">
        <v>1972</v>
      </c>
      <c r="S71" t="s">
        <v>2833</v>
      </c>
    </row>
    <row r="72" spans="1:19" ht="15.75" thickBot="1" x14ac:dyDescent="0.3">
      <c r="A72" s="82" t="s">
        <v>4708</v>
      </c>
      <c r="B72" s="82" t="s">
        <v>4708</v>
      </c>
      <c r="C72" s="82" t="str">
        <f t="shared" si="4"/>
        <v>X</v>
      </c>
      <c r="D72" s="222">
        <v>2022</v>
      </c>
      <c r="E72" s="83" t="s">
        <v>623</v>
      </c>
      <c r="F72" t="s">
        <v>620</v>
      </c>
      <c r="I72" s="221" t="str">
        <f t="shared" si="5"/>
        <v>Ligeiro de Passageiros M1: Geral : Gasóleo : Geral</v>
      </c>
      <c r="M72" s="125">
        <v>5</v>
      </c>
      <c r="N72" s="133">
        <f t="shared" si="6"/>
        <v>0</v>
      </c>
      <c r="O72" s="91" t="s">
        <v>625</v>
      </c>
      <c r="P72" s="220" t="s">
        <v>1888</v>
      </c>
      <c r="Q72" s="220" t="s">
        <v>1861</v>
      </c>
      <c r="R72" t="s">
        <v>1972</v>
      </c>
      <c r="S72" t="s">
        <v>2833</v>
      </c>
    </row>
    <row r="73" spans="1:19" ht="15.75" thickBot="1" x14ac:dyDescent="0.3">
      <c r="A73" s="82" t="s">
        <v>4707</v>
      </c>
      <c r="B73" s="82" t="s">
        <v>4707</v>
      </c>
      <c r="C73" s="82" t="str">
        <f t="shared" si="4"/>
        <v>X</v>
      </c>
      <c r="D73" s="222">
        <v>2022</v>
      </c>
      <c r="E73" s="83" t="s">
        <v>623</v>
      </c>
      <c r="F73" t="s">
        <v>1952</v>
      </c>
      <c r="I73" s="221" t="str">
        <f t="shared" si="5"/>
        <v>Ligeiro de Passageiros M1: Geral : Gasolina : Geral</v>
      </c>
      <c r="M73" s="125">
        <v>5</v>
      </c>
      <c r="N73" s="133">
        <f t="shared" si="6"/>
        <v>0</v>
      </c>
      <c r="O73" s="91" t="s">
        <v>625</v>
      </c>
      <c r="P73" s="220" t="s">
        <v>1888</v>
      </c>
      <c r="Q73" s="220" t="s">
        <v>1861</v>
      </c>
      <c r="R73" t="s">
        <v>1972</v>
      </c>
      <c r="S73" t="s">
        <v>2833</v>
      </c>
    </row>
    <row r="74" spans="1:19" ht="15.75" thickBot="1" x14ac:dyDescent="0.3">
      <c r="A74" s="290" t="s">
        <v>4706</v>
      </c>
      <c r="B74" s="290" t="s">
        <v>4706</v>
      </c>
      <c r="C74" s="82" t="str">
        <f t="shared" si="4"/>
        <v>X</v>
      </c>
      <c r="D74" s="222">
        <v>2022</v>
      </c>
      <c r="E74" s="83" t="s">
        <v>623</v>
      </c>
      <c r="F74" t="s">
        <v>620</v>
      </c>
      <c r="I74" s="221" t="str">
        <f t="shared" si="5"/>
        <v>Ligeiro de Passageiros M1: Geral : Gasóleo : Geral</v>
      </c>
      <c r="M74" s="125">
        <v>5</v>
      </c>
      <c r="N74" s="133">
        <f t="shared" si="6"/>
        <v>0</v>
      </c>
      <c r="O74" s="91" t="s">
        <v>625</v>
      </c>
      <c r="P74" s="220" t="s">
        <v>1888</v>
      </c>
      <c r="Q74" s="220" t="s">
        <v>1861</v>
      </c>
      <c r="R74" t="s">
        <v>1972</v>
      </c>
      <c r="S74" t="s">
        <v>2833</v>
      </c>
    </row>
    <row r="75" spans="1:19" ht="15.75" thickBot="1" x14ac:dyDescent="0.3">
      <c r="A75" s="290" t="s">
        <v>4706</v>
      </c>
      <c r="B75" s="290" t="s">
        <v>4706</v>
      </c>
      <c r="C75" s="82" t="str">
        <f t="shared" si="4"/>
        <v>X</v>
      </c>
      <c r="D75" s="222">
        <v>2022</v>
      </c>
      <c r="E75" s="83" t="s">
        <v>623</v>
      </c>
      <c r="F75" t="s">
        <v>620</v>
      </c>
      <c r="I75" s="221" t="str">
        <f t="shared" si="5"/>
        <v>Ligeiro de Passageiros M1: Geral : Gasóleo : Geral</v>
      </c>
      <c r="M75" s="125">
        <v>5</v>
      </c>
      <c r="N75" s="133">
        <f t="shared" si="6"/>
        <v>0</v>
      </c>
      <c r="O75" s="91" t="s">
        <v>625</v>
      </c>
      <c r="P75" s="220" t="s">
        <v>1888</v>
      </c>
      <c r="Q75" s="220" t="s">
        <v>1861</v>
      </c>
      <c r="R75" t="s">
        <v>1972</v>
      </c>
      <c r="S75" t="s">
        <v>2833</v>
      </c>
    </row>
    <row r="76" spans="1:19" ht="15.75" thickBot="1" x14ac:dyDescent="0.3">
      <c r="A76" s="290" t="s">
        <v>4706</v>
      </c>
      <c r="B76" s="290" t="s">
        <v>4706</v>
      </c>
      <c r="C76" s="82" t="str">
        <f t="shared" si="4"/>
        <v>X</v>
      </c>
      <c r="D76" s="222">
        <v>2022</v>
      </c>
      <c r="E76" s="83" t="s">
        <v>2843</v>
      </c>
      <c r="F76" t="s">
        <v>620</v>
      </c>
      <c r="I76" s="221" t="str">
        <f t="shared" si="5"/>
        <v>Misto: Geral : Gasóleo : Geral</v>
      </c>
      <c r="M76" s="125">
        <v>5</v>
      </c>
      <c r="N76" s="133">
        <f t="shared" si="6"/>
        <v>0</v>
      </c>
      <c r="O76" s="91" t="s">
        <v>625</v>
      </c>
      <c r="P76" s="220" t="s">
        <v>1888</v>
      </c>
      <c r="Q76" s="220" t="s">
        <v>1861</v>
      </c>
      <c r="R76" t="s">
        <v>1972</v>
      </c>
      <c r="S76" t="s">
        <v>2833</v>
      </c>
    </row>
    <row r="77" spans="1:19" ht="15.75" thickBot="1" x14ac:dyDescent="0.3">
      <c r="A77" s="82" t="s">
        <v>2844</v>
      </c>
      <c r="B77" s="82" t="s">
        <v>2844</v>
      </c>
      <c r="C77" s="82" t="str">
        <f t="shared" si="4"/>
        <v>X</v>
      </c>
      <c r="D77" s="222">
        <v>2022</v>
      </c>
      <c r="E77" s="83" t="s">
        <v>623</v>
      </c>
      <c r="F77" t="s">
        <v>620</v>
      </c>
      <c r="I77" s="221" t="str">
        <f t="shared" si="5"/>
        <v>Ligeiro de Passageiros M1: Geral : Gasóleo : Geral</v>
      </c>
      <c r="M77" s="125">
        <v>5</v>
      </c>
      <c r="N77" s="133">
        <f t="shared" si="6"/>
        <v>0</v>
      </c>
      <c r="O77" s="91" t="s">
        <v>625</v>
      </c>
      <c r="P77" s="220" t="s">
        <v>1888</v>
      </c>
      <c r="Q77" s="220" t="s">
        <v>1861</v>
      </c>
      <c r="R77" t="s">
        <v>1972</v>
      </c>
      <c r="S77" t="s">
        <v>2833</v>
      </c>
    </row>
    <row r="78" spans="1:19" ht="15.75" thickBot="1" x14ac:dyDescent="0.3">
      <c r="A78" s="82" t="s">
        <v>2844</v>
      </c>
      <c r="B78" s="82" t="s">
        <v>2844</v>
      </c>
      <c r="C78" s="82" t="str">
        <f t="shared" si="4"/>
        <v>X</v>
      </c>
      <c r="D78" s="222">
        <v>2022</v>
      </c>
      <c r="E78" s="83" t="s">
        <v>623</v>
      </c>
      <c r="F78" t="s">
        <v>620</v>
      </c>
      <c r="I78" s="221" t="str">
        <f t="shared" si="5"/>
        <v>Ligeiro de Passageiros M1: Geral : Gasóleo : Geral</v>
      </c>
      <c r="M78" s="125">
        <v>5</v>
      </c>
      <c r="N78" s="133">
        <f t="shared" si="6"/>
        <v>0</v>
      </c>
      <c r="O78" s="91" t="s">
        <v>625</v>
      </c>
      <c r="P78" s="220" t="s">
        <v>1888</v>
      </c>
      <c r="Q78" s="220" t="s">
        <v>1861</v>
      </c>
      <c r="R78" t="s">
        <v>1972</v>
      </c>
      <c r="S78" t="s">
        <v>2833</v>
      </c>
    </row>
    <row r="79" spans="1:19" ht="15.75" thickBot="1" x14ac:dyDescent="0.3">
      <c r="A79" s="82" t="s">
        <v>2844</v>
      </c>
      <c r="B79" s="82" t="s">
        <v>2844</v>
      </c>
      <c r="C79" s="82" t="str">
        <f t="shared" si="4"/>
        <v>X</v>
      </c>
      <c r="D79" s="222">
        <v>2022</v>
      </c>
      <c r="E79" s="83" t="s">
        <v>623</v>
      </c>
      <c r="F79" t="s">
        <v>1952</v>
      </c>
      <c r="I79" s="221" t="str">
        <f t="shared" si="5"/>
        <v>Ligeiro de Passageiros M1: Geral : Gasolina : Geral</v>
      </c>
      <c r="M79" s="125">
        <v>5</v>
      </c>
      <c r="N79" s="133">
        <f t="shared" si="6"/>
        <v>0</v>
      </c>
      <c r="O79" s="91" t="s">
        <v>625</v>
      </c>
      <c r="P79" s="220" t="s">
        <v>1888</v>
      </c>
      <c r="Q79" s="220" t="s">
        <v>1861</v>
      </c>
      <c r="R79" t="s">
        <v>1972</v>
      </c>
      <c r="S79" t="s">
        <v>2833</v>
      </c>
    </row>
    <row r="80" spans="1:19" ht="15.75" thickBot="1" x14ac:dyDescent="0.3">
      <c r="A80" s="82" t="s">
        <v>2844</v>
      </c>
      <c r="B80" s="82" t="s">
        <v>2844</v>
      </c>
      <c r="C80" s="82" t="str">
        <f t="shared" si="4"/>
        <v>X</v>
      </c>
      <c r="D80" s="222">
        <v>2022</v>
      </c>
      <c r="E80" s="83" t="s">
        <v>623</v>
      </c>
      <c r="F80" t="s">
        <v>1952</v>
      </c>
      <c r="I80" s="221" t="str">
        <f t="shared" si="5"/>
        <v>Ligeiro de Passageiros M1: Geral : Gasolina : Geral</v>
      </c>
      <c r="M80" s="125">
        <v>5</v>
      </c>
      <c r="N80" s="133">
        <f t="shared" si="6"/>
        <v>0</v>
      </c>
      <c r="O80" s="91" t="s">
        <v>625</v>
      </c>
      <c r="P80" s="220" t="s">
        <v>1888</v>
      </c>
      <c r="Q80" s="220" t="s">
        <v>1861</v>
      </c>
      <c r="R80" t="s">
        <v>1972</v>
      </c>
      <c r="S80" t="s">
        <v>2833</v>
      </c>
    </row>
    <row r="81" spans="1:19" ht="15.75" thickBot="1" x14ac:dyDescent="0.3">
      <c r="A81" s="82" t="s">
        <v>2844</v>
      </c>
      <c r="B81" s="82" t="s">
        <v>2844</v>
      </c>
      <c r="C81" s="82" t="str">
        <f t="shared" si="4"/>
        <v>X</v>
      </c>
      <c r="D81" s="222">
        <v>2022</v>
      </c>
      <c r="E81" s="83" t="s">
        <v>623</v>
      </c>
      <c r="F81" t="s">
        <v>1952</v>
      </c>
      <c r="I81" s="221" t="str">
        <f t="shared" si="5"/>
        <v>Ligeiro de Passageiros M1: Geral : Gasolina : Geral</v>
      </c>
      <c r="M81" s="125">
        <v>5</v>
      </c>
      <c r="N81" s="133">
        <f t="shared" si="6"/>
        <v>0</v>
      </c>
      <c r="O81" s="91" t="s">
        <v>625</v>
      </c>
      <c r="P81" s="220" t="s">
        <v>1888</v>
      </c>
      <c r="Q81" s="220" t="s">
        <v>1861</v>
      </c>
      <c r="R81" t="s">
        <v>1972</v>
      </c>
      <c r="S81" t="s">
        <v>2833</v>
      </c>
    </row>
    <row r="82" spans="1:19" ht="15.75" thickBot="1" x14ac:dyDescent="0.3">
      <c r="A82" s="82" t="s">
        <v>2844</v>
      </c>
      <c r="B82" s="82" t="s">
        <v>2844</v>
      </c>
      <c r="C82" s="82" t="str">
        <f t="shared" si="4"/>
        <v>X</v>
      </c>
      <c r="D82" s="222">
        <v>2022</v>
      </c>
      <c r="E82" s="83" t="s">
        <v>623</v>
      </c>
      <c r="F82" t="s">
        <v>620</v>
      </c>
      <c r="I82" s="221" t="str">
        <f t="shared" si="5"/>
        <v>Ligeiro de Passageiros M1: Geral : Gasóleo : Geral</v>
      </c>
      <c r="M82" s="125">
        <v>5</v>
      </c>
      <c r="N82" s="133">
        <f t="shared" si="6"/>
        <v>0</v>
      </c>
      <c r="O82" s="91" t="s">
        <v>625</v>
      </c>
      <c r="P82" s="220" t="s">
        <v>1888</v>
      </c>
      <c r="Q82" s="220" t="s">
        <v>1861</v>
      </c>
      <c r="R82" t="s">
        <v>1972</v>
      </c>
      <c r="S82" t="s">
        <v>2833</v>
      </c>
    </row>
    <row r="83" spans="1:19" ht="15.75" thickBot="1" x14ac:dyDescent="0.3">
      <c r="A83" s="82" t="s">
        <v>4700</v>
      </c>
      <c r="B83" s="82" t="s">
        <v>4700</v>
      </c>
      <c r="C83" s="82" t="str">
        <f t="shared" si="4"/>
        <v>X</v>
      </c>
      <c r="D83" s="222">
        <v>2022</v>
      </c>
      <c r="E83" s="83" t="s">
        <v>624</v>
      </c>
      <c r="F83" t="s">
        <v>620</v>
      </c>
      <c r="I83" s="221" t="str">
        <f t="shared" si="5"/>
        <v>Ligeiro de Mercadorias N1: Geral : Gasóleo : Geral</v>
      </c>
      <c r="M83" s="125">
        <v>5</v>
      </c>
      <c r="N83" s="133">
        <f t="shared" si="6"/>
        <v>0</v>
      </c>
      <c r="O83" s="91" t="s">
        <v>625</v>
      </c>
      <c r="P83" s="220" t="s">
        <v>1888</v>
      </c>
      <c r="Q83" s="220" t="s">
        <v>1861</v>
      </c>
      <c r="R83" t="s">
        <v>1972</v>
      </c>
      <c r="S83" t="s">
        <v>2833</v>
      </c>
    </row>
    <row r="84" spans="1:19" ht="15.75" thickBot="1" x14ac:dyDescent="0.3">
      <c r="A84" s="82" t="s">
        <v>4700</v>
      </c>
      <c r="B84" s="82" t="s">
        <v>4700</v>
      </c>
      <c r="C84" s="82" t="str">
        <f t="shared" si="4"/>
        <v>X</v>
      </c>
      <c r="D84" s="222">
        <v>2022</v>
      </c>
      <c r="E84" s="83" t="s">
        <v>624</v>
      </c>
      <c r="F84" t="s">
        <v>620</v>
      </c>
      <c r="I84" s="221" t="str">
        <f t="shared" si="5"/>
        <v>Ligeiro de Mercadorias N1: Geral : Gasóleo : Geral</v>
      </c>
      <c r="L84" s="89"/>
      <c r="M84" s="125">
        <v>5</v>
      </c>
      <c r="N84" s="133">
        <f t="shared" si="6"/>
        <v>0</v>
      </c>
      <c r="O84" s="91" t="s">
        <v>625</v>
      </c>
      <c r="P84" s="220" t="s">
        <v>1888</v>
      </c>
      <c r="Q84" s="220" t="s">
        <v>1861</v>
      </c>
      <c r="R84" t="s">
        <v>1972</v>
      </c>
      <c r="S84" t="s">
        <v>2833</v>
      </c>
    </row>
    <row r="85" spans="1:19" ht="15.75" thickBot="1" x14ac:dyDescent="0.3">
      <c r="A85" s="82" t="s">
        <v>4693</v>
      </c>
      <c r="B85" s="82" t="s">
        <v>4693</v>
      </c>
      <c r="C85" s="82" t="str">
        <f t="shared" si="4"/>
        <v>X</v>
      </c>
      <c r="D85" s="222">
        <v>2022</v>
      </c>
      <c r="E85" s="83" t="s">
        <v>624</v>
      </c>
      <c r="F85" t="s">
        <v>620</v>
      </c>
      <c r="I85" s="221" t="str">
        <f t="shared" si="5"/>
        <v>Ligeiro de Mercadorias N1: Geral : Gasóleo : Geral</v>
      </c>
      <c r="J85" s="133">
        <v>2923.1</v>
      </c>
      <c r="K85" s="85" t="s">
        <v>630</v>
      </c>
      <c r="L85" s="124">
        <v>25897</v>
      </c>
      <c r="M85" s="125">
        <v>2</v>
      </c>
      <c r="N85" s="133">
        <f t="shared" si="6"/>
        <v>11.287407807854191</v>
      </c>
      <c r="O85" s="85" t="s">
        <v>626</v>
      </c>
      <c r="P85" s="220" t="s">
        <v>1888</v>
      </c>
      <c r="Q85" s="220" t="s">
        <v>1861</v>
      </c>
      <c r="R85" t="s">
        <v>1972</v>
      </c>
      <c r="S85" t="s">
        <v>2833</v>
      </c>
    </row>
    <row r="86" spans="1:19" ht="15.75" thickBot="1" x14ac:dyDescent="0.3">
      <c r="A86" s="82" t="s">
        <v>4693</v>
      </c>
      <c r="B86" s="82" t="s">
        <v>4693</v>
      </c>
      <c r="C86" s="82" t="str">
        <f t="shared" si="4"/>
        <v>X</v>
      </c>
      <c r="D86" s="222">
        <v>2022</v>
      </c>
      <c r="E86" s="83" t="s">
        <v>624</v>
      </c>
      <c r="F86" t="s">
        <v>620</v>
      </c>
      <c r="I86" s="221" t="str">
        <f t="shared" si="5"/>
        <v>Ligeiro de Mercadorias N1: Geral : Gasóleo : Geral</v>
      </c>
      <c r="J86" s="133">
        <v>4070.1</v>
      </c>
      <c r="K86" s="85" t="s">
        <v>630</v>
      </c>
      <c r="L86" s="124">
        <v>32047</v>
      </c>
      <c r="M86" s="125">
        <v>3</v>
      </c>
      <c r="N86" s="133">
        <f t="shared" si="6"/>
        <v>12.700408774612287</v>
      </c>
      <c r="O86" s="85" t="s">
        <v>626</v>
      </c>
      <c r="P86" s="220" t="s">
        <v>1888</v>
      </c>
      <c r="Q86" s="220" t="s">
        <v>1861</v>
      </c>
      <c r="R86" t="s">
        <v>1972</v>
      </c>
      <c r="S86" t="s">
        <v>2833</v>
      </c>
    </row>
    <row r="87" spans="1:19" ht="15.75" thickBot="1" x14ac:dyDescent="0.3">
      <c r="A87" s="82" t="s">
        <v>4693</v>
      </c>
      <c r="B87" s="82" t="s">
        <v>4693</v>
      </c>
      <c r="C87" s="82" t="str">
        <f t="shared" si="4"/>
        <v>X</v>
      </c>
      <c r="D87" s="222">
        <v>2022</v>
      </c>
      <c r="E87" s="83" t="s">
        <v>624</v>
      </c>
      <c r="F87" t="s">
        <v>620</v>
      </c>
      <c r="I87" s="221" t="str">
        <f t="shared" si="5"/>
        <v>Ligeiro de Mercadorias N1: Geral : Gasóleo : Geral</v>
      </c>
      <c r="J87" s="133">
        <v>1416</v>
      </c>
      <c r="K87" s="85" t="s">
        <v>630</v>
      </c>
      <c r="L87" s="124">
        <v>15626</v>
      </c>
      <c r="M87" s="125">
        <v>3</v>
      </c>
      <c r="N87" s="133">
        <f t="shared" si="6"/>
        <v>9.0618200435172138</v>
      </c>
      <c r="O87" s="85" t="s">
        <v>626</v>
      </c>
      <c r="P87" s="220" t="s">
        <v>1888</v>
      </c>
      <c r="Q87" s="220" t="s">
        <v>1861</v>
      </c>
      <c r="R87" t="s">
        <v>1972</v>
      </c>
      <c r="S87" t="s">
        <v>2833</v>
      </c>
    </row>
    <row r="88" spans="1:19" ht="15.75" thickBot="1" x14ac:dyDescent="0.3">
      <c r="A88" s="82" t="s">
        <v>4693</v>
      </c>
      <c r="B88" s="82" t="s">
        <v>4693</v>
      </c>
      <c r="C88" s="82" t="str">
        <f t="shared" si="4"/>
        <v>X</v>
      </c>
      <c r="D88" s="222">
        <v>2022</v>
      </c>
      <c r="E88" s="83" t="s">
        <v>624</v>
      </c>
      <c r="F88" t="s">
        <v>620</v>
      </c>
      <c r="I88" s="221" t="str">
        <f t="shared" si="5"/>
        <v>Ligeiro de Mercadorias N1: Geral : Gasóleo : Geral</v>
      </c>
      <c r="J88" s="133">
        <v>1400.7</v>
      </c>
      <c r="K88" s="85" t="s">
        <v>630</v>
      </c>
      <c r="L88" s="124">
        <v>22424</v>
      </c>
      <c r="M88" s="125">
        <v>2</v>
      </c>
      <c r="N88" s="133">
        <f t="shared" si="6"/>
        <v>6.2464323938637181</v>
      </c>
      <c r="O88" s="85" t="s">
        <v>626</v>
      </c>
      <c r="P88" s="220" t="s">
        <v>1888</v>
      </c>
      <c r="Q88" s="220" t="s">
        <v>1861</v>
      </c>
      <c r="R88" t="s">
        <v>1972</v>
      </c>
      <c r="S88" t="s">
        <v>2833</v>
      </c>
    </row>
    <row r="89" spans="1:19" ht="15.75" thickBot="1" x14ac:dyDescent="0.3">
      <c r="A89" s="82" t="s">
        <v>4693</v>
      </c>
      <c r="B89" s="82" t="s">
        <v>4693</v>
      </c>
      <c r="C89" s="82" t="str">
        <f t="shared" si="4"/>
        <v>X</v>
      </c>
      <c r="D89" s="222">
        <v>2022</v>
      </c>
      <c r="E89" s="83" t="s">
        <v>624</v>
      </c>
      <c r="F89" t="s">
        <v>620</v>
      </c>
      <c r="I89" s="221" t="str">
        <f t="shared" si="5"/>
        <v>Ligeiro de Mercadorias N1: Geral : Gasóleo : Geral</v>
      </c>
      <c r="J89" s="133">
        <v>681.8</v>
      </c>
      <c r="K89" s="85" t="s">
        <v>630</v>
      </c>
      <c r="L89" s="124">
        <v>10621</v>
      </c>
      <c r="M89" s="125">
        <v>2</v>
      </c>
      <c r="N89" s="133">
        <f t="shared" si="6"/>
        <v>6.4193578759062229</v>
      </c>
      <c r="O89" s="85" t="s">
        <v>626</v>
      </c>
      <c r="P89" s="220" t="s">
        <v>1888</v>
      </c>
      <c r="Q89" s="220" t="s">
        <v>1861</v>
      </c>
      <c r="R89" t="s">
        <v>1972</v>
      </c>
      <c r="S89" t="s">
        <v>2833</v>
      </c>
    </row>
    <row r="90" spans="1:19" ht="15.75" thickBot="1" x14ac:dyDescent="0.3">
      <c r="A90" s="82" t="s">
        <v>4693</v>
      </c>
      <c r="B90" s="82" t="s">
        <v>4693</v>
      </c>
      <c r="C90" s="82" t="str">
        <f t="shared" si="4"/>
        <v>X</v>
      </c>
      <c r="D90" s="222">
        <v>2022</v>
      </c>
      <c r="E90" s="83" t="s">
        <v>624</v>
      </c>
      <c r="F90" t="s">
        <v>620</v>
      </c>
      <c r="I90" s="221" t="str">
        <f t="shared" si="5"/>
        <v>Ligeiro de Mercadorias N1: Geral : Gasóleo : Geral</v>
      </c>
      <c r="J90" s="133">
        <v>1292.8000000000002</v>
      </c>
      <c r="K90" s="85" t="s">
        <v>630</v>
      </c>
      <c r="L90" s="124">
        <v>21589</v>
      </c>
      <c r="M90" s="125">
        <v>2</v>
      </c>
      <c r="N90" s="133">
        <f t="shared" si="6"/>
        <v>5.9882347491778232</v>
      </c>
      <c r="O90" s="85" t="s">
        <v>626</v>
      </c>
      <c r="P90" s="220" t="s">
        <v>1888</v>
      </c>
      <c r="Q90" s="220" t="s">
        <v>1861</v>
      </c>
      <c r="R90" t="s">
        <v>1972</v>
      </c>
      <c r="S90" t="s">
        <v>2833</v>
      </c>
    </row>
    <row r="91" spans="1:19" ht="15.75" thickBot="1" x14ac:dyDescent="0.3">
      <c r="A91" s="82" t="s">
        <v>4693</v>
      </c>
      <c r="B91" s="82" t="s">
        <v>4693</v>
      </c>
      <c r="C91" s="82" t="str">
        <f t="shared" si="4"/>
        <v>X</v>
      </c>
      <c r="D91" s="222">
        <v>2022</v>
      </c>
      <c r="E91" s="83" t="s">
        <v>623</v>
      </c>
      <c r="F91" t="s">
        <v>620</v>
      </c>
      <c r="I91" s="221" t="str">
        <f t="shared" si="5"/>
        <v>Ligeiro de Passageiros M1: Geral : Gasóleo : Geral</v>
      </c>
      <c r="J91" s="133">
        <v>811.20000000000016</v>
      </c>
      <c r="K91" s="85" t="s">
        <v>630</v>
      </c>
      <c r="L91" s="124">
        <v>10777</v>
      </c>
      <c r="M91" s="125">
        <v>5</v>
      </c>
      <c r="N91" s="133">
        <f t="shared" si="6"/>
        <v>7.5271411338962615</v>
      </c>
      <c r="O91" s="85" t="s">
        <v>626</v>
      </c>
      <c r="P91" s="220" t="s">
        <v>1888</v>
      </c>
      <c r="Q91" s="220" t="s">
        <v>1861</v>
      </c>
      <c r="R91" t="s">
        <v>1972</v>
      </c>
      <c r="S91" t="s">
        <v>2833</v>
      </c>
    </row>
    <row r="92" spans="1:19" ht="15.75" thickBot="1" x14ac:dyDescent="0.3">
      <c r="A92" s="82" t="s">
        <v>4693</v>
      </c>
      <c r="B92" s="82" t="s">
        <v>4693</v>
      </c>
      <c r="C92" s="82" t="str">
        <f t="shared" si="4"/>
        <v>X</v>
      </c>
      <c r="D92" s="222">
        <v>2022</v>
      </c>
      <c r="E92" s="83" t="s">
        <v>623</v>
      </c>
      <c r="F92" t="s">
        <v>620</v>
      </c>
      <c r="I92" s="221" t="str">
        <f t="shared" si="5"/>
        <v>Ligeiro de Passageiros M1: Geral : Gasóleo : Geral</v>
      </c>
      <c r="J92" s="133">
        <v>2142.6</v>
      </c>
      <c r="K92" s="85" t="s">
        <v>630</v>
      </c>
      <c r="L92" s="124">
        <v>31758</v>
      </c>
      <c r="M92" s="125">
        <v>5</v>
      </c>
      <c r="N92" s="133">
        <f t="shared" si="6"/>
        <v>6.7466465142641221</v>
      </c>
      <c r="O92" s="85" t="s">
        <v>2845</v>
      </c>
      <c r="P92" s="220" t="s">
        <v>1888</v>
      </c>
      <c r="Q92" s="220" t="s">
        <v>1861</v>
      </c>
      <c r="R92" t="s">
        <v>1972</v>
      </c>
      <c r="S92" t="s">
        <v>2833</v>
      </c>
    </row>
    <row r="93" spans="1:19" ht="15.75" thickBot="1" x14ac:dyDescent="0.3">
      <c r="A93" s="82" t="s">
        <v>4693</v>
      </c>
      <c r="B93" s="82" t="s">
        <v>4693</v>
      </c>
      <c r="C93" s="82" t="str">
        <f t="shared" si="4"/>
        <v>X</v>
      </c>
      <c r="D93" s="222">
        <v>2022</v>
      </c>
      <c r="E93" s="83" t="s">
        <v>623</v>
      </c>
      <c r="F93" t="s">
        <v>620</v>
      </c>
      <c r="I93" s="221" t="str">
        <f t="shared" si="5"/>
        <v>Ligeiro de Passageiros M1: Geral : Gasóleo : Geral</v>
      </c>
      <c r="J93" s="133">
        <v>838.4</v>
      </c>
      <c r="K93" s="85" t="s">
        <v>630</v>
      </c>
      <c r="L93" s="124">
        <v>12467</v>
      </c>
      <c r="M93" s="125">
        <v>5</v>
      </c>
      <c r="N93" s="133">
        <f t="shared" si="6"/>
        <v>6.7249538782385505</v>
      </c>
      <c r="O93" s="85" t="s">
        <v>2845</v>
      </c>
      <c r="P93" s="220" t="s">
        <v>1888</v>
      </c>
      <c r="Q93" s="220" t="s">
        <v>1861</v>
      </c>
      <c r="R93" t="s">
        <v>1972</v>
      </c>
      <c r="S93" t="s">
        <v>2833</v>
      </c>
    </row>
    <row r="94" spans="1:19" ht="15.75" thickBot="1" x14ac:dyDescent="0.3">
      <c r="A94" s="82" t="s">
        <v>4693</v>
      </c>
      <c r="B94" s="82" t="s">
        <v>4693</v>
      </c>
      <c r="C94" s="82" t="str">
        <f t="shared" si="4"/>
        <v>X</v>
      </c>
      <c r="D94" s="222">
        <v>2022</v>
      </c>
      <c r="E94" s="83" t="s">
        <v>623</v>
      </c>
      <c r="F94" t="s">
        <v>620</v>
      </c>
      <c r="I94" s="221" t="str">
        <f t="shared" si="5"/>
        <v>Ligeiro de Passageiros M1: Geral : Gasóleo : Geral</v>
      </c>
      <c r="J94" s="133">
        <v>1196.5</v>
      </c>
      <c r="K94" s="85" t="s">
        <v>630</v>
      </c>
      <c r="L94" s="124">
        <v>15529</v>
      </c>
      <c r="M94" s="125">
        <v>8</v>
      </c>
      <c r="N94" s="133">
        <f t="shared" si="6"/>
        <v>7.7049391461137224</v>
      </c>
      <c r="O94" s="85" t="s">
        <v>2845</v>
      </c>
      <c r="P94" s="220" t="s">
        <v>1888</v>
      </c>
      <c r="Q94" s="220" t="s">
        <v>1861</v>
      </c>
      <c r="R94" t="s">
        <v>1972</v>
      </c>
      <c r="S94" t="s">
        <v>2833</v>
      </c>
    </row>
    <row r="95" spans="1:19" ht="15.75" thickBot="1" x14ac:dyDescent="0.3">
      <c r="A95" s="82" t="s">
        <v>4693</v>
      </c>
      <c r="B95" s="82" t="s">
        <v>4693</v>
      </c>
      <c r="C95" s="82" t="str">
        <f t="shared" si="4"/>
        <v>X</v>
      </c>
      <c r="D95" s="222">
        <v>2022</v>
      </c>
      <c r="E95" s="83" t="s">
        <v>624</v>
      </c>
      <c r="F95" t="s">
        <v>620</v>
      </c>
      <c r="I95" s="221" t="str">
        <f t="shared" si="5"/>
        <v>Ligeiro de Mercadorias N1: Geral : Gasóleo : Geral</v>
      </c>
      <c r="J95" s="133">
        <v>1390.8999999999999</v>
      </c>
      <c r="K95" s="85" t="s">
        <v>630</v>
      </c>
      <c r="L95" s="124">
        <v>26564</v>
      </c>
      <c r="M95" s="125">
        <v>2</v>
      </c>
      <c r="N95" s="133">
        <f t="shared" si="6"/>
        <v>5.23603372985996</v>
      </c>
      <c r="O95" s="85" t="s">
        <v>626</v>
      </c>
      <c r="P95" s="220" t="s">
        <v>1888</v>
      </c>
      <c r="Q95" s="220" t="s">
        <v>1861</v>
      </c>
      <c r="R95" t="s">
        <v>1972</v>
      </c>
      <c r="S95" t="s">
        <v>2833</v>
      </c>
    </row>
    <row r="96" spans="1:19" ht="15.75" thickBot="1" x14ac:dyDescent="0.3">
      <c r="A96" s="82" t="s">
        <v>4693</v>
      </c>
      <c r="B96" s="82" t="s">
        <v>4693</v>
      </c>
      <c r="C96" s="82" t="str">
        <f t="shared" si="4"/>
        <v>X</v>
      </c>
      <c r="D96" s="222">
        <v>2022</v>
      </c>
      <c r="E96" s="83" t="s">
        <v>624</v>
      </c>
      <c r="F96" t="s">
        <v>620</v>
      </c>
      <c r="I96" s="221" t="str">
        <f t="shared" si="5"/>
        <v>Ligeiro de Mercadorias N1: Geral : Gasóleo : Geral</v>
      </c>
      <c r="J96" s="133">
        <v>1143.1999999999998</v>
      </c>
      <c r="K96" s="85" t="s">
        <v>630</v>
      </c>
      <c r="L96" s="124">
        <v>21743</v>
      </c>
      <c r="M96" s="125">
        <v>2</v>
      </c>
      <c r="N96" s="133">
        <f t="shared" si="6"/>
        <v>5.2577841144276309</v>
      </c>
      <c r="O96" s="85" t="s">
        <v>626</v>
      </c>
      <c r="P96" s="220" t="s">
        <v>1888</v>
      </c>
      <c r="Q96" s="220" t="s">
        <v>1861</v>
      </c>
      <c r="R96" t="s">
        <v>1972</v>
      </c>
      <c r="S96" t="s">
        <v>2833</v>
      </c>
    </row>
    <row r="97" spans="1:19" ht="15.75" thickBot="1" x14ac:dyDescent="0.3">
      <c r="A97" s="82" t="s">
        <v>4693</v>
      </c>
      <c r="B97" s="82" t="s">
        <v>4693</v>
      </c>
      <c r="C97" s="82" t="str">
        <f t="shared" si="4"/>
        <v>X</v>
      </c>
      <c r="D97" s="222">
        <v>2022</v>
      </c>
      <c r="E97" s="83" t="s">
        <v>624</v>
      </c>
      <c r="F97" t="s">
        <v>620</v>
      </c>
      <c r="I97" s="221" t="str">
        <f t="shared" si="5"/>
        <v>Ligeiro de Mercadorias N1: Geral : Gasóleo : Geral</v>
      </c>
      <c r="J97" s="133">
        <v>1582.7000000000003</v>
      </c>
      <c r="K97" s="85" t="s">
        <v>630</v>
      </c>
      <c r="L97" s="124">
        <v>27527</v>
      </c>
      <c r="M97" s="125">
        <v>3</v>
      </c>
      <c r="N97" s="133">
        <f t="shared" si="6"/>
        <v>5.7496276383187421</v>
      </c>
      <c r="O97" s="85" t="s">
        <v>626</v>
      </c>
      <c r="P97" s="220" t="s">
        <v>1888</v>
      </c>
      <c r="Q97" s="220" t="s">
        <v>1861</v>
      </c>
      <c r="R97" t="s">
        <v>1972</v>
      </c>
      <c r="S97" t="s">
        <v>2833</v>
      </c>
    </row>
    <row r="98" spans="1:19" ht="15.75" thickBot="1" x14ac:dyDescent="0.3">
      <c r="A98" s="82" t="s">
        <v>4693</v>
      </c>
      <c r="B98" s="82" t="s">
        <v>4693</v>
      </c>
      <c r="C98" s="82" t="str">
        <f t="shared" si="4"/>
        <v>X</v>
      </c>
      <c r="D98" s="222">
        <v>2022</v>
      </c>
      <c r="E98" s="83" t="s">
        <v>623</v>
      </c>
      <c r="F98" t="s">
        <v>620</v>
      </c>
      <c r="I98" s="221" t="str">
        <f t="shared" si="5"/>
        <v>Ligeiro de Passageiros M1: Geral : Gasóleo : Geral</v>
      </c>
      <c r="J98" s="133">
        <v>404</v>
      </c>
      <c r="K98" s="85" t="s">
        <v>630</v>
      </c>
      <c r="L98" s="124">
        <v>4324</v>
      </c>
      <c r="M98" s="125">
        <v>3</v>
      </c>
      <c r="N98" s="133">
        <f t="shared" si="6"/>
        <v>9.3432007400555044</v>
      </c>
      <c r="O98" s="85" t="s">
        <v>626</v>
      </c>
      <c r="P98" s="220" t="s">
        <v>1888</v>
      </c>
      <c r="Q98" s="220" t="s">
        <v>1861</v>
      </c>
      <c r="R98" t="s">
        <v>1972</v>
      </c>
      <c r="S98" t="s">
        <v>2833</v>
      </c>
    </row>
    <row r="99" spans="1:19" ht="15.75" thickBot="1" x14ac:dyDescent="0.3">
      <c r="A99" s="82" t="s">
        <v>4693</v>
      </c>
      <c r="B99" s="82" t="s">
        <v>4693</v>
      </c>
      <c r="C99" s="82" t="str">
        <f t="shared" si="4"/>
        <v>X</v>
      </c>
      <c r="D99" s="222">
        <v>2022</v>
      </c>
      <c r="E99" s="83" t="s">
        <v>624</v>
      </c>
      <c r="F99" t="s">
        <v>620</v>
      </c>
      <c r="I99" s="221" t="str">
        <f t="shared" si="5"/>
        <v>Ligeiro de Mercadorias N1: Geral : Gasóleo : Geral</v>
      </c>
      <c r="J99" s="133">
        <v>1679.2</v>
      </c>
      <c r="K99" s="85" t="s">
        <v>630</v>
      </c>
      <c r="L99" s="124">
        <v>4535</v>
      </c>
      <c r="M99" s="125">
        <v>2</v>
      </c>
      <c r="N99" s="133">
        <f t="shared" si="6"/>
        <v>37.027563395810361</v>
      </c>
      <c r="O99" s="85" t="s">
        <v>626</v>
      </c>
      <c r="P99" s="220" t="s">
        <v>1888</v>
      </c>
      <c r="Q99" s="220" t="s">
        <v>1861</v>
      </c>
      <c r="R99" t="s">
        <v>1972</v>
      </c>
      <c r="S99" t="s">
        <v>2833</v>
      </c>
    </row>
    <row r="100" spans="1:19" ht="15.75" thickBot="1" x14ac:dyDescent="0.3">
      <c r="A100" s="82" t="s">
        <v>4705</v>
      </c>
      <c r="B100" s="82" t="s">
        <v>4705</v>
      </c>
      <c r="C100" s="82" t="str">
        <f t="shared" si="4"/>
        <v>X</v>
      </c>
      <c r="D100" s="222">
        <v>2022</v>
      </c>
      <c r="E100" s="83" t="s">
        <v>623</v>
      </c>
      <c r="F100" t="s">
        <v>620</v>
      </c>
      <c r="I100" s="221" t="str">
        <f t="shared" si="5"/>
        <v>Ligeiro de Passageiros M1: Geral : Gasóleo : Geral</v>
      </c>
      <c r="J100" s="332">
        <v>10428</v>
      </c>
      <c r="K100" s="85" t="s">
        <v>621</v>
      </c>
      <c r="L100" s="124"/>
      <c r="M100" s="125">
        <v>1</v>
      </c>
      <c r="N100" s="133">
        <f t="shared" si="6"/>
        <v>0</v>
      </c>
      <c r="O100" s="91" t="s">
        <v>3326</v>
      </c>
      <c r="P100" s="220" t="s">
        <v>1891</v>
      </c>
      <c r="Q100" s="220" t="s">
        <v>1890</v>
      </c>
      <c r="R100" t="s">
        <v>1972</v>
      </c>
      <c r="S100" t="s">
        <v>2833</v>
      </c>
    </row>
    <row r="101" spans="1:19" ht="15.75" thickBot="1" x14ac:dyDescent="0.3">
      <c r="A101" s="82" t="s">
        <v>4705</v>
      </c>
      <c r="B101" s="82" t="s">
        <v>4705</v>
      </c>
      <c r="C101" s="82" t="str">
        <f t="shared" si="4"/>
        <v>X</v>
      </c>
      <c r="D101" s="222">
        <v>2022</v>
      </c>
      <c r="E101" s="83" t="s">
        <v>623</v>
      </c>
      <c r="F101" t="s">
        <v>620</v>
      </c>
      <c r="I101" s="221" t="str">
        <f t="shared" si="5"/>
        <v>Ligeiro de Passageiros M1: Geral : Gasóleo : Geral</v>
      </c>
      <c r="J101" s="332">
        <v>3857</v>
      </c>
      <c r="K101" s="85" t="s">
        <v>630</v>
      </c>
      <c r="L101" s="124">
        <v>62832</v>
      </c>
      <c r="M101" s="125">
        <v>1</v>
      </c>
      <c r="N101" s="133">
        <f t="shared" si="6"/>
        <v>6.1385918003565063</v>
      </c>
      <c r="O101" s="91" t="s">
        <v>3327</v>
      </c>
      <c r="P101" s="220" t="s">
        <v>1888</v>
      </c>
      <c r="Q101" s="220" t="s">
        <v>1861</v>
      </c>
      <c r="R101" t="s">
        <v>1972</v>
      </c>
      <c r="S101" t="s">
        <v>2833</v>
      </c>
    </row>
    <row r="102" spans="1:19" ht="15.75" thickBot="1" x14ac:dyDescent="0.3">
      <c r="A102" s="82" t="s">
        <v>4705</v>
      </c>
      <c r="B102" s="82" t="s">
        <v>4705</v>
      </c>
      <c r="C102" s="82" t="str">
        <f t="shared" si="4"/>
        <v>X</v>
      </c>
      <c r="D102" s="222">
        <v>2022</v>
      </c>
      <c r="E102" s="83" t="s">
        <v>623</v>
      </c>
      <c r="F102" t="s">
        <v>620</v>
      </c>
      <c r="I102" s="221" t="str">
        <f t="shared" si="5"/>
        <v>Ligeiro de Passageiros M1: Geral : Gasóleo : Geral</v>
      </c>
      <c r="J102" s="332">
        <v>8303.66</v>
      </c>
      <c r="K102" s="85" t="s">
        <v>630</v>
      </c>
      <c r="L102" s="124">
        <v>127770</v>
      </c>
      <c r="M102" s="125">
        <v>5</v>
      </c>
      <c r="N102" s="133">
        <f t="shared" si="6"/>
        <v>6.4989121076935126</v>
      </c>
      <c r="O102" s="85" t="s">
        <v>2845</v>
      </c>
      <c r="P102" s="220" t="s">
        <v>1888</v>
      </c>
      <c r="Q102" s="220" t="s">
        <v>1861</v>
      </c>
      <c r="R102" t="s">
        <v>1972</v>
      </c>
      <c r="S102" t="s">
        <v>2833</v>
      </c>
    </row>
    <row r="103" spans="1:19" ht="15.75" thickBot="1" x14ac:dyDescent="0.3">
      <c r="A103" s="82" t="s">
        <v>4705</v>
      </c>
      <c r="B103" s="82" t="s">
        <v>4705</v>
      </c>
      <c r="C103" s="82" t="str">
        <f t="shared" si="4"/>
        <v>X</v>
      </c>
      <c r="D103" s="222">
        <v>2022</v>
      </c>
      <c r="E103" s="83" t="s">
        <v>624</v>
      </c>
      <c r="F103" t="s">
        <v>620</v>
      </c>
      <c r="I103" s="221" t="str">
        <f t="shared" si="5"/>
        <v>Ligeiro de Mercadorias N1: Geral : Gasóleo : Geral</v>
      </c>
      <c r="J103" s="332">
        <v>7853.58</v>
      </c>
      <c r="K103" s="85" t="s">
        <v>630</v>
      </c>
      <c r="L103" s="124">
        <v>121434</v>
      </c>
      <c r="M103" s="125">
        <v>2</v>
      </c>
      <c r="N103" s="133">
        <f t="shared" si="6"/>
        <v>6.4673649883887547</v>
      </c>
      <c r="O103" s="85" t="s">
        <v>2845</v>
      </c>
      <c r="P103" s="220" t="s">
        <v>1888</v>
      </c>
      <c r="Q103" s="220" t="s">
        <v>1861</v>
      </c>
      <c r="R103" t="s">
        <v>1972</v>
      </c>
      <c r="S103" t="s">
        <v>2833</v>
      </c>
    </row>
    <row r="104" spans="1:19" ht="15.75" thickBot="1" x14ac:dyDescent="0.3">
      <c r="A104" t="s">
        <v>4701</v>
      </c>
      <c r="B104" t="s">
        <v>4701</v>
      </c>
      <c r="C104" s="82" t="str">
        <f t="shared" ref="C104:C111" si="7">IF(A104=B104,"X",RIGHT(A104,LEN(A104)-LEN(B104)-3))</f>
        <v>X</v>
      </c>
      <c r="D104" s="222">
        <v>2022</v>
      </c>
      <c r="E104" s="83" t="s">
        <v>624</v>
      </c>
      <c r="F104" t="s">
        <v>620</v>
      </c>
      <c r="H104" s="84" t="s">
        <v>733</v>
      </c>
      <c r="I104" s="221" t="str">
        <f t="shared" si="5"/>
        <v>Ligeiro de Mercadorias N1: Geral : Gasóleo : E6</v>
      </c>
      <c r="J104" s="332">
        <v>1431.15</v>
      </c>
      <c r="K104" s="85" t="s">
        <v>630</v>
      </c>
      <c r="L104" s="124">
        <v>13630</v>
      </c>
      <c r="M104" s="125">
        <v>3</v>
      </c>
      <c r="N104" s="133">
        <f t="shared" si="6"/>
        <v>10.500000000000002</v>
      </c>
      <c r="O104" s="85" t="s">
        <v>3894</v>
      </c>
      <c r="P104" s="220" t="s">
        <v>1888</v>
      </c>
      <c r="Q104" s="220" t="s">
        <v>1861</v>
      </c>
      <c r="R104" t="s">
        <v>1972</v>
      </c>
      <c r="S104" t="s">
        <v>2833</v>
      </c>
    </row>
    <row r="105" spans="1:19" ht="15.75" thickBot="1" x14ac:dyDescent="0.3">
      <c r="A105" t="s">
        <v>4792</v>
      </c>
      <c r="B105" t="s">
        <v>4792</v>
      </c>
      <c r="C105" s="82" t="str">
        <f t="shared" si="7"/>
        <v>X</v>
      </c>
      <c r="D105" s="222">
        <v>2022</v>
      </c>
      <c r="E105" s="83" t="s">
        <v>624</v>
      </c>
      <c r="F105" t="s">
        <v>620</v>
      </c>
      <c r="H105" s="84" t="s">
        <v>733</v>
      </c>
      <c r="I105" s="221" t="str">
        <f t="shared" si="5"/>
        <v>Ligeiro de Mercadorias N1: Geral : Gasóleo : E6</v>
      </c>
      <c r="J105" s="332">
        <v>1943.38</v>
      </c>
      <c r="K105" s="85" t="s">
        <v>630</v>
      </c>
      <c r="L105" s="124">
        <v>35617</v>
      </c>
      <c r="M105" s="125">
        <v>2</v>
      </c>
      <c r="N105" s="133">
        <f t="shared" si="6"/>
        <v>5.4563270348429125</v>
      </c>
      <c r="O105" s="85" t="s">
        <v>3895</v>
      </c>
      <c r="P105" s="220" t="s">
        <v>1888</v>
      </c>
      <c r="Q105" s="220" t="s">
        <v>1861</v>
      </c>
      <c r="R105" t="s">
        <v>1972</v>
      </c>
      <c r="S105" t="s">
        <v>2833</v>
      </c>
    </row>
    <row r="106" spans="1:19" ht="15.75" thickBot="1" x14ac:dyDescent="0.3">
      <c r="A106" t="s">
        <v>4704</v>
      </c>
      <c r="B106" t="s">
        <v>4704</v>
      </c>
      <c r="C106" s="82" t="str">
        <f t="shared" si="7"/>
        <v>X</v>
      </c>
      <c r="D106" s="222">
        <v>2022</v>
      </c>
      <c r="E106" s="83" t="s">
        <v>623</v>
      </c>
      <c r="F106" t="s">
        <v>620</v>
      </c>
      <c r="I106" s="221" t="str">
        <f t="shared" si="5"/>
        <v>Ligeiro de Passageiros M1: Geral : Gasóleo : Geral</v>
      </c>
      <c r="J106" s="133">
        <v>490.43</v>
      </c>
      <c r="K106" s="85" t="s">
        <v>630</v>
      </c>
      <c r="L106" s="125">
        <v>9299</v>
      </c>
      <c r="M106" s="125">
        <v>5</v>
      </c>
      <c r="N106" s="133">
        <f t="shared" si="6"/>
        <v>5.2740079578449297</v>
      </c>
      <c r="O106" s="91" t="s">
        <v>3902</v>
      </c>
      <c r="P106" s="220" t="s">
        <v>1888</v>
      </c>
      <c r="Q106" s="220" t="s">
        <v>1861</v>
      </c>
      <c r="R106" t="s">
        <v>1972</v>
      </c>
      <c r="S106" t="s">
        <v>2833</v>
      </c>
    </row>
    <row r="107" spans="1:19" ht="15.75" thickBot="1" x14ac:dyDescent="0.3">
      <c r="A107" t="s">
        <v>4704</v>
      </c>
      <c r="B107" t="s">
        <v>4704</v>
      </c>
      <c r="C107" s="82" t="str">
        <f t="shared" si="7"/>
        <v>X</v>
      </c>
      <c r="D107" s="222">
        <v>2022</v>
      </c>
      <c r="E107" s="83" t="s">
        <v>623</v>
      </c>
      <c r="F107" t="s">
        <v>620</v>
      </c>
      <c r="I107" s="221" t="str">
        <f t="shared" si="5"/>
        <v>Ligeiro de Passageiros M1: Geral : Gasóleo : Geral</v>
      </c>
      <c r="J107" s="133">
        <v>966.18</v>
      </c>
      <c r="K107" s="85" t="s">
        <v>630</v>
      </c>
      <c r="L107" s="125">
        <v>10187</v>
      </c>
      <c r="M107" s="125">
        <v>6</v>
      </c>
      <c r="N107" s="133">
        <f t="shared" si="6"/>
        <v>9.4844409541572574</v>
      </c>
      <c r="O107" s="91" t="s">
        <v>3903</v>
      </c>
      <c r="P107" s="220" t="s">
        <v>1888</v>
      </c>
      <c r="Q107" s="220" t="s">
        <v>1861</v>
      </c>
      <c r="R107" t="s">
        <v>1972</v>
      </c>
      <c r="S107" t="s">
        <v>2833</v>
      </c>
    </row>
    <row r="108" spans="1:19" ht="15.75" thickBot="1" x14ac:dyDescent="0.3">
      <c r="A108" t="s">
        <v>4703</v>
      </c>
      <c r="B108" t="s">
        <v>4703</v>
      </c>
      <c r="C108" s="82" t="str">
        <f t="shared" si="7"/>
        <v>X</v>
      </c>
      <c r="D108" s="222">
        <v>2022</v>
      </c>
      <c r="E108" s="83" t="s">
        <v>623</v>
      </c>
      <c r="F108" t="s">
        <v>620</v>
      </c>
      <c r="I108" s="221" t="str">
        <f t="shared" si="5"/>
        <v>Ligeiro de Passageiros M1: Geral : Gasóleo : Geral</v>
      </c>
      <c r="J108" s="133">
        <v>538.02</v>
      </c>
      <c r="K108" s="85" t="s">
        <v>621</v>
      </c>
      <c r="L108" s="425">
        <v>210514</v>
      </c>
      <c r="M108" s="85">
        <v>2</v>
      </c>
      <c r="N108" s="133">
        <f>IFERROR(J108/L108*100,0)</f>
        <v>0.25557445110538968</v>
      </c>
      <c r="O108" s="125"/>
      <c r="P108" s="220" t="s">
        <v>1891</v>
      </c>
      <c r="Q108" s="220" t="s">
        <v>1890</v>
      </c>
      <c r="R108" t="s">
        <v>1972</v>
      </c>
      <c r="S108" t="s">
        <v>2833</v>
      </c>
    </row>
    <row r="109" spans="1:19" ht="15.75" thickBot="1" x14ac:dyDescent="0.3">
      <c r="A109" t="s">
        <v>4703</v>
      </c>
      <c r="B109" t="s">
        <v>4703</v>
      </c>
      <c r="C109" s="82" t="str">
        <f t="shared" si="7"/>
        <v>X</v>
      </c>
      <c r="D109" s="222">
        <v>2022</v>
      </c>
      <c r="E109" s="83" t="s">
        <v>623</v>
      </c>
      <c r="F109" t="s">
        <v>620</v>
      </c>
      <c r="I109" s="221" t="str">
        <f t="shared" si="5"/>
        <v>Ligeiro de Passageiros M1: Geral : Gasóleo : Geral</v>
      </c>
      <c r="J109" s="133">
        <v>1185.95</v>
      </c>
      <c r="K109" s="85" t="s">
        <v>621</v>
      </c>
      <c r="L109" s="425">
        <v>227342</v>
      </c>
      <c r="M109" s="85">
        <v>5</v>
      </c>
      <c r="N109" s="133">
        <f t="shared" si="6"/>
        <v>0.52165899833730689</v>
      </c>
      <c r="O109" s="125"/>
      <c r="P109" s="220" t="s">
        <v>1891</v>
      </c>
      <c r="Q109" s="220" t="s">
        <v>1890</v>
      </c>
      <c r="R109" t="s">
        <v>1972</v>
      </c>
      <c r="S109" t="s">
        <v>2833</v>
      </c>
    </row>
    <row r="110" spans="1:19" ht="15.75" thickBot="1" x14ac:dyDescent="0.3">
      <c r="A110" t="s">
        <v>4703</v>
      </c>
      <c r="B110" t="s">
        <v>4703</v>
      </c>
      <c r="C110" s="82" t="str">
        <f t="shared" si="7"/>
        <v>X</v>
      </c>
      <c r="D110" s="222">
        <v>2022</v>
      </c>
      <c r="E110" s="416" t="s">
        <v>2843</v>
      </c>
      <c r="F110" t="s">
        <v>620</v>
      </c>
      <c r="I110" s="417" t="s">
        <v>1864</v>
      </c>
      <c r="J110" s="133">
        <v>0</v>
      </c>
      <c r="K110" s="85" t="s">
        <v>621</v>
      </c>
      <c r="L110" s="426">
        <v>0</v>
      </c>
      <c r="M110" s="85">
        <v>7</v>
      </c>
      <c r="N110" s="133">
        <f t="shared" si="6"/>
        <v>0</v>
      </c>
      <c r="O110" s="133" t="s">
        <v>3948</v>
      </c>
      <c r="P110" s="220" t="s">
        <v>1891</v>
      </c>
      <c r="Q110" s="220" t="s">
        <v>1890</v>
      </c>
      <c r="R110" t="s">
        <v>1972</v>
      </c>
      <c r="S110" t="s">
        <v>2833</v>
      </c>
    </row>
    <row r="111" spans="1:19" ht="15.75" thickBot="1" x14ac:dyDescent="0.3">
      <c r="A111" t="s">
        <v>4703</v>
      </c>
      <c r="B111" t="s">
        <v>4703</v>
      </c>
      <c r="C111" s="82" t="str">
        <f t="shared" si="7"/>
        <v>X</v>
      </c>
      <c r="D111" s="222">
        <v>2022</v>
      </c>
      <c r="E111" s="416" t="s">
        <v>2843</v>
      </c>
      <c r="F111" t="s">
        <v>620</v>
      </c>
      <c r="I111" s="417" t="s">
        <v>1864</v>
      </c>
      <c r="J111" s="133">
        <v>108.32</v>
      </c>
      <c r="K111" s="85" t="s">
        <v>621</v>
      </c>
      <c r="L111" s="426">
        <v>14599</v>
      </c>
      <c r="M111" s="85">
        <v>2</v>
      </c>
      <c r="N111" s="133">
        <f t="shared" si="6"/>
        <v>0.74196862798821839</v>
      </c>
      <c r="O111" s="133" t="s">
        <v>3949</v>
      </c>
      <c r="P111" s="220" t="s">
        <v>1891</v>
      </c>
      <c r="Q111" s="220" t="s">
        <v>1890</v>
      </c>
      <c r="R111" t="s">
        <v>1972</v>
      </c>
      <c r="S111" t="s">
        <v>2833</v>
      </c>
    </row>
    <row r="112" spans="1:19" ht="15.75" thickBot="1" x14ac:dyDescent="0.3">
      <c r="A112" t="s">
        <v>4718</v>
      </c>
      <c r="B112" t="s">
        <v>4718</v>
      </c>
      <c r="C112" t="s">
        <v>1969</v>
      </c>
      <c r="D112" s="431">
        <v>2022</v>
      </c>
      <c r="E112" s="83" t="s">
        <v>623</v>
      </c>
      <c r="F112" t="s">
        <v>620</v>
      </c>
      <c r="H112" s="84" t="s">
        <v>733</v>
      </c>
      <c r="I112" s="221" t="str">
        <f t="shared" ref="I112:I113" si="8">IF(H112="",E112&amp;": Geral : "&amp;F112&amp;" : Geral",E112&amp;": Geral : "&amp;F112&amp;" : "&amp;H112)</f>
        <v>Ligeiro de Passageiros M1: Geral : Gasóleo : E6</v>
      </c>
      <c r="J112" s="133">
        <v>8629.9500000000007</v>
      </c>
      <c r="K112" s="85" t="s">
        <v>630</v>
      </c>
      <c r="L112" s="124"/>
      <c r="O112" s="91" t="s">
        <v>625</v>
      </c>
      <c r="P112" s="220" t="s">
        <v>1888</v>
      </c>
      <c r="Q112" s="220" t="s">
        <v>1861</v>
      </c>
      <c r="R112" t="s">
        <v>1972</v>
      </c>
      <c r="S112" t="s">
        <v>2833</v>
      </c>
    </row>
    <row r="113" spans="1:19" ht="15.75" thickBot="1" x14ac:dyDescent="0.3">
      <c r="A113" t="s">
        <v>4718</v>
      </c>
      <c r="B113" t="s">
        <v>4718</v>
      </c>
      <c r="C113" t="s">
        <v>1969</v>
      </c>
      <c r="D113" s="431">
        <v>2022</v>
      </c>
      <c r="E113" s="83" t="s">
        <v>623</v>
      </c>
      <c r="F113" t="s">
        <v>1952</v>
      </c>
      <c r="H113" s="84" t="s">
        <v>733</v>
      </c>
      <c r="I113" s="221" t="str">
        <f t="shared" si="8"/>
        <v>Ligeiro de Passageiros M1: Geral : Gasolina : E6</v>
      </c>
      <c r="J113" s="133">
        <v>4418.8500000000004</v>
      </c>
      <c r="K113" s="85" t="s">
        <v>630</v>
      </c>
      <c r="L113" s="124"/>
      <c r="O113" s="91" t="s">
        <v>625</v>
      </c>
      <c r="P113" s="220" t="s">
        <v>1888</v>
      </c>
      <c r="Q113" s="220" t="s">
        <v>1861</v>
      </c>
      <c r="R113" t="s">
        <v>1972</v>
      </c>
      <c r="S113" t="s">
        <v>2833</v>
      </c>
    </row>
  </sheetData>
  <mergeCells count="15">
    <mergeCell ref="R1:R2"/>
    <mergeCell ref="S1:S2"/>
    <mergeCell ref="A1:A2"/>
    <mergeCell ref="C1:C2"/>
    <mergeCell ref="P1:P2"/>
    <mergeCell ref="Q1:Q2"/>
    <mergeCell ref="B1:B2"/>
    <mergeCell ref="E1:E2"/>
    <mergeCell ref="F1:F2"/>
    <mergeCell ref="J1:J2"/>
    <mergeCell ref="K1:K2"/>
    <mergeCell ref="L1:L2"/>
    <mergeCell ref="M1:M2"/>
    <mergeCell ref="N1:N2"/>
    <mergeCell ref="O1:O2"/>
  </mergeCells>
  <dataValidations count="3">
    <dataValidation type="list" allowBlank="1" showInputMessage="1" showErrorMessage="1" sqref="K3:K21 K85:K113">
      <formula1>"l (litros), kg (quilos), Nm3 (metros cubicos norm.), € (euros)"</formula1>
    </dataValidation>
    <dataValidation type="list" allowBlank="1" showInputMessage="1" showErrorMessage="1" sqref="E3:E113">
      <formula1>"Pesado de Passageiros M3, Pesado de Passageiros M2, Ligeiro de Passageiros M1, Pesado de Mercadorias N3, Pesado de Mercadorias N2, Ligeiro de Mercadorias N1, Misto"</formula1>
    </dataValidation>
    <dataValidation type="list" allowBlank="1" showInputMessage="1" showErrorMessage="1" sqref="F3:H21">
      <formula1>"Gasóleo, Gasolina, GPL, GNC, GNV, Butano, Propano, H2"</formula1>
    </dataValidation>
  </dataValidations>
  <pageMargins left="0.7" right="0.7" top="0.75" bottom="0.75" header="0.3" footer="0.3"/>
  <customProperties>
    <customPr name="GUID" r:id="rId1"/>
  </customPropertie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5"/>
  <dimension ref="B6:V46"/>
  <sheetViews>
    <sheetView topLeftCell="A46" workbookViewId="0"/>
    <sheetView workbookViewId="1"/>
  </sheetViews>
  <sheetFormatPr defaultRowHeight="15" x14ac:dyDescent="0.25"/>
  <cols>
    <col min="2" max="2" width="48" customWidth="1"/>
    <col min="3" max="3" width="28.5703125" customWidth="1"/>
    <col min="4" max="7" width="21.5703125" customWidth="1"/>
    <col min="8" max="9" width="28.28515625" customWidth="1"/>
    <col min="10" max="10" width="31.5703125" customWidth="1"/>
    <col min="11" max="12" width="28.28515625" customWidth="1"/>
  </cols>
  <sheetData>
    <row r="6" spans="2:22" ht="15.75" thickBot="1" x14ac:dyDescent="0.3"/>
    <row r="7" spans="2:22" x14ac:dyDescent="0.25">
      <c r="B7" s="78" t="s">
        <v>118</v>
      </c>
      <c r="C7" s="80"/>
    </row>
    <row r="9" spans="2:22" x14ac:dyDescent="0.25">
      <c r="B9" s="516" t="str">
        <f>"Grupo Barraqueiro: "&amp;'Folha de Rosto'!C6&amp;" "&amp;'Folha de Rosto'!I6&amp;" - Emissões de GEE de Âmbito 1"</f>
        <v>Grupo Barraqueiro: PEGADA DE CARBONO 2022 - Emissões de GEE de Âmbito 1</v>
      </c>
      <c r="C9" s="516"/>
      <c r="D9" s="516"/>
      <c r="E9" s="516"/>
      <c r="F9" s="516"/>
      <c r="G9" s="516"/>
      <c r="H9" s="516"/>
      <c r="I9" s="516"/>
      <c r="J9" s="516"/>
      <c r="K9" s="516"/>
      <c r="L9" s="516"/>
      <c r="M9" s="516"/>
      <c r="N9" s="516"/>
      <c r="O9" s="516"/>
      <c r="P9" s="516"/>
      <c r="Q9" s="516"/>
      <c r="R9" s="516"/>
      <c r="S9" s="516"/>
      <c r="T9" s="516"/>
      <c r="U9" s="516"/>
      <c r="V9" s="516"/>
    </row>
    <row r="10" spans="2:22" ht="15.75" thickBot="1" x14ac:dyDescent="0.3"/>
    <row r="11" spans="2:22" ht="33.75" customHeight="1" thickBot="1" x14ac:dyDescent="0.3">
      <c r="B11" s="512" t="s">
        <v>119</v>
      </c>
      <c r="C11" s="512"/>
      <c r="D11" s="518" t="s">
        <v>127</v>
      </c>
      <c r="E11" s="518"/>
      <c r="F11" s="519"/>
      <c r="G11" s="519"/>
      <c r="H11" s="519"/>
      <c r="I11" s="519"/>
      <c r="J11" s="519"/>
      <c r="K11" s="519"/>
      <c r="L11" s="519"/>
      <c r="M11" s="519"/>
      <c r="N11" s="519"/>
      <c r="O11" s="519"/>
      <c r="P11" s="519"/>
      <c r="Q11" s="520"/>
    </row>
    <row r="12" spans="2:22" ht="67.5" customHeight="1" thickBot="1" x14ac:dyDescent="0.3">
      <c r="B12" s="512" t="s">
        <v>120</v>
      </c>
      <c r="C12" s="512"/>
      <c r="D12" s="521" t="s">
        <v>152</v>
      </c>
      <c r="E12" s="521"/>
      <c r="F12" s="522"/>
      <c r="G12" s="522"/>
      <c r="H12" s="522"/>
      <c r="I12" s="522"/>
      <c r="J12" s="522"/>
      <c r="K12" s="522"/>
      <c r="L12" s="522"/>
      <c r="M12" s="522"/>
      <c r="N12" s="522"/>
      <c r="O12" s="522"/>
      <c r="P12" s="522"/>
      <c r="Q12" s="523"/>
    </row>
    <row r="13" spans="2:22" ht="60" customHeight="1" thickBot="1" x14ac:dyDescent="0.3">
      <c r="B13" s="512" t="s">
        <v>121</v>
      </c>
      <c r="C13" s="512"/>
      <c r="D13" s="534" t="str">
        <f>'A1.2'!D13</f>
        <v>Metodologia a descrever pelo responsável local pela recolha de dados</v>
      </c>
      <c r="E13" s="534"/>
      <c r="F13" s="535"/>
      <c r="G13" s="535"/>
      <c r="H13" s="535"/>
      <c r="I13" s="535"/>
      <c r="J13" s="535"/>
      <c r="K13" s="535"/>
      <c r="L13" s="535"/>
      <c r="M13" s="535"/>
      <c r="N13" s="535"/>
      <c r="O13" s="535"/>
      <c r="P13" s="535"/>
      <c r="Q13" s="536"/>
    </row>
    <row r="14" spans="2:22" ht="60" customHeight="1" thickBot="1" x14ac:dyDescent="0.3">
      <c r="B14" s="512" t="s">
        <v>122</v>
      </c>
      <c r="C14" s="512"/>
      <c r="D14" s="534" t="str">
        <f>'A1.2'!D14</f>
        <v>Identificação do responsável local pela recolha de dados</v>
      </c>
      <c r="E14" s="534"/>
      <c r="F14" s="535"/>
      <c r="G14" s="535"/>
      <c r="H14" s="535"/>
      <c r="I14" s="535"/>
      <c r="J14" s="535"/>
      <c r="K14" s="535"/>
      <c r="L14" s="535"/>
      <c r="M14" s="535"/>
      <c r="N14" s="535"/>
      <c r="O14" s="535"/>
      <c r="P14" s="535"/>
      <c r="Q14" s="536"/>
    </row>
    <row r="15" spans="2:22" ht="60" customHeight="1" thickBot="1" x14ac:dyDescent="0.3">
      <c r="B15" s="512" t="s">
        <v>128</v>
      </c>
      <c r="C15" s="512"/>
      <c r="D15" s="534" t="str">
        <f>'A1.2'!D15</f>
        <v>Identificação das fontes de dados pelo responsável local pela recolha de dados</v>
      </c>
      <c r="E15" s="534"/>
      <c r="F15" s="535"/>
      <c r="G15" s="535"/>
      <c r="H15" s="535"/>
      <c r="I15" s="535"/>
      <c r="J15" s="535"/>
      <c r="K15" s="535"/>
      <c r="L15" s="535"/>
      <c r="M15" s="535"/>
      <c r="N15" s="535"/>
      <c r="O15" s="535"/>
      <c r="P15" s="535"/>
      <c r="Q15" s="536"/>
    </row>
    <row r="17" spans="2:22" x14ac:dyDescent="0.25">
      <c r="B17" s="516" t="s">
        <v>154</v>
      </c>
      <c r="C17" s="516"/>
      <c r="D17" s="516"/>
      <c r="E17" s="516"/>
      <c r="F17" s="516"/>
      <c r="G17" s="516"/>
      <c r="H17" s="516"/>
      <c r="I17" s="516"/>
      <c r="J17" s="516"/>
      <c r="K17" s="516"/>
      <c r="L17" s="516"/>
      <c r="M17" s="516"/>
      <c r="N17" s="516"/>
      <c r="O17" s="516"/>
      <c r="P17" s="516"/>
      <c r="Q17" s="516"/>
      <c r="R17" s="516"/>
      <c r="S17" s="516"/>
      <c r="T17" s="516"/>
      <c r="U17" s="516"/>
      <c r="V17" s="516"/>
    </row>
    <row r="18" spans="2:22" x14ac:dyDescent="0.25">
      <c r="B18" t="s">
        <v>130</v>
      </c>
    </row>
    <row r="20" spans="2:22" x14ac:dyDescent="0.25">
      <c r="B20" s="81" t="s">
        <v>135</v>
      </c>
    </row>
    <row r="21" spans="2:22" x14ac:dyDescent="0.25">
      <c r="B21" s="517"/>
      <c r="C21" s="517"/>
      <c r="D21" s="517"/>
      <c r="E21" s="517"/>
      <c r="F21" s="517"/>
      <c r="G21" s="517"/>
      <c r="H21" s="517"/>
      <c r="I21" s="517"/>
      <c r="J21" s="517"/>
      <c r="K21" s="517"/>
      <c r="L21" s="517"/>
      <c r="M21" s="517"/>
      <c r="N21" s="517"/>
      <c r="O21" s="517"/>
      <c r="P21" s="517"/>
      <c r="Q21" s="517"/>
      <c r="R21" s="517"/>
      <c r="S21" s="517"/>
      <c r="T21" s="517"/>
    </row>
    <row r="22" spans="2:22" x14ac:dyDescent="0.25">
      <c r="B22" s="517"/>
      <c r="C22" s="517"/>
      <c r="D22" s="517"/>
      <c r="E22" s="517"/>
      <c r="F22" s="517"/>
      <c r="G22" s="517"/>
      <c r="H22" s="517"/>
      <c r="I22" s="517"/>
      <c r="J22" s="517"/>
      <c r="K22" s="517"/>
      <c r="L22" s="517"/>
      <c r="M22" s="517"/>
      <c r="N22" s="517"/>
      <c r="O22" s="517"/>
      <c r="P22" s="517"/>
      <c r="Q22" s="517"/>
      <c r="R22" s="517"/>
      <c r="S22" s="517"/>
      <c r="T22" s="517"/>
    </row>
    <row r="24" spans="2:22" x14ac:dyDescent="0.25">
      <c r="B24" s="81" t="s">
        <v>136</v>
      </c>
    </row>
    <row r="25" spans="2:22" x14ac:dyDescent="0.25">
      <c r="B25" s="517" t="s">
        <v>1849</v>
      </c>
      <c r="C25" s="517"/>
      <c r="D25" s="517"/>
      <c r="E25" s="517"/>
      <c r="F25" s="517"/>
      <c r="G25" s="517"/>
      <c r="H25" s="517"/>
      <c r="I25" s="517"/>
      <c r="J25" s="517"/>
      <c r="K25" s="517"/>
      <c r="L25" s="517"/>
      <c r="M25" s="517"/>
      <c r="N25" s="517"/>
      <c r="O25" s="517"/>
      <c r="P25" s="517"/>
      <c r="Q25" s="517"/>
      <c r="R25" s="517"/>
      <c r="S25" s="517"/>
      <c r="T25" s="517"/>
    </row>
    <row r="26" spans="2:22" x14ac:dyDescent="0.25">
      <c r="B26" s="517"/>
      <c r="C26" s="517"/>
      <c r="D26" s="517"/>
      <c r="E26" s="517"/>
      <c r="F26" s="517"/>
      <c r="G26" s="517"/>
      <c r="H26" s="517"/>
      <c r="I26" s="517"/>
      <c r="J26" s="517"/>
      <c r="K26" s="517"/>
      <c r="L26" s="517"/>
      <c r="M26" s="517"/>
      <c r="N26" s="517"/>
      <c r="O26" s="517"/>
      <c r="P26" s="517"/>
      <c r="Q26" s="517"/>
      <c r="R26" s="517"/>
      <c r="S26" s="517"/>
      <c r="T26" s="517"/>
    </row>
    <row r="27" spans="2:22" ht="15.75" thickBot="1" x14ac:dyDescent="0.3"/>
    <row r="28" spans="2:22" ht="15.75" customHeight="1" thickBot="1" x14ac:dyDescent="0.3">
      <c r="B28" s="543" t="s">
        <v>131</v>
      </c>
      <c r="C28" s="545" t="s">
        <v>138</v>
      </c>
      <c r="D28" s="543" t="s">
        <v>139</v>
      </c>
      <c r="E28" s="545" t="s">
        <v>1526</v>
      </c>
      <c r="F28" s="545" t="s">
        <v>140</v>
      </c>
      <c r="G28" s="543" t="s">
        <v>141</v>
      </c>
      <c r="H28" s="543" t="s">
        <v>143</v>
      </c>
      <c r="I28" s="543" t="s">
        <v>144</v>
      </c>
      <c r="J28" s="543" t="s">
        <v>134</v>
      </c>
      <c r="K28" s="542" t="s">
        <v>142</v>
      </c>
    </row>
    <row r="29" spans="2:22" ht="15.75" thickBot="1" x14ac:dyDescent="0.3">
      <c r="B29" s="544"/>
      <c r="C29" s="545"/>
      <c r="D29" s="544"/>
      <c r="E29" s="545"/>
      <c r="F29" s="545"/>
      <c r="G29" s="544"/>
      <c r="H29" s="544"/>
      <c r="I29" s="544"/>
      <c r="J29" s="544"/>
      <c r="K29" s="542"/>
    </row>
    <row r="30" spans="2:22" ht="15.75" thickBot="1" x14ac:dyDescent="0.3">
      <c r="B30" s="82"/>
      <c r="C30" s="83"/>
      <c r="D30" s="84"/>
      <c r="E30" s="84"/>
      <c r="F30" s="84"/>
      <c r="G30" s="85"/>
      <c r="H30" s="84"/>
      <c r="I30" s="85"/>
      <c r="J30" s="129"/>
      <c r="K30" s="85"/>
    </row>
    <row r="31" spans="2:22" ht="15.75" thickBot="1" x14ac:dyDescent="0.3">
      <c r="B31" s="82"/>
      <c r="C31" s="83"/>
      <c r="D31" s="84"/>
      <c r="E31" s="84"/>
      <c r="F31" s="84"/>
      <c r="G31" s="85"/>
      <c r="H31" s="84"/>
      <c r="I31" s="85"/>
      <c r="J31" s="129"/>
      <c r="K31" s="85"/>
    </row>
    <row r="32" spans="2:22" ht="15.75" thickBot="1" x14ac:dyDescent="0.3">
      <c r="B32" s="82"/>
      <c r="C32" s="83"/>
      <c r="D32" s="84"/>
      <c r="E32" s="84"/>
      <c r="F32" s="84"/>
      <c r="G32" s="85"/>
      <c r="H32" s="84"/>
      <c r="I32" s="85"/>
      <c r="J32" s="129"/>
      <c r="K32" s="85"/>
    </row>
    <row r="33" spans="2:11" ht="15.75" thickBot="1" x14ac:dyDescent="0.3">
      <c r="B33" s="82"/>
      <c r="C33" s="83"/>
      <c r="D33" s="84"/>
      <c r="E33" s="84"/>
      <c r="F33" s="84"/>
      <c r="G33" s="85"/>
      <c r="H33" s="84"/>
      <c r="I33" s="85"/>
      <c r="J33" s="129"/>
      <c r="K33" s="85"/>
    </row>
    <row r="34" spans="2:11" ht="15.75" thickBot="1" x14ac:dyDescent="0.3">
      <c r="B34" s="82"/>
      <c r="C34" s="83"/>
      <c r="D34" s="84"/>
      <c r="E34" s="84"/>
      <c r="F34" s="84"/>
      <c r="G34" s="85"/>
      <c r="H34" s="84"/>
      <c r="I34" s="85"/>
      <c r="J34" s="129"/>
      <c r="K34" s="85"/>
    </row>
    <row r="35" spans="2:11" ht="15.75" thickBot="1" x14ac:dyDescent="0.3">
      <c r="B35" s="82"/>
      <c r="C35" s="83"/>
      <c r="D35" s="84"/>
      <c r="E35" s="84"/>
      <c r="F35" s="84"/>
      <c r="G35" s="85"/>
      <c r="H35" s="84"/>
      <c r="I35" s="85"/>
      <c r="J35" s="129"/>
      <c r="K35" s="85"/>
    </row>
    <row r="36" spans="2:11" ht="15.75" thickBot="1" x14ac:dyDescent="0.3">
      <c r="B36" s="82"/>
      <c r="C36" s="83"/>
      <c r="D36" s="84"/>
      <c r="E36" s="84"/>
      <c r="F36" s="84"/>
      <c r="G36" s="85"/>
      <c r="H36" s="84"/>
      <c r="I36" s="85"/>
      <c r="J36" s="129"/>
      <c r="K36" s="85"/>
    </row>
    <row r="37" spans="2:11" ht="15.75" thickBot="1" x14ac:dyDescent="0.3">
      <c r="B37" s="82"/>
      <c r="C37" s="83"/>
      <c r="D37" s="84"/>
      <c r="E37" s="84"/>
      <c r="F37" s="84"/>
      <c r="G37" s="85"/>
      <c r="H37" s="84"/>
      <c r="I37" s="85"/>
      <c r="J37" s="129"/>
      <c r="K37" s="85"/>
    </row>
    <row r="38" spans="2:11" ht="15.75" thickBot="1" x14ac:dyDescent="0.3">
      <c r="B38" s="82"/>
      <c r="C38" s="83"/>
      <c r="D38" s="84"/>
      <c r="E38" s="84"/>
      <c r="F38" s="84"/>
      <c r="G38" s="85"/>
      <c r="H38" s="84"/>
      <c r="I38" s="85"/>
      <c r="J38" s="129"/>
      <c r="K38" s="85"/>
    </row>
    <row r="39" spans="2:11" ht="15.75" thickBot="1" x14ac:dyDescent="0.3">
      <c r="B39" s="82"/>
      <c r="C39" s="83"/>
      <c r="D39" s="84"/>
      <c r="E39" s="84"/>
      <c r="F39" s="84"/>
      <c r="G39" s="85"/>
      <c r="H39" s="84"/>
      <c r="I39" s="85"/>
      <c r="J39" s="129"/>
      <c r="K39" s="85"/>
    </row>
    <row r="40" spans="2:11" ht="15.75" thickBot="1" x14ac:dyDescent="0.3">
      <c r="B40" s="82"/>
      <c r="C40" s="83"/>
      <c r="D40" s="84"/>
      <c r="E40" s="84"/>
      <c r="F40" s="84"/>
      <c r="G40" s="85"/>
      <c r="H40" s="84"/>
      <c r="I40" s="85"/>
      <c r="J40" s="129"/>
      <c r="K40" s="85"/>
    </row>
    <row r="41" spans="2:11" ht="15.75" thickBot="1" x14ac:dyDescent="0.3">
      <c r="B41" s="82"/>
      <c r="C41" s="83"/>
      <c r="D41" s="84"/>
      <c r="E41" s="84"/>
      <c r="F41" s="84"/>
      <c r="G41" s="85"/>
      <c r="H41" s="84"/>
      <c r="I41" s="85"/>
      <c r="J41" s="129"/>
      <c r="K41" s="85"/>
    </row>
    <row r="42" spans="2:11" ht="15.75" thickBot="1" x14ac:dyDescent="0.3">
      <c r="B42" s="82"/>
      <c r="C42" s="83"/>
      <c r="D42" s="84"/>
      <c r="E42" s="84"/>
      <c r="F42" s="84"/>
      <c r="G42" s="85"/>
      <c r="H42" s="84"/>
      <c r="I42" s="85"/>
      <c r="J42" s="129"/>
      <c r="K42" s="85"/>
    </row>
    <row r="43" spans="2:11" ht="15.75" thickBot="1" x14ac:dyDescent="0.3">
      <c r="B43" s="82"/>
      <c r="C43" s="83"/>
      <c r="D43" s="84"/>
      <c r="E43" s="84"/>
      <c r="F43" s="84"/>
      <c r="G43" s="85"/>
      <c r="H43" s="84"/>
      <c r="I43" s="85"/>
      <c r="J43" s="129"/>
      <c r="K43" s="85"/>
    </row>
    <row r="44" spans="2:11" ht="15.75" thickBot="1" x14ac:dyDescent="0.3">
      <c r="B44" s="82"/>
      <c r="C44" s="83"/>
      <c r="D44" s="84"/>
      <c r="E44" s="84"/>
      <c r="F44" s="84"/>
      <c r="G44" s="85"/>
      <c r="H44" s="84"/>
      <c r="I44" s="85"/>
      <c r="J44" s="129"/>
      <c r="K44" s="85"/>
    </row>
    <row r="45" spans="2:11" ht="15.75" thickBot="1" x14ac:dyDescent="0.3">
      <c r="B45" s="82"/>
      <c r="C45" s="83"/>
      <c r="D45" s="84"/>
      <c r="E45" s="84"/>
      <c r="F45" s="84"/>
      <c r="G45" s="85"/>
      <c r="H45" s="84"/>
      <c r="I45" s="85"/>
      <c r="J45" s="129"/>
      <c r="K45" s="85"/>
    </row>
    <row r="46" spans="2:11" ht="15.75" thickBot="1" x14ac:dyDescent="0.3">
      <c r="B46" s="82"/>
      <c r="C46" s="83"/>
      <c r="D46" s="84"/>
      <c r="E46" s="84"/>
      <c r="F46" s="84"/>
      <c r="G46" s="85"/>
      <c r="H46" s="84"/>
      <c r="I46" s="85"/>
      <c r="J46" s="129"/>
      <c r="K46" s="85"/>
    </row>
  </sheetData>
  <mergeCells count="24">
    <mergeCell ref="B21:T22"/>
    <mergeCell ref="B9:V9"/>
    <mergeCell ref="B11:C11"/>
    <mergeCell ref="D11:Q11"/>
    <mergeCell ref="B12:C12"/>
    <mergeCell ref="D12:Q12"/>
    <mergeCell ref="B13:C13"/>
    <mergeCell ref="D13:Q13"/>
    <mergeCell ref="B14:C14"/>
    <mergeCell ref="D14:Q14"/>
    <mergeCell ref="B15:C15"/>
    <mergeCell ref="D15:Q15"/>
    <mergeCell ref="B17:V17"/>
    <mergeCell ref="B25:T26"/>
    <mergeCell ref="B28:B29"/>
    <mergeCell ref="C28:C29"/>
    <mergeCell ref="D28:D29"/>
    <mergeCell ref="F28:F29"/>
    <mergeCell ref="G28:G29"/>
    <mergeCell ref="H28:H29"/>
    <mergeCell ref="I28:I29"/>
    <mergeCell ref="J28:J29"/>
    <mergeCell ref="K28:K29"/>
    <mergeCell ref="E28:E29"/>
  </mergeCells>
  <dataValidations count="3">
    <dataValidation type="list" allowBlank="1" showInputMessage="1" showErrorMessage="1" sqref="C30:C46">
      <formula1>"Pesado de Passageiros M3, Pesado de Passageiros M2, Ligeiro de Passageiros M1, Pesado de Mercadorias N3, Pesado de Mercadorias N2, Ligeiro de Mercadorias N1, Misto"</formula1>
    </dataValidation>
    <dataValidation type="list" allowBlank="1" showInputMessage="1" showErrorMessage="1" sqref="D30:D46">
      <formula1>"Gasóleo, Gasolina, GPL, GNC, GNV, Butano, Propano, H2"</formula1>
    </dataValidation>
    <dataValidation type="list" allowBlank="1" showInputMessage="1" showErrorMessage="1" sqref="G30:G46">
      <formula1>"l (litros), kg (quilos), Nm3 (metros cubicos norm.), € (euros)"</formula1>
    </dataValidation>
  </dataValidations>
  <pageMargins left="0.7" right="0.7" top="0.75" bottom="0.75" header="0.3" footer="0.3"/>
  <customProperties>
    <customPr name="GUID" r:id="rId1"/>
  </customPropertie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6"/>
  <dimension ref="B6:U45"/>
  <sheetViews>
    <sheetView workbookViewId="0"/>
    <sheetView workbookViewId="1"/>
  </sheetViews>
  <sheetFormatPr defaultRowHeight="15" x14ac:dyDescent="0.25"/>
  <cols>
    <col min="2" max="2" width="42.85546875" customWidth="1"/>
    <col min="3" max="3" width="25.5703125" customWidth="1"/>
    <col min="4" max="5" width="21.5703125" customWidth="1"/>
    <col min="6" max="6" width="27.140625" bestFit="1" customWidth="1"/>
    <col min="7" max="11" width="28.28515625" customWidth="1"/>
  </cols>
  <sheetData>
    <row r="6" spans="2:21" ht="15.75" thickBot="1" x14ac:dyDescent="0.3"/>
    <row r="7" spans="2:21" x14ac:dyDescent="0.25">
      <c r="B7" s="78" t="s">
        <v>118</v>
      </c>
      <c r="C7" s="80"/>
    </row>
    <row r="9" spans="2:21" x14ac:dyDescent="0.25">
      <c r="B9" s="516" t="str">
        <f>"Grupo Barraqueiro: "&amp;'Folha de Rosto'!C6&amp;" "&amp;'Folha de Rosto'!I6&amp;" - Emissões de GEE de Âmbito 1"</f>
        <v>Grupo Barraqueiro: PEGADA DE CARBONO 2022 - Emissões de GEE de Âmbito 1</v>
      </c>
      <c r="C9" s="516"/>
      <c r="D9" s="516"/>
      <c r="E9" s="516"/>
      <c r="F9" s="516"/>
      <c r="G9" s="516"/>
      <c r="H9" s="516"/>
      <c r="I9" s="516"/>
      <c r="J9" s="516"/>
      <c r="K9" s="516"/>
      <c r="L9" s="516"/>
      <c r="M9" s="516"/>
      <c r="N9" s="516"/>
      <c r="O9" s="516"/>
      <c r="P9" s="516"/>
      <c r="Q9" s="516"/>
      <c r="R9" s="516"/>
      <c r="S9" s="516"/>
      <c r="T9" s="516"/>
      <c r="U9" s="516"/>
    </row>
    <row r="10" spans="2:21" ht="15.75" thickBot="1" x14ac:dyDescent="0.3"/>
    <row r="11" spans="2:21" ht="33.75" customHeight="1" thickBot="1" x14ac:dyDescent="0.3">
      <c r="B11" s="512" t="s">
        <v>119</v>
      </c>
      <c r="C11" s="512"/>
      <c r="D11" s="518" t="s">
        <v>127</v>
      </c>
      <c r="E11" s="519"/>
      <c r="F11" s="519"/>
      <c r="G11" s="519"/>
      <c r="H11" s="519"/>
      <c r="I11" s="519"/>
      <c r="J11" s="519"/>
      <c r="K11" s="519"/>
      <c r="L11" s="519"/>
      <c r="M11" s="519"/>
      <c r="N11" s="519"/>
      <c r="O11" s="519"/>
      <c r="P11" s="520"/>
    </row>
    <row r="12" spans="2:21" ht="67.5" customHeight="1" thickBot="1" x14ac:dyDescent="0.3">
      <c r="B12" s="512" t="s">
        <v>120</v>
      </c>
      <c r="C12" s="512"/>
      <c r="D12" s="521" t="s">
        <v>153</v>
      </c>
      <c r="E12" s="522"/>
      <c r="F12" s="522"/>
      <c r="G12" s="522"/>
      <c r="H12" s="522"/>
      <c r="I12" s="522"/>
      <c r="J12" s="522"/>
      <c r="K12" s="522"/>
      <c r="L12" s="522"/>
      <c r="M12" s="522"/>
      <c r="N12" s="522"/>
      <c r="O12" s="522"/>
      <c r="P12" s="523"/>
    </row>
    <row r="13" spans="2:21" ht="60" customHeight="1" thickBot="1" x14ac:dyDescent="0.3">
      <c r="B13" s="512" t="s">
        <v>121</v>
      </c>
      <c r="C13" s="512"/>
      <c r="D13" s="513" t="s">
        <v>1529</v>
      </c>
      <c r="E13" s="514"/>
      <c r="F13" s="514"/>
      <c r="G13" s="514"/>
      <c r="H13" s="514"/>
      <c r="I13" s="514"/>
      <c r="J13" s="514"/>
      <c r="K13" s="514"/>
      <c r="L13" s="514"/>
      <c r="M13" s="514"/>
      <c r="N13" s="514"/>
      <c r="O13" s="514"/>
      <c r="P13" s="515"/>
    </row>
    <row r="14" spans="2:21" ht="60" customHeight="1" thickBot="1" x14ac:dyDescent="0.3">
      <c r="B14" s="512" t="s">
        <v>122</v>
      </c>
      <c r="C14" s="512"/>
      <c r="D14" s="513" t="s">
        <v>123</v>
      </c>
      <c r="E14" s="514"/>
      <c r="F14" s="514"/>
      <c r="G14" s="514"/>
      <c r="H14" s="514"/>
      <c r="I14" s="514"/>
      <c r="J14" s="514"/>
      <c r="K14" s="514"/>
      <c r="L14" s="514"/>
      <c r="M14" s="514"/>
      <c r="N14" s="514"/>
      <c r="O14" s="514"/>
      <c r="P14" s="515"/>
    </row>
    <row r="15" spans="2:21" ht="60" customHeight="1" thickBot="1" x14ac:dyDescent="0.3">
      <c r="B15" s="512" t="s">
        <v>128</v>
      </c>
      <c r="C15" s="512"/>
      <c r="D15" s="513" t="s">
        <v>129</v>
      </c>
      <c r="E15" s="514"/>
      <c r="F15" s="514"/>
      <c r="G15" s="514"/>
      <c r="H15" s="514"/>
      <c r="I15" s="514"/>
      <c r="J15" s="514"/>
      <c r="K15" s="514"/>
      <c r="L15" s="514"/>
      <c r="M15" s="514"/>
      <c r="N15" s="514"/>
      <c r="O15" s="514"/>
      <c r="P15" s="515"/>
    </row>
    <row r="17" spans="2:21" x14ac:dyDescent="0.25">
      <c r="B17" s="516" t="s">
        <v>137</v>
      </c>
      <c r="C17" s="516"/>
      <c r="D17" s="516"/>
      <c r="E17" s="516"/>
      <c r="F17" s="516"/>
      <c r="G17" s="516"/>
      <c r="H17" s="516"/>
      <c r="I17" s="516"/>
      <c r="J17" s="516"/>
      <c r="K17" s="516"/>
      <c r="L17" s="516"/>
      <c r="M17" s="516"/>
      <c r="N17" s="516"/>
      <c r="O17" s="516"/>
      <c r="P17" s="516"/>
      <c r="Q17" s="516"/>
      <c r="R17" s="516"/>
      <c r="S17" s="516"/>
      <c r="T17" s="516"/>
      <c r="U17" s="516"/>
    </row>
    <row r="18" spans="2:21" x14ac:dyDescent="0.25">
      <c r="B18" t="s">
        <v>130</v>
      </c>
    </row>
    <row r="20" spans="2:21" x14ac:dyDescent="0.25">
      <c r="B20" s="81" t="s">
        <v>135</v>
      </c>
    </row>
    <row r="21" spans="2:21" x14ac:dyDescent="0.25">
      <c r="B21" s="517" t="s">
        <v>1830</v>
      </c>
      <c r="C21" s="517"/>
      <c r="D21" s="517"/>
      <c r="E21" s="517"/>
      <c r="F21" s="517"/>
      <c r="G21" s="517"/>
      <c r="H21" s="517"/>
      <c r="I21" s="517"/>
      <c r="J21" s="517"/>
      <c r="K21" s="517"/>
      <c r="L21" s="517"/>
      <c r="M21" s="517"/>
      <c r="N21" s="517"/>
      <c r="O21" s="517"/>
      <c r="P21" s="517"/>
      <c r="Q21" s="517"/>
      <c r="R21" s="517"/>
      <c r="S21" s="517"/>
    </row>
    <row r="22" spans="2:21" x14ac:dyDescent="0.25">
      <c r="B22" s="517"/>
      <c r="C22" s="517"/>
      <c r="D22" s="517"/>
      <c r="E22" s="517"/>
      <c r="F22" s="517"/>
      <c r="G22" s="517"/>
      <c r="H22" s="517"/>
      <c r="I22" s="517"/>
      <c r="J22" s="517"/>
      <c r="K22" s="517"/>
      <c r="L22" s="517"/>
      <c r="M22" s="517"/>
      <c r="N22" s="517"/>
      <c r="O22" s="517"/>
      <c r="P22" s="517"/>
      <c r="Q22" s="517"/>
      <c r="R22" s="517"/>
      <c r="S22" s="517"/>
    </row>
    <row r="24" spans="2:21" x14ac:dyDescent="0.25">
      <c r="B24" s="81" t="s">
        <v>136</v>
      </c>
    </row>
    <row r="25" spans="2:21" x14ac:dyDescent="0.25">
      <c r="B25" s="517" t="s">
        <v>1829</v>
      </c>
      <c r="C25" s="517"/>
      <c r="D25" s="517"/>
      <c r="E25" s="517"/>
      <c r="F25" s="517"/>
      <c r="G25" s="517"/>
      <c r="H25" s="517"/>
      <c r="I25" s="517"/>
      <c r="J25" s="517"/>
      <c r="K25" s="517"/>
      <c r="L25" s="517"/>
      <c r="M25" s="517"/>
      <c r="N25" s="517"/>
      <c r="O25" s="517"/>
      <c r="P25" s="517"/>
      <c r="Q25" s="517"/>
      <c r="R25" s="517"/>
      <c r="S25" s="517"/>
    </row>
    <row r="26" spans="2:21" x14ac:dyDescent="0.25">
      <c r="B26" s="517"/>
      <c r="C26" s="517"/>
      <c r="D26" s="517"/>
      <c r="E26" s="517"/>
      <c r="F26" s="517"/>
      <c r="G26" s="517"/>
      <c r="H26" s="517"/>
      <c r="I26" s="517"/>
      <c r="J26" s="517"/>
      <c r="K26" s="517"/>
      <c r="L26" s="517"/>
      <c r="M26" s="517"/>
      <c r="N26" s="517"/>
      <c r="O26" s="517"/>
      <c r="P26" s="517"/>
      <c r="Q26" s="517"/>
      <c r="R26" s="517"/>
      <c r="S26" s="517"/>
    </row>
    <row r="27" spans="2:21" ht="15.75" thickBot="1" x14ac:dyDescent="0.3"/>
    <row r="28" spans="2:21" ht="15.75" thickBot="1" x14ac:dyDescent="0.3">
      <c r="B28" s="508" t="s">
        <v>131</v>
      </c>
      <c r="C28" s="545" t="s">
        <v>157</v>
      </c>
      <c r="D28" s="543" t="s">
        <v>139</v>
      </c>
      <c r="E28" s="543" t="s">
        <v>140</v>
      </c>
      <c r="F28" s="543" t="s">
        <v>141</v>
      </c>
      <c r="G28" s="543" t="s">
        <v>134</v>
      </c>
      <c r="H28" s="542" t="s">
        <v>142</v>
      </c>
    </row>
    <row r="29" spans="2:21" ht="15.75" thickBot="1" x14ac:dyDescent="0.3">
      <c r="B29" s="509"/>
      <c r="C29" s="545"/>
      <c r="D29" s="544"/>
      <c r="E29" s="544"/>
      <c r="F29" s="544"/>
      <c r="G29" s="544"/>
      <c r="H29" s="542"/>
    </row>
    <row r="30" spans="2:21" ht="15.75" thickBot="1" x14ac:dyDescent="0.3">
      <c r="B30" s="82" t="s">
        <v>534</v>
      </c>
      <c r="C30" s="83" t="s">
        <v>600</v>
      </c>
      <c r="D30" s="122" t="s">
        <v>599</v>
      </c>
      <c r="E30" s="124">
        <f>E31</f>
        <v>735</v>
      </c>
      <c r="F30" s="91" t="s">
        <v>557</v>
      </c>
      <c r="G30" s="85"/>
      <c r="H30" s="85"/>
    </row>
    <row r="31" spans="2:21" ht="15.75" thickBot="1" x14ac:dyDescent="0.3">
      <c r="B31" s="82" t="s">
        <v>542</v>
      </c>
      <c r="C31" s="83" t="s">
        <v>600</v>
      </c>
      <c r="D31" s="122" t="s">
        <v>599</v>
      </c>
      <c r="E31" s="124">
        <f>'A1.3.1'!E31</f>
        <v>735</v>
      </c>
      <c r="F31" s="91" t="s">
        <v>557</v>
      </c>
      <c r="G31" s="85"/>
      <c r="H31" s="85"/>
    </row>
    <row r="32" spans="2:21" ht="15.75" thickBot="1" x14ac:dyDescent="0.3">
      <c r="B32" s="82"/>
      <c r="C32" s="83"/>
      <c r="D32" s="84"/>
      <c r="E32" s="85"/>
      <c r="F32" s="85"/>
      <c r="G32" s="85"/>
      <c r="H32" s="85"/>
    </row>
    <row r="33" spans="2:8" ht="15.75" thickBot="1" x14ac:dyDescent="0.3">
      <c r="B33" s="82"/>
      <c r="C33" s="83"/>
      <c r="D33" s="84"/>
      <c r="E33" s="85"/>
      <c r="F33" s="85"/>
      <c r="G33" s="85"/>
      <c r="H33" s="85"/>
    </row>
    <row r="34" spans="2:8" ht="15.75" thickBot="1" x14ac:dyDescent="0.3">
      <c r="B34" s="82"/>
      <c r="C34" s="83"/>
      <c r="D34" s="84"/>
      <c r="E34" s="85"/>
      <c r="F34" s="85"/>
      <c r="G34" s="85"/>
      <c r="H34" s="85"/>
    </row>
    <row r="35" spans="2:8" ht="15.75" thickBot="1" x14ac:dyDescent="0.3">
      <c r="B35" s="82"/>
      <c r="C35" s="83"/>
      <c r="D35" s="84"/>
      <c r="E35" s="85"/>
      <c r="F35" s="85"/>
      <c r="G35" s="85"/>
      <c r="H35" s="85"/>
    </row>
    <row r="36" spans="2:8" ht="15.75" thickBot="1" x14ac:dyDescent="0.3">
      <c r="B36" s="82"/>
      <c r="C36" s="83"/>
      <c r="D36" s="84"/>
      <c r="E36" s="85"/>
      <c r="F36" s="85"/>
      <c r="G36" s="85"/>
      <c r="H36" s="85"/>
    </row>
    <row r="37" spans="2:8" ht="15.75" thickBot="1" x14ac:dyDescent="0.3">
      <c r="B37" s="82"/>
      <c r="C37" s="83"/>
      <c r="D37" s="84"/>
      <c r="E37" s="85"/>
      <c r="F37" s="85"/>
      <c r="G37" s="85"/>
      <c r="H37" s="85"/>
    </row>
    <row r="38" spans="2:8" ht="15.75" thickBot="1" x14ac:dyDescent="0.3">
      <c r="B38" s="82"/>
      <c r="C38" s="83"/>
      <c r="D38" s="84"/>
      <c r="E38" s="85"/>
      <c r="F38" s="85"/>
      <c r="G38" s="85"/>
      <c r="H38" s="85"/>
    </row>
    <row r="39" spans="2:8" ht="15.75" thickBot="1" x14ac:dyDescent="0.3">
      <c r="B39" s="82"/>
      <c r="C39" s="83"/>
      <c r="D39" s="84"/>
      <c r="E39" s="85"/>
      <c r="F39" s="85"/>
      <c r="G39" s="85"/>
      <c r="H39" s="85"/>
    </row>
    <row r="40" spans="2:8" ht="15.75" thickBot="1" x14ac:dyDescent="0.3">
      <c r="B40" s="82"/>
      <c r="C40" s="83"/>
      <c r="D40" s="84"/>
      <c r="E40" s="85"/>
      <c r="F40" s="85"/>
      <c r="G40" s="85"/>
      <c r="H40" s="85"/>
    </row>
    <row r="41" spans="2:8" ht="15.75" thickBot="1" x14ac:dyDescent="0.3">
      <c r="B41" s="82"/>
      <c r="C41" s="83"/>
      <c r="D41" s="84"/>
      <c r="E41" s="85"/>
      <c r="F41" s="85"/>
      <c r="G41" s="85"/>
      <c r="H41" s="85"/>
    </row>
    <row r="42" spans="2:8" ht="15.75" thickBot="1" x14ac:dyDescent="0.3">
      <c r="B42" s="82"/>
      <c r="C42" s="83"/>
      <c r="D42" s="84"/>
      <c r="E42" s="85"/>
      <c r="F42" s="85"/>
      <c r="G42" s="85"/>
      <c r="H42" s="85"/>
    </row>
    <row r="43" spans="2:8" ht="15.75" thickBot="1" x14ac:dyDescent="0.3">
      <c r="B43" s="82"/>
      <c r="C43" s="83"/>
      <c r="D43" s="84"/>
      <c r="E43" s="85"/>
      <c r="F43" s="85"/>
      <c r="G43" s="85"/>
      <c r="H43" s="85"/>
    </row>
    <row r="44" spans="2:8" ht="15.75" thickBot="1" x14ac:dyDescent="0.3">
      <c r="B44" s="82"/>
      <c r="C44" s="83"/>
      <c r="D44" s="84"/>
      <c r="E44" s="85"/>
      <c r="F44" s="85"/>
      <c r="G44" s="85"/>
      <c r="H44" s="85"/>
    </row>
    <row r="45" spans="2:8" ht="15.75" thickBot="1" x14ac:dyDescent="0.3">
      <c r="B45" s="82"/>
      <c r="C45" s="83"/>
      <c r="D45" s="84"/>
      <c r="E45" s="85"/>
      <c r="F45" s="85"/>
      <c r="G45" s="85"/>
      <c r="H45" s="85"/>
    </row>
  </sheetData>
  <mergeCells count="21">
    <mergeCell ref="B21:S22"/>
    <mergeCell ref="B9:U9"/>
    <mergeCell ref="B11:C11"/>
    <mergeCell ref="D11:P11"/>
    <mergeCell ref="B12:C12"/>
    <mergeCell ref="D12:P12"/>
    <mergeCell ref="B13:C13"/>
    <mergeCell ref="D13:P13"/>
    <mergeCell ref="B14:C14"/>
    <mergeCell ref="D14:P14"/>
    <mergeCell ref="B15:C15"/>
    <mergeCell ref="D15:P15"/>
    <mergeCell ref="B17:U17"/>
    <mergeCell ref="B25:S26"/>
    <mergeCell ref="B28:B29"/>
    <mergeCell ref="C28:C29"/>
    <mergeCell ref="D28:D29"/>
    <mergeCell ref="E28:E29"/>
    <mergeCell ref="F28:F29"/>
    <mergeCell ref="G28:G29"/>
    <mergeCell ref="H28:H29"/>
  </mergeCells>
  <dataValidations count="5">
    <dataValidation type="list" allowBlank="1" showInputMessage="1" showErrorMessage="1" sqref="F32:F45">
      <formula1>"l (litros), kg (quilos), Nm3 (metros cubicos norm.)"</formula1>
    </dataValidation>
    <dataValidation type="list" allowBlank="1" showInputMessage="1" showErrorMessage="1" sqref="C32:C45">
      <formula1>"Estufas, Geradores, Máquina de Lavagem, Empilhadores, Elevadores, Aquecimente do água, Outros"</formula1>
    </dataValidation>
    <dataValidation type="list" allowBlank="1" showInputMessage="1" showErrorMessage="1" sqref="D30:D45">
      <formula1>"Gasóleo, Gasolina, GPL, GNC, GNV, Butano, Propano, H2"</formula1>
    </dataValidation>
    <dataValidation type="list" allowBlank="1" showInputMessage="1" showErrorMessage="1" sqref="C30:C31">
      <formula1>"Geradores, Aquecimento de Águas, Estufas, Empilhadores, Viaturas, Outros"</formula1>
    </dataValidation>
    <dataValidation type="list" allowBlank="1" showInputMessage="1" showErrorMessage="1" sqref="F30:F31">
      <formula1>"l (litros), kg (quilos), Nm3 (metros cubicos norm.), m3 (metros cúbicos)"</formula1>
    </dataValidation>
  </dataValidations>
  <pageMargins left="0.7" right="0.7" top="0.75" bottom="0.75" header="0.3" footer="0.3"/>
  <customProperties>
    <customPr name="GUID" r:id="rId1"/>
  </customPropertie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dimension ref="A1:O20"/>
  <sheetViews>
    <sheetView zoomScale="85" zoomScaleNormal="85" workbookViewId="0">
      <selection activeCell="B10" sqref="A10:B10"/>
    </sheetView>
    <sheetView topLeftCell="H1" workbookViewId="1">
      <selection activeCell="I20" sqref="I20"/>
    </sheetView>
  </sheetViews>
  <sheetFormatPr defaultRowHeight="15" x14ac:dyDescent="0.25"/>
  <cols>
    <col min="1" max="1" width="60.28515625" customWidth="1"/>
    <col min="2" max="2" width="56.140625" customWidth="1"/>
    <col min="3" max="4" width="42.85546875" customWidth="1"/>
    <col min="5" max="5" width="38.140625" customWidth="1"/>
    <col min="6" max="6" width="21.5703125" customWidth="1"/>
    <col min="7" max="7" width="27.5703125" customWidth="1"/>
    <col min="8" max="8" width="21.5703125" customWidth="1"/>
    <col min="9" max="9" width="27.140625" bestFit="1" customWidth="1"/>
    <col min="10" max="10" width="40.42578125" customWidth="1"/>
    <col min="11" max="15" width="28.28515625" customWidth="1"/>
  </cols>
  <sheetData>
    <row r="1" spans="1:15" ht="15.75" thickBot="1" x14ac:dyDescent="0.3">
      <c r="A1" s="543" t="s">
        <v>1851</v>
      </c>
      <c r="B1" s="508" t="s">
        <v>131</v>
      </c>
      <c r="C1" s="508" t="s">
        <v>1852</v>
      </c>
      <c r="D1" s="202" t="s">
        <v>1856</v>
      </c>
      <c r="E1" s="545" t="s">
        <v>157</v>
      </c>
      <c r="F1" s="543" t="s">
        <v>139</v>
      </c>
      <c r="G1" s="206" t="s">
        <v>119</v>
      </c>
      <c r="H1" s="543" t="s">
        <v>140</v>
      </c>
      <c r="I1" s="543" t="s">
        <v>141</v>
      </c>
      <c r="J1" s="543" t="s">
        <v>134</v>
      </c>
      <c r="K1" s="542" t="s">
        <v>142</v>
      </c>
      <c r="L1" s="230" t="s">
        <v>2860</v>
      </c>
      <c r="M1" s="528" t="s">
        <v>1889</v>
      </c>
      <c r="N1" s="528" t="s">
        <v>2831</v>
      </c>
      <c r="O1" s="528" t="s">
        <v>3628</v>
      </c>
    </row>
    <row r="2" spans="1:15" ht="15.75" thickBot="1" x14ac:dyDescent="0.3">
      <c r="A2" s="544"/>
      <c r="B2" s="509"/>
      <c r="C2" s="509"/>
      <c r="D2" s="203"/>
      <c r="E2" s="545"/>
      <c r="F2" s="544"/>
      <c r="G2" s="207"/>
      <c r="H2" s="544"/>
      <c r="I2" s="544"/>
      <c r="J2" s="544"/>
      <c r="K2" s="542"/>
      <c r="L2" s="230"/>
      <c r="M2" s="528"/>
      <c r="N2" s="528"/>
      <c r="O2" s="528"/>
    </row>
    <row r="3" spans="1:15" ht="15.75" thickBot="1" x14ac:dyDescent="0.3">
      <c r="A3" s="82" t="s">
        <v>45</v>
      </c>
      <c r="B3" s="82" t="str">
        <f>LEFT(A3,IFERROR(FIND(" - ",A3)-1,LEN(A3)))</f>
        <v>Barraqueiro Transportes, S.A.</v>
      </c>
      <c r="C3" s="82" t="str">
        <f>IF(A3=B3,"X",RIGHT(A3,LEN(A3)-LEN(B3)-3))</f>
        <v>X</v>
      </c>
      <c r="D3" s="222">
        <v>2022</v>
      </c>
      <c r="E3" s="83" t="s">
        <v>600</v>
      </c>
      <c r="F3" s="122" t="s">
        <v>599</v>
      </c>
      <c r="G3" s="222" t="str">
        <f>F3&amp;":"&amp;M3&amp;" :: "&amp;L3</f>
        <v>Propano:kg :: DEFRA:2022</v>
      </c>
      <c r="H3" s="124">
        <f>H4</f>
        <v>735</v>
      </c>
      <c r="I3" s="91" t="s">
        <v>557</v>
      </c>
      <c r="J3" s="85" t="s">
        <v>2848</v>
      </c>
      <c r="K3" s="85"/>
      <c r="L3" s="273" t="s">
        <v>2861</v>
      </c>
      <c r="M3" s="220" t="s">
        <v>1863</v>
      </c>
      <c r="N3" s="234" t="s">
        <v>1972</v>
      </c>
      <c r="O3" s="234" t="s">
        <v>2834</v>
      </c>
    </row>
    <row r="4" spans="1:15" ht="15.75" thickBot="1" x14ac:dyDescent="0.3">
      <c r="A4" s="82" t="s">
        <v>3509</v>
      </c>
      <c r="B4" s="82" t="str">
        <f>LEFT(A4,IFERROR(FIND(" - ",A4)-1,LEN(A4)))</f>
        <v>Barraqueiro Transportes, S.A.</v>
      </c>
      <c r="C4" s="82" t="str">
        <f>IF(A4=B4,"X",RIGHT(A4,LEN(A4)-LEN(B4)-3))</f>
        <v>Barraqueiro Oeste</v>
      </c>
      <c r="D4" s="222">
        <v>2022</v>
      </c>
      <c r="E4" s="83" t="s">
        <v>600</v>
      </c>
      <c r="F4" s="122" t="s">
        <v>599</v>
      </c>
      <c r="G4" s="222" t="str">
        <f t="shared" ref="G4:G20" si="0">F4&amp;":"&amp;M4&amp;" :: "&amp;L4</f>
        <v>Propano:kg :: DEFRA:2022</v>
      </c>
      <c r="H4" s="124">
        <f>'A1.3.1'!E31</f>
        <v>735</v>
      </c>
      <c r="I4" s="91" t="s">
        <v>557</v>
      </c>
      <c r="J4" s="85" t="s">
        <v>2848</v>
      </c>
      <c r="K4" s="85"/>
      <c r="L4" s="273" t="s">
        <v>2861</v>
      </c>
      <c r="M4" s="220" t="s">
        <v>1863</v>
      </c>
      <c r="N4" s="234" t="s">
        <v>1972</v>
      </c>
      <c r="O4" s="234" t="s">
        <v>2834</v>
      </c>
    </row>
    <row r="5" spans="1:15" ht="15.75" thickBot="1" x14ac:dyDescent="0.3">
      <c r="A5" s="82" t="s">
        <v>1929</v>
      </c>
      <c r="B5" s="82" t="s">
        <v>1929</v>
      </c>
      <c r="C5" s="82" t="str">
        <f t="shared" ref="C5:C19" si="1">IF(A5=B5,"X",RIGHT(A5,LEN(A5)-LEN(B5)-3))</f>
        <v>X</v>
      </c>
      <c r="D5" s="222">
        <v>2022</v>
      </c>
      <c r="E5" s="83" t="s">
        <v>2849</v>
      </c>
      <c r="F5" s="85" t="s">
        <v>620</v>
      </c>
      <c r="G5" s="222" t="str">
        <f t="shared" si="0"/>
        <v>Gasóleo:l :: DEFRA:2022</v>
      </c>
      <c r="H5" s="125">
        <v>0</v>
      </c>
      <c r="I5" s="85" t="s">
        <v>630</v>
      </c>
      <c r="J5" s="85"/>
      <c r="K5" s="85"/>
      <c r="L5" s="273" t="s">
        <v>2861</v>
      </c>
      <c r="M5" s="220" t="s">
        <v>1861</v>
      </c>
      <c r="N5" s="234" t="s">
        <v>1972</v>
      </c>
      <c r="O5" s="234" t="s">
        <v>2834</v>
      </c>
    </row>
    <row r="6" spans="1:15" ht="15.75" thickBot="1" x14ac:dyDescent="0.3">
      <c r="A6" s="82" t="s">
        <v>1929</v>
      </c>
      <c r="B6" s="82" t="s">
        <v>1929</v>
      </c>
      <c r="C6" s="82" t="str">
        <f t="shared" si="1"/>
        <v>X</v>
      </c>
      <c r="D6" s="222">
        <v>2022</v>
      </c>
      <c r="E6" s="83" t="s">
        <v>2850</v>
      </c>
      <c r="F6" s="122" t="s">
        <v>599</v>
      </c>
      <c r="G6" s="222" t="str">
        <f t="shared" si="0"/>
        <v>Propano:kg :: DEFRA:2022</v>
      </c>
      <c r="H6" s="263">
        <f>15*35</f>
        <v>525</v>
      </c>
      <c r="I6" s="91" t="s">
        <v>557</v>
      </c>
      <c r="J6" s="85" t="s">
        <v>2854</v>
      </c>
      <c r="K6" s="85"/>
      <c r="L6" s="273" t="s">
        <v>2861</v>
      </c>
      <c r="M6" s="220" t="s">
        <v>1863</v>
      </c>
      <c r="N6" s="234" t="s">
        <v>1972</v>
      </c>
      <c r="O6" s="234" t="s">
        <v>2834</v>
      </c>
    </row>
    <row r="7" spans="1:15" ht="15.75" thickBot="1" x14ac:dyDescent="0.3">
      <c r="A7" s="82" t="s">
        <v>1934</v>
      </c>
      <c r="B7" s="82" t="s">
        <v>1934</v>
      </c>
      <c r="C7" s="82" t="str">
        <f t="shared" si="1"/>
        <v>X</v>
      </c>
      <c r="D7" s="222">
        <v>2022</v>
      </c>
      <c r="E7" s="83" t="s">
        <v>2851</v>
      </c>
      <c r="F7" s="122" t="s">
        <v>2853</v>
      </c>
      <c r="G7" s="222" t="str">
        <f t="shared" si="0"/>
        <v>GPL:kg :: DEFRA:2022</v>
      </c>
      <c r="H7" s="124">
        <v>1150</v>
      </c>
      <c r="I7" s="91" t="s">
        <v>557</v>
      </c>
      <c r="J7" s="85"/>
      <c r="K7" s="85" t="s">
        <v>3502</v>
      </c>
      <c r="L7" s="273" t="s">
        <v>2861</v>
      </c>
      <c r="M7" s="220" t="s">
        <v>1863</v>
      </c>
      <c r="N7" s="234" t="s">
        <v>1972</v>
      </c>
      <c r="O7" s="234" t="s">
        <v>2834</v>
      </c>
    </row>
    <row r="8" spans="1:15" ht="15.75" thickBot="1" x14ac:dyDescent="0.3">
      <c r="A8" s="82" t="s">
        <v>1935</v>
      </c>
      <c r="B8" s="82" t="s">
        <v>1935</v>
      </c>
      <c r="C8" s="82" t="str">
        <f t="shared" si="1"/>
        <v>X</v>
      </c>
      <c r="D8" s="222">
        <v>2022</v>
      </c>
      <c r="E8" s="83" t="s">
        <v>2851</v>
      </c>
      <c r="F8" s="122" t="s">
        <v>2961</v>
      </c>
      <c r="G8" s="222" t="str">
        <f t="shared" si="0"/>
        <v>GN:kg :: DEFRA:2022</v>
      </c>
      <c r="H8" s="124">
        <v>0</v>
      </c>
      <c r="I8" s="91" t="s">
        <v>557</v>
      </c>
      <c r="J8" s="85" t="s">
        <v>2855</v>
      </c>
      <c r="K8" s="85" t="s">
        <v>3503</v>
      </c>
      <c r="L8" s="273" t="s">
        <v>2861</v>
      </c>
      <c r="M8" s="220" t="s">
        <v>1863</v>
      </c>
      <c r="N8" s="234" t="s">
        <v>1972</v>
      </c>
      <c r="O8" s="234" t="s">
        <v>2834</v>
      </c>
    </row>
    <row r="9" spans="1:15" ht="15.75" thickBot="1" x14ac:dyDescent="0.3">
      <c r="A9" s="82" t="s">
        <v>4686</v>
      </c>
      <c r="B9" s="82" t="s">
        <v>4686</v>
      </c>
      <c r="C9" s="82" t="str">
        <f t="shared" si="1"/>
        <v>X</v>
      </c>
      <c r="D9" s="222">
        <v>2022</v>
      </c>
      <c r="E9" s="83" t="s">
        <v>2851</v>
      </c>
      <c r="F9" s="122" t="s">
        <v>2961</v>
      </c>
      <c r="G9" s="222" t="str">
        <f t="shared" si="0"/>
        <v>GN:kg :: DEFRA:2022</v>
      </c>
      <c r="H9" s="124">
        <v>2611</v>
      </c>
      <c r="I9" s="279" t="s">
        <v>557</v>
      </c>
      <c r="J9" s="85" t="s">
        <v>2856</v>
      </c>
      <c r="K9" s="85"/>
      <c r="L9" s="273" t="s">
        <v>2861</v>
      </c>
      <c r="M9" s="220" t="s">
        <v>1863</v>
      </c>
      <c r="N9" s="234" t="s">
        <v>1972</v>
      </c>
      <c r="O9" s="234" t="s">
        <v>2834</v>
      </c>
    </row>
    <row r="10" spans="1:15" ht="15.75" thickBot="1" x14ac:dyDescent="0.3">
      <c r="A10" s="82" t="s">
        <v>4694</v>
      </c>
      <c r="B10" s="82" t="s">
        <v>4694</v>
      </c>
      <c r="C10" s="82" t="str">
        <f t="shared" si="1"/>
        <v>X</v>
      </c>
      <c r="D10" s="222">
        <v>2022</v>
      </c>
      <c r="E10" s="83" t="s">
        <v>600</v>
      </c>
      <c r="F10" s="122" t="s">
        <v>599</v>
      </c>
      <c r="G10" s="222" t="str">
        <f t="shared" si="0"/>
        <v>Propano:kg :: DEFRA:2022</v>
      </c>
      <c r="H10" s="124">
        <v>405</v>
      </c>
      <c r="I10" s="91" t="s">
        <v>557</v>
      </c>
      <c r="J10" s="85"/>
      <c r="K10" s="85"/>
      <c r="L10" s="273" t="s">
        <v>2861</v>
      </c>
      <c r="M10" s="220" t="s">
        <v>1863</v>
      </c>
      <c r="N10" s="234" t="s">
        <v>1972</v>
      </c>
      <c r="O10" s="234" t="s">
        <v>2834</v>
      </c>
    </row>
    <row r="11" spans="1:15" ht="15.75" thickBot="1" x14ac:dyDescent="0.3">
      <c r="A11" s="82" t="s">
        <v>4693</v>
      </c>
      <c r="B11" s="82" t="s">
        <v>4693</v>
      </c>
      <c r="C11" s="82" t="str">
        <f t="shared" si="1"/>
        <v>X</v>
      </c>
      <c r="D11" s="222">
        <v>2022</v>
      </c>
      <c r="E11" s="83" t="s">
        <v>600</v>
      </c>
      <c r="F11" s="122" t="s">
        <v>599</v>
      </c>
      <c r="G11" s="222" t="str">
        <f t="shared" si="0"/>
        <v>Propano:kg :: DEFRA:2022</v>
      </c>
      <c r="H11" s="124">
        <v>1432</v>
      </c>
      <c r="I11" s="91" t="s">
        <v>557</v>
      </c>
      <c r="J11" s="85"/>
      <c r="K11" s="85"/>
      <c r="L11" s="273" t="s">
        <v>2861</v>
      </c>
      <c r="M11" s="220" t="s">
        <v>1863</v>
      </c>
      <c r="N11" s="234" t="s">
        <v>1972</v>
      </c>
      <c r="O11" s="234" t="s">
        <v>2834</v>
      </c>
    </row>
    <row r="12" spans="1:15" ht="15.75" thickBot="1" x14ac:dyDescent="0.3">
      <c r="A12" s="82" t="s">
        <v>4693</v>
      </c>
      <c r="B12" s="82" t="s">
        <v>4693</v>
      </c>
      <c r="C12" s="82" t="str">
        <f t="shared" si="1"/>
        <v>X</v>
      </c>
      <c r="D12" s="222">
        <v>2022</v>
      </c>
      <c r="E12" s="83" t="s">
        <v>1659</v>
      </c>
      <c r="F12" s="122" t="s">
        <v>599</v>
      </c>
      <c r="G12" s="222" t="str">
        <f t="shared" si="0"/>
        <v>Propano:kg :: DEFRA:2022</v>
      </c>
      <c r="H12" s="124">
        <v>1100</v>
      </c>
      <c r="I12" s="91" t="s">
        <v>557</v>
      </c>
      <c r="J12" s="85" t="s">
        <v>2857</v>
      </c>
      <c r="K12" s="85"/>
      <c r="L12" s="273" t="s">
        <v>2861</v>
      </c>
      <c r="M12" s="220" t="s">
        <v>1863</v>
      </c>
      <c r="N12" s="234" t="s">
        <v>1972</v>
      </c>
      <c r="O12" s="234" t="s">
        <v>2834</v>
      </c>
    </row>
    <row r="13" spans="1:15" ht="15.75" thickBot="1" x14ac:dyDescent="0.3">
      <c r="A13" s="82" t="s">
        <v>4693</v>
      </c>
      <c r="B13" s="82" t="s">
        <v>4693</v>
      </c>
      <c r="C13" s="82" t="str">
        <f t="shared" si="1"/>
        <v>X</v>
      </c>
      <c r="D13" s="222">
        <v>2022</v>
      </c>
      <c r="E13" s="83" t="s">
        <v>2852</v>
      </c>
      <c r="F13" s="122" t="s">
        <v>620</v>
      </c>
      <c r="G13" s="222" t="str">
        <f t="shared" si="0"/>
        <v>Gasóleo:l :: DEFRA:2022</v>
      </c>
      <c r="H13" s="124">
        <v>60</v>
      </c>
      <c r="I13" s="91" t="s">
        <v>630</v>
      </c>
      <c r="J13" s="85"/>
      <c r="K13" s="85"/>
      <c r="L13" s="273" t="s">
        <v>2861</v>
      </c>
      <c r="M13" s="220" t="s">
        <v>1861</v>
      </c>
      <c r="N13" s="234" t="s">
        <v>1972</v>
      </c>
      <c r="O13" s="234" t="s">
        <v>2834</v>
      </c>
    </row>
    <row r="14" spans="1:15" ht="15.75" thickBot="1" x14ac:dyDescent="0.3">
      <c r="A14" s="82" t="s">
        <v>4693</v>
      </c>
      <c r="B14" s="82" t="s">
        <v>4693</v>
      </c>
      <c r="C14" s="82" t="str">
        <f t="shared" si="1"/>
        <v>X</v>
      </c>
      <c r="D14" s="222">
        <v>2022</v>
      </c>
      <c r="E14" s="83" t="s">
        <v>1659</v>
      </c>
      <c r="F14" s="122" t="s">
        <v>1952</v>
      </c>
      <c r="G14" s="222" t="str">
        <f t="shared" si="0"/>
        <v>Gasolina:l :: DEFRA:2022</v>
      </c>
      <c r="H14" s="124">
        <v>137.88</v>
      </c>
      <c r="I14" s="91" t="s">
        <v>630</v>
      </c>
      <c r="J14" s="85" t="s">
        <v>2858</v>
      </c>
      <c r="K14" s="85"/>
      <c r="L14" s="273" t="s">
        <v>2861</v>
      </c>
      <c r="M14" s="220" t="s">
        <v>1861</v>
      </c>
      <c r="N14" s="234" t="s">
        <v>1972</v>
      </c>
      <c r="O14" s="234" t="s">
        <v>2834</v>
      </c>
    </row>
    <row r="15" spans="1:15" ht="15.75" thickBot="1" x14ac:dyDescent="0.3">
      <c r="A15" s="82" t="s">
        <v>4693</v>
      </c>
      <c r="B15" s="82" t="s">
        <v>4693</v>
      </c>
      <c r="C15" s="82" t="str">
        <f>IF(A15=B15,"X",RIGHT(A15,LEN(A15)-LEN(B15)-3))</f>
        <v>X</v>
      </c>
      <c r="D15" s="222">
        <v>2022</v>
      </c>
      <c r="E15" s="83" t="s">
        <v>2859</v>
      </c>
      <c r="F15" s="122" t="s">
        <v>620</v>
      </c>
      <c r="G15" s="222" t="str">
        <f t="shared" si="0"/>
        <v>Gasóleo:l :: DEFRA:2022</v>
      </c>
      <c r="H15" s="124">
        <v>545</v>
      </c>
      <c r="I15" s="91" t="s">
        <v>630</v>
      </c>
      <c r="J15" s="85" t="s">
        <v>2859</v>
      </c>
      <c r="K15" s="85"/>
      <c r="L15" s="273" t="s">
        <v>2861</v>
      </c>
      <c r="M15" s="220" t="s">
        <v>1861</v>
      </c>
      <c r="N15" s="234" t="s">
        <v>1972</v>
      </c>
      <c r="O15" s="234" t="s">
        <v>2834</v>
      </c>
    </row>
    <row r="16" spans="1:15" ht="15.75" thickBot="1" x14ac:dyDescent="0.3">
      <c r="A16" s="82" t="s">
        <v>2836</v>
      </c>
      <c r="B16" s="82" t="s">
        <v>2836</v>
      </c>
      <c r="C16" s="82" t="str">
        <f t="shared" si="1"/>
        <v>X</v>
      </c>
      <c r="D16" s="222">
        <v>2022</v>
      </c>
      <c r="E16" s="83" t="s">
        <v>600</v>
      </c>
      <c r="F16" s="122" t="s">
        <v>599</v>
      </c>
      <c r="G16" s="222" t="str">
        <f t="shared" si="0"/>
        <v>Propano:kg :: DEFRA:2022</v>
      </c>
      <c r="H16" s="124">
        <v>225</v>
      </c>
      <c r="I16" s="91" t="s">
        <v>557</v>
      </c>
      <c r="J16" s="85"/>
      <c r="K16" s="85"/>
      <c r="L16" s="273" t="s">
        <v>2861</v>
      </c>
      <c r="M16" s="220" t="s">
        <v>1863</v>
      </c>
      <c r="N16" s="234" t="s">
        <v>1972</v>
      </c>
      <c r="O16" s="234" t="s">
        <v>2834</v>
      </c>
    </row>
    <row r="17" spans="1:15" ht="15.75" thickBot="1" x14ac:dyDescent="0.3">
      <c r="A17" s="82" t="s">
        <v>4696</v>
      </c>
      <c r="B17" s="82" t="s">
        <v>4696</v>
      </c>
      <c r="C17" s="82" t="str">
        <f t="shared" si="1"/>
        <v>X</v>
      </c>
      <c r="D17" s="222">
        <v>2022</v>
      </c>
      <c r="E17" s="83" t="s">
        <v>2852</v>
      </c>
      <c r="F17" s="122" t="s">
        <v>620</v>
      </c>
      <c r="G17" s="222" t="str">
        <f t="shared" si="0"/>
        <v>Gasóleo:l :: DEFRA:2022</v>
      </c>
      <c r="H17" s="124">
        <v>9980</v>
      </c>
      <c r="I17" s="91" t="s">
        <v>630</v>
      </c>
      <c r="J17" s="85"/>
      <c r="K17" s="85"/>
      <c r="L17" s="273" t="s">
        <v>2861</v>
      </c>
      <c r="M17" s="220" t="s">
        <v>1861</v>
      </c>
      <c r="N17" s="234" t="s">
        <v>1972</v>
      </c>
      <c r="O17" s="234" t="s">
        <v>2834</v>
      </c>
    </row>
    <row r="18" spans="1:15" ht="30.75" thickBot="1" x14ac:dyDescent="0.3">
      <c r="A18" s="82" t="s">
        <v>4705</v>
      </c>
      <c r="B18" s="82" t="s">
        <v>4705</v>
      </c>
      <c r="C18" s="82" t="str">
        <f t="shared" si="1"/>
        <v>X</v>
      </c>
      <c r="D18" s="222">
        <v>2022</v>
      </c>
      <c r="E18" s="83" t="s">
        <v>2852</v>
      </c>
      <c r="F18" s="122" t="s">
        <v>620</v>
      </c>
      <c r="G18" s="222" t="str">
        <f t="shared" si="0"/>
        <v>Gasóleo:l :: DEFRA:2022</v>
      </c>
      <c r="H18" s="124">
        <v>0</v>
      </c>
      <c r="I18" s="91" t="s">
        <v>630</v>
      </c>
      <c r="J18" s="85" t="s">
        <v>3501</v>
      </c>
      <c r="K18" s="85"/>
      <c r="L18" s="273" t="s">
        <v>2861</v>
      </c>
      <c r="M18" s="220" t="s">
        <v>1861</v>
      </c>
      <c r="N18" s="234" t="s">
        <v>1972</v>
      </c>
      <c r="O18" s="234" t="s">
        <v>2834</v>
      </c>
    </row>
    <row r="19" spans="1:15" ht="15.75" thickBot="1" x14ac:dyDescent="0.3">
      <c r="A19" t="s">
        <v>4701</v>
      </c>
      <c r="B19" t="s">
        <v>4701</v>
      </c>
      <c r="C19" s="82" t="str">
        <f t="shared" si="1"/>
        <v>X</v>
      </c>
      <c r="D19" s="222">
        <v>2022</v>
      </c>
      <c r="E19" s="83" t="s">
        <v>600</v>
      </c>
      <c r="F19" s="122" t="s">
        <v>599</v>
      </c>
      <c r="G19" s="222" t="str">
        <f t="shared" si="0"/>
        <v>Propano:kg :: DEFRA:2022</v>
      </c>
      <c r="H19" s="124">
        <v>32</v>
      </c>
      <c r="I19" s="91" t="s">
        <v>557</v>
      </c>
      <c r="J19" s="85"/>
      <c r="K19" s="85" t="s">
        <v>3896</v>
      </c>
      <c r="L19" s="273" t="s">
        <v>2861</v>
      </c>
      <c r="M19" s="220" t="s">
        <v>1863</v>
      </c>
      <c r="N19" s="234" t="s">
        <v>1972</v>
      </c>
      <c r="O19" s="234" t="s">
        <v>2834</v>
      </c>
    </row>
    <row r="20" spans="1:15" ht="15.75" thickBot="1" x14ac:dyDescent="0.3">
      <c r="A20" t="s">
        <v>4718</v>
      </c>
      <c r="B20" t="s">
        <v>4718</v>
      </c>
      <c r="C20" s="82" t="str">
        <f t="shared" ref="C20" si="2">IF(A20=B20,"X",RIGHT(A20,LEN(A20)-LEN(B20)-3))</f>
        <v>X</v>
      </c>
      <c r="D20" s="222">
        <v>2022</v>
      </c>
      <c r="E20" s="83" t="s">
        <v>2852</v>
      </c>
      <c r="F20" s="122" t="s">
        <v>620</v>
      </c>
      <c r="G20" s="222" t="str">
        <f t="shared" si="0"/>
        <v>Gasóleo:l :: DEFRA:2022</v>
      </c>
      <c r="H20" s="432">
        <v>250</v>
      </c>
      <c r="I20" s="91" t="s">
        <v>630</v>
      </c>
      <c r="J20" s="85"/>
      <c r="K20" s="85"/>
      <c r="L20" s="273" t="s">
        <v>2861</v>
      </c>
      <c r="M20" s="220" t="s">
        <v>1861</v>
      </c>
      <c r="N20" s="234" t="s">
        <v>1972</v>
      </c>
      <c r="O20" s="234" t="s">
        <v>2834</v>
      </c>
    </row>
  </sheetData>
  <mergeCells count="12">
    <mergeCell ref="N1:N2"/>
    <mergeCell ref="O1:O2"/>
    <mergeCell ref="A1:A2"/>
    <mergeCell ref="C1:C2"/>
    <mergeCell ref="M1:M2"/>
    <mergeCell ref="B1:B2"/>
    <mergeCell ref="E1:E2"/>
    <mergeCell ref="F1:F2"/>
    <mergeCell ref="H1:H2"/>
    <mergeCell ref="I1:I2"/>
    <mergeCell ref="J1:J2"/>
    <mergeCell ref="K1:K2"/>
  </mergeCells>
  <dataValidations count="6">
    <dataValidation type="list" allowBlank="1" showInputMessage="1" showErrorMessage="1" sqref="I3:I4 I6:I20">
      <formula1>"l (litros), kg (quilos), Nm3 (metros cubicos norm.), m3 (metros cúbicos)"</formula1>
    </dataValidation>
    <dataValidation type="list" allowBlank="1" showInputMessage="1" showErrorMessage="1" sqref="E3:E4 E7:E20">
      <formula1>"Geradores, Aquecimento de Águas, Estufas, Empilhadores, Viaturas, Outros"</formula1>
    </dataValidation>
    <dataValidation type="list" allowBlank="1" showInputMessage="1" showErrorMessage="1" sqref="F3:F18 F20">
      <formula1>"Gasóleo, Gasolina, GPL, GNC, GN, GNL, GNV, Butano, Propano, H2"</formula1>
    </dataValidation>
    <dataValidation type="list" allowBlank="1" showInputMessage="1" showErrorMessage="1" sqref="E5:E6">
      <formula1>"Estufas, Geradores, Máquina de Lavagem, Empilhadores, Elevadores, Aquecimente do água, Outros"</formula1>
    </dataValidation>
    <dataValidation type="list" allowBlank="1" showInputMessage="1" showErrorMessage="1" sqref="I5">
      <formula1>"l (litros), kg (quilos), Nm3 (metros cubicos norm.)"</formula1>
    </dataValidation>
    <dataValidation type="list" allowBlank="1" showInputMessage="1" showErrorMessage="1" sqref="F19">
      <formula1>"Gasóleo, Gasolina, GPL, GNC, GNV, Butano, Propano, H2"</formula1>
    </dataValidation>
  </dataValidations>
  <pageMargins left="0.7" right="0.7" top="0.75" bottom="0.75" header="0.3" footer="0.3"/>
  <customProperties>
    <customPr name="GUID" r:id="rId1"/>
  </customPropertie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8"/>
  <dimension ref="B6:V45"/>
  <sheetViews>
    <sheetView topLeftCell="A19" workbookViewId="0">
      <selection activeCell="G50" sqref="G50"/>
    </sheetView>
    <sheetView workbookViewId="1"/>
  </sheetViews>
  <sheetFormatPr defaultRowHeight="15" x14ac:dyDescent="0.25"/>
  <cols>
    <col min="2" max="2" width="42.85546875" customWidth="1"/>
    <col min="3" max="3" width="28.7109375" customWidth="1"/>
    <col min="4" max="7" width="21.5703125" customWidth="1"/>
    <col min="8" max="9" width="28.28515625" customWidth="1"/>
    <col min="10" max="10" width="31.5703125" customWidth="1"/>
    <col min="11" max="12" width="28.28515625" customWidth="1"/>
  </cols>
  <sheetData>
    <row r="6" spans="2:22" ht="15.75" thickBot="1" x14ac:dyDescent="0.3"/>
    <row r="7" spans="2:22" x14ac:dyDescent="0.25">
      <c r="B7" s="78" t="s">
        <v>118</v>
      </c>
      <c r="C7" s="80"/>
    </row>
    <row r="9" spans="2:22" x14ac:dyDescent="0.25">
      <c r="B9" s="516" t="str">
        <f>"Grupo Barraqueiro: "&amp;'Folha de Rosto'!C6&amp;" "&amp;'Folha de Rosto'!I6&amp;" - Emissões de GEE de Âmbito 1"</f>
        <v>Grupo Barraqueiro: PEGADA DE CARBONO 2022 - Emissões de GEE de Âmbito 1</v>
      </c>
      <c r="C9" s="516"/>
      <c r="D9" s="516"/>
      <c r="E9" s="516"/>
      <c r="F9" s="516"/>
      <c r="G9" s="516"/>
      <c r="H9" s="516"/>
      <c r="I9" s="516"/>
      <c r="J9" s="516"/>
      <c r="K9" s="516"/>
      <c r="L9" s="516"/>
      <c r="M9" s="516"/>
      <c r="N9" s="516"/>
      <c r="O9" s="516"/>
      <c r="P9" s="516"/>
      <c r="Q9" s="516"/>
      <c r="R9" s="516"/>
      <c r="S9" s="516"/>
      <c r="T9" s="516"/>
      <c r="U9" s="516"/>
      <c r="V9" s="516"/>
    </row>
    <row r="10" spans="2:22" ht="15.75" thickBot="1" x14ac:dyDescent="0.3"/>
    <row r="11" spans="2:22" ht="33.75" customHeight="1" thickBot="1" x14ac:dyDescent="0.3">
      <c r="B11" s="512" t="s">
        <v>119</v>
      </c>
      <c r="C11" s="512"/>
      <c r="D11" s="518" t="s">
        <v>127</v>
      </c>
      <c r="E11" s="518"/>
      <c r="F11" s="519"/>
      <c r="G11" s="519"/>
      <c r="H11" s="519"/>
      <c r="I11" s="519"/>
      <c r="J11" s="519"/>
      <c r="K11" s="519"/>
      <c r="L11" s="519"/>
      <c r="M11" s="519"/>
      <c r="N11" s="519"/>
      <c r="O11" s="519"/>
      <c r="P11" s="519"/>
      <c r="Q11" s="520"/>
    </row>
    <row r="12" spans="2:22" ht="67.5" customHeight="1" thickBot="1" x14ac:dyDescent="0.3">
      <c r="B12" s="512" t="s">
        <v>120</v>
      </c>
      <c r="C12" s="512"/>
      <c r="D12" s="521" t="s">
        <v>153</v>
      </c>
      <c r="E12" s="521"/>
      <c r="F12" s="522"/>
      <c r="G12" s="522"/>
      <c r="H12" s="522"/>
      <c r="I12" s="522"/>
      <c r="J12" s="522"/>
      <c r="K12" s="522"/>
      <c r="L12" s="522"/>
      <c r="M12" s="522"/>
      <c r="N12" s="522"/>
      <c r="O12" s="522"/>
      <c r="P12" s="522"/>
      <c r="Q12" s="523"/>
    </row>
    <row r="13" spans="2:22" ht="60" customHeight="1" thickBot="1" x14ac:dyDescent="0.3">
      <c r="B13" s="512" t="s">
        <v>121</v>
      </c>
      <c r="C13" s="512"/>
      <c r="D13" s="534" t="str">
        <f>'A1.3'!D13</f>
        <v>Metodologia a descrever pelo responsável local pela recolha de dados</v>
      </c>
      <c r="E13" s="534"/>
      <c r="F13" s="535"/>
      <c r="G13" s="535"/>
      <c r="H13" s="535"/>
      <c r="I13" s="535"/>
      <c r="J13" s="535"/>
      <c r="K13" s="535"/>
      <c r="L13" s="535"/>
      <c r="M13" s="535"/>
      <c r="N13" s="535"/>
      <c r="O13" s="535"/>
      <c r="P13" s="535"/>
      <c r="Q13" s="536"/>
    </row>
    <row r="14" spans="2:22" ht="60" customHeight="1" thickBot="1" x14ac:dyDescent="0.3">
      <c r="B14" s="512" t="s">
        <v>122</v>
      </c>
      <c r="C14" s="512"/>
      <c r="D14" s="534" t="str">
        <f>'A1.3'!D14</f>
        <v>Identificação do responsável local pela recolha de dados</v>
      </c>
      <c r="E14" s="534"/>
      <c r="F14" s="535"/>
      <c r="G14" s="535"/>
      <c r="H14" s="535"/>
      <c r="I14" s="535"/>
      <c r="J14" s="535"/>
      <c r="K14" s="535"/>
      <c r="L14" s="535"/>
      <c r="M14" s="535"/>
      <c r="N14" s="535"/>
      <c r="O14" s="535"/>
      <c r="P14" s="535"/>
      <c r="Q14" s="536"/>
    </row>
    <row r="15" spans="2:22" ht="60" customHeight="1" thickBot="1" x14ac:dyDescent="0.3">
      <c r="B15" s="512" t="s">
        <v>128</v>
      </c>
      <c r="C15" s="512"/>
      <c r="D15" s="534" t="str">
        <f>'A1.3'!D15</f>
        <v>Identificação das fontes de dados pelo responsável local pela recolha de dados</v>
      </c>
      <c r="E15" s="534"/>
      <c r="F15" s="535"/>
      <c r="G15" s="535"/>
      <c r="H15" s="535"/>
      <c r="I15" s="535"/>
      <c r="J15" s="535"/>
      <c r="K15" s="535"/>
      <c r="L15" s="535"/>
      <c r="M15" s="535"/>
      <c r="N15" s="535"/>
      <c r="O15" s="535"/>
      <c r="P15" s="535"/>
      <c r="Q15" s="536"/>
    </row>
    <row r="17" spans="2:22" x14ac:dyDescent="0.25">
      <c r="B17" s="516" t="s">
        <v>156</v>
      </c>
      <c r="C17" s="516"/>
      <c r="D17" s="516"/>
      <c r="E17" s="516"/>
      <c r="F17" s="516"/>
      <c r="G17" s="516"/>
      <c r="H17" s="516"/>
      <c r="I17" s="516"/>
      <c r="J17" s="516"/>
      <c r="K17" s="516"/>
      <c r="L17" s="516"/>
      <c r="M17" s="516"/>
      <c r="N17" s="516"/>
      <c r="O17" s="516"/>
      <c r="P17" s="516"/>
      <c r="Q17" s="516"/>
      <c r="R17" s="516"/>
      <c r="S17" s="516"/>
      <c r="T17" s="516"/>
      <c r="U17" s="516"/>
      <c r="V17" s="516"/>
    </row>
    <row r="18" spans="2:22" x14ac:dyDescent="0.25">
      <c r="B18" t="s">
        <v>130</v>
      </c>
    </row>
    <row r="20" spans="2:22" x14ac:dyDescent="0.25">
      <c r="B20" s="81" t="s">
        <v>135</v>
      </c>
    </row>
    <row r="21" spans="2:22" x14ac:dyDescent="0.25">
      <c r="B21" s="517"/>
      <c r="C21" s="517"/>
      <c r="D21" s="517"/>
      <c r="E21" s="517"/>
      <c r="F21" s="517"/>
      <c r="G21" s="517"/>
      <c r="H21" s="517"/>
      <c r="I21" s="517"/>
      <c r="J21" s="517"/>
      <c r="K21" s="517"/>
      <c r="L21" s="517"/>
      <c r="M21" s="517"/>
      <c r="N21" s="517"/>
      <c r="O21" s="517"/>
      <c r="P21" s="517"/>
      <c r="Q21" s="517"/>
      <c r="R21" s="517"/>
      <c r="S21" s="517"/>
      <c r="T21" s="517"/>
    </row>
    <row r="22" spans="2:22" x14ac:dyDescent="0.25">
      <c r="B22" s="517"/>
      <c r="C22" s="517"/>
      <c r="D22" s="517"/>
      <c r="E22" s="517"/>
      <c r="F22" s="517"/>
      <c r="G22" s="517"/>
      <c r="H22" s="517"/>
      <c r="I22" s="517"/>
      <c r="J22" s="517"/>
      <c r="K22" s="517"/>
      <c r="L22" s="517"/>
      <c r="M22" s="517"/>
      <c r="N22" s="517"/>
      <c r="O22" s="517"/>
      <c r="P22" s="517"/>
      <c r="Q22" s="517"/>
      <c r="R22" s="517"/>
      <c r="S22" s="517"/>
      <c r="T22" s="517"/>
    </row>
    <row r="24" spans="2:22" x14ac:dyDescent="0.25">
      <c r="B24" s="81" t="s">
        <v>136</v>
      </c>
    </row>
    <row r="25" spans="2:22" x14ac:dyDescent="0.25">
      <c r="B25" s="517"/>
      <c r="C25" s="517"/>
      <c r="D25" s="517"/>
      <c r="E25" s="517"/>
      <c r="F25" s="517"/>
      <c r="G25" s="517"/>
      <c r="H25" s="517"/>
      <c r="I25" s="517"/>
      <c r="J25" s="517"/>
      <c r="K25" s="517"/>
      <c r="L25" s="517"/>
      <c r="M25" s="517"/>
      <c r="N25" s="517"/>
      <c r="O25" s="517"/>
      <c r="P25" s="517"/>
      <c r="Q25" s="517"/>
      <c r="R25" s="517"/>
      <c r="S25" s="517"/>
      <c r="T25" s="517"/>
    </row>
    <row r="26" spans="2:22" x14ac:dyDescent="0.25">
      <c r="B26" s="517"/>
      <c r="C26" s="517"/>
      <c r="D26" s="517"/>
      <c r="E26" s="517"/>
      <c r="F26" s="517"/>
      <c r="G26" s="517"/>
      <c r="H26" s="517"/>
      <c r="I26" s="517"/>
      <c r="J26" s="517"/>
      <c r="K26" s="517"/>
      <c r="L26" s="517"/>
      <c r="M26" s="517"/>
      <c r="N26" s="517"/>
      <c r="O26" s="517"/>
      <c r="P26" s="517"/>
      <c r="Q26" s="517"/>
      <c r="R26" s="517"/>
      <c r="S26" s="517"/>
      <c r="T26" s="517"/>
    </row>
    <row r="27" spans="2:22" ht="15.75" thickBot="1" x14ac:dyDescent="0.3"/>
    <row r="28" spans="2:22" ht="15.75" customHeight="1" thickBot="1" x14ac:dyDescent="0.3">
      <c r="B28" s="543" t="s">
        <v>131</v>
      </c>
      <c r="C28" s="545" t="s">
        <v>157</v>
      </c>
      <c r="D28" s="543" t="s">
        <v>139</v>
      </c>
      <c r="E28" s="543" t="s">
        <v>140</v>
      </c>
      <c r="F28" s="543" t="s">
        <v>141</v>
      </c>
      <c r="G28" s="543" t="s">
        <v>134</v>
      </c>
      <c r="H28" s="542" t="s">
        <v>1850</v>
      </c>
    </row>
    <row r="29" spans="2:22" ht="15.75" thickBot="1" x14ac:dyDescent="0.3">
      <c r="B29" s="544"/>
      <c r="C29" s="545"/>
      <c r="D29" s="544"/>
      <c r="E29" s="544"/>
      <c r="F29" s="544"/>
      <c r="G29" s="544"/>
      <c r="H29" s="542"/>
    </row>
    <row r="30" spans="2:22" ht="15.75" thickBot="1" x14ac:dyDescent="0.3">
      <c r="B30" s="82" t="s">
        <v>534</v>
      </c>
      <c r="C30" s="83" t="s">
        <v>600</v>
      </c>
      <c r="D30" s="122" t="s">
        <v>599</v>
      </c>
      <c r="E30" s="124">
        <f>E31</f>
        <v>735</v>
      </c>
      <c r="F30" s="91" t="s">
        <v>557</v>
      </c>
      <c r="G30" s="85"/>
      <c r="H30" s="85"/>
    </row>
    <row r="31" spans="2:22" ht="15.75" thickBot="1" x14ac:dyDescent="0.3">
      <c r="B31" s="82" t="s">
        <v>542</v>
      </c>
      <c r="C31" s="83" t="s">
        <v>600</v>
      </c>
      <c r="D31" s="122" t="s">
        <v>599</v>
      </c>
      <c r="E31" s="124">
        <f>SUM(E32:E43)</f>
        <v>735</v>
      </c>
      <c r="F31" s="91" t="s">
        <v>557</v>
      </c>
      <c r="G31" s="85"/>
      <c r="H31" s="85">
        <v>2022</v>
      </c>
    </row>
    <row r="32" spans="2:22" ht="15.75" thickBot="1" x14ac:dyDescent="0.3">
      <c r="B32" s="82" t="s">
        <v>542</v>
      </c>
      <c r="C32" s="83" t="s">
        <v>600</v>
      </c>
      <c r="D32" s="122" t="s">
        <v>599</v>
      </c>
      <c r="E32" s="124">
        <v>70</v>
      </c>
      <c r="F32" s="91" t="s">
        <v>557</v>
      </c>
      <c r="G32" s="85"/>
      <c r="H32" s="166">
        <v>44562</v>
      </c>
    </row>
    <row r="33" spans="2:8" ht="15.75" thickBot="1" x14ac:dyDescent="0.3">
      <c r="B33" s="82" t="s">
        <v>542</v>
      </c>
      <c r="C33" s="83" t="s">
        <v>600</v>
      </c>
      <c r="D33" s="122" t="s">
        <v>599</v>
      </c>
      <c r="E33" s="124">
        <v>70</v>
      </c>
      <c r="F33" s="91" t="s">
        <v>557</v>
      </c>
      <c r="G33" s="85"/>
      <c r="H33" s="166">
        <v>44593</v>
      </c>
    </row>
    <row r="34" spans="2:8" ht="15.75" thickBot="1" x14ac:dyDescent="0.3">
      <c r="B34" s="82" t="s">
        <v>542</v>
      </c>
      <c r="C34" s="83" t="s">
        <v>600</v>
      </c>
      <c r="D34" s="122" t="s">
        <v>599</v>
      </c>
      <c r="E34" s="124">
        <v>70</v>
      </c>
      <c r="F34" s="91" t="s">
        <v>557</v>
      </c>
      <c r="G34" s="85"/>
      <c r="H34" s="166">
        <v>44621</v>
      </c>
    </row>
    <row r="35" spans="2:8" ht="15.75" thickBot="1" x14ac:dyDescent="0.3">
      <c r="B35" s="82" t="s">
        <v>542</v>
      </c>
      <c r="C35" s="83" t="s">
        <v>600</v>
      </c>
      <c r="D35" s="122" t="s">
        <v>599</v>
      </c>
      <c r="E35" s="124">
        <v>70</v>
      </c>
      <c r="F35" s="91" t="s">
        <v>557</v>
      </c>
      <c r="G35" s="85"/>
      <c r="H35" s="166">
        <v>44652</v>
      </c>
    </row>
    <row r="36" spans="2:8" ht="15.75" thickBot="1" x14ac:dyDescent="0.3">
      <c r="B36" s="82" t="s">
        <v>542</v>
      </c>
      <c r="C36" s="83" t="s">
        <v>600</v>
      </c>
      <c r="D36" s="122" t="s">
        <v>599</v>
      </c>
      <c r="E36" s="124">
        <v>70</v>
      </c>
      <c r="F36" s="91" t="s">
        <v>557</v>
      </c>
      <c r="G36" s="85"/>
      <c r="H36" s="166">
        <v>44682</v>
      </c>
    </row>
    <row r="37" spans="2:8" ht="15.75" thickBot="1" x14ac:dyDescent="0.3">
      <c r="B37" s="82" t="s">
        <v>542</v>
      </c>
      <c r="C37" s="83" t="s">
        <v>600</v>
      </c>
      <c r="D37" s="122" t="s">
        <v>599</v>
      </c>
      <c r="E37" s="124">
        <v>70</v>
      </c>
      <c r="F37" s="91" t="s">
        <v>557</v>
      </c>
      <c r="G37" s="85"/>
      <c r="H37" s="166">
        <v>44713</v>
      </c>
    </row>
    <row r="38" spans="2:8" ht="15.75" thickBot="1" x14ac:dyDescent="0.3">
      <c r="B38" s="82" t="s">
        <v>542</v>
      </c>
      <c r="C38" s="83" t="s">
        <v>600</v>
      </c>
      <c r="D38" s="122" t="s">
        <v>599</v>
      </c>
      <c r="E38" s="124">
        <v>35</v>
      </c>
      <c r="F38" s="91" t="s">
        <v>557</v>
      </c>
      <c r="G38" s="85"/>
      <c r="H38" s="166">
        <v>44743</v>
      </c>
    </row>
    <row r="39" spans="2:8" ht="15.75" thickBot="1" x14ac:dyDescent="0.3">
      <c r="B39" s="82" t="s">
        <v>542</v>
      </c>
      <c r="C39" s="83" t="s">
        <v>600</v>
      </c>
      <c r="D39" s="122" t="s">
        <v>599</v>
      </c>
      <c r="E39" s="124">
        <v>35</v>
      </c>
      <c r="F39" s="91" t="s">
        <v>557</v>
      </c>
      <c r="G39" s="85"/>
      <c r="H39" s="166">
        <v>44774</v>
      </c>
    </row>
    <row r="40" spans="2:8" ht="15.75" thickBot="1" x14ac:dyDescent="0.3">
      <c r="B40" s="82" t="s">
        <v>542</v>
      </c>
      <c r="C40" s="83" t="s">
        <v>600</v>
      </c>
      <c r="D40" s="122" t="s">
        <v>599</v>
      </c>
      <c r="E40" s="124">
        <v>70</v>
      </c>
      <c r="F40" s="91" t="s">
        <v>557</v>
      </c>
      <c r="G40" s="85"/>
      <c r="H40" s="166">
        <v>44805</v>
      </c>
    </row>
    <row r="41" spans="2:8" ht="15.75" thickBot="1" x14ac:dyDescent="0.3">
      <c r="B41" s="82" t="s">
        <v>542</v>
      </c>
      <c r="C41" s="83" t="s">
        <v>600</v>
      </c>
      <c r="D41" s="122" t="s">
        <v>599</v>
      </c>
      <c r="E41" s="124">
        <v>70</v>
      </c>
      <c r="F41" s="91" t="s">
        <v>557</v>
      </c>
      <c r="G41" s="85"/>
      <c r="H41" s="166">
        <v>44835</v>
      </c>
    </row>
    <row r="42" spans="2:8" ht="15.75" thickBot="1" x14ac:dyDescent="0.3">
      <c r="B42" s="82" t="s">
        <v>542</v>
      </c>
      <c r="C42" s="83" t="s">
        <v>600</v>
      </c>
      <c r="D42" s="122" t="s">
        <v>599</v>
      </c>
      <c r="E42" s="124">
        <v>35</v>
      </c>
      <c r="F42" s="91" t="s">
        <v>557</v>
      </c>
      <c r="G42" s="85"/>
      <c r="H42" s="166">
        <v>44866</v>
      </c>
    </row>
    <row r="43" spans="2:8" ht="15.75" thickBot="1" x14ac:dyDescent="0.3">
      <c r="B43" s="82" t="s">
        <v>542</v>
      </c>
      <c r="C43" s="83" t="s">
        <v>600</v>
      </c>
      <c r="D43" s="122" t="s">
        <v>599</v>
      </c>
      <c r="E43" s="124">
        <v>70</v>
      </c>
      <c r="F43" s="91" t="s">
        <v>557</v>
      </c>
      <c r="G43" s="85"/>
      <c r="H43" s="166">
        <v>44896</v>
      </c>
    </row>
    <row r="44" spans="2:8" ht="15.75" thickBot="1" x14ac:dyDescent="0.3">
      <c r="B44" s="82"/>
      <c r="C44" s="83"/>
      <c r="D44" s="84"/>
      <c r="E44" s="84"/>
      <c r="F44" s="85"/>
      <c r="G44" s="85"/>
      <c r="H44" s="85"/>
    </row>
    <row r="45" spans="2:8" ht="15.75" thickBot="1" x14ac:dyDescent="0.3">
      <c r="B45" s="82"/>
      <c r="C45" s="83"/>
      <c r="D45" s="84"/>
      <c r="E45" s="84"/>
      <c r="F45" s="85"/>
      <c r="G45" s="85"/>
      <c r="H45" s="85"/>
    </row>
  </sheetData>
  <mergeCells count="21">
    <mergeCell ref="B21:T22"/>
    <mergeCell ref="B9:V9"/>
    <mergeCell ref="B11:C11"/>
    <mergeCell ref="D11:Q11"/>
    <mergeCell ref="B12:C12"/>
    <mergeCell ref="D12:Q12"/>
    <mergeCell ref="B13:C13"/>
    <mergeCell ref="D13:Q13"/>
    <mergeCell ref="B14:C14"/>
    <mergeCell ref="D14:Q14"/>
    <mergeCell ref="B15:C15"/>
    <mergeCell ref="D15:Q15"/>
    <mergeCell ref="B17:V17"/>
    <mergeCell ref="B25:T26"/>
    <mergeCell ref="B28:B29"/>
    <mergeCell ref="C28:C29"/>
    <mergeCell ref="D28:D29"/>
    <mergeCell ref="E28:E29"/>
    <mergeCell ref="F28:F29"/>
    <mergeCell ref="G28:G29"/>
    <mergeCell ref="H28:H29"/>
  </mergeCells>
  <dataValidations count="4">
    <dataValidation type="list" allowBlank="1" showInputMessage="1" showErrorMessage="1" sqref="C44:C45">
      <formula1>"Estufas, Geradores, Máquina de Lavagem, Empilhadores, Elevadores, Outros"</formula1>
    </dataValidation>
    <dataValidation type="list" allowBlank="1" showInputMessage="1" showErrorMessage="1" sqref="D30:D45">
      <formula1>"Gasóleo, Gasolina, GPL, GNC, GNV, Butano, Propano, H2"</formula1>
    </dataValidation>
    <dataValidation type="list" allowBlank="1" showInputMessage="1" showErrorMessage="1" sqref="C30:C43">
      <formula1>"Geradores, Aquecimento de Águas, Estufas, Empilhadores, Viaturas, Outros"</formula1>
    </dataValidation>
    <dataValidation type="list" allowBlank="1" showInputMessage="1" showErrorMessage="1" sqref="F30:F43">
      <formula1>"l (litros), kg (quilos), Nm3 (metros cubicos norm.), m3 (metros cúbicos)"</formula1>
    </dataValidation>
  </dataValidations>
  <pageMargins left="0.7" right="0.7" top="0.75" bottom="0.75" header="0.3" footer="0.3"/>
  <customProperties>
    <customPr name="GUID" r:id="rId1"/>
  </customPropertie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9"/>
  <dimension ref="B6:V45"/>
  <sheetViews>
    <sheetView workbookViewId="0"/>
    <sheetView workbookViewId="1"/>
  </sheetViews>
  <sheetFormatPr defaultRowHeight="15" x14ac:dyDescent="0.25"/>
  <cols>
    <col min="2" max="2" width="42.85546875" customWidth="1"/>
    <col min="3" max="3" width="29.85546875" customWidth="1"/>
    <col min="4" max="6" width="21.5703125" customWidth="1"/>
    <col min="7" max="7" width="44" customWidth="1"/>
    <col min="8" max="8" width="42.5703125" customWidth="1"/>
    <col min="9" max="9" width="23.28515625" customWidth="1"/>
    <col min="10" max="10" width="104.42578125" bestFit="1" customWidth="1"/>
    <col min="11" max="12" width="28.28515625" customWidth="1"/>
  </cols>
  <sheetData>
    <row r="6" spans="2:22" ht="15.75" thickBot="1" x14ac:dyDescent="0.3"/>
    <row r="7" spans="2:22" x14ac:dyDescent="0.25">
      <c r="B7" s="78" t="s">
        <v>118</v>
      </c>
      <c r="C7" s="80"/>
    </row>
    <row r="9" spans="2:22" x14ac:dyDescent="0.25">
      <c r="B9" s="516" t="str">
        <f>"Grupo Barraqueiro: "&amp;'Folha de Rosto'!C6&amp;" "&amp;'Folha de Rosto'!I6&amp;" - Emissões de GEE de Âmbito 1"</f>
        <v>Grupo Barraqueiro: PEGADA DE CARBONO 2022 - Emissões de GEE de Âmbito 1</v>
      </c>
      <c r="C9" s="516"/>
      <c r="D9" s="516"/>
      <c r="E9" s="516"/>
      <c r="F9" s="516"/>
      <c r="G9" s="516"/>
      <c r="H9" s="516"/>
      <c r="I9" s="516"/>
      <c r="J9" s="516"/>
      <c r="K9" s="516"/>
      <c r="L9" s="516"/>
      <c r="M9" s="516"/>
      <c r="N9" s="516"/>
      <c r="O9" s="516"/>
      <c r="P9" s="516"/>
      <c r="Q9" s="516"/>
      <c r="R9" s="516"/>
      <c r="S9" s="516"/>
      <c r="T9" s="516"/>
      <c r="U9" s="516"/>
      <c r="V9" s="516"/>
    </row>
    <row r="10" spans="2:22" ht="15.75" thickBot="1" x14ac:dyDescent="0.3"/>
    <row r="11" spans="2:22" ht="33.75" customHeight="1" thickBot="1" x14ac:dyDescent="0.3">
      <c r="B11" s="512" t="s">
        <v>119</v>
      </c>
      <c r="C11" s="512"/>
      <c r="D11" s="518" t="s">
        <v>165</v>
      </c>
      <c r="E11" s="518"/>
      <c r="F11" s="519"/>
      <c r="G11" s="519"/>
      <c r="H11" s="519"/>
      <c r="I11" s="519"/>
      <c r="J11" s="519"/>
      <c r="K11" s="519"/>
      <c r="L11" s="519"/>
      <c r="M11" s="519"/>
      <c r="N11" s="519"/>
      <c r="O11" s="519"/>
      <c r="P11" s="519"/>
      <c r="Q11" s="520"/>
    </row>
    <row r="12" spans="2:22" ht="67.5" customHeight="1" thickBot="1" x14ac:dyDescent="0.3">
      <c r="B12" s="512" t="s">
        <v>120</v>
      </c>
      <c r="C12" s="512"/>
      <c r="D12" s="521" t="s">
        <v>164</v>
      </c>
      <c r="E12" s="521"/>
      <c r="F12" s="522"/>
      <c r="G12" s="522"/>
      <c r="H12" s="522"/>
      <c r="I12" s="522"/>
      <c r="J12" s="522"/>
      <c r="K12" s="522"/>
      <c r="L12" s="522"/>
      <c r="M12" s="522"/>
      <c r="N12" s="522"/>
      <c r="O12" s="522"/>
      <c r="P12" s="522"/>
      <c r="Q12" s="523"/>
    </row>
    <row r="13" spans="2:22" ht="60" customHeight="1" thickBot="1" x14ac:dyDescent="0.3">
      <c r="B13" s="512" t="s">
        <v>121</v>
      </c>
      <c r="C13" s="512"/>
      <c r="D13" s="513" t="s">
        <v>1529</v>
      </c>
      <c r="E13" s="513"/>
      <c r="F13" s="514"/>
      <c r="G13" s="514"/>
      <c r="H13" s="514"/>
      <c r="I13" s="514"/>
      <c r="J13" s="514"/>
      <c r="K13" s="514"/>
      <c r="L13" s="514"/>
      <c r="M13" s="514"/>
      <c r="N13" s="514"/>
      <c r="O13" s="514"/>
      <c r="P13" s="514"/>
      <c r="Q13" s="515"/>
    </row>
    <row r="14" spans="2:22" ht="60" customHeight="1" thickBot="1" x14ac:dyDescent="0.3">
      <c r="B14" s="512" t="s">
        <v>122</v>
      </c>
      <c r="C14" s="512"/>
      <c r="D14" s="513" t="s">
        <v>123</v>
      </c>
      <c r="E14" s="513"/>
      <c r="F14" s="514"/>
      <c r="G14" s="514"/>
      <c r="H14" s="514"/>
      <c r="I14" s="514"/>
      <c r="J14" s="514"/>
      <c r="K14" s="514"/>
      <c r="L14" s="514"/>
      <c r="M14" s="514"/>
      <c r="N14" s="514"/>
      <c r="O14" s="514"/>
      <c r="P14" s="514"/>
      <c r="Q14" s="515"/>
    </row>
    <row r="15" spans="2:22" ht="60" customHeight="1" thickBot="1" x14ac:dyDescent="0.3">
      <c r="B15" s="512" t="s">
        <v>128</v>
      </c>
      <c r="C15" s="512"/>
      <c r="D15" s="513" t="s">
        <v>129</v>
      </c>
      <c r="E15" s="513"/>
      <c r="F15" s="514"/>
      <c r="G15" s="514"/>
      <c r="H15" s="514"/>
      <c r="I15" s="514"/>
      <c r="J15" s="514"/>
      <c r="K15" s="514"/>
      <c r="L15" s="514"/>
      <c r="M15" s="514"/>
      <c r="N15" s="514"/>
      <c r="O15" s="514"/>
      <c r="P15" s="514"/>
      <c r="Q15" s="515"/>
    </row>
    <row r="17" spans="2:22" x14ac:dyDescent="0.25">
      <c r="B17" s="516" t="s">
        <v>166</v>
      </c>
      <c r="C17" s="516"/>
      <c r="D17" s="516"/>
      <c r="E17" s="516"/>
      <c r="F17" s="516"/>
      <c r="G17" s="516"/>
      <c r="H17" s="516"/>
      <c r="I17" s="516"/>
      <c r="J17" s="516"/>
      <c r="K17" s="516"/>
      <c r="L17" s="516"/>
      <c r="M17" s="516"/>
      <c r="N17" s="516"/>
      <c r="O17" s="516"/>
      <c r="P17" s="516"/>
      <c r="Q17" s="516"/>
      <c r="R17" s="516"/>
      <c r="S17" s="516"/>
      <c r="T17" s="516"/>
      <c r="U17" s="516"/>
      <c r="V17" s="516"/>
    </row>
    <row r="18" spans="2:22" x14ac:dyDescent="0.25">
      <c r="B18" t="s">
        <v>130</v>
      </c>
    </row>
    <row r="20" spans="2:22" x14ac:dyDescent="0.25">
      <c r="B20" s="81" t="s">
        <v>135</v>
      </c>
    </row>
    <row r="21" spans="2:22" x14ac:dyDescent="0.25">
      <c r="B21" s="517" t="s">
        <v>597</v>
      </c>
      <c r="C21" s="517"/>
      <c r="D21" s="517"/>
      <c r="E21" s="517"/>
      <c r="F21" s="517"/>
      <c r="G21" s="517"/>
      <c r="H21" s="517"/>
      <c r="I21" s="517"/>
      <c r="J21" s="517"/>
      <c r="K21" s="517"/>
      <c r="L21" s="517"/>
      <c r="M21" s="517"/>
      <c r="N21" s="517"/>
      <c r="O21" s="517"/>
      <c r="P21" s="517"/>
      <c r="Q21" s="517"/>
      <c r="R21" s="517"/>
      <c r="S21" s="517"/>
      <c r="T21" s="517"/>
    </row>
    <row r="22" spans="2:22" x14ac:dyDescent="0.25">
      <c r="B22" s="517"/>
      <c r="C22" s="517"/>
      <c r="D22" s="517"/>
      <c r="E22" s="517"/>
      <c r="F22" s="517"/>
      <c r="G22" s="517"/>
      <c r="H22" s="517"/>
      <c r="I22" s="517"/>
      <c r="J22" s="517"/>
      <c r="K22" s="517"/>
      <c r="L22" s="517"/>
      <c r="M22" s="517"/>
      <c r="N22" s="517"/>
      <c r="O22" s="517"/>
      <c r="P22" s="517"/>
      <c r="Q22" s="517"/>
      <c r="R22" s="517"/>
      <c r="S22" s="517"/>
      <c r="T22" s="517"/>
    </row>
    <row r="24" spans="2:22" x14ac:dyDescent="0.25">
      <c r="B24" s="81" t="s">
        <v>136</v>
      </c>
    </row>
    <row r="25" spans="2:22" x14ac:dyDescent="0.25">
      <c r="B25" s="517" t="s">
        <v>598</v>
      </c>
      <c r="C25" s="517"/>
      <c r="D25" s="517"/>
      <c r="E25" s="517"/>
      <c r="F25" s="517"/>
      <c r="G25" s="517"/>
      <c r="H25" s="517"/>
      <c r="I25" s="517"/>
      <c r="J25" s="517"/>
      <c r="K25" s="517"/>
      <c r="L25" s="517"/>
      <c r="M25" s="517"/>
      <c r="N25" s="517"/>
      <c r="O25" s="517"/>
      <c r="P25" s="517"/>
      <c r="Q25" s="517"/>
      <c r="R25" s="517"/>
      <c r="S25" s="517"/>
      <c r="T25" s="517"/>
    </row>
    <row r="26" spans="2:22" x14ac:dyDescent="0.25">
      <c r="B26" s="517"/>
      <c r="C26" s="517"/>
      <c r="D26" s="517"/>
      <c r="E26" s="517"/>
      <c r="F26" s="517"/>
      <c r="G26" s="517"/>
      <c r="H26" s="517"/>
      <c r="I26" s="517"/>
      <c r="J26" s="517"/>
      <c r="K26" s="517"/>
      <c r="L26" s="517"/>
      <c r="M26" s="517"/>
      <c r="N26" s="517"/>
      <c r="O26" s="517"/>
      <c r="P26" s="517"/>
      <c r="Q26" s="517"/>
      <c r="R26" s="517"/>
      <c r="S26" s="517"/>
      <c r="T26" s="517"/>
    </row>
    <row r="27" spans="2:22" ht="15.75" thickBot="1" x14ac:dyDescent="0.3"/>
    <row r="28" spans="2:22" ht="15.75" thickBot="1" x14ac:dyDescent="0.3">
      <c r="B28" s="508" t="s">
        <v>131</v>
      </c>
      <c r="C28" s="510" t="s">
        <v>158</v>
      </c>
      <c r="D28" s="529" t="s">
        <v>169</v>
      </c>
      <c r="E28" s="529" t="s">
        <v>160</v>
      </c>
      <c r="F28" s="508" t="s">
        <v>159</v>
      </c>
      <c r="G28" s="508" t="s">
        <v>161</v>
      </c>
      <c r="H28" s="508" t="s">
        <v>162</v>
      </c>
      <c r="I28" s="508" t="s">
        <v>163</v>
      </c>
      <c r="J28" s="510" t="s">
        <v>134</v>
      </c>
    </row>
    <row r="29" spans="2:22" ht="15.75" thickBot="1" x14ac:dyDescent="0.3">
      <c r="B29" s="509"/>
      <c r="C29" s="510"/>
      <c r="D29" s="530"/>
      <c r="E29" s="530"/>
      <c r="F29" s="509"/>
      <c r="G29" s="509"/>
      <c r="H29" s="509"/>
      <c r="I29" s="509"/>
      <c r="J29" s="510"/>
    </row>
    <row r="30" spans="2:22" ht="15.75" thickBot="1" x14ac:dyDescent="0.3">
      <c r="B30" s="82" t="s">
        <v>534</v>
      </c>
      <c r="C30" s="83" t="s">
        <v>549</v>
      </c>
      <c r="D30" s="85" t="s">
        <v>173</v>
      </c>
      <c r="E30" s="85" t="s">
        <v>182</v>
      </c>
      <c r="F30" s="85" t="s">
        <v>596</v>
      </c>
      <c r="G30" s="85">
        <f>3960-792.6-180</f>
        <v>2987.4</v>
      </c>
      <c r="H30" s="85">
        <v>0</v>
      </c>
      <c r="I30" s="85">
        <f>G30+H30</f>
        <v>2987.4</v>
      </c>
      <c r="J30" s="85" t="s">
        <v>552</v>
      </c>
    </row>
    <row r="31" spans="2:22" ht="15.75" thickBot="1" x14ac:dyDescent="0.3">
      <c r="B31" s="82" t="s">
        <v>535</v>
      </c>
      <c r="C31" s="83" t="s">
        <v>549</v>
      </c>
      <c r="D31" s="85" t="s">
        <v>173</v>
      </c>
      <c r="E31" s="85" t="s">
        <v>182</v>
      </c>
      <c r="F31" s="85" t="s">
        <v>595</v>
      </c>
      <c r="G31" s="118">
        <v>180</v>
      </c>
      <c r="H31" s="85">
        <v>0</v>
      </c>
      <c r="I31" s="85">
        <f>G31+H31</f>
        <v>180</v>
      </c>
      <c r="J31" s="85"/>
    </row>
    <row r="32" spans="2:22" ht="15.75" thickBot="1" x14ac:dyDescent="0.3">
      <c r="B32" s="82"/>
      <c r="C32" s="83"/>
      <c r="D32" s="85"/>
      <c r="E32" s="85"/>
      <c r="F32" s="85"/>
      <c r="G32" s="85"/>
      <c r="H32" s="85"/>
      <c r="I32" s="85"/>
      <c r="J32" s="85"/>
    </row>
    <row r="33" spans="2:10" ht="15.75" thickBot="1" x14ac:dyDescent="0.3">
      <c r="B33" s="82"/>
      <c r="C33" s="83"/>
      <c r="D33" s="85"/>
      <c r="E33" s="85"/>
      <c r="F33" s="85"/>
      <c r="G33" s="85"/>
      <c r="H33" s="85"/>
      <c r="I33" s="85"/>
      <c r="J33" s="85"/>
    </row>
    <row r="34" spans="2:10" ht="15.75" thickBot="1" x14ac:dyDescent="0.3">
      <c r="B34" s="82"/>
      <c r="C34" s="83"/>
      <c r="D34" s="85"/>
      <c r="E34" s="85"/>
      <c r="F34" s="85"/>
      <c r="G34" s="85"/>
      <c r="H34" s="85"/>
      <c r="I34" s="85"/>
      <c r="J34" s="85"/>
    </row>
    <row r="35" spans="2:10" ht="15.75" thickBot="1" x14ac:dyDescent="0.3">
      <c r="B35" s="82"/>
      <c r="C35" s="83"/>
      <c r="D35" s="85"/>
      <c r="E35" s="85"/>
      <c r="F35" s="85"/>
      <c r="G35" s="85"/>
      <c r="H35" s="85"/>
      <c r="I35" s="85"/>
      <c r="J35" s="85"/>
    </row>
    <row r="36" spans="2:10" ht="15.75" thickBot="1" x14ac:dyDescent="0.3">
      <c r="B36" s="82"/>
      <c r="C36" s="83"/>
      <c r="D36" s="85"/>
      <c r="E36" s="85"/>
      <c r="F36" s="85"/>
      <c r="G36" s="85"/>
      <c r="H36" s="85"/>
      <c r="I36" s="85"/>
      <c r="J36" s="85"/>
    </row>
    <row r="37" spans="2:10" ht="15.75" thickBot="1" x14ac:dyDescent="0.3">
      <c r="B37" s="82"/>
      <c r="C37" s="83"/>
      <c r="D37" s="85"/>
      <c r="E37" s="85"/>
      <c r="F37" s="85"/>
      <c r="G37" s="85"/>
      <c r="H37" s="85"/>
      <c r="I37" s="85"/>
      <c r="J37" s="85"/>
    </row>
    <row r="38" spans="2:10" ht="15.75" thickBot="1" x14ac:dyDescent="0.3">
      <c r="B38" s="82"/>
      <c r="C38" s="83"/>
      <c r="D38" s="85"/>
      <c r="E38" s="85"/>
      <c r="F38" s="85"/>
      <c r="G38" s="85"/>
      <c r="H38" s="85"/>
      <c r="I38" s="85"/>
      <c r="J38" s="85"/>
    </row>
    <row r="39" spans="2:10" ht="15.75" thickBot="1" x14ac:dyDescent="0.3">
      <c r="B39" s="82"/>
      <c r="C39" s="83"/>
      <c r="D39" s="85"/>
      <c r="E39" s="85"/>
      <c r="F39" s="85"/>
      <c r="G39" s="85"/>
      <c r="H39" s="85"/>
      <c r="I39" s="85"/>
      <c r="J39" s="85"/>
    </row>
    <row r="40" spans="2:10" ht="15.75" thickBot="1" x14ac:dyDescent="0.3">
      <c r="B40" s="82"/>
      <c r="C40" s="83"/>
      <c r="D40" s="85"/>
      <c r="E40" s="85"/>
      <c r="F40" s="85"/>
      <c r="G40" s="85"/>
      <c r="H40" s="85"/>
      <c r="I40" s="85"/>
      <c r="J40" s="85"/>
    </row>
    <row r="41" spans="2:10" ht="15.75" thickBot="1" x14ac:dyDescent="0.3">
      <c r="B41" s="82"/>
      <c r="C41" s="83"/>
      <c r="D41" s="85"/>
      <c r="E41" s="85"/>
      <c r="F41" s="85"/>
      <c r="G41" s="85"/>
      <c r="H41" s="85"/>
      <c r="I41" s="85"/>
      <c r="J41" s="85"/>
    </row>
    <row r="42" spans="2:10" ht="15.75" thickBot="1" x14ac:dyDescent="0.3">
      <c r="B42" s="82"/>
      <c r="C42" s="83"/>
      <c r="D42" s="85"/>
      <c r="E42" s="85"/>
      <c r="F42" s="85"/>
      <c r="G42" s="85"/>
      <c r="H42" s="85"/>
      <c r="I42" s="85"/>
      <c r="J42" s="85"/>
    </row>
    <row r="43" spans="2:10" ht="15.75" thickBot="1" x14ac:dyDescent="0.3">
      <c r="B43" s="82"/>
      <c r="C43" s="83"/>
      <c r="D43" s="85"/>
      <c r="E43" s="85"/>
      <c r="F43" s="85"/>
      <c r="G43" s="85"/>
      <c r="H43" s="85"/>
      <c r="I43" s="85"/>
      <c r="J43" s="85"/>
    </row>
    <row r="44" spans="2:10" ht="15.75" thickBot="1" x14ac:dyDescent="0.3">
      <c r="B44" s="82"/>
      <c r="C44" s="83"/>
      <c r="D44" s="85"/>
      <c r="E44" s="85"/>
      <c r="F44" s="85"/>
      <c r="G44" s="85"/>
      <c r="H44" s="85"/>
      <c r="I44" s="85"/>
      <c r="J44" s="85"/>
    </row>
    <row r="45" spans="2:10" ht="15.75" thickBot="1" x14ac:dyDescent="0.3">
      <c r="B45" s="82"/>
      <c r="C45" s="83"/>
      <c r="D45" s="85"/>
      <c r="E45" s="85"/>
      <c r="F45" s="85"/>
      <c r="G45" s="85"/>
      <c r="H45" s="85"/>
      <c r="I45" s="85"/>
      <c r="J45" s="85"/>
    </row>
  </sheetData>
  <mergeCells count="23">
    <mergeCell ref="B21:T22"/>
    <mergeCell ref="B9:V9"/>
    <mergeCell ref="B11:C11"/>
    <mergeCell ref="D11:Q11"/>
    <mergeCell ref="B12:C12"/>
    <mergeCell ref="D12:Q12"/>
    <mergeCell ref="B13:C13"/>
    <mergeCell ref="D13:Q13"/>
    <mergeCell ref="B14:C14"/>
    <mergeCell ref="D14:Q14"/>
    <mergeCell ref="B15:C15"/>
    <mergeCell ref="D15:Q15"/>
    <mergeCell ref="B17:V17"/>
    <mergeCell ref="F28:F29"/>
    <mergeCell ref="B25:T26"/>
    <mergeCell ref="B28:B29"/>
    <mergeCell ref="C28:C29"/>
    <mergeCell ref="D28:D29"/>
    <mergeCell ref="G28:G29"/>
    <mergeCell ref="H28:H29"/>
    <mergeCell ref="I28:I29"/>
    <mergeCell ref="J28:J29"/>
    <mergeCell ref="E28:E29"/>
  </mergeCells>
  <dataValidations count="1">
    <dataValidation type="list" allowBlank="1" showInputMessage="1" showErrorMessage="1" sqref="C30:C45">
      <formula1>"AC Frota Produtiva Pesada, AC Frota Produtiva Ligeiros, AC Estacionários, Equipamento Frio Frota, Equipamento Frio Estacionário"</formula1>
    </dataValidation>
  </dataValidations>
  <pageMargins left="0.7" right="0.7" top="0.75" bottom="0.75" header="0.3" footer="0.3"/>
  <customProperties>
    <customPr name="GUID" r:id="rId1"/>
  </customPropertie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'A1.4.2'!$B$2:$B$248</xm:f>
          </x14:formula1>
          <xm:sqref>E30:E45</xm:sqref>
        </x14:dataValidation>
        <x14:dataValidation type="list" allowBlank="1" showInputMessage="1" showErrorMessage="1">
          <x14:formula1>
            <xm:f>'A1.4.2'!$H$2:$H$9</xm:f>
          </x14:formula1>
          <xm:sqref>D30:D45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0"/>
  <dimension ref="B6:W45"/>
  <sheetViews>
    <sheetView workbookViewId="0"/>
    <sheetView workbookViewId="1"/>
  </sheetViews>
  <sheetFormatPr defaultRowHeight="15" x14ac:dyDescent="0.25"/>
  <cols>
    <col min="2" max="2" width="42.85546875" customWidth="1"/>
    <col min="3" max="3" width="36.28515625" customWidth="1"/>
    <col min="4" max="6" width="29.85546875" customWidth="1"/>
    <col min="7" max="7" width="47" customWidth="1"/>
    <col min="8" max="8" width="40.7109375" customWidth="1"/>
    <col min="9" max="9" width="26.140625" customWidth="1"/>
    <col min="10" max="10" width="105.7109375" bestFit="1" customWidth="1"/>
    <col min="11" max="11" width="31.5703125" customWidth="1"/>
    <col min="12" max="13" width="28.28515625" customWidth="1"/>
  </cols>
  <sheetData>
    <row r="6" spans="2:23" ht="15.75" thickBot="1" x14ac:dyDescent="0.3"/>
    <row r="7" spans="2:23" x14ac:dyDescent="0.25">
      <c r="B7" s="78" t="s">
        <v>118</v>
      </c>
      <c r="C7" s="80"/>
    </row>
    <row r="9" spans="2:23" x14ac:dyDescent="0.25">
      <c r="B9" s="516" t="str">
        <f>"Grupo Barraqueiro: "&amp;'Folha de Rosto'!C6&amp;" "&amp;'Folha de Rosto'!I6&amp;" - Emissões de GEE de Âmbito 1"</f>
        <v>Grupo Barraqueiro: PEGADA DE CARBONO 2022 - Emissões de GEE de Âmbito 1</v>
      </c>
      <c r="C9" s="516"/>
      <c r="D9" s="516"/>
      <c r="E9" s="516"/>
      <c r="F9" s="516"/>
      <c r="G9" s="516"/>
      <c r="H9" s="516"/>
      <c r="I9" s="516"/>
      <c r="J9" s="516"/>
      <c r="K9" s="516"/>
      <c r="L9" s="516"/>
      <c r="M9" s="516"/>
      <c r="N9" s="516"/>
      <c r="O9" s="516"/>
      <c r="P9" s="516"/>
      <c r="Q9" s="516"/>
      <c r="R9" s="516"/>
      <c r="S9" s="516"/>
      <c r="T9" s="516"/>
      <c r="U9" s="516"/>
      <c r="V9" s="516"/>
      <c r="W9" s="516"/>
    </row>
    <row r="10" spans="2:23" ht="15.75" thickBot="1" x14ac:dyDescent="0.3"/>
    <row r="11" spans="2:23" ht="33.75" customHeight="1" thickBot="1" x14ac:dyDescent="0.3">
      <c r="B11" s="512" t="s">
        <v>119</v>
      </c>
      <c r="C11" s="512"/>
      <c r="D11" s="518" t="s">
        <v>165</v>
      </c>
      <c r="E11" s="518"/>
      <c r="F11" s="518"/>
      <c r="G11" s="519"/>
      <c r="H11" s="519"/>
      <c r="I11" s="519"/>
      <c r="J11" s="519"/>
      <c r="K11" s="519"/>
      <c r="L11" s="519"/>
      <c r="M11" s="519"/>
      <c r="N11" s="519"/>
      <c r="O11" s="519"/>
      <c r="P11" s="519"/>
      <c r="Q11" s="519"/>
      <c r="R11" s="520"/>
    </row>
    <row r="12" spans="2:23" ht="67.5" customHeight="1" thickBot="1" x14ac:dyDescent="0.3">
      <c r="B12" s="512" t="s">
        <v>120</v>
      </c>
      <c r="C12" s="512"/>
      <c r="D12" s="521" t="s">
        <v>164</v>
      </c>
      <c r="E12" s="521"/>
      <c r="F12" s="521"/>
      <c r="G12" s="522"/>
      <c r="H12" s="522"/>
      <c r="I12" s="522"/>
      <c r="J12" s="522"/>
      <c r="K12" s="522"/>
      <c r="L12" s="522"/>
      <c r="M12" s="522"/>
      <c r="N12" s="522"/>
      <c r="O12" s="522"/>
      <c r="P12" s="522"/>
      <c r="Q12" s="522"/>
      <c r="R12" s="523"/>
    </row>
    <row r="13" spans="2:23" ht="60" customHeight="1" thickBot="1" x14ac:dyDescent="0.3">
      <c r="B13" s="512" t="s">
        <v>121</v>
      </c>
      <c r="C13" s="512"/>
      <c r="D13" s="534" t="str">
        <f>'A1.4'!D13</f>
        <v>Metodologia a descrever pelo responsável local pela recolha de dados</v>
      </c>
      <c r="E13" s="534"/>
      <c r="F13" s="534"/>
      <c r="G13" s="535"/>
      <c r="H13" s="535"/>
      <c r="I13" s="535"/>
      <c r="J13" s="535"/>
      <c r="K13" s="535"/>
      <c r="L13" s="535"/>
      <c r="M13" s="535"/>
      <c r="N13" s="535"/>
      <c r="O13" s="535"/>
      <c r="P13" s="535"/>
      <c r="Q13" s="535"/>
      <c r="R13" s="536"/>
    </row>
    <row r="14" spans="2:23" ht="60" customHeight="1" thickBot="1" x14ac:dyDescent="0.3">
      <c r="B14" s="512" t="s">
        <v>122</v>
      </c>
      <c r="C14" s="512"/>
      <c r="D14" s="534" t="str">
        <f>'A1.4'!D14</f>
        <v>Identificação do responsável local pela recolha de dados</v>
      </c>
      <c r="E14" s="534"/>
      <c r="F14" s="534"/>
      <c r="G14" s="535"/>
      <c r="H14" s="535"/>
      <c r="I14" s="535"/>
      <c r="J14" s="535"/>
      <c r="K14" s="535"/>
      <c r="L14" s="535"/>
      <c r="M14" s="535"/>
      <c r="N14" s="535"/>
      <c r="O14" s="535"/>
      <c r="P14" s="535"/>
      <c r="Q14" s="535"/>
      <c r="R14" s="536"/>
    </row>
    <row r="15" spans="2:23" ht="60" customHeight="1" thickBot="1" x14ac:dyDescent="0.3">
      <c r="B15" s="512" t="s">
        <v>128</v>
      </c>
      <c r="C15" s="512"/>
      <c r="D15" s="534" t="str">
        <f>'A1.4'!D15</f>
        <v>Identificação das fontes de dados pelo responsável local pela recolha de dados</v>
      </c>
      <c r="E15" s="534"/>
      <c r="F15" s="534"/>
      <c r="G15" s="535"/>
      <c r="H15" s="535"/>
      <c r="I15" s="535"/>
      <c r="J15" s="535"/>
      <c r="K15" s="535"/>
      <c r="L15" s="535"/>
      <c r="M15" s="535"/>
      <c r="N15" s="535"/>
      <c r="O15" s="535"/>
      <c r="P15" s="535"/>
      <c r="Q15" s="535"/>
      <c r="R15" s="536"/>
    </row>
    <row r="17" spans="2:23" x14ac:dyDescent="0.25">
      <c r="B17" s="516" t="s">
        <v>167</v>
      </c>
      <c r="C17" s="516"/>
      <c r="D17" s="516"/>
      <c r="E17" s="516"/>
      <c r="F17" s="516"/>
      <c r="G17" s="516"/>
      <c r="H17" s="516"/>
      <c r="I17" s="516"/>
      <c r="J17" s="516"/>
      <c r="K17" s="516"/>
      <c r="L17" s="516"/>
      <c r="M17" s="516"/>
      <c r="N17" s="516"/>
      <c r="O17" s="516"/>
      <c r="P17" s="516"/>
      <c r="Q17" s="516"/>
      <c r="R17" s="516"/>
      <c r="S17" s="516"/>
      <c r="T17" s="516"/>
      <c r="U17" s="516"/>
      <c r="V17" s="516"/>
      <c r="W17" s="516"/>
    </row>
    <row r="18" spans="2:23" x14ac:dyDescent="0.25">
      <c r="B18" t="s">
        <v>130</v>
      </c>
    </row>
    <row r="20" spans="2:23" x14ac:dyDescent="0.25">
      <c r="B20" s="81" t="s">
        <v>135</v>
      </c>
    </row>
    <row r="21" spans="2:23" x14ac:dyDescent="0.25">
      <c r="B21" s="517"/>
      <c r="C21" s="517"/>
      <c r="D21" s="517"/>
      <c r="E21" s="517"/>
      <c r="F21" s="517"/>
      <c r="G21" s="517"/>
      <c r="H21" s="517"/>
      <c r="I21" s="517"/>
      <c r="J21" s="517"/>
      <c r="K21" s="517"/>
      <c r="L21" s="517"/>
      <c r="M21" s="517"/>
      <c r="N21" s="517"/>
      <c r="O21" s="517"/>
      <c r="P21" s="517"/>
      <c r="Q21" s="517"/>
      <c r="R21" s="517"/>
      <c r="S21" s="517"/>
      <c r="T21" s="517"/>
      <c r="U21" s="517"/>
    </row>
    <row r="22" spans="2:23" x14ac:dyDescent="0.25">
      <c r="B22" s="517"/>
      <c r="C22" s="517"/>
      <c r="D22" s="517"/>
      <c r="E22" s="517"/>
      <c r="F22" s="517"/>
      <c r="G22" s="517"/>
      <c r="H22" s="517"/>
      <c r="I22" s="517"/>
      <c r="J22" s="517"/>
      <c r="K22" s="517"/>
      <c r="L22" s="517"/>
      <c r="M22" s="517"/>
      <c r="N22" s="517"/>
      <c r="O22" s="517"/>
      <c r="P22" s="517"/>
      <c r="Q22" s="517"/>
      <c r="R22" s="517"/>
      <c r="S22" s="517"/>
      <c r="T22" s="517"/>
      <c r="U22" s="517"/>
    </row>
    <row r="24" spans="2:23" x14ac:dyDescent="0.25">
      <c r="B24" s="81" t="s">
        <v>136</v>
      </c>
    </row>
    <row r="25" spans="2:23" x14ac:dyDescent="0.25">
      <c r="B25" s="517"/>
      <c r="C25" s="517"/>
      <c r="D25" s="517"/>
      <c r="E25" s="517"/>
      <c r="F25" s="517"/>
      <c r="G25" s="517"/>
      <c r="H25" s="517"/>
      <c r="I25" s="517"/>
      <c r="J25" s="517"/>
      <c r="K25" s="517"/>
      <c r="L25" s="517"/>
      <c r="M25" s="517"/>
      <c r="N25" s="517"/>
      <c r="O25" s="517"/>
      <c r="P25" s="517"/>
      <c r="Q25" s="517"/>
      <c r="R25" s="517"/>
      <c r="S25" s="517"/>
      <c r="T25" s="517"/>
      <c r="U25" s="517"/>
    </row>
    <row r="26" spans="2:23" x14ac:dyDescent="0.25">
      <c r="B26" s="517"/>
      <c r="C26" s="517"/>
      <c r="D26" s="517"/>
      <c r="E26" s="517"/>
      <c r="F26" s="517"/>
      <c r="G26" s="517"/>
      <c r="H26" s="517"/>
      <c r="I26" s="517"/>
      <c r="J26" s="517"/>
      <c r="K26" s="517"/>
      <c r="L26" s="517"/>
      <c r="M26" s="517"/>
      <c r="N26" s="517"/>
      <c r="O26" s="517"/>
      <c r="P26" s="517"/>
      <c r="Q26" s="517"/>
      <c r="R26" s="517"/>
      <c r="S26" s="517"/>
      <c r="T26" s="517"/>
      <c r="U26" s="517"/>
    </row>
    <row r="27" spans="2:23" ht="15.75" thickBot="1" x14ac:dyDescent="0.3"/>
    <row r="28" spans="2:23" ht="15.75" customHeight="1" thickBot="1" x14ac:dyDescent="0.3">
      <c r="B28" s="508" t="s">
        <v>131</v>
      </c>
      <c r="C28" s="510" t="s">
        <v>158</v>
      </c>
      <c r="D28" s="529" t="s">
        <v>169</v>
      </c>
      <c r="E28" s="529" t="s">
        <v>160</v>
      </c>
      <c r="F28" s="508" t="s">
        <v>159</v>
      </c>
      <c r="G28" s="508" t="s">
        <v>161</v>
      </c>
      <c r="H28" s="508" t="s">
        <v>162</v>
      </c>
      <c r="I28" s="508" t="s">
        <v>163</v>
      </c>
      <c r="J28" s="510" t="s">
        <v>134</v>
      </c>
    </row>
    <row r="29" spans="2:23" ht="15.75" thickBot="1" x14ac:dyDescent="0.3">
      <c r="B29" s="509"/>
      <c r="C29" s="510"/>
      <c r="D29" s="530"/>
      <c r="E29" s="530"/>
      <c r="F29" s="509"/>
      <c r="G29" s="509"/>
      <c r="H29" s="509"/>
      <c r="I29" s="509"/>
      <c r="J29" s="510"/>
    </row>
    <row r="30" spans="2:23" ht="15.75" thickBot="1" x14ac:dyDescent="0.3">
      <c r="B30" s="82" t="s">
        <v>534</v>
      </c>
      <c r="C30" s="83" t="s">
        <v>549</v>
      </c>
      <c r="D30" s="85" t="s">
        <v>173</v>
      </c>
      <c r="E30" s="85" t="s">
        <v>182</v>
      </c>
      <c r="F30" s="85" t="s">
        <v>596</v>
      </c>
      <c r="G30" s="85">
        <f>3960-792.6-180</f>
        <v>2987.4</v>
      </c>
      <c r="H30" s="85">
        <v>0</v>
      </c>
      <c r="I30" s="85">
        <f>G30+H30</f>
        <v>2987.4</v>
      </c>
      <c r="J30" s="85" t="s">
        <v>552</v>
      </c>
    </row>
    <row r="31" spans="2:23" ht="15.75" thickBot="1" x14ac:dyDescent="0.3">
      <c r="B31" s="82" t="s">
        <v>545</v>
      </c>
      <c r="C31" s="83" t="s">
        <v>549</v>
      </c>
      <c r="D31" s="85" t="s">
        <v>173</v>
      </c>
      <c r="E31" s="85" t="s">
        <v>182</v>
      </c>
      <c r="F31" s="85" t="s">
        <v>590</v>
      </c>
      <c r="G31" s="118">
        <f>540-10</f>
        <v>530</v>
      </c>
      <c r="H31" s="85">
        <v>0</v>
      </c>
      <c r="I31" s="85">
        <f t="shared" ref="I31:I36" si="0">G31+H31</f>
        <v>530</v>
      </c>
      <c r="J31" s="85"/>
    </row>
    <row r="32" spans="2:23" ht="15.75" thickBot="1" x14ac:dyDescent="0.3">
      <c r="B32" s="82" t="s">
        <v>542</v>
      </c>
      <c r="C32" s="83" t="s">
        <v>549</v>
      </c>
      <c r="D32" s="85" t="s">
        <v>173</v>
      </c>
      <c r="E32" s="85" t="s">
        <v>182</v>
      </c>
      <c r="F32" s="85" t="s">
        <v>591</v>
      </c>
      <c r="G32" s="118">
        <v>240</v>
      </c>
      <c r="H32" s="85">
        <v>0</v>
      </c>
      <c r="I32" s="85">
        <f t="shared" si="0"/>
        <v>240</v>
      </c>
      <c r="J32" s="85"/>
    </row>
    <row r="33" spans="2:10" ht="15.75" thickBot="1" x14ac:dyDescent="0.3">
      <c r="B33" s="82" t="s">
        <v>543</v>
      </c>
      <c r="C33" s="83" t="s">
        <v>549</v>
      </c>
      <c r="D33" s="85" t="s">
        <v>173</v>
      </c>
      <c r="E33" s="85" t="s">
        <v>182</v>
      </c>
      <c r="F33" s="85" t="s">
        <v>592</v>
      </c>
      <c r="G33" s="118">
        <v>480</v>
      </c>
      <c r="H33" s="85">
        <v>0</v>
      </c>
      <c r="I33" s="85">
        <f t="shared" si="0"/>
        <v>480</v>
      </c>
      <c r="J33" s="85">
        <f>3780-792.6+180</f>
        <v>3167.4</v>
      </c>
    </row>
    <row r="34" spans="2:10" ht="15.75" thickBot="1" x14ac:dyDescent="0.3">
      <c r="B34" s="82" t="s">
        <v>550</v>
      </c>
      <c r="C34" s="83" t="s">
        <v>549</v>
      </c>
      <c r="D34" s="85" t="s">
        <v>173</v>
      </c>
      <c r="E34" s="85" t="s">
        <v>182</v>
      </c>
      <c r="F34" s="85" t="s">
        <v>593</v>
      </c>
      <c r="G34" s="118">
        <v>240</v>
      </c>
      <c r="H34" s="85">
        <v>0</v>
      </c>
      <c r="I34" s="85">
        <f t="shared" si="0"/>
        <v>240</v>
      </c>
      <c r="J34" s="85"/>
    </row>
    <row r="35" spans="2:10" ht="15.75" thickBot="1" x14ac:dyDescent="0.3">
      <c r="B35" s="82" t="s">
        <v>551</v>
      </c>
      <c r="C35" s="83" t="s">
        <v>549</v>
      </c>
      <c r="D35" s="85" t="s">
        <v>173</v>
      </c>
      <c r="E35" s="85" t="s">
        <v>182</v>
      </c>
      <c r="F35" s="85" t="s">
        <v>594</v>
      </c>
      <c r="G35" s="118">
        <f>2280-782.6</f>
        <v>1497.4</v>
      </c>
      <c r="H35" s="85">
        <v>0</v>
      </c>
      <c r="I35" s="85">
        <f t="shared" si="0"/>
        <v>1497.4</v>
      </c>
      <c r="J35" s="85"/>
    </row>
    <row r="36" spans="2:10" ht="15.75" thickBot="1" x14ac:dyDescent="0.3">
      <c r="B36" s="82" t="s">
        <v>535</v>
      </c>
      <c r="C36" s="83" t="s">
        <v>549</v>
      </c>
      <c r="D36" s="85" t="s">
        <v>173</v>
      </c>
      <c r="E36" s="85" t="s">
        <v>182</v>
      </c>
      <c r="F36" s="85" t="s">
        <v>595</v>
      </c>
      <c r="G36" s="118">
        <v>180</v>
      </c>
      <c r="H36" s="85">
        <v>0</v>
      </c>
      <c r="I36" s="85">
        <f t="shared" si="0"/>
        <v>180</v>
      </c>
      <c r="J36" s="85"/>
    </row>
    <row r="37" spans="2:10" ht="15.75" thickBot="1" x14ac:dyDescent="0.3">
      <c r="B37" s="82"/>
      <c r="C37" s="83"/>
      <c r="D37" s="85"/>
      <c r="E37" s="85"/>
      <c r="F37" s="85"/>
      <c r="G37" s="85"/>
      <c r="H37" s="85"/>
      <c r="I37" s="85"/>
      <c r="J37" s="85"/>
    </row>
    <row r="38" spans="2:10" ht="15.75" thickBot="1" x14ac:dyDescent="0.3">
      <c r="B38" s="82"/>
      <c r="C38" s="83"/>
      <c r="D38" s="85"/>
      <c r="E38" s="85"/>
      <c r="F38" s="85"/>
      <c r="G38" s="85"/>
      <c r="H38" s="85"/>
      <c r="I38" s="85"/>
      <c r="J38" s="85"/>
    </row>
    <row r="39" spans="2:10" ht="15.75" thickBot="1" x14ac:dyDescent="0.3">
      <c r="B39" s="82"/>
      <c r="C39" s="83"/>
      <c r="D39" s="85"/>
      <c r="E39" s="85"/>
      <c r="F39" s="85"/>
      <c r="G39" s="85"/>
      <c r="H39" s="85"/>
      <c r="I39" s="85"/>
      <c r="J39" s="85"/>
    </row>
    <row r="40" spans="2:10" ht="15.75" thickBot="1" x14ac:dyDescent="0.3">
      <c r="B40" s="82"/>
      <c r="C40" s="83"/>
      <c r="D40" s="85"/>
      <c r="E40" s="85"/>
      <c r="F40" s="85"/>
      <c r="G40" s="85"/>
      <c r="H40" s="85"/>
      <c r="I40" s="85"/>
      <c r="J40" s="85"/>
    </row>
    <row r="41" spans="2:10" ht="15.75" thickBot="1" x14ac:dyDescent="0.3">
      <c r="B41" s="82"/>
      <c r="C41" s="83"/>
      <c r="D41" s="85"/>
      <c r="E41" s="85"/>
      <c r="F41" s="85"/>
      <c r="G41" s="85"/>
      <c r="H41" s="85"/>
      <c r="I41" s="85"/>
      <c r="J41" s="85"/>
    </row>
    <row r="42" spans="2:10" ht="15.75" thickBot="1" x14ac:dyDescent="0.3">
      <c r="B42" s="82"/>
      <c r="C42" s="83"/>
      <c r="D42" s="85"/>
      <c r="E42" s="85"/>
      <c r="F42" s="85"/>
      <c r="G42" s="85"/>
      <c r="H42" s="85"/>
      <c r="I42" s="85"/>
      <c r="J42" s="85"/>
    </row>
    <row r="43" spans="2:10" ht="15.75" thickBot="1" x14ac:dyDescent="0.3">
      <c r="B43" s="82"/>
      <c r="C43" s="83"/>
      <c r="D43" s="85"/>
      <c r="E43" s="85"/>
      <c r="F43" s="85"/>
      <c r="G43" s="85"/>
      <c r="H43" s="85"/>
      <c r="I43" s="85"/>
      <c r="J43" s="85"/>
    </row>
    <row r="44" spans="2:10" ht="15.75" thickBot="1" x14ac:dyDescent="0.3">
      <c r="B44" s="82"/>
      <c r="C44" s="83"/>
      <c r="D44" s="85"/>
      <c r="E44" s="85"/>
      <c r="F44" s="85"/>
      <c r="G44" s="85"/>
      <c r="H44" s="85"/>
      <c r="I44" s="85"/>
      <c r="J44" s="85"/>
    </row>
    <row r="45" spans="2:10" ht="15.75" thickBot="1" x14ac:dyDescent="0.3">
      <c r="B45" s="82"/>
      <c r="C45" s="83"/>
      <c r="D45" s="85"/>
      <c r="E45" s="85"/>
      <c r="F45" s="85"/>
      <c r="G45" s="85"/>
      <c r="H45" s="85"/>
      <c r="I45" s="85"/>
      <c r="J45" s="85"/>
    </row>
  </sheetData>
  <mergeCells count="23">
    <mergeCell ref="B21:U22"/>
    <mergeCell ref="B9:W9"/>
    <mergeCell ref="B11:C11"/>
    <mergeCell ref="D11:R11"/>
    <mergeCell ref="B12:C12"/>
    <mergeCell ref="D12:R12"/>
    <mergeCell ref="B13:C13"/>
    <mergeCell ref="D13:R13"/>
    <mergeCell ref="B14:C14"/>
    <mergeCell ref="D14:R14"/>
    <mergeCell ref="B15:C15"/>
    <mergeCell ref="D15:R15"/>
    <mergeCell ref="B17:W17"/>
    <mergeCell ref="B25:U26"/>
    <mergeCell ref="B28:B29"/>
    <mergeCell ref="C28:C29"/>
    <mergeCell ref="D28:D29"/>
    <mergeCell ref="F28:F29"/>
    <mergeCell ref="G28:G29"/>
    <mergeCell ref="H28:H29"/>
    <mergeCell ref="I28:I29"/>
    <mergeCell ref="J28:J29"/>
    <mergeCell ref="E28:E29"/>
  </mergeCells>
  <dataValidations disablePrompts="1" count="1">
    <dataValidation type="list" allowBlank="1" showInputMessage="1" showErrorMessage="1" sqref="C30:C45">
      <formula1>"AC Frota Produtiva Pesada, AC Frota Produtiva Ligeiros, AC Estacionários, Equipamento Frio Frota, Equipamento Frio Estacionário"</formula1>
    </dataValidation>
  </dataValidations>
  <pageMargins left="0.7" right="0.7" top="0.75" bottom="0.75" header="0.3" footer="0.3"/>
  <customProperties>
    <customPr name="GUID" r:id="rId1"/>
  </customProperties>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'A1.4.2'!$H$2:$H$9</xm:f>
          </x14:formula1>
          <xm:sqref>D30:D45</xm:sqref>
        </x14:dataValidation>
        <x14:dataValidation type="list" allowBlank="1" showInputMessage="1" showErrorMessage="1">
          <x14:formula1>
            <xm:f>'A1.4.2'!$B$2:$B$248</xm:f>
          </x14:formula1>
          <xm:sqref>E30:E45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dimension ref="A1:P46"/>
  <sheetViews>
    <sheetView topLeftCell="A16" workbookViewId="0">
      <selection activeCell="A38" sqref="A38:B38"/>
    </sheetView>
    <sheetView workbookViewId="1">
      <selection sqref="A1:A2"/>
    </sheetView>
  </sheetViews>
  <sheetFormatPr defaultRowHeight="15" x14ac:dyDescent="0.25"/>
  <cols>
    <col min="1" max="1" width="71.5703125" customWidth="1"/>
    <col min="2" max="2" width="72.140625" customWidth="1"/>
    <col min="3" max="4" width="42.85546875" customWidth="1"/>
    <col min="5" max="5" width="36.28515625" customWidth="1"/>
    <col min="6" max="7" width="29.85546875" customWidth="1"/>
    <col min="8" max="8" width="49.42578125" customWidth="1"/>
    <col min="9" max="9" width="47" customWidth="1"/>
    <col min="10" max="10" width="40.7109375" customWidth="1"/>
    <col min="11" max="11" width="26.140625" customWidth="1"/>
    <col min="12" max="12" width="31.5703125" customWidth="1"/>
    <col min="13" max="13" width="105.7109375" bestFit="1" customWidth="1"/>
    <col min="14" max="14" width="31.5703125" customWidth="1"/>
    <col min="15" max="15" width="28.28515625" customWidth="1"/>
  </cols>
  <sheetData>
    <row r="1" spans="1:16" ht="15.75" thickBot="1" x14ac:dyDescent="0.3">
      <c r="A1" s="543" t="s">
        <v>1851</v>
      </c>
      <c r="B1" s="508" t="s">
        <v>131</v>
      </c>
      <c r="C1" s="508" t="s">
        <v>1852</v>
      </c>
      <c r="D1" s="202" t="s">
        <v>1856</v>
      </c>
      <c r="E1" s="510" t="s">
        <v>158</v>
      </c>
      <c r="F1" s="529" t="s">
        <v>169</v>
      </c>
      <c r="G1" s="529" t="s">
        <v>160</v>
      </c>
      <c r="H1" s="508" t="s">
        <v>159</v>
      </c>
      <c r="I1" s="508" t="s">
        <v>161</v>
      </c>
      <c r="J1" s="508" t="s">
        <v>162</v>
      </c>
      <c r="K1" s="508" t="s">
        <v>163</v>
      </c>
      <c r="L1" s="202" t="s">
        <v>1889</v>
      </c>
      <c r="M1" s="510" t="s">
        <v>134</v>
      </c>
      <c r="N1" s="230" t="s">
        <v>2860</v>
      </c>
      <c r="O1" s="528" t="s">
        <v>2831</v>
      </c>
      <c r="P1" s="528" t="s">
        <v>3628</v>
      </c>
    </row>
    <row r="2" spans="1:16" ht="15.75" thickBot="1" x14ac:dyDescent="0.3">
      <c r="A2" s="544"/>
      <c r="B2" s="509"/>
      <c r="C2" s="509"/>
      <c r="D2" s="203"/>
      <c r="E2" s="510"/>
      <c r="F2" s="530"/>
      <c r="G2" s="530"/>
      <c r="H2" s="509"/>
      <c r="I2" s="509"/>
      <c r="J2" s="509"/>
      <c r="K2" s="509"/>
      <c r="L2" s="203"/>
      <c r="M2" s="510"/>
      <c r="N2" s="230"/>
      <c r="O2" s="528"/>
      <c r="P2" s="528"/>
    </row>
    <row r="3" spans="1:16" ht="15.75" thickBot="1" x14ac:dyDescent="0.3">
      <c r="A3" s="82" t="s">
        <v>45</v>
      </c>
      <c r="B3" s="82" t="str">
        <f t="shared" ref="B3:B8" si="0">LEFT(A3,IFERROR(FIND(" - ",A3)-1,LEN(A3)))</f>
        <v>Barraqueiro Transportes, S.A.</v>
      </c>
      <c r="C3" s="82" t="str">
        <f t="shared" ref="C3:C36" si="1">IF(A3=B3,"X",RIGHT(A3,LEN(A3)-LEN(B3)-3))</f>
        <v>X</v>
      </c>
      <c r="D3" s="222">
        <v>2022</v>
      </c>
      <c r="E3" s="83" t="s">
        <v>549</v>
      </c>
      <c r="F3" s="85" t="s">
        <v>173</v>
      </c>
      <c r="G3" s="85" t="s">
        <v>182</v>
      </c>
      <c r="H3" s="85" t="s">
        <v>596</v>
      </c>
      <c r="I3" s="85">
        <f>3960-792.6-180</f>
        <v>2987.4</v>
      </c>
      <c r="J3" s="85">
        <v>0</v>
      </c>
      <c r="K3" s="85">
        <f>I3-J3</f>
        <v>2987.4</v>
      </c>
      <c r="L3" s="223" t="s">
        <v>1863</v>
      </c>
      <c r="M3" s="85" t="s">
        <v>552</v>
      </c>
      <c r="N3" s="273" t="s">
        <v>2887</v>
      </c>
      <c r="O3" s="234" t="s">
        <v>1972</v>
      </c>
      <c r="P3" s="234" t="s">
        <v>2835</v>
      </c>
    </row>
    <row r="4" spans="1:16" ht="15.75" thickBot="1" x14ac:dyDescent="0.3">
      <c r="A4" s="82" t="s">
        <v>3507</v>
      </c>
      <c r="B4" s="82" t="str">
        <f t="shared" si="0"/>
        <v>Barraqueiro Transportes, S.A.</v>
      </c>
      <c r="C4" s="82" t="str">
        <f t="shared" si="1"/>
        <v>Estremadura</v>
      </c>
      <c r="D4" s="222">
        <v>2022</v>
      </c>
      <c r="E4" s="83" t="s">
        <v>549</v>
      </c>
      <c r="F4" s="85" t="s">
        <v>173</v>
      </c>
      <c r="G4" s="85" t="s">
        <v>182</v>
      </c>
      <c r="H4" s="85" t="s">
        <v>590</v>
      </c>
      <c r="I4" s="118">
        <f>540-10</f>
        <v>530</v>
      </c>
      <c r="J4" s="85">
        <v>0</v>
      </c>
      <c r="K4" s="85">
        <f t="shared" ref="K4:K30" si="2">I4-J4</f>
        <v>530</v>
      </c>
      <c r="L4" s="223" t="s">
        <v>1863</v>
      </c>
      <c r="M4" s="85"/>
      <c r="N4" s="273" t="s">
        <v>2887</v>
      </c>
      <c r="O4" s="234" t="s">
        <v>1972</v>
      </c>
      <c r="P4" s="234" t="s">
        <v>2835</v>
      </c>
    </row>
    <row r="5" spans="1:16" ht="15.75" thickBot="1" x14ac:dyDescent="0.3">
      <c r="A5" s="82" t="s">
        <v>3509</v>
      </c>
      <c r="B5" s="82" t="str">
        <f t="shared" si="0"/>
        <v>Barraqueiro Transportes, S.A.</v>
      </c>
      <c r="C5" s="82" t="str">
        <f t="shared" si="1"/>
        <v>Barraqueiro Oeste</v>
      </c>
      <c r="D5" s="222">
        <v>2022</v>
      </c>
      <c r="E5" s="83" t="s">
        <v>549</v>
      </c>
      <c r="F5" s="85" t="s">
        <v>173</v>
      </c>
      <c r="G5" s="85" t="s">
        <v>182</v>
      </c>
      <c r="H5" s="85" t="s">
        <v>591</v>
      </c>
      <c r="I5" s="118">
        <v>240</v>
      </c>
      <c r="J5" s="85">
        <v>0</v>
      </c>
      <c r="K5" s="85">
        <f t="shared" si="2"/>
        <v>240</v>
      </c>
      <c r="L5" s="223" t="s">
        <v>1863</v>
      </c>
      <c r="M5" s="85"/>
      <c r="N5" s="273" t="s">
        <v>2887</v>
      </c>
      <c r="O5" s="234" t="s">
        <v>1972</v>
      </c>
      <c r="P5" s="234" t="s">
        <v>2835</v>
      </c>
    </row>
    <row r="6" spans="1:16" ht="15.75" thickBot="1" x14ac:dyDescent="0.3">
      <c r="A6" s="82" t="s">
        <v>3510</v>
      </c>
      <c r="B6" s="82" t="str">
        <f t="shared" si="0"/>
        <v>Barraqueiro Transportes, S.A.</v>
      </c>
      <c r="C6" s="82" t="str">
        <f t="shared" si="1"/>
        <v>Boa Viagem</v>
      </c>
      <c r="D6" s="222">
        <v>2022</v>
      </c>
      <c r="E6" s="83" t="s">
        <v>549</v>
      </c>
      <c r="F6" s="85" t="s">
        <v>173</v>
      </c>
      <c r="G6" s="85" t="s">
        <v>182</v>
      </c>
      <c r="H6" s="85" t="s">
        <v>592</v>
      </c>
      <c r="I6" s="118">
        <v>480</v>
      </c>
      <c r="J6" s="85">
        <v>0</v>
      </c>
      <c r="K6" s="85">
        <f t="shared" si="2"/>
        <v>480</v>
      </c>
      <c r="L6" s="223" t="s">
        <v>1863</v>
      </c>
      <c r="M6" s="85">
        <f>3780-792.6+180</f>
        <v>3167.4</v>
      </c>
      <c r="N6" s="273" t="s">
        <v>2887</v>
      </c>
      <c r="O6" s="234" t="s">
        <v>1972</v>
      </c>
      <c r="P6" s="234" t="s">
        <v>2835</v>
      </c>
    </row>
    <row r="7" spans="1:16" ht="15.75" thickBot="1" x14ac:dyDescent="0.3">
      <c r="A7" s="82" t="s">
        <v>3506</v>
      </c>
      <c r="B7" s="82" t="str">
        <f t="shared" si="0"/>
        <v>Barraqueiro Transportes, S.A.</v>
      </c>
      <c r="C7" s="82" t="str">
        <f t="shared" si="1"/>
        <v>Mafrense</v>
      </c>
      <c r="D7" s="222">
        <v>2022</v>
      </c>
      <c r="E7" s="83" t="s">
        <v>549</v>
      </c>
      <c r="F7" s="85" t="s">
        <v>173</v>
      </c>
      <c r="G7" s="85" t="s">
        <v>182</v>
      </c>
      <c r="H7" s="85" t="s">
        <v>593</v>
      </c>
      <c r="I7" s="118">
        <v>240</v>
      </c>
      <c r="J7" s="85">
        <v>0</v>
      </c>
      <c r="K7" s="85">
        <f t="shared" si="2"/>
        <v>240</v>
      </c>
      <c r="L7" s="223" t="s">
        <v>1863</v>
      </c>
      <c r="M7" s="85"/>
      <c r="N7" s="273" t="s">
        <v>2887</v>
      </c>
      <c r="O7" s="234" t="s">
        <v>1972</v>
      </c>
      <c r="P7" s="234" t="s">
        <v>2835</v>
      </c>
    </row>
    <row r="8" spans="1:16" ht="15.75" thickBot="1" x14ac:dyDescent="0.3">
      <c r="A8" s="82" t="s">
        <v>3560</v>
      </c>
      <c r="B8" s="82" t="str">
        <f t="shared" si="0"/>
        <v>Barraqueiro Transportes, S.A.</v>
      </c>
      <c r="C8" s="82" t="str">
        <f t="shared" si="1"/>
        <v>ESEVEL</v>
      </c>
      <c r="D8" s="222">
        <v>2022</v>
      </c>
      <c r="E8" s="83" t="s">
        <v>549</v>
      </c>
      <c r="F8" s="85" t="s">
        <v>173</v>
      </c>
      <c r="G8" s="85" t="s">
        <v>182</v>
      </c>
      <c r="H8" s="85" t="s">
        <v>594</v>
      </c>
      <c r="I8" s="118">
        <f>2280-782.6</f>
        <v>1497.4</v>
      </c>
      <c r="J8" s="85">
        <v>0</v>
      </c>
      <c r="K8" s="85">
        <f t="shared" si="2"/>
        <v>1497.4</v>
      </c>
      <c r="L8" s="223" t="s">
        <v>1863</v>
      </c>
      <c r="M8" s="85"/>
      <c r="N8" s="273" t="s">
        <v>2887</v>
      </c>
      <c r="O8" s="234" t="s">
        <v>1972</v>
      </c>
      <c r="P8" s="234" t="s">
        <v>2835</v>
      </c>
    </row>
    <row r="9" spans="1:16" ht="15.75" thickBot="1" x14ac:dyDescent="0.3">
      <c r="A9" s="82" t="s">
        <v>4683</v>
      </c>
      <c r="B9" s="82" t="s">
        <v>4683</v>
      </c>
      <c r="C9" s="82" t="str">
        <f t="shared" si="1"/>
        <v>X</v>
      </c>
      <c r="D9" s="222">
        <v>2022</v>
      </c>
      <c r="E9" s="83" t="s">
        <v>549</v>
      </c>
      <c r="F9" s="85" t="s">
        <v>173</v>
      </c>
      <c r="G9" s="85" t="s">
        <v>182</v>
      </c>
      <c r="H9" s="85" t="s">
        <v>595</v>
      </c>
      <c r="I9" s="118">
        <v>180</v>
      </c>
      <c r="J9" s="85">
        <v>0</v>
      </c>
      <c r="K9" s="85">
        <f t="shared" si="2"/>
        <v>180</v>
      </c>
      <c r="L9" s="223" t="s">
        <v>1863</v>
      </c>
      <c r="M9" s="85"/>
      <c r="N9" s="273" t="s">
        <v>2887</v>
      </c>
      <c r="O9" s="234" t="s">
        <v>1972</v>
      </c>
      <c r="P9" s="234" t="s">
        <v>2835</v>
      </c>
    </row>
    <row r="10" spans="1:16" ht="15.75" thickBot="1" x14ac:dyDescent="0.3">
      <c r="A10" s="82" t="s">
        <v>1931</v>
      </c>
      <c r="B10" s="82" t="s">
        <v>1931</v>
      </c>
      <c r="C10" s="82" t="str">
        <f t="shared" si="1"/>
        <v>X</v>
      </c>
      <c r="D10" s="222">
        <v>2022</v>
      </c>
      <c r="E10" s="83" t="s">
        <v>549</v>
      </c>
      <c r="F10" s="85" t="s">
        <v>173</v>
      </c>
      <c r="G10" s="85" t="s">
        <v>182</v>
      </c>
      <c r="H10" s="85" t="s">
        <v>2863</v>
      </c>
      <c r="I10" s="85">
        <v>180</v>
      </c>
      <c r="J10" s="85">
        <v>0</v>
      </c>
      <c r="K10" s="85">
        <f t="shared" si="2"/>
        <v>180</v>
      </c>
      <c r="L10" s="223" t="s">
        <v>1863</v>
      </c>
      <c r="M10" s="85"/>
      <c r="N10" s="273" t="s">
        <v>2887</v>
      </c>
      <c r="O10" s="234" t="s">
        <v>1972</v>
      </c>
      <c r="P10" s="234" t="s">
        <v>2835</v>
      </c>
    </row>
    <row r="11" spans="1:16" ht="15.75" thickBot="1" x14ac:dyDescent="0.3">
      <c r="A11" s="82" t="s">
        <v>1935</v>
      </c>
      <c r="B11" s="82" t="s">
        <v>1935</v>
      </c>
      <c r="C11" s="82" t="str">
        <f t="shared" si="1"/>
        <v>X</v>
      </c>
      <c r="D11" s="222">
        <v>2022</v>
      </c>
      <c r="E11" s="83" t="s">
        <v>549</v>
      </c>
      <c r="F11" s="85" t="s">
        <v>173</v>
      </c>
      <c r="G11" s="85" t="s">
        <v>182</v>
      </c>
      <c r="H11" s="85" t="s">
        <v>2864</v>
      </c>
      <c r="I11" s="118">
        <v>420</v>
      </c>
      <c r="J11" s="85">
        <v>0</v>
      </c>
      <c r="K11" s="85">
        <f t="shared" si="2"/>
        <v>420</v>
      </c>
      <c r="L11" s="223" t="s">
        <v>1863</v>
      </c>
      <c r="M11" s="85" t="s">
        <v>2877</v>
      </c>
      <c r="N11" s="273" t="s">
        <v>2887</v>
      </c>
      <c r="O11" s="234" t="s">
        <v>1972</v>
      </c>
      <c r="P11" s="234" t="s">
        <v>2835</v>
      </c>
    </row>
    <row r="12" spans="1:16" ht="15.75" thickBot="1" x14ac:dyDescent="0.3">
      <c r="A12" s="82" t="s">
        <v>1935</v>
      </c>
      <c r="B12" s="82" t="s">
        <v>1935</v>
      </c>
      <c r="C12" s="82" t="str">
        <f t="shared" si="1"/>
        <v>X</v>
      </c>
      <c r="D12" s="222">
        <v>2022</v>
      </c>
      <c r="E12" s="83" t="s">
        <v>549</v>
      </c>
      <c r="F12" s="85" t="s">
        <v>173</v>
      </c>
      <c r="G12" s="85" t="s">
        <v>182</v>
      </c>
      <c r="H12" s="85" t="s">
        <v>2865</v>
      </c>
      <c r="I12" s="118">
        <v>300</v>
      </c>
      <c r="J12" s="85">
        <v>0</v>
      </c>
      <c r="K12" s="85">
        <f t="shared" si="2"/>
        <v>300</v>
      </c>
      <c r="L12" s="223" t="s">
        <v>1863</v>
      </c>
      <c r="M12" s="85" t="s">
        <v>2877</v>
      </c>
      <c r="N12" s="273" t="s">
        <v>2887</v>
      </c>
      <c r="O12" s="234" t="s">
        <v>1972</v>
      </c>
      <c r="P12" s="234" t="s">
        <v>2835</v>
      </c>
    </row>
    <row r="13" spans="1:16" ht="15.75" thickBot="1" x14ac:dyDescent="0.3">
      <c r="A13" s="82" t="s">
        <v>1935</v>
      </c>
      <c r="B13" s="82" t="s">
        <v>1935</v>
      </c>
      <c r="C13" s="82" t="str">
        <f t="shared" si="1"/>
        <v>X</v>
      </c>
      <c r="D13" s="222">
        <v>2022</v>
      </c>
      <c r="E13" s="83" t="s">
        <v>549</v>
      </c>
      <c r="F13" s="85" t="s">
        <v>173</v>
      </c>
      <c r="G13" s="85" t="s">
        <v>182</v>
      </c>
      <c r="H13" s="85" t="s">
        <v>2866</v>
      </c>
      <c r="I13" s="118">
        <v>420</v>
      </c>
      <c r="J13" s="85">
        <v>0</v>
      </c>
      <c r="K13" s="85">
        <f t="shared" si="2"/>
        <v>420</v>
      </c>
      <c r="L13" s="223" t="s">
        <v>1863</v>
      </c>
      <c r="M13" s="85" t="s">
        <v>2877</v>
      </c>
      <c r="N13" s="273" t="s">
        <v>2887</v>
      </c>
      <c r="O13" s="234" t="s">
        <v>1972</v>
      </c>
      <c r="P13" s="234" t="s">
        <v>2835</v>
      </c>
    </row>
    <row r="14" spans="1:16" ht="15.75" thickBot="1" x14ac:dyDescent="0.3">
      <c r="A14" s="82" t="s">
        <v>1935</v>
      </c>
      <c r="B14" s="82" t="s">
        <v>1935</v>
      </c>
      <c r="C14" s="82" t="str">
        <f t="shared" si="1"/>
        <v>X</v>
      </c>
      <c r="D14" s="222">
        <v>2022</v>
      </c>
      <c r="E14" s="83" t="s">
        <v>549</v>
      </c>
      <c r="F14" s="85" t="s">
        <v>173</v>
      </c>
      <c r="G14" s="85" t="s">
        <v>182</v>
      </c>
      <c r="H14" s="85" t="s">
        <v>2867</v>
      </c>
      <c r="I14" s="118">
        <v>240</v>
      </c>
      <c r="J14" s="85">
        <v>0</v>
      </c>
      <c r="K14" s="85">
        <f t="shared" si="2"/>
        <v>240</v>
      </c>
      <c r="L14" s="223" t="s">
        <v>1863</v>
      </c>
      <c r="M14" s="85" t="s">
        <v>2877</v>
      </c>
      <c r="N14" s="273" t="s">
        <v>2887</v>
      </c>
      <c r="O14" s="234" t="s">
        <v>1972</v>
      </c>
      <c r="P14" s="234" t="s">
        <v>2835</v>
      </c>
    </row>
    <row r="15" spans="1:16" ht="15.75" thickBot="1" x14ac:dyDescent="0.3">
      <c r="A15" s="82" t="s">
        <v>4686</v>
      </c>
      <c r="B15" s="82" t="s">
        <v>4686</v>
      </c>
      <c r="C15" s="82" t="str">
        <f t="shared" si="1"/>
        <v>X</v>
      </c>
      <c r="D15" s="222">
        <v>2022</v>
      </c>
      <c r="E15" s="83" t="s">
        <v>549</v>
      </c>
      <c r="F15" s="85" t="s">
        <v>173</v>
      </c>
      <c r="G15" s="85" t="s">
        <v>182</v>
      </c>
      <c r="H15" s="85" t="s">
        <v>2868</v>
      </c>
      <c r="I15" s="85">
        <v>960</v>
      </c>
      <c r="J15" s="85"/>
      <c r="K15" s="85">
        <f t="shared" si="2"/>
        <v>960</v>
      </c>
      <c r="L15" s="223" t="s">
        <v>1863</v>
      </c>
      <c r="M15" s="85"/>
      <c r="N15" s="273" t="s">
        <v>2887</v>
      </c>
      <c r="O15" s="234" t="s">
        <v>1972</v>
      </c>
      <c r="P15" s="234" t="s">
        <v>2835</v>
      </c>
    </row>
    <row r="16" spans="1:16" ht="15.75" thickBot="1" x14ac:dyDescent="0.3">
      <c r="A16" s="82" t="s">
        <v>4686</v>
      </c>
      <c r="B16" s="82" t="s">
        <v>4686</v>
      </c>
      <c r="C16" s="82" t="str">
        <f t="shared" si="1"/>
        <v>X</v>
      </c>
      <c r="D16" s="222">
        <v>2022</v>
      </c>
      <c r="E16" s="83" t="s">
        <v>549</v>
      </c>
      <c r="F16" s="85" t="s">
        <v>173</v>
      </c>
      <c r="G16" s="85" t="s">
        <v>182</v>
      </c>
      <c r="H16" s="85" t="s">
        <v>2869</v>
      </c>
      <c r="I16" s="118">
        <v>240</v>
      </c>
      <c r="J16" s="85"/>
      <c r="K16" s="85">
        <f t="shared" si="2"/>
        <v>240</v>
      </c>
      <c r="L16" s="223" t="s">
        <v>1863</v>
      </c>
      <c r="M16" s="85"/>
      <c r="N16" s="273" t="s">
        <v>2887</v>
      </c>
      <c r="O16" s="234" t="s">
        <v>1972</v>
      </c>
      <c r="P16" s="234" t="s">
        <v>2835</v>
      </c>
    </row>
    <row r="17" spans="1:16" ht="15.75" thickBot="1" x14ac:dyDescent="0.3">
      <c r="A17" s="82" t="s">
        <v>4686</v>
      </c>
      <c r="B17" s="82" t="s">
        <v>4686</v>
      </c>
      <c r="C17" s="82" t="str">
        <f t="shared" si="1"/>
        <v>X</v>
      </c>
      <c r="D17" s="222">
        <v>2022</v>
      </c>
      <c r="E17" s="83" t="s">
        <v>549</v>
      </c>
      <c r="F17" s="85" t="s">
        <v>173</v>
      </c>
      <c r="G17" s="85" t="s">
        <v>182</v>
      </c>
      <c r="H17" s="85" t="s">
        <v>2870</v>
      </c>
      <c r="I17" s="118">
        <v>780</v>
      </c>
      <c r="J17" s="85"/>
      <c r="K17" s="85">
        <f t="shared" si="2"/>
        <v>780</v>
      </c>
      <c r="L17" s="223" t="s">
        <v>1863</v>
      </c>
      <c r="M17" s="85"/>
      <c r="N17" s="273" t="s">
        <v>2887</v>
      </c>
      <c r="O17" s="234" t="s">
        <v>1972</v>
      </c>
      <c r="P17" s="234" t="s">
        <v>2835</v>
      </c>
    </row>
    <row r="18" spans="1:16" ht="15.75" thickBot="1" x14ac:dyDescent="0.3">
      <c r="A18" s="82" t="s">
        <v>4686</v>
      </c>
      <c r="B18" s="82" t="s">
        <v>4686</v>
      </c>
      <c r="C18" s="82" t="str">
        <f t="shared" si="1"/>
        <v>X</v>
      </c>
      <c r="D18" s="222">
        <v>2022</v>
      </c>
      <c r="E18" s="83" t="s">
        <v>549</v>
      </c>
      <c r="F18" s="85" t="s">
        <v>173</v>
      </c>
      <c r="G18" s="85" t="s">
        <v>182</v>
      </c>
      <c r="H18" s="85" t="s">
        <v>2871</v>
      </c>
      <c r="I18" s="118">
        <v>180</v>
      </c>
      <c r="J18" s="85"/>
      <c r="K18" s="85">
        <f t="shared" si="2"/>
        <v>180</v>
      </c>
      <c r="L18" s="223" t="s">
        <v>1863</v>
      </c>
      <c r="M18" s="85"/>
      <c r="N18" s="273" t="s">
        <v>2887</v>
      </c>
      <c r="O18" s="234" t="s">
        <v>1972</v>
      </c>
      <c r="P18" s="234" t="s">
        <v>2835</v>
      </c>
    </row>
    <row r="19" spans="1:16" ht="15.75" thickBot="1" x14ac:dyDescent="0.3">
      <c r="A19" s="82" t="s">
        <v>4693</v>
      </c>
      <c r="B19" s="82" t="s">
        <v>4693</v>
      </c>
      <c r="C19" s="82" t="str">
        <f t="shared" si="1"/>
        <v>X</v>
      </c>
      <c r="D19" s="222">
        <v>2022</v>
      </c>
      <c r="E19" s="83" t="s">
        <v>549</v>
      </c>
      <c r="F19" s="85" t="s">
        <v>173</v>
      </c>
      <c r="G19" s="85" t="s">
        <v>182</v>
      </c>
      <c r="H19" s="85" t="s">
        <v>2872</v>
      </c>
      <c r="I19" s="85">
        <v>420</v>
      </c>
      <c r="J19" s="85">
        <v>0</v>
      </c>
      <c r="K19" s="85">
        <f t="shared" si="2"/>
        <v>420</v>
      </c>
      <c r="L19" s="223" t="s">
        <v>1863</v>
      </c>
      <c r="M19" s="85"/>
      <c r="N19" s="273" t="s">
        <v>2887</v>
      </c>
      <c r="O19" s="234" t="s">
        <v>1972</v>
      </c>
      <c r="P19" s="234" t="s">
        <v>2835</v>
      </c>
    </row>
    <row r="20" spans="1:16" ht="15.75" thickBot="1" x14ac:dyDescent="0.3">
      <c r="A20" s="82" t="s">
        <v>2836</v>
      </c>
      <c r="B20" s="82" t="s">
        <v>2836</v>
      </c>
      <c r="C20" s="82" t="str">
        <f t="shared" si="1"/>
        <v>X</v>
      </c>
      <c r="D20" s="222">
        <v>2022</v>
      </c>
      <c r="E20" s="83" t="s">
        <v>549</v>
      </c>
      <c r="F20" s="85" t="s">
        <v>173</v>
      </c>
      <c r="G20" s="85" t="s">
        <v>182</v>
      </c>
      <c r="H20" s="85" t="s">
        <v>2873</v>
      </c>
      <c r="I20" s="85">
        <v>180</v>
      </c>
      <c r="J20" s="85">
        <v>0</v>
      </c>
      <c r="K20" s="85">
        <f t="shared" si="2"/>
        <v>180</v>
      </c>
      <c r="L20" s="223" t="s">
        <v>1863</v>
      </c>
      <c r="M20" s="85"/>
      <c r="N20" s="273" t="s">
        <v>2887</v>
      </c>
      <c r="O20" s="234" t="s">
        <v>1972</v>
      </c>
      <c r="P20" s="234" t="s">
        <v>2835</v>
      </c>
    </row>
    <row r="21" spans="1:16" ht="15.75" thickBot="1" x14ac:dyDescent="0.3">
      <c r="A21" s="82" t="s">
        <v>4695</v>
      </c>
      <c r="B21" s="82" t="s">
        <v>4695</v>
      </c>
      <c r="C21" s="82" t="str">
        <f t="shared" si="1"/>
        <v>X</v>
      </c>
      <c r="D21" s="222">
        <v>2022</v>
      </c>
      <c r="E21" s="83" t="s">
        <v>549</v>
      </c>
      <c r="F21" s="85" t="s">
        <v>173</v>
      </c>
      <c r="G21" s="85" t="s">
        <v>182</v>
      </c>
      <c r="H21" s="85"/>
      <c r="I21" s="85">
        <v>120</v>
      </c>
      <c r="J21" s="85">
        <v>0</v>
      </c>
      <c r="K21" s="85">
        <f t="shared" si="2"/>
        <v>120</v>
      </c>
      <c r="L21" s="223" t="s">
        <v>1863</v>
      </c>
      <c r="M21" s="85"/>
      <c r="N21" s="273" t="s">
        <v>2887</v>
      </c>
      <c r="O21" s="234" t="s">
        <v>1972</v>
      </c>
      <c r="P21" s="234" t="s">
        <v>2835</v>
      </c>
    </row>
    <row r="22" spans="1:16" ht="15.75" thickBot="1" x14ac:dyDescent="0.3">
      <c r="A22" s="82" t="s">
        <v>1929</v>
      </c>
      <c r="B22" s="82" t="s">
        <v>1929</v>
      </c>
      <c r="C22" s="82" t="str">
        <f t="shared" si="1"/>
        <v>X</v>
      </c>
      <c r="D22" s="222">
        <v>2022</v>
      </c>
      <c r="E22" s="83" t="s">
        <v>549</v>
      </c>
      <c r="F22" s="85" t="s">
        <v>173</v>
      </c>
      <c r="G22" s="85" t="s">
        <v>182</v>
      </c>
      <c r="H22" s="85" t="s">
        <v>2874</v>
      </c>
      <c r="I22" s="85">
        <v>274.60000000000002</v>
      </c>
      <c r="J22" s="85">
        <v>36.445</v>
      </c>
      <c r="K22" s="85">
        <f t="shared" si="2"/>
        <v>238.15500000000003</v>
      </c>
      <c r="L22" s="223" t="s">
        <v>1863</v>
      </c>
      <c r="M22" s="85"/>
      <c r="N22" s="273" t="s">
        <v>2887</v>
      </c>
      <c r="O22" s="234" t="s">
        <v>1972</v>
      </c>
      <c r="P22" s="234" t="s">
        <v>2835</v>
      </c>
    </row>
    <row r="23" spans="1:16" ht="15.75" thickBot="1" x14ac:dyDescent="0.3">
      <c r="A23" s="82" t="s">
        <v>1929</v>
      </c>
      <c r="B23" s="82" t="s">
        <v>1929</v>
      </c>
      <c r="C23" s="82" t="str">
        <f t="shared" si="1"/>
        <v>X</v>
      </c>
      <c r="D23" s="222">
        <v>2022</v>
      </c>
      <c r="E23" s="83" t="s">
        <v>549</v>
      </c>
      <c r="F23" s="85" t="s">
        <v>173</v>
      </c>
      <c r="G23" s="85" t="s">
        <v>182</v>
      </c>
      <c r="H23" s="85" t="s">
        <v>2875</v>
      </c>
      <c r="I23" s="118">
        <v>187.4</v>
      </c>
      <c r="J23" s="85">
        <v>27.114999999999998</v>
      </c>
      <c r="K23" s="85">
        <f t="shared" si="2"/>
        <v>160.285</v>
      </c>
      <c r="L23" s="223" t="s">
        <v>1863</v>
      </c>
      <c r="M23" s="85"/>
      <c r="N23" s="273" t="s">
        <v>2887</v>
      </c>
      <c r="O23" s="234" t="s">
        <v>1972</v>
      </c>
      <c r="P23" s="234" t="s">
        <v>2835</v>
      </c>
    </row>
    <row r="24" spans="1:16" ht="15.75" thickBot="1" x14ac:dyDescent="0.3">
      <c r="A24" s="82" t="s">
        <v>1929</v>
      </c>
      <c r="B24" s="82" t="s">
        <v>1929</v>
      </c>
      <c r="C24" s="82" t="str">
        <f t="shared" si="1"/>
        <v>X</v>
      </c>
      <c r="D24" s="222">
        <v>2022</v>
      </c>
      <c r="E24" s="83" t="s">
        <v>2862</v>
      </c>
      <c r="F24" s="85" t="s">
        <v>173</v>
      </c>
      <c r="G24" s="253" t="s">
        <v>179</v>
      </c>
      <c r="H24" s="85" t="s">
        <v>2876</v>
      </c>
      <c r="I24" s="85">
        <v>2.5499999999999998</v>
      </c>
      <c r="J24" s="85">
        <v>0.5</v>
      </c>
      <c r="K24" s="85">
        <f t="shared" si="2"/>
        <v>2.0499999999999998</v>
      </c>
      <c r="L24" s="223" t="s">
        <v>1863</v>
      </c>
      <c r="M24" s="85"/>
      <c r="N24" s="273" t="s">
        <v>2887</v>
      </c>
      <c r="O24" s="234" t="s">
        <v>1972</v>
      </c>
      <c r="P24" s="234" t="s">
        <v>2835</v>
      </c>
    </row>
    <row r="25" spans="1:16" ht="15.75" thickBot="1" x14ac:dyDescent="0.3">
      <c r="A25" s="82" t="s">
        <v>1929</v>
      </c>
      <c r="B25" s="82" t="s">
        <v>1929</v>
      </c>
      <c r="C25" s="82" t="str">
        <f t="shared" si="1"/>
        <v>X</v>
      </c>
      <c r="D25" s="222">
        <v>2022</v>
      </c>
      <c r="E25" s="83" t="s">
        <v>2862</v>
      </c>
      <c r="F25" s="85" t="s">
        <v>173</v>
      </c>
      <c r="G25" s="85" t="s">
        <v>178</v>
      </c>
      <c r="H25" s="85" t="s">
        <v>2876</v>
      </c>
      <c r="I25" s="85">
        <f>0.55+0.55+0.55</f>
        <v>1.6500000000000001</v>
      </c>
      <c r="J25" s="85">
        <v>0.8</v>
      </c>
      <c r="K25" s="85">
        <f t="shared" si="2"/>
        <v>0.85000000000000009</v>
      </c>
      <c r="L25" s="223" t="s">
        <v>1863</v>
      </c>
      <c r="M25" s="85"/>
      <c r="N25" s="273" t="s">
        <v>2887</v>
      </c>
      <c r="O25" s="234" t="s">
        <v>1972</v>
      </c>
      <c r="P25" s="234" t="s">
        <v>2835</v>
      </c>
    </row>
    <row r="26" spans="1:16" ht="15.75" thickBot="1" x14ac:dyDescent="0.3">
      <c r="A26" s="82" t="s">
        <v>1934</v>
      </c>
      <c r="B26" s="82" t="s">
        <v>1934</v>
      </c>
      <c r="C26" s="82" t="str">
        <f t="shared" si="1"/>
        <v>X</v>
      </c>
      <c r="D26" s="222">
        <v>2022</v>
      </c>
      <c r="E26" s="83" t="s">
        <v>2862</v>
      </c>
      <c r="F26" s="85" t="s">
        <v>172</v>
      </c>
      <c r="G26" s="85" t="s">
        <v>2886</v>
      </c>
      <c r="H26" s="85" t="s">
        <v>2879</v>
      </c>
      <c r="I26" s="85">
        <v>0</v>
      </c>
      <c r="J26" s="85">
        <v>0</v>
      </c>
      <c r="K26" s="85">
        <f t="shared" si="2"/>
        <v>0</v>
      </c>
      <c r="L26" s="223" t="s">
        <v>1863</v>
      </c>
      <c r="M26" s="85" t="s">
        <v>2883</v>
      </c>
      <c r="N26" s="273" t="s">
        <v>2887</v>
      </c>
      <c r="O26" s="234" t="s">
        <v>1972</v>
      </c>
      <c r="P26" s="234" t="s">
        <v>2835</v>
      </c>
    </row>
    <row r="27" spans="1:16" ht="15.75" thickBot="1" x14ac:dyDescent="0.3">
      <c r="A27" s="82" t="s">
        <v>1934</v>
      </c>
      <c r="B27" s="82" t="s">
        <v>1934</v>
      </c>
      <c r="C27" s="82" t="str">
        <f t="shared" si="1"/>
        <v>X</v>
      </c>
      <c r="D27" s="222">
        <v>2022</v>
      </c>
      <c r="E27" s="83" t="s">
        <v>2862</v>
      </c>
      <c r="F27" s="85" t="s">
        <v>173</v>
      </c>
      <c r="G27" s="253" t="s">
        <v>179</v>
      </c>
      <c r="H27" s="85" t="s">
        <v>2879</v>
      </c>
      <c r="I27" s="85">
        <v>0</v>
      </c>
      <c r="J27" s="85">
        <v>0</v>
      </c>
      <c r="K27" s="85">
        <f>I27-J27</f>
        <v>0</v>
      </c>
      <c r="L27" s="223" t="s">
        <v>1863</v>
      </c>
      <c r="M27" s="253" t="s">
        <v>2884</v>
      </c>
      <c r="N27" s="273" t="s">
        <v>2887</v>
      </c>
      <c r="O27" s="234" t="s">
        <v>1972</v>
      </c>
      <c r="P27" s="234" t="s">
        <v>2835</v>
      </c>
    </row>
    <row r="28" spans="1:16" ht="15.75" thickBot="1" x14ac:dyDescent="0.3">
      <c r="A28" s="82" t="s">
        <v>1934</v>
      </c>
      <c r="B28" s="82" t="s">
        <v>1934</v>
      </c>
      <c r="C28" s="82" t="str">
        <f t="shared" si="1"/>
        <v>X</v>
      </c>
      <c r="D28" s="222">
        <v>2022</v>
      </c>
      <c r="E28" s="83" t="s">
        <v>2878</v>
      </c>
      <c r="F28" s="85" t="s">
        <v>173</v>
      </c>
      <c r="G28" s="85" t="s">
        <v>182</v>
      </c>
      <c r="H28" s="85" t="s">
        <v>2879</v>
      </c>
      <c r="I28" s="85">
        <v>0</v>
      </c>
      <c r="J28" s="85">
        <v>0</v>
      </c>
      <c r="K28" s="85">
        <f t="shared" si="2"/>
        <v>0</v>
      </c>
      <c r="L28" s="223" t="s">
        <v>1863</v>
      </c>
      <c r="M28" s="85" t="s">
        <v>2885</v>
      </c>
      <c r="N28" s="273" t="s">
        <v>2887</v>
      </c>
      <c r="O28" s="234" t="s">
        <v>1972</v>
      </c>
      <c r="P28" s="234" t="s">
        <v>2835</v>
      </c>
    </row>
    <row r="29" spans="1:16" ht="15.75" thickBot="1" x14ac:dyDescent="0.3">
      <c r="A29" s="82" t="s">
        <v>4694</v>
      </c>
      <c r="B29" s="82" t="s">
        <v>4694</v>
      </c>
      <c r="C29" s="82" t="str">
        <f t="shared" si="1"/>
        <v>X</v>
      </c>
      <c r="D29" s="222">
        <v>2022</v>
      </c>
      <c r="E29" s="83" t="s">
        <v>2862</v>
      </c>
      <c r="F29" s="85" t="s">
        <v>172</v>
      </c>
      <c r="G29" s="85" t="s">
        <v>2886</v>
      </c>
      <c r="H29" s="85" t="s">
        <v>2880</v>
      </c>
      <c r="I29" s="85">
        <v>0</v>
      </c>
      <c r="J29" s="85">
        <v>0</v>
      </c>
      <c r="K29" s="85">
        <f t="shared" si="2"/>
        <v>0</v>
      </c>
      <c r="L29" s="223" t="s">
        <v>1863</v>
      </c>
      <c r="M29" s="85" t="s">
        <v>2881</v>
      </c>
      <c r="N29" s="273" t="s">
        <v>2887</v>
      </c>
      <c r="O29" s="234" t="s">
        <v>1972</v>
      </c>
      <c r="P29" s="234" t="s">
        <v>2835</v>
      </c>
    </row>
    <row r="30" spans="1:16" ht="15.75" thickBot="1" x14ac:dyDescent="0.3">
      <c r="A30" s="82" t="s">
        <v>4694</v>
      </c>
      <c r="B30" s="82" t="s">
        <v>4694</v>
      </c>
      <c r="C30" s="82" t="str">
        <f t="shared" si="1"/>
        <v>X</v>
      </c>
      <c r="D30" s="222">
        <v>2022</v>
      </c>
      <c r="E30" s="83" t="s">
        <v>2862</v>
      </c>
      <c r="F30" s="85" t="s">
        <v>173</v>
      </c>
      <c r="G30" s="85" t="s">
        <v>178</v>
      </c>
      <c r="H30" s="85" t="s">
        <v>2880</v>
      </c>
      <c r="I30" s="85">
        <v>0</v>
      </c>
      <c r="J30" s="85">
        <v>0</v>
      </c>
      <c r="K30" s="85">
        <f t="shared" si="2"/>
        <v>0</v>
      </c>
      <c r="L30" s="223" t="s">
        <v>1863</v>
      </c>
      <c r="M30" s="85" t="s">
        <v>2882</v>
      </c>
      <c r="N30" s="273" t="s">
        <v>2887</v>
      </c>
      <c r="O30" s="234" t="s">
        <v>1972</v>
      </c>
      <c r="P30" s="234" t="s">
        <v>2835</v>
      </c>
    </row>
    <row r="31" spans="1:16" ht="15.75" thickBot="1" x14ac:dyDescent="0.3">
      <c r="A31" t="s">
        <v>4705</v>
      </c>
      <c r="B31" t="s">
        <v>4705</v>
      </c>
      <c r="C31" s="82" t="str">
        <f t="shared" si="1"/>
        <v>X</v>
      </c>
      <c r="D31" s="222">
        <v>2022</v>
      </c>
      <c r="E31" s="83" t="s">
        <v>2862</v>
      </c>
      <c r="F31" s="85" t="s">
        <v>173</v>
      </c>
      <c r="G31" s="346" t="s">
        <v>3522</v>
      </c>
      <c r="H31" s="345" t="s">
        <v>3519</v>
      </c>
      <c r="I31" s="118">
        <v>5</v>
      </c>
      <c r="J31" s="85">
        <v>0</v>
      </c>
      <c r="K31" s="85">
        <v>5</v>
      </c>
      <c r="L31" s="223" t="s">
        <v>1863</v>
      </c>
      <c r="M31" s="85" t="s">
        <v>3516</v>
      </c>
      <c r="N31" s="273" t="s">
        <v>2887</v>
      </c>
      <c r="O31" s="234" t="s">
        <v>1972</v>
      </c>
      <c r="P31" s="234" t="s">
        <v>2835</v>
      </c>
    </row>
    <row r="32" spans="1:16" ht="15.75" thickBot="1" x14ac:dyDescent="0.3">
      <c r="A32" t="s">
        <v>4705</v>
      </c>
      <c r="B32" t="s">
        <v>4705</v>
      </c>
      <c r="C32" s="82" t="str">
        <f t="shared" si="1"/>
        <v>X</v>
      </c>
      <c r="D32" s="222">
        <v>2022</v>
      </c>
      <c r="E32" s="83" t="s">
        <v>2862</v>
      </c>
      <c r="F32" s="85" t="s">
        <v>173</v>
      </c>
      <c r="G32" s="346" t="s">
        <v>3523</v>
      </c>
      <c r="H32" s="345" t="s">
        <v>3519</v>
      </c>
      <c r="I32" s="85">
        <v>44.52</v>
      </c>
      <c r="J32" s="85">
        <v>0</v>
      </c>
      <c r="K32" s="85">
        <v>44.52</v>
      </c>
      <c r="L32" s="223" t="s">
        <v>1863</v>
      </c>
      <c r="M32" s="85" t="s">
        <v>3517</v>
      </c>
      <c r="N32" s="273" t="s">
        <v>2887</v>
      </c>
      <c r="O32" s="234" t="s">
        <v>1972</v>
      </c>
      <c r="P32" s="234" t="s">
        <v>2835</v>
      </c>
    </row>
    <row r="33" spans="1:16" ht="15.75" thickBot="1" x14ac:dyDescent="0.3">
      <c r="A33" t="s">
        <v>4705</v>
      </c>
      <c r="B33" t="s">
        <v>4705</v>
      </c>
      <c r="C33" s="82" t="str">
        <f t="shared" si="1"/>
        <v>X</v>
      </c>
      <c r="D33" s="222">
        <v>2022</v>
      </c>
      <c r="E33" s="83" t="s">
        <v>2862</v>
      </c>
      <c r="F33" s="85" t="s">
        <v>173</v>
      </c>
      <c r="G33" s="346" t="s">
        <v>3524</v>
      </c>
      <c r="H33" s="345" t="s">
        <v>3519</v>
      </c>
      <c r="I33" s="85">
        <v>0</v>
      </c>
      <c r="J33" s="85">
        <v>0</v>
      </c>
      <c r="K33" s="85">
        <v>0</v>
      </c>
      <c r="L33" s="223" t="s">
        <v>1863</v>
      </c>
      <c r="M33" s="85" t="s">
        <v>3518</v>
      </c>
      <c r="N33" s="273" t="s">
        <v>2887</v>
      </c>
      <c r="O33" s="234" t="s">
        <v>1972</v>
      </c>
      <c r="P33" s="234" t="s">
        <v>2835</v>
      </c>
    </row>
    <row r="34" spans="1:16" ht="15.75" thickBot="1" x14ac:dyDescent="0.3">
      <c r="A34" t="s">
        <v>4705</v>
      </c>
      <c r="B34" t="s">
        <v>4705</v>
      </c>
      <c r="C34" s="82" t="str">
        <f t="shared" si="1"/>
        <v>X</v>
      </c>
      <c r="D34" s="222">
        <v>2022</v>
      </c>
      <c r="E34" s="83" t="s">
        <v>2862</v>
      </c>
      <c r="F34" s="85" t="s">
        <v>173</v>
      </c>
      <c r="G34" s="85" t="s">
        <v>178</v>
      </c>
      <c r="H34" s="345" t="s">
        <v>3519</v>
      </c>
      <c r="I34" s="85">
        <v>0</v>
      </c>
      <c r="J34" s="85">
        <v>0</v>
      </c>
      <c r="K34" s="85">
        <v>0</v>
      </c>
      <c r="L34" s="223" t="s">
        <v>1863</v>
      </c>
      <c r="M34" s="85"/>
      <c r="N34" s="273" t="s">
        <v>2887</v>
      </c>
      <c r="O34" s="234" t="s">
        <v>1972</v>
      </c>
      <c r="P34" s="234" t="s">
        <v>2835</v>
      </c>
    </row>
    <row r="35" spans="1:16" ht="15.75" thickBot="1" x14ac:dyDescent="0.3">
      <c r="A35" t="s">
        <v>4705</v>
      </c>
      <c r="B35" t="s">
        <v>4705</v>
      </c>
      <c r="C35" s="82" t="str">
        <f t="shared" si="1"/>
        <v>X</v>
      </c>
      <c r="D35" s="222">
        <v>2022</v>
      </c>
      <c r="E35" s="83" t="s">
        <v>549</v>
      </c>
      <c r="F35" s="85" t="s">
        <v>173</v>
      </c>
      <c r="G35" s="346" t="s">
        <v>3522</v>
      </c>
      <c r="H35" s="345" t="s">
        <v>3520</v>
      </c>
      <c r="I35" s="85">
        <v>761</v>
      </c>
      <c r="J35" s="85">
        <v>0</v>
      </c>
      <c r="K35" s="85">
        <v>535</v>
      </c>
      <c r="L35" s="223" t="s">
        <v>1863</v>
      </c>
      <c r="M35" s="85" t="s">
        <v>3516</v>
      </c>
      <c r="N35" s="273" t="s">
        <v>2887</v>
      </c>
      <c r="O35" s="234" t="s">
        <v>1972</v>
      </c>
      <c r="P35" s="234" t="s">
        <v>2835</v>
      </c>
    </row>
    <row r="36" spans="1:16" ht="15.75" thickBot="1" x14ac:dyDescent="0.3">
      <c r="A36" t="s">
        <v>4705</v>
      </c>
      <c r="B36" t="s">
        <v>4705</v>
      </c>
      <c r="C36" s="82" t="str">
        <f t="shared" si="1"/>
        <v>X</v>
      </c>
      <c r="D36" s="222">
        <v>2022</v>
      </c>
      <c r="E36" s="83" t="s">
        <v>549</v>
      </c>
      <c r="F36" s="85" t="s">
        <v>173</v>
      </c>
      <c r="G36" s="85" t="s">
        <v>182</v>
      </c>
      <c r="H36" s="345" t="s">
        <v>3521</v>
      </c>
      <c r="I36" s="85">
        <v>192</v>
      </c>
      <c r="J36" s="85">
        <v>0</v>
      </c>
      <c r="K36" s="85">
        <v>199</v>
      </c>
      <c r="L36" s="223" t="s">
        <v>1863</v>
      </c>
      <c r="M36" s="85"/>
      <c r="N36" s="273" t="s">
        <v>2887</v>
      </c>
      <c r="O36" s="234" t="s">
        <v>1972</v>
      </c>
      <c r="P36" s="234" t="s">
        <v>2835</v>
      </c>
    </row>
    <row r="37" spans="1:16" ht="15.75" thickBot="1" x14ac:dyDescent="0.3">
      <c r="A37" t="s">
        <v>4701</v>
      </c>
      <c r="B37" t="s">
        <v>4701</v>
      </c>
      <c r="C37" s="82" t="str">
        <f t="shared" ref="C37:C43" si="3">IF(A37=B37,"X",RIGHT(A37,LEN(A37)-LEN(B37)-3))</f>
        <v>X</v>
      </c>
      <c r="D37" s="222">
        <v>2022</v>
      </c>
      <c r="E37" s="83" t="s">
        <v>549</v>
      </c>
      <c r="F37" s="85" t="s">
        <v>173</v>
      </c>
      <c r="G37" s="85" t="s">
        <v>182</v>
      </c>
      <c r="H37" s="85"/>
      <c r="I37" s="85">
        <v>90.9</v>
      </c>
      <c r="J37" s="346">
        <v>0</v>
      </c>
      <c r="K37" s="85">
        <f t="shared" ref="K37:K38" si="4">I37-J37</f>
        <v>90.9</v>
      </c>
      <c r="L37" s="223" t="s">
        <v>1863</v>
      </c>
      <c r="N37" s="273" t="s">
        <v>2887</v>
      </c>
      <c r="O37" s="234" t="s">
        <v>1972</v>
      </c>
      <c r="P37" s="234" t="s">
        <v>2835</v>
      </c>
    </row>
    <row r="38" spans="1:16" ht="15.75" thickBot="1" x14ac:dyDescent="0.3">
      <c r="A38" t="s">
        <v>4792</v>
      </c>
      <c r="B38" t="s">
        <v>4792</v>
      </c>
      <c r="C38" s="82" t="str">
        <f t="shared" si="3"/>
        <v>X</v>
      </c>
      <c r="D38" s="222">
        <v>2022</v>
      </c>
      <c r="E38" s="83" t="s">
        <v>549</v>
      </c>
      <c r="F38" s="85" t="s">
        <v>173</v>
      </c>
      <c r="G38" s="85" t="s">
        <v>182</v>
      </c>
      <c r="H38" s="85"/>
      <c r="I38" s="118">
        <v>12</v>
      </c>
      <c r="J38" s="346">
        <v>0</v>
      </c>
      <c r="K38" s="85">
        <f t="shared" si="4"/>
        <v>12</v>
      </c>
      <c r="L38" s="223" t="s">
        <v>1863</v>
      </c>
      <c r="N38" s="273" t="s">
        <v>2887</v>
      </c>
      <c r="O38" s="234" t="s">
        <v>1972</v>
      </c>
      <c r="P38" s="234" t="s">
        <v>2835</v>
      </c>
    </row>
    <row r="39" spans="1:16" ht="15.75" thickBot="1" x14ac:dyDescent="0.3">
      <c r="A39" t="s">
        <v>4704</v>
      </c>
      <c r="B39" t="s">
        <v>4704</v>
      </c>
      <c r="C39" s="82" t="str">
        <f t="shared" si="3"/>
        <v>X</v>
      </c>
      <c r="D39" s="222">
        <v>2022</v>
      </c>
      <c r="E39" t="s">
        <v>2862</v>
      </c>
      <c r="F39" t="s">
        <v>173</v>
      </c>
      <c r="G39" s="346" t="s">
        <v>3523</v>
      </c>
      <c r="H39" s="82" t="s">
        <v>3905</v>
      </c>
      <c r="I39" s="346">
        <v>0</v>
      </c>
      <c r="J39" s="346">
        <v>0</v>
      </c>
      <c r="K39" s="85">
        <f t="shared" ref="K39:K43" si="5">I39-J39</f>
        <v>0</v>
      </c>
      <c r="L39" s="223" t="s">
        <v>1863</v>
      </c>
      <c r="M39" t="s">
        <v>3909</v>
      </c>
      <c r="N39" s="273" t="s">
        <v>2887</v>
      </c>
      <c r="O39" s="234" t="s">
        <v>1972</v>
      </c>
      <c r="P39" s="234" t="s">
        <v>2835</v>
      </c>
    </row>
    <row r="40" spans="1:16" ht="15.75" thickBot="1" x14ac:dyDescent="0.3">
      <c r="A40" t="s">
        <v>4704</v>
      </c>
      <c r="B40" t="s">
        <v>4704</v>
      </c>
      <c r="C40" s="82" t="str">
        <f t="shared" si="3"/>
        <v>X</v>
      </c>
      <c r="D40" s="222">
        <v>2022</v>
      </c>
      <c r="E40" t="s">
        <v>2862</v>
      </c>
      <c r="F40" t="s">
        <v>173</v>
      </c>
      <c r="G40" s="346" t="s">
        <v>3523</v>
      </c>
      <c r="H40" s="82" t="s">
        <v>3906</v>
      </c>
      <c r="I40" s="346">
        <v>0</v>
      </c>
      <c r="J40" s="346">
        <v>0</v>
      </c>
      <c r="K40" s="85">
        <f t="shared" si="5"/>
        <v>0</v>
      </c>
      <c r="L40" s="223" t="s">
        <v>1863</v>
      </c>
      <c r="M40" t="s">
        <v>3909</v>
      </c>
      <c r="N40" s="273" t="s">
        <v>2887</v>
      </c>
      <c r="O40" s="234" t="s">
        <v>1972</v>
      </c>
      <c r="P40" s="234" t="s">
        <v>2835</v>
      </c>
    </row>
    <row r="41" spans="1:16" ht="15.75" thickBot="1" x14ac:dyDescent="0.3">
      <c r="A41" t="s">
        <v>4704</v>
      </c>
      <c r="B41" t="s">
        <v>4704</v>
      </c>
      <c r="C41" s="82" t="str">
        <f t="shared" si="3"/>
        <v>X</v>
      </c>
      <c r="D41" s="222">
        <v>2022</v>
      </c>
      <c r="E41" t="s">
        <v>2862</v>
      </c>
      <c r="F41" t="s">
        <v>172</v>
      </c>
      <c r="G41" s="85" t="s">
        <v>229</v>
      </c>
      <c r="H41" s="82" t="s">
        <v>3906</v>
      </c>
      <c r="I41" s="346">
        <v>0</v>
      </c>
      <c r="J41" s="346">
        <v>0</v>
      </c>
      <c r="K41" s="85">
        <f t="shared" si="5"/>
        <v>0</v>
      </c>
      <c r="L41" s="223" t="s">
        <v>1863</v>
      </c>
      <c r="M41" t="s">
        <v>3909</v>
      </c>
      <c r="N41" s="273" t="s">
        <v>2887</v>
      </c>
      <c r="O41" s="234" t="s">
        <v>1972</v>
      </c>
      <c r="P41" s="234" t="s">
        <v>2835</v>
      </c>
    </row>
    <row r="42" spans="1:16" ht="15.75" thickBot="1" x14ac:dyDescent="0.3">
      <c r="A42" t="s">
        <v>4704</v>
      </c>
      <c r="B42" t="s">
        <v>4704</v>
      </c>
      <c r="C42" s="82" t="str">
        <f t="shared" si="3"/>
        <v>X</v>
      </c>
      <c r="D42" s="222">
        <v>2022</v>
      </c>
      <c r="E42" t="s">
        <v>2862</v>
      </c>
      <c r="F42" t="s">
        <v>173</v>
      </c>
      <c r="G42" s="346" t="s">
        <v>3522</v>
      </c>
      <c r="H42" s="82" t="s">
        <v>3907</v>
      </c>
      <c r="I42" s="346">
        <v>0</v>
      </c>
      <c r="J42" s="346">
        <v>0</v>
      </c>
      <c r="K42" s="85">
        <f t="shared" si="5"/>
        <v>0</v>
      </c>
      <c r="L42" s="223" t="s">
        <v>1863</v>
      </c>
      <c r="M42" t="s">
        <v>3909</v>
      </c>
      <c r="N42" s="273" t="s">
        <v>2887</v>
      </c>
      <c r="O42" s="234" t="s">
        <v>1972</v>
      </c>
      <c r="P42" s="234" t="s">
        <v>2835</v>
      </c>
    </row>
    <row r="43" spans="1:16" ht="15.75" thickBot="1" x14ac:dyDescent="0.3">
      <c r="A43" t="s">
        <v>4704</v>
      </c>
      <c r="B43" t="s">
        <v>4704</v>
      </c>
      <c r="C43" s="82" t="str">
        <f t="shared" si="3"/>
        <v>X</v>
      </c>
      <c r="D43" s="222">
        <v>2022</v>
      </c>
      <c r="E43" t="s">
        <v>2862</v>
      </c>
      <c r="F43" t="s">
        <v>173</v>
      </c>
      <c r="G43" s="346" t="s">
        <v>3522</v>
      </c>
      <c r="H43" s="82" t="s">
        <v>3908</v>
      </c>
      <c r="I43" s="346">
        <v>0</v>
      </c>
      <c r="J43" s="346">
        <v>0</v>
      </c>
      <c r="K43" s="85">
        <f t="shared" si="5"/>
        <v>0</v>
      </c>
      <c r="L43" s="223" t="s">
        <v>1863</v>
      </c>
      <c r="M43" t="s">
        <v>3909</v>
      </c>
      <c r="N43" s="273" t="s">
        <v>2887</v>
      </c>
      <c r="O43" s="234" t="s">
        <v>1972</v>
      </c>
      <c r="P43" s="234" t="s">
        <v>2835</v>
      </c>
    </row>
    <row r="44" spans="1:16" ht="15.75" thickBot="1" x14ac:dyDescent="0.3">
      <c r="A44" t="s">
        <v>4703</v>
      </c>
      <c r="B44" t="s">
        <v>4703</v>
      </c>
      <c r="C44" s="82" t="str">
        <f t="shared" ref="C44:C46" si="6">IF(A44=B44,"X",RIGHT(A44,LEN(A44)-LEN(B44)-3))</f>
        <v>X</v>
      </c>
      <c r="D44" s="222">
        <v>2022</v>
      </c>
      <c r="E44" s="82" t="s">
        <v>2862</v>
      </c>
      <c r="F44" t="s">
        <v>173</v>
      </c>
      <c r="G44" s="346" t="s">
        <v>3523</v>
      </c>
      <c r="I44" s="346">
        <v>0</v>
      </c>
      <c r="J44" s="346">
        <v>0</v>
      </c>
      <c r="K44" s="85">
        <f t="shared" ref="K44:K46" si="7">I44-J44</f>
        <v>0</v>
      </c>
      <c r="L44" s="223" t="s">
        <v>1863</v>
      </c>
      <c r="N44" s="273" t="s">
        <v>2887</v>
      </c>
      <c r="O44" s="234" t="s">
        <v>1972</v>
      </c>
      <c r="P44" s="234" t="s">
        <v>2835</v>
      </c>
    </row>
    <row r="45" spans="1:16" ht="15.75" thickBot="1" x14ac:dyDescent="0.3">
      <c r="A45" t="s">
        <v>4703</v>
      </c>
      <c r="B45" t="s">
        <v>4703</v>
      </c>
      <c r="C45" s="82" t="str">
        <f t="shared" si="6"/>
        <v>X</v>
      </c>
      <c r="D45" s="222">
        <v>2022</v>
      </c>
      <c r="E45" t="s">
        <v>2862</v>
      </c>
      <c r="F45" t="s">
        <v>173</v>
      </c>
      <c r="G45" s="346" t="s">
        <v>3522</v>
      </c>
      <c r="I45" s="346">
        <v>0</v>
      </c>
      <c r="J45" s="346">
        <v>0</v>
      </c>
      <c r="K45" s="85">
        <f t="shared" si="7"/>
        <v>0</v>
      </c>
      <c r="L45" s="223" t="s">
        <v>1863</v>
      </c>
      <c r="N45" s="273" t="s">
        <v>2887</v>
      </c>
      <c r="O45" s="234" t="s">
        <v>1972</v>
      </c>
      <c r="P45" s="234" t="s">
        <v>2835</v>
      </c>
    </row>
    <row r="46" spans="1:16" ht="15.75" thickBot="1" x14ac:dyDescent="0.3">
      <c r="A46" t="s">
        <v>4703</v>
      </c>
      <c r="B46" t="s">
        <v>4703</v>
      </c>
      <c r="C46" s="82" t="str">
        <f t="shared" si="6"/>
        <v>X</v>
      </c>
      <c r="D46" s="222">
        <v>2022</v>
      </c>
      <c r="F46" t="s">
        <v>3950</v>
      </c>
      <c r="G46" t="s">
        <v>3950</v>
      </c>
      <c r="I46" s="346">
        <v>0</v>
      </c>
      <c r="J46" s="346">
        <v>0</v>
      </c>
      <c r="K46" s="85">
        <f t="shared" si="7"/>
        <v>0</v>
      </c>
      <c r="L46" s="223" t="s">
        <v>1863</v>
      </c>
      <c r="M46" s="85" t="s">
        <v>3951</v>
      </c>
      <c r="N46" s="273" t="s">
        <v>2887</v>
      </c>
      <c r="O46" s="234" t="s">
        <v>1972</v>
      </c>
      <c r="P46" s="234" t="s">
        <v>2835</v>
      </c>
    </row>
  </sheetData>
  <mergeCells count="13">
    <mergeCell ref="O1:O2"/>
    <mergeCell ref="P1:P2"/>
    <mergeCell ref="A1:A2"/>
    <mergeCell ref="C1:C2"/>
    <mergeCell ref="B1:B2"/>
    <mergeCell ref="E1:E2"/>
    <mergeCell ref="F1:F2"/>
    <mergeCell ref="M1:M2"/>
    <mergeCell ref="G1:G2"/>
    <mergeCell ref="H1:H2"/>
    <mergeCell ref="I1:I2"/>
    <mergeCell ref="J1:J2"/>
    <mergeCell ref="K1:K2"/>
  </mergeCells>
  <dataValidations count="1">
    <dataValidation type="list" allowBlank="1" showInputMessage="1" showErrorMessage="1" sqref="E3:E38">
      <formula1>"AC Frota Produtiva Pesada, AC Frota Produtiva Ligeiros, AC Estacionários, Equipamento Frio Frota, Equipamento Frio Estacionário"</formula1>
    </dataValidation>
  </dataValidations>
  <pageMargins left="0.7" right="0.7" top="0.75" bottom="0.75" header="0.3" footer="0.3"/>
  <customProperties>
    <customPr name="GUID" r:id="rId1"/>
  </customProperties>
  <extLst>
    <ext xmlns:x14="http://schemas.microsoft.com/office/spreadsheetml/2009/9/main" uri="{CCE6A557-97BC-4b89-ADB6-D9C93CAAB3DF}">
      <x14:dataValidations xmlns:xm="http://schemas.microsoft.com/office/excel/2006/main" count="6">
        <x14:dataValidation type="list" allowBlank="1" showInputMessage="1" showErrorMessage="1">
          <x14:formula1>
            <xm:f>'A1.4.2'!$B$2:$B$248</xm:f>
          </x14:formula1>
          <xm:sqref>G3:G9</xm:sqref>
        </x14:dataValidation>
        <x14:dataValidation type="list" allowBlank="1" showInputMessage="1" showErrorMessage="1">
          <x14:formula1>
            <xm:f>'A1.4.2'!$H$2:$H$9</xm:f>
          </x14:formula1>
          <xm:sqref>F3:F9 F26 F29</xm:sqref>
        </x14:dataValidation>
        <x14:dataValidation type="list" allowBlank="1" showInputMessage="1" showErrorMessage="1">
          <x14:formula1>
            <xm:f>'C:\Users\AIPC\Desktop\[00.1 - Pegada de Carbono Materialidades e Dados 2022 24_05_2024.xlsx]A1.4.2'!#REF!</xm:f>
          </x14:formula1>
          <xm:sqref>F22:G25 F27:F28 F30</xm:sqref>
        </x14:dataValidation>
        <x14:dataValidation type="list" allowBlank="1" showInputMessage="1" showErrorMessage="1">
          <x14:formula1>
            <xm:f>'C:\Users\AIPC\Desktop\Dados Pegada Carbono GB\Rodoviário\[Pegada de Carbono Materialidades e Dados.xlsx]A1.4.2'!#REF!</xm:f>
          </x14:formula1>
          <xm:sqref>F37:F38</xm:sqref>
        </x14:dataValidation>
        <x14:dataValidation type="list" allowBlank="1" showInputMessage="1" showErrorMessage="1">
          <x14:formula1>
            <xm:f>'C:\Users\AIPC\Desktop\Dados Pegada Carbono GB\Rodoviário\[Pegada de Carbono Materialidades e Dados.xlsx]A1.4.2'!#REF!</xm:f>
          </x14:formula1>
          <xm:sqref>G37:G38</xm:sqref>
        </x14:dataValidation>
        <x14:dataValidation type="list" allowBlank="1" showInputMessage="1" showErrorMessage="1">
          <x14:formula1>
            <xm:f>'C:\Users\AIPC\Desktop\Dados Pegada Carbono GB\Ferroviário\[Template Pegada de Carbono Materialidades e Dados_Fertagus.xlsx]A1.4.2'!#REF!</xm:f>
          </x14:formula1>
          <xm:sqref>G41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
  <dimension ref="A1:S29"/>
  <sheetViews>
    <sheetView workbookViewId="0">
      <pane xSplit="2" ySplit="1" topLeftCell="F17" activePane="bottomRight" state="frozen"/>
      <selection pane="topRight" activeCell="C1" sqref="C1"/>
      <selection pane="bottomLeft" activeCell="A2" sqref="A2"/>
      <selection pane="bottomRight" activeCell="A27" sqref="A26:A27"/>
    </sheetView>
    <sheetView workbookViewId="1"/>
  </sheetViews>
  <sheetFormatPr defaultRowHeight="15" x14ac:dyDescent="0.25"/>
  <cols>
    <col min="1" max="1" width="42.28515625" style="1" bestFit="1" customWidth="1"/>
    <col min="2" max="2" width="47" style="1" customWidth="1"/>
    <col min="3" max="3" width="33.7109375" style="1" customWidth="1"/>
    <col min="4" max="4" width="53.5703125" style="1" bestFit="1" customWidth="1"/>
    <col min="5" max="5" width="91.42578125" style="1" hidden="1" customWidth="1"/>
    <col min="6" max="6" width="21.85546875" style="1" bestFit="1" customWidth="1"/>
    <col min="7" max="7" width="64.28515625" style="1" customWidth="1"/>
    <col min="8" max="8" width="46.42578125" style="1" bestFit="1" customWidth="1"/>
    <col min="9" max="9" width="98" style="1" customWidth="1"/>
    <col min="10" max="10" width="14.7109375" style="1" customWidth="1"/>
    <col min="11" max="11" width="45" style="1" customWidth="1"/>
    <col min="12" max="12" width="10.85546875" style="1" customWidth="1"/>
    <col min="13" max="13" width="47" style="1" customWidth="1"/>
    <col min="14" max="14" width="10.85546875" style="1" customWidth="1"/>
    <col min="15" max="15" width="14.85546875" style="1" customWidth="1"/>
    <col min="16" max="16" width="14.28515625" style="1" customWidth="1"/>
    <col min="17" max="17" width="15.85546875" style="1" customWidth="1"/>
    <col min="18" max="18" width="15" style="1" customWidth="1"/>
    <col min="19" max="20" width="12" style="1" customWidth="1"/>
    <col min="21" max="16384" width="9.140625" style="1"/>
  </cols>
  <sheetData>
    <row r="1" spans="1:19" s="169" customFormat="1" ht="33.75" customHeight="1" x14ac:dyDescent="0.25">
      <c r="A1" s="365" t="s">
        <v>3699</v>
      </c>
      <c r="B1" s="365" t="s">
        <v>3708</v>
      </c>
      <c r="C1" s="365" t="s">
        <v>1802</v>
      </c>
      <c r="D1" s="365" t="s">
        <v>3701</v>
      </c>
      <c r="E1" s="365" t="s">
        <v>1806</v>
      </c>
      <c r="F1" s="365" t="s">
        <v>1803</v>
      </c>
      <c r="G1" s="365" t="s">
        <v>3707</v>
      </c>
      <c r="H1" s="365" t="s">
        <v>3700</v>
      </c>
      <c r="I1" s="365" t="s">
        <v>1808</v>
      </c>
      <c r="J1" s="365" t="s">
        <v>141</v>
      </c>
      <c r="K1" s="365" t="s">
        <v>1809</v>
      </c>
      <c r="L1" s="365" t="s">
        <v>141</v>
      </c>
      <c r="M1" s="365" t="s">
        <v>1810</v>
      </c>
      <c r="N1" s="365" t="s">
        <v>141</v>
      </c>
      <c r="O1" s="365" t="s">
        <v>3704</v>
      </c>
      <c r="P1" s="365" t="s">
        <v>3705</v>
      </c>
      <c r="Q1" s="365" t="s">
        <v>3714</v>
      </c>
      <c r="R1" s="365" t="s">
        <v>3715</v>
      </c>
      <c r="S1" s="365" t="s">
        <v>3733</v>
      </c>
    </row>
    <row r="2" spans="1:19" s="4" customFormat="1" ht="33.75" customHeight="1" x14ac:dyDescent="0.25">
      <c r="A2" s="4" t="s">
        <v>45</v>
      </c>
      <c r="B2" s="4" t="s">
        <v>47</v>
      </c>
      <c r="C2" s="376">
        <v>652</v>
      </c>
      <c r="D2" s="4">
        <v>17</v>
      </c>
      <c r="F2" s="4">
        <v>868</v>
      </c>
      <c r="G2" s="381">
        <f>61097.956+3143.7</f>
        <v>64241.655999999995</v>
      </c>
      <c r="H2" s="381">
        <v>37006</v>
      </c>
      <c r="K2" s="382" t="s">
        <v>3713</v>
      </c>
      <c r="L2" s="377" t="s">
        <v>3703</v>
      </c>
      <c r="P2" s="379">
        <f>G2/H2</f>
        <v>1.7359794627898177</v>
      </c>
      <c r="Q2" s="383">
        <f t="shared" ref="Q2:Q12" si="0">G2/F2</f>
        <v>74.011124423963125</v>
      </c>
      <c r="R2" s="383">
        <f>G2/C2</f>
        <v>98.530147239263798</v>
      </c>
      <c r="S2" s="400">
        <f>H2/C2*1000</f>
        <v>56757.668711656443</v>
      </c>
    </row>
    <row r="3" spans="1:19" s="377" customFormat="1" ht="33.75" customHeight="1" x14ac:dyDescent="0.25">
      <c r="A3" s="4" t="s">
        <v>535</v>
      </c>
      <c r="B3" s="4" t="s">
        <v>47</v>
      </c>
      <c r="C3" s="376">
        <v>61</v>
      </c>
      <c r="D3" s="4">
        <v>0</v>
      </c>
      <c r="E3" s="4"/>
      <c r="F3" s="4">
        <v>63</v>
      </c>
      <c r="G3" s="381">
        <f>3597.714+272.79</f>
        <v>3870.5039999999999</v>
      </c>
      <c r="H3" s="381">
        <v>2170</v>
      </c>
      <c r="K3" s="382" t="s">
        <v>3713</v>
      </c>
      <c r="L3" s="377" t="s">
        <v>3703</v>
      </c>
      <c r="P3" s="379">
        <f t="shared" ref="P3:P14" si="1">G3/H3</f>
        <v>1.7836423963133641</v>
      </c>
      <c r="Q3" s="383">
        <f t="shared" si="0"/>
        <v>61.436571428571426</v>
      </c>
      <c r="R3" s="383">
        <f t="shared" ref="R3:R12" si="2">G3/C3</f>
        <v>63.450885245901638</v>
      </c>
      <c r="S3" s="400">
        <f t="shared" ref="S3:S24" si="3">H3/C3*1000</f>
        <v>35573.770491803283</v>
      </c>
    </row>
    <row r="4" spans="1:19" s="377" customFormat="1" ht="33.75" customHeight="1" x14ac:dyDescent="0.25">
      <c r="A4" s="4" t="s">
        <v>601</v>
      </c>
      <c r="B4" s="4" t="s">
        <v>47</v>
      </c>
      <c r="C4" s="376">
        <v>45</v>
      </c>
      <c r="D4" s="4">
        <v>10</v>
      </c>
      <c r="E4" s="4"/>
      <c r="F4" s="4">
        <v>96</v>
      </c>
      <c r="G4" s="381">
        <f>8132.654+311.985</f>
        <v>8444.639000000001</v>
      </c>
      <c r="H4" s="381">
        <v>1200</v>
      </c>
      <c r="K4" s="382" t="s">
        <v>3713</v>
      </c>
      <c r="L4" s="377" t="s">
        <v>3703</v>
      </c>
      <c r="P4" s="379">
        <f t="shared" si="1"/>
        <v>7.0371991666666673</v>
      </c>
      <c r="Q4" s="383">
        <f t="shared" si="0"/>
        <v>87.964989583333349</v>
      </c>
      <c r="R4" s="383">
        <f t="shared" si="2"/>
        <v>187.65864444444446</v>
      </c>
      <c r="S4" s="400">
        <f t="shared" si="3"/>
        <v>26666.666666666668</v>
      </c>
    </row>
    <row r="5" spans="1:19" s="377" customFormat="1" ht="33.75" customHeight="1" x14ac:dyDescent="0.25">
      <c r="A5" s="4" t="s">
        <v>602</v>
      </c>
      <c r="B5" s="4" t="s">
        <v>47</v>
      </c>
      <c r="C5" s="376">
        <v>36</v>
      </c>
      <c r="D5" s="4">
        <v>6</v>
      </c>
      <c r="E5" s="4"/>
      <c r="F5" s="4">
        <v>42</v>
      </c>
      <c r="G5" s="381">
        <f>3243.002+155.319</f>
        <v>3398.3209999999999</v>
      </c>
      <c r="H5" s="381">
        <v>857</v>
      </c>
      <c r="K5" s="382" t="s">
        <v>3713</v>
      </c>
      <c r="L5" s="377" t="s">
        <v>3703</v>
      </c>
      <c r="P5" s="379">
        <f t="shared" si="1"/>
        <v>3.9653687281213537</v>
      </c>
      <c r="Q5" s="383">
        <f t="shared" si="0"/>
        <v>80.912404761904753</v>
      </c>
      <c r="R5" s="383">
        <f t="shared" si="2"/>
        <v>94.39780555555555</v>
      </c>
      <c r="S5" s="400">
        <f t="shared" si="3"/>
        <v>23805.555555555558</v>
      </c>
    </row>
    <row r="6" spans="1:19" s="377" customFormat="1" ht="33.75" customHeight="1" x14ac:dyDescent="0.25">
      <c r="A6" s="4" t="s">
        <v>1929</v>
      </c>
      <c r="B6" s="4" t="s">
        <v>47</v>
      </c>
      <c r="C6" s="4">
        <v>320</v>
      </c>
      <c r="D6" s="4">
        <v>24</v>
      </c>
      <c r="E6" s="4"/>
      <c r="F6" s="4">
        <v>730</v>
      </c>
      <c r="G6" s="381">
        <f>34953.942+1925.854</f>
        <v>36879.796000000002</v>
      </c>
      <c r="H6" s="381">
        <v>16163.981</v>
      </c>
      <c r="I6" s="380">
        <v>37528990</v>
      </c>
      <c r="J6" s="377" t="s">
        <v>3706</v>
      </c>
      <c r="K6" s="380">
        <v>1341432098.2846</v>
      </c>
      <c r="L6" s="377" t="s">
        <v>3703</v>
      </c>
      <c r="M6" s="380">
        <v>206034155</v>
      </c>
      <c r="N6" s="377" t="s">
        <v>3702</v>
      </c>
      <c r="O6" s="378">
        <f>M6/K6</f>
        <v>0.15359268297178283</v>
      </c>
      <c r="P6" s="379">
        <f t="shared" si="1"/>
        <v>2.2816035232904568</v>
      </c>
      <c r="Q6" s="383">
        <f t="shared" si="0"/>
        <v>50.520268493150688</v>
      </c>
      <c r="R6" s="383">
        <f t="shared" si="2"/>
        <v>115.2493625</v>
      </c>
      <c r="S6" s="400">
        <f t="shared" si="3"/>
        <v>50512.440624999996</v>
      </c>
    </row>
    <row r="7" spans="1:19" s="377" customFormat="1" ht="33.75" customHeight="1" x14ac:dyDescent="0.25">
      <c r="A7" s="387" t="s">
        <v>3721</v>
      </c>
      <c r="B7" s="4" t="s">
        <v>47</v>
      </c>
      <c r="C7" s="4"/>
      <c r="D7" s="4"/>
      <c r="E7" s="4"/>
      <c r="F7" s="4"/>
      <c r="G7" s="381">
        <f>3014.69+127.275</f>
        <v>3141.9650000000001</v>
      </c>
      <c r="H7" s="381"/>
      <c r="I7" s="380"/>
      <c r="K7" s="380"/>
      <c r="M7" s="380"/>
      <c r="O7" s="378"/>
      <c r="P7" s="379"/>
      <c r="Q7" s="383"/>
      <c r="R7" s="383"/>
      <c r="S7" s="400" t="e">
        <f t="shared" si="3"/>
        <v>#DIV/0!</v>
      </c>
    </row>
    <row r="8" spans="1:19" s="377" customFormat="1" ht="33.75" customHeight="1" x14ac:dyDescent="0.25">
      <c r="A8" s="4" t="s">
        <v>3709</v>
      </c>
      <c r="B8" s="4" t="s">
        <v>47</v>
      </c>
      <c r="C8" s="4">
        <v>180</v>
      </c>
      <c r="D8" s="382" t="s">
        <v>3713</v>
      </c>
      <c r="E8" s="382" t="s">
        <v>3713</v>
      </c>
      <c r="F8" s="382" t="s">
        <v>3713</v>
      </c>
      <c r="G8" s="381">
        <f>9483.855+2645.539</f>
        <v>12129.394</v>
      </c>
      <c r="H8" s="381">
        <v>7996.7250000000004</v>
      </c>
      <c r="I8" s="380">
        <v>3951237</v>
      </c>
      <c r="J8" s="377" t="s">
        <v>3706</v>
      </c>
      <c r="K8" s="382" t="s">
        <v>3713</v>
      </c>
      <c r="L8" s="377" t="s">
        <v>3703</v>
      </c>
      <c r="P8" s="379">
        <f t="shared" si="1"/>
        <v>1.5167951880300998</v>
      </c>
      <c r="Q8" s="383" t="e">
        <f t="shared" si="0"/>
        <v>#VALUE!</v>
      </c>
      <c r="R8" s="383">
        <f t="shared" si="2"/>
        <v>67.385522222222221</v>
      </c>
      <c r="S8" s="400">
        <f t="shared" si="3"/>
        <v>44426.25</v>
      </c>
    </row>
    <row r="9" spans="1:19" s="377" customFormat="1" ht="33.75" customHeight="1" x14ac:dyDescent="0.25">
      <c r="A9" s="4" t="s">
        <v>3710</v>
      </c>
      <c r="B9" s="4" t="s">
        <v>47</v>
      </c>
      <c r="C9" s="4">
        <v>161</v>
      </c>
      <c r="D9" s="382" t="s">
        <v>3713</v>
      </c>
      <c r="E9" s="382" t="s">
        <v>3713</v>
      </c>
      <c r="F9" s="382" t="s">
        <v>3713</v>
      </c>
      <c r="G9" s="381">
        <f>10105.489+3586.527</f>
        <v>13692.016</v>
      </c>
      <c r="H9" s="381">
        <v>8379.3960000000006</v>
      </c>
      <c r="I9" s="380">
        <v>4374402</v>
      </c>
      <c r="J9" s="377" t="s">
        <v>3706</v>
      </c>
      <c r="K9" s="382" t="s">
        <v>3713</v>
      </c>
      <c r="L9" s="377" t="s">
        <v>3703</v>
      </c>
      <c r="P9" s="379">
        <f t="shared" si="1"/>
        <v>1.6340098976107584</v>
      </c>
      <c r="Q9" s="383" t="e">
        <f t="shared" si="0"/>
        <v>#VALUE!</v>
      </c>
      <c r="R9" s="383">
        <f t="shared" si="2"/>
        <v>85.043577639751547</v>
      </c>
      <c r="S9" s="400">
        <f t="shared" si="3"/>
        <v>52045.937888198765</v>
      </c>
    </row>
    <row r="10" spans="1:19" s="377" customFormat="1" ht="33.75" customHeight="1" x14ac:dyDescent="0.25">
      <c r="A10" s="4" t="s">
        <v>3711</v>
      </c>
      <c r="B10" s="4" t="s">
        <v>47</v>
      </c>
      <c r="C10" s="4">
        <v>118</v>
      </c>
      <c r="D10" s="382" t="s">
        <v>3713</v>
      </c>
      <c r="E10" s="382" t="s">
        <v>3713</v>
      </c>
      <c r="F10" s="382" t="s">
        <v>3713</v>
      </c>
      <c r="G10" s="381">
        <f>6611.07 +2853.087</f>
        <v>9464.1569999999992</v>
      </c>
      <c r="H10" s="381">
        <v>5925.5820000000003</v>
      </c>
      <c r="I10" s="380">
        <v>2102309</v>
      </c>
      <c r="J10" s="377" t="s">
        <v>3706</v>
      </c>
      <c r="K10" s="382" t="s">
        <v>3713</v>
      </c>
      <c r="L10" s="377" t="s">
        <v>3703</v>
      </c>
      <c r="P10" s="379">
        <f t="shared" si="1"/>
        <v>1.5971691894568329</v>
      </c>
      <c r="Q10" s="383" t="e">
        <f t="shared" si="0"/>
        <v>#VALUE!</v>
      </c>
      <c r="R10" s="383">
        <f t="shared" si="2"/>
        <v>80.204720338983051</v>
      </c>
      <c r="S10" s="400">
        <f t="shared" si="3"/>
        <v>50216.796610169498</v>
      </c>
    </row>
    <row r="11" spans="1:19" s="377" customFormat="1" ht="33.75" customHeight="1" x14ac:dyDescent="0.25">
      <c r="A11" s="4" t="s">
        <v>3712</v>
      </c>
      <c r="B11" s="4" t="s">
        <v>47</v>
      </c>
      <c r="C11" s="4">
        <v>107</v>
      </c>
      <c r="D11" s="382" t="s">
        <v>3713</v>
      </c>
      <c r="E11" s="382" t="s">
        <v>3713</v>
      </c>
      <c r="F11" s="382" t="s">
        <v>3713</v>
      </c>
      <c r="G11" s="381">
        <f>6003.144+1949.592</f>
        <v>7952.7360000000008</v>
      </c>
      <c r="H11" s="381">
        <v>5441.2610000000004</v>
      </c>
      <c r="I11" s="380">
        <v>2870539</v>
      </c>
      <c r="J11" s="377" t="s">
        <v>3706</v>
      </c>
      <c r="K11" s="382" t="s">
        <v>3713</v>
      </c>
      <c r="L11" s="377" t="s">
        <v>3703</v>
      </c>
      <c r="P11" s="379">
        <f t="shared" si="1"/>
        <v>1.4615612079626397</v>
      </c>
      <c r="Q11" s="383" t="e">
        <f t="shared" si="0"/>
        <v>#VALUE!</v>
      </c>
      <c r="R11" s="383">
        <f t="shared" si="2"/>
        <v>74.324635514018695</v>
      </c>
      <c r="S11" s="400">
        <f t="shared" si="3"/>
        <v>50852.906542056073</v>
      </c>
    </row>
    <row r="12" spans="1:19" s="377" customFormat="1" ht="33.75" customHeight="1" x14ac:dyDescent="0.25">
      <c r="A12" s="4" t="s">
        <v>2836</v>
      </c>
      <c r="B12" s="4" t="s">
        <v>47</v>
      </c>
      <c r="C12" s="4">
        <v>72</v>
      </c>
      <c r="D12" s="4">
        <v>15</v>
      </c>
      <c r="E12" s="4"/>
      <c r="F12" s="382" t="s">
        <v>3713</v>
      </c>
      <c r="G12" s="381">
        <f>4884.72+254.703</f>
        <v>5139.4230000000007</v>
      </c>
      <c r="H12" s="381">
        <v>2991</v>
      </c>
      <c r="I12" s="380"/>
      <c r="J12" s="4"/>
      <c r="K12" s="382" t="s">
        <v>3713</v>
      </c>
      <c r="L12" s="377" t="s">
        <v>3703</v>
      </c>
      <c r="P12" s="379">
        <f t="shared" si="1"/>
        <v>1.7182958876629892</v>
      </c>
      <c r="Q12" s="383" t="e">
        <f t="shared" si="0"/>
        <v>#VALUE!</v>
      </c>
      <c r="R12" s="383">
        <f t="shared" si="2"/>
        <v>71.380875000000003</v>
      </c>
      <c r="S12" s="400">
        <f t="shared" si="3"/>
        <v>41541.666666666664</v>
      </c>
    </row>
    <row r="13" spans="1:19" s="4" customFormat="1" ht="33.75" customHeight="1" x14ac:dyDescent="0.25">
      <c r="A13" s="4" t="s">
        <v>2888</v>
      </c>
      <c r="B13" s="4" t="s">
        <v>1659</v>
      </c>
      <c r="C13" s="4" t="s">
        <v>76</v>
      </c>
      <c r="D13" s="4" t="s">
        <v>76</v>
      </c>
      <c r="F13" s="4">
        <v>13</v>
      </c>
      <c r="G13" s="381">
        <v>527.83000000000004</v>
      </c>
      <c r="H13" s="381" t="s">
        <v>76</v>
      </c>
      <c r="I13" s="380" t="s">
        <v>76</v>
      </c>
      <c r="K13" s="4" t="s">
        <v>76</v>
      </c>
      <c r="M13" s="4" t="s">
        <v>76</v>
      </c>
      <c r="P13" s="4" t="s">
        <v>76</v>
      </c>
      <c r="Q13" s="383">
        <f t="shared" ref="Q13:Q24" si="4">G13/F13</f>
        <v>40.602307692307697</v>
      </c>
      <c r="R13" s="383" t="s">
        <v>76</v>
      </c>
      <c r="S13" s="400" t="e">
        <f t="shared" si="3"/>
        <v>#VALUE!</v>
      </c>
    </row>
    <row r="14" spans="1:19" s="4" customFormat="1" ht="33.75" customHeight="1" x14ac:dyDescent="0.25">
      <c r="A14" s="4" t="s">
        <v>3153</v>
      </c>
      <c r="B14" s="4" t="s">
        <v>47</v>
      </c>
      <c r="C14" s="4">
        <v>288</v>
      </c>
      <c r="D14" s="4">
        <v>15</v>
      </c>
      <c r="F14" s="4">
        <v>504</v>
      </c>
      <c r="G14" s="381">
        <v>28195.84576</v>
      </c>
      <c r="H14" s="381">
        <v>12768.138999999999</v>
      </c>
      <c r="I14" s="380">
        <v>31544.217000000001</v>
      </c>
      <c r="J14" s="377" t="s">
        <v>3706</v>
      </c>
      <c r="K14" s="384">
        <v>1030053000</v>
      </c>
      <c r="L14" s="377" t="s">
        <v>3703</v>
      </c>
      <c r="M14" s="384">
        <v>133583000</v>
      </c>
      <c r="N14" s="377" t="s">
        <v>3702</v>
      </c>
      <c r="O14" s="378">
        <f>M14/K14</f>
        <v>0.12968555986924946</v>
      </c>
      <c r="P14" s="379">
        <f t="shared" si="1"/>
        <v>2.2082972123032185</v>
      </c>
      <c r="Q14" s="383">
        <f t="shared" si="4"/>
        <v>55.944138412698415</v>
      </c>
      <c r="R14" s="383">
        <f t="shared" ref="R14:R24" si="5">G14/C14</f>
        <v>97.902242222222227</v>
      </c>
      <c r="S14" s="400">
        <f t="shared" si="3"/>
        <v>44333.815972222219</v>
      </c>
    </row>
    <row r="15" spans="1:19" s="4" customFormat="1" ht="33.75" customHeight="1" x14ac:dyDescent="0.25">
      <c r="A15" s="382" t="s">
        <v>3235</v>
      </c>
      <c r="B15" s="4" t="s">
        <v>47</v>
      </c>
      <c r="C15" s="4">
        <v>412</v>
      </c>
      <c r="D15" s="4">
        <v>25</v>
      </c>
      <c r="F15" s="4">
        <v>607</v>
      </c>
      <c r="G15" s="385">
        <v>43992.993000000002</v>
      </c>
      <c r="H15" s="386">
        <v>27483.982</v>
      </c>
      <c r="I15" s="380"/>
      <c r="P15" s="379">
        <f t="shared" ref="P15:P24" si="6">G15/H15</f>
        <v>1.6006775510186262</v>
      </c>
      <c r="Q15" s="383">
        <f t="shared" si="4"/>
        <v>72.476100494233947</v>
      </c>
      <c r="R15" s="383">
        <f t="shared" si="5"/>
        <v>106.77910922330098</v>
      </c>
      <c r="S15" s="400">
        <f t="shared" si="3"/>
        <v>66708.694174757286</v>
      </c>
    </row>
    <row r="16" spans="1:19" s="4" customFormat="1" ht="33.75" customHeight="1" x14ac:dyDescent="0.25">
      <c r="A16" s="4" t="s">
        <v>3716</v>
      </c>
      <c r="B16" s="4" t="s">
        <v>47</v>
      </c>
      <c r="C16" s="4">
        <v>160</v>
      </c>
      <c r="D16" s="382" t="s">
        <v>3713</v>
      </c>
      <c r="F16" s="382" t="s">
        <v>3713</v>
      </c>
      <c r="G16" s="381">
        <f>16832.56+4435.274</f>
        <v>21267.834000000003</v>
      </c>
      <c r="H16" s="381">
        <v>14081.215</v>
      </c>
      <c r="I16" s="380">
        <v>1494.471</v>
      </c>
      <c r="J16" s="377" t="s">
        <v>3706</v>
      </c>
      <c r="K16" s="382" t="s">
        <v>3713</v>
      </c>
      <c r="P16" s="379">
        <f t="shared" si="6"/>
        <v>1.5103692401543476</v>
      </c>
      <c r="Q16" s="383" t="e">
        <f t="shared" si="4"/>
        <v>#VALUE!</v>
      </c>
      <c r="R16" s="383">
        <f t="shared" si="5"/>
        <v>132.92396250000002</v>
      </c>
      <c r="S16" s="400">
        <f t="shared" si="3"/>
        <v>88007.59375</v>
      </c>
    </row>
    <row r="17" spans="1:19" s="4" customFormat="1" ht="33.75" customHeight="1" x14ac:dyDescent="0.25">
      <c r="A17" s="4" t="s">
        <v>3717</v>
      </c>
      <c r="B17" s="4" t="s">
        <v>47</v>
      </c>
      <c r="C17" s="4">
        <v>54</v>
      </c>
      <c r="D17" s="382" t="s">
        <v>3713</v>
      </c>
      <c r="F17" s="382" t="s">
        <v>3713</v>
      </c>
      <c r="G17" s="381">
        <f>2435.433+109.16</f>
        <v>2544.5929999999998</v>
      </c>
      <c r="H17" s="381">
        <v>2176.7289999999998</v>
      </c>
      <c r="I17" s="380">
        <v>684.81299999999999</v>
      </c>
      <c r="J17" s="377" t="s">
        <v>3706</v>
      </c>
      <c r="K17" s="382" t="s">
        <v>3713</v>
      </c>
      <c r="P17" s="379">
        <f t="shared" si="6"/>
        <v>1.1689985294448688</v>
      </c>
      <c r="Q17" s="383" t="e">
        <f t="shared" si="4"/>
        <v>#VALUE!</v>
      </c>
      <c r="R17" s="383">
        <f t="shared" si="5"/>
        <v>47.122092592592587</v>
      </c>
      <c r="S17" s="400">
        <f t="shared" si="3"/>
        <v>40309.796296296292</v>
      </c>
    </row>
    <row r="18" spans="1:19" s="4" customFormat="1" ht="33.75" customHeight="1" x14ac:dyDescent="0.25">
      <c r="A18" s="4" t="s">
        <v>3718</v>
      </c>
      <c r="B18" s="4" t="s">
        <v>47</v>
      </c>
      <c r="C18" s="4">
        <v>42</v>
      </c>
      <c r="D18" s="382" t="s">
        <v>3713</v>
      </c>
      <c r="F18" s="382" t="s">
        <v>3713</v>
      </c>
      <c r="G18" s="381">
        <v>470.101</v>
      </c>
      <c r="H18" s="381">
        <v>418.017</v>
      </c>
      <c r="I18" s="380">
        <v>103.74299999999999</v>
      </c>
      <c r="J18" s="377" t="s">
        <v>3706</v>
      </c>
      <c r="K18" s="382" t="s">
        <v>3713</v>
      </c>
      <c r="P18" s="379">
        <f t="shared" si="6"/>
        <v>1.1245978034386162</v>
      </c>
      <c r="Q18" s="383" t="e">
        <f t="shared" si="4"/>
        <v>#VALUE!</v>
      </c>
      <c r="R18" s="383">
        <f t="shared" si="5"/>
        <v>11.192880952380952</v>
      </c>
      <c r="S18" s="400">
        <f t="shared" si="3"/>
        <v>9952.7857142857138</v>
      </c>
    </row>
    <row r="19" spans="1:19" s="4" customFormat="1" ht="33.75" customHeight="1" x14ac:dyDescent="0.25">
      <c r="A19" s="4" t="s">
        <v>3719</v>
      </c>
      <c r="B19" s="4" t="s">
        <v>47</v>
      </c>
      <c r="C19" s="4">
        <v>59</v>
      </c>
      <c r="D19" s="382" t="s">
        <v>3713</v>
      </c>
      <c r="F19" s="382" t="s">
        <v>3713</v>
      </c>
      <c r="G19" s="381">
        <v>925.1</v>
      </c>
      <c r="H19" s="381">
        <v>908.32</v>
      </c>
      <c r="I19" s="380">
        <v>260.09100000000001</v>
      </c>
      <c r="J19" s="377" t="s">
        <v>3706</v>
      </c>
      <c r="K19" s="382" t="s">
        <v>3713</v>
      </c>
      <c r="P19" s="379">
        <f t="shared" si="6"/>
        <v>1.0184736656684867</v>
      </c>
      <c r="Q19" s="383" t="e">
        <f t="shared" si="4"/>
        <v>#VALUE!</v>
      </c>
      <c r="R19" s="383">
        <f t="shared" si="5"/>
        <v>15.679661016949153</v>
      </c>
      <c r="S19" s="400">
        <f t="shared" si="3"/>
        <v>15395.254237288138</v>
      </c>
    </row>
    <row r="20" spans="1:19" ht="33.75" customHeight="1" x14ac:dyDescent="0.25">
      <c r="A20" s="4" t="s">
        <v>3720</v>
      </c>
      <c r="B20" s="4" t="s">
        <v>47</v>
      </c>
      <c r="C20" s="1">
        <v>20</v>
      </c>
      <c r="D20" s="382" t="s">
        <v>3713</v>
      </c>
      <c r="F20" s="382" t="s">
        <v>3713</v>
      </c>
      <c r="G20" s="381">
        <f>476.716+898.316</f>
        <v>1375.0320000000002</v>
      </c>
      <c r="H20" s="381">
        <v>842.40499999999997</v>
      </c>
      <c r="I20" s="380">
        <v>602.31200000000001</v>
      </c>
      <c r="J20" s="377" t="s">
        <v>3706</v>
      </c>
      <c r="K20" s="382" t="s">
        <v>3713</v>
      </c>
      <c r="P20" s="379">
        <f t="shared" si="6"/>
        <v>1.632269514069836</v>
      </c>
      <c r="Q20" s="383" t="e">
        <f t="shared" si="4"/>
        <v>#VALUE!</v>
      </c>
      <c r="R20" s="383">
        <f t="shared" si="5"/>
        <v>68.75160000000001</v>
      </c>
      <c r="S20" s="400">
        <f t="shared" si="3"/>
        <v>42120.25</v>
      </c>
    </row>
    <row r="21" spans="1:19" ht="33.75" customHeight="1" x14ac:dyDescent="0.25">
      <c r="A21" s="1" t="s">
        <v>1934</v>
      </c>
      <c r="B21" s="4" t="s">
        <v>1946</v>
      </c>
      <c r="C21" s="1">
        <v>215</v>
      </c>
      <c r="D21" s="1">
        <v>20</v>
      </c>
      <c r="F21" s="1">
        <v>273</v>
      </c>
      <c r="G21" s="388" t="s">
        <v>3722</v>
      </c>
      <c r="H21" s="381">
        <v>18120.388999999999</v>
      </c>
      <c r="I21" s="380"/>
      <c r="P21" s="379" t="e">
        <f t="shared" si="6"/>
        <v>#VALUE!</v>
      </c>
      <c r="Q21" s="383" t="e">
        <f t="shared" si="4"/>
        <v>#VALUE!</v>
      </c>
      <c r="R21" s="383" t="e">
        <f t="shared" si="5"/>
        <v>#VALUE!</v>
      </c>
      <c r="S21" s="400">
        <f t="shared" si="3"/>
        <v>84280.879069767441</v>
      </c>
    </row>
    <row r="22" spans="1:19" ht="33.75" customHeight="1" x14ac:dyDescent="0.25">
      <c r="A22" s="1" t="s">
        <v>1931</v>
      </c>
      <c r="B22" s="4" t="s">
        <v>47</v>
      </c>
      <c r="C22" s="1">
        <v>68</v>
      </c>
      <c r="D22" s="1">
        <v>4</v>
      </c>
      <c r="F22" s="382" t="s">
        <v>3713</v>
      </c>
      <c r="G22" s="381">
        <f>5215.172+347.405</f>
        <v>5562.5769999999993</v>
      </c>
      <c r="H22" s="381">
        <v>3250.9070000000002</v>
      </c>
      <c r="I22" s="380"/>
      <c r="P22" s="379">
        <f t="shared" si="6"/>
        <v>1.711084629612597</v>
      </c>
      <c r="Q22" s="383" t="e">
        <f t="shared" si="4"/>
        <v>#VALUE!</v>
      </c>
      <c r="R22" s="383">
        <f t="shared" si="5"/>
        <v>81.80260294117646</v>
      </c>
      <c r="S22" s="400">
        <f t="shared" si="3"/>
        <v>47807.455882352937</v>
      </c>
    </row>
    <row r="23" spans="1:19" ht="33.75" customHeight="1" x14ac:dyDescent="0.25">
      <c r="A23" s="169" t="s">
        <v>3893</v>
      </c>
      <c r="B23" s="4" t="s">
        <v>3732</v>
      </c>
      <c r="C23" s="1">
        <v>102</v>
      </c>
      <c r="D23" s="1">
        <v>19</v>
      </c>
      <c r="F23" s="1">
        <v>341</v>
      </c>
      <c r="G23" s="381">
        <f>39864.40105+13.208</f>
        <v>39877.609049999999</v>
      </c>
      <c r="H23" s="381">
        <v>8692.2019999999993</v>
      </c>
      <c r="I23" s="380">
        <v>65862.466</v>
      </c>
      <c r="J23" s="377" t="s">
        <v>3706</v>
      </c>
      <c r="K23" s="389">
        <v>1844442160</v>
      </c>
      <c r="L23" s="377" t="s">
        <v>3703</v>
      </c>
      <c r="M23" s="1">
        <v>352682151</v>
      </c>
      <c r="N23" s="377" t="s">
        <v>3702</v>
      </c>
      <c r="O23" s="378">
        <f>M23/K23</f>
        <v>0.19121345122581671</v>
      </c>
      <c r="P23" s="379">
        <f t="shared" si="6"/>
        <v>4.5877453204607992</v>
      </c>
      <c r="Q23" s="383">
        <f t="shared" si="4"/>
        <v>116.94313504398826</v>
      </c>
      <c r="R23" s="383">
        <f t="shared" si="5"/>
        <v>390.95695147058825</v>
      </c>
      <c r="S23" s="400">
        <f t="shared" si="3"/>
        <v>85217.666666666657</v>
      </c>
    </row>
    <row r="24" spans="1:19" ht="33.75" customHeight="1" x14ac:dyDescent="0.25">
      <c r="A24" s="1" t="s">
        <v>3731</v>
      </c>
      <c r="B24" s="1" t="s">
        <v>47</v>
      </c>
      <c r="C24" s="1">
        <v>156</v>
      </c>
      <c r="D24" s="1">
        <v>3</v>
      </c>
      <c r="F24" s="1">
        <v>118</v>
      </c>
      <c r="G24" s="381">
        <v>6068.451</v>
      </c>
      <c r="H24" s="381">
        <v>8086.1890000000003</v>
      </c>
      <c r="K24" s="389">
        <v>140241465.69999999</v>
      </c>
      <c r="L24" s="377" t="s">
        <v>3703</v>
      </c>
      <c r="P24" s="379">
        <f t="shared" si="6"/>
        <v>0.75047108099996174</v>
      </c>
      <c r="Q24" s="383">
        <f t="shared" si="4"/>
        <v>51.427550847457624</v>
      </c>
      <c r="R24" s="383">
        <f t="shared" si="5"/>
        <v>38.900326923076925</v>
      </c>
      <c r="S24" s="400">
        <f t="shared" si="3"/>
        <v>51834.544871794875</v>
      </c>
    </row>
    <row r="25" spans="1:19" ht="33.75" customHeight="1" x14ac:dyDescent="0.25">
      <c r="A25" s="1" t="s">
        <v>3901</v>
      </c>
      <c r="B25" s="4" t="s">
        <v>3732</v>
      </c>
      <c r="C25" s="1">
        <v>18</v>
      </c>
      <c r="F25" s="1">
        <v>170</v>
      </c>
      <c r="P25" s="379"/>
      <c r="Q25" s="383"/>
      <c r="R25" s="383"/>
    </row>
    <row r="26" spans="1:19" ht="33.75" customHeight="1" x14ac:dyDescent="0.25">
      <c r="A26" s="1" t="s">
        <v>3947</v>
      </c>
      <c r="B26" s="4" t="s">
        <v>3732</v>
      </c>
      <c r="C26" s="1">
        <v>24</v>
      </c>
      <c r="F26" s="1">
        <v>131</v>
      </c>
      <c r="P26" s="379"/>
      <c r="Q26" s="383"/>
      <c r="R26" s="383"/>
    </row>
    <row r="27" spans="1:19" ht="33.75" customHeight="1" x14ac:dyDescent="0.25">
      <c r="A27" s="1" t="s">
        <v>4718</v>
      </c>
      <c r="B27" s="4" t="s">
        <v>47</v>
      </c>
      <c r="C27" s="1">
        <v>0</v>
      </c>
      <c r="D27" s="1">
        <v>7</v>
      </c>
      <c r="F27" s="1">
        <v>83</v>
      </c>
    </row>
    <row r="28" spans="1:19" ht="33.75" customHeight="1" x14ac:dyDescent="0.25"/>
    <row r="29" spans="1:19" ht="33.75" customHeight="1" x14ac:dyDescent="0.25"/>
  </sheetData>
  <pageMargins left="0.7" right="0.7" top="0.75" bottom="0.75" header="0.3" footer="0.3"/>
  <pageSetup paperSize="9" orientation="portrait" r:id="rId1"/>
  <customProperties>
    <customPr name="GUID" r:id="rId2"/>
  </customPropertie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2"/>
  <dimension ref="B1:H248"/>
  <sheetViews>
    <sheetView workbookViewId="0"/>
    <sheetView workbookViewId="1"/>
  </sheetViews>
  <sheetFormatPr defaultRowHeight="15" x14ac:dyDescent="0.25"/>
  <cols>
    <col min="2" max="2" width="63.5703125" style="89" bestFit="1" customWidth="1"/>
    <col min="3" max="3" width="41.140625" style="89" bestFit="1" customWidth="1"/>
    <col min="4" max="4" width="9.140625" style="89"/>
    <col min="8" max="8" width="57.140625" bestFit="1" customWidth="1"/>
  </cols>
  <sheetData>
    <row r="1" spans="2:8" x14ac:dyDescent="0.25">
      <c r="B1" s="88" t="s">
        <v>427</v>
      </c>
      <c r="C1" s="88" t="s">
        <v>168</v>
      </c>
      <c r="H1" s="86" t="s">
        <v>170</v>
      </c>
    </row>
    <row r="2" spans="2:8" x14ac:dyDescent="0.25">
      <c r="B2" s="89" t="s">
        <v>177</v>
      </c>
      <c r="C2" s="89" t="s">
        <v>173</v>
      </c>
      <c r="H2" t="s">
        <v>171</v>
      </c>
    </row>
    <row r="3" spans="2:8" x14ac:dyDescent="0.25">
      <c r="B3" s="89" t="s">
        <v>178</v>
      </c>
      <c r="C3" s="89" t="s">
        <v>173</v>
      </c>
      <c r="H3" t="s">
        <v>172</v>
      </c>
    </row>
    <row r="4" spans="2:8" x14ac:dyDescent="0.25">
      <c r="B4" s="89" t="s">
        <v>179</v>
      </c>
      <c r="C4" s="89" t="s">
        <v>173</v>
      </c>
      <c r="H4" t="s">
        <v>173</v>
      </c>
    </row>
    <row r="5" spans="2:8" x14ac:dyDescent="0.25">
      <c r="B5" s="89" t="s">
        <v>180</v>
      </c>
      <c r="C5" s="89" t="s">
        <v>173</v>
      </c>
      <c r="H5" t="s">
        <v>174</v>
      </c>
    </row>
    <row r="6" spans="2:8" x14ac:dyDescent="0.25">
      <c r="B6" s="89" t="s">
        <v>181</v>
      </c>
      <c r="C6" s="89" t="s">
        <v>173</v>
      </c>
      <c r="H6" t="s">
        <v>175</v>
      </c>
    </row>
    <row r="7" spans="2:8" x14ac:dyDescent="0.25">
      <c r="B7" s="89" t="s">
        <v>182</v>
      </c>
      <c r="C7" s="89" t="s">
        <v>173</v>
      </c>
      <c r="H7" t="s">
        <v>176</v>
      </c>
    </row>
    <row r="8" spans="2:8" x14ac:dyDescent="0.25">
      <c r="B8" s="89" t="s">
        <v>183</v>
      </c>
      <c r="C8" s="89" t="s">
        <v>173</v>
      </c>
      <c r="H8" t="s">
        <v>227</v>
      </c>
    </row>
    <row r="9" spans="2:8" x14ac:dyDescent="0.25">
      <c r="B9" s="89" t="s">
        <v>184</v>
      </c>
      <c r="C9" s="89" t="s">
        <v>173</v>
      </c>
      <c r="H9" t="s">
        <v>415</v>
      </c>
    </row>
    <row r="10" spans="2:8" x14ac:dyDescent="0.25">
      <c r="B10" s="89" t="s">
        <v>185</v>
      </c>
      <c r="C10" s="89" t="s">
        <v>173</v>
      </c>
    </row>
    <row r="11" spans="2:8" x14ac:dyDescent="0.25">
      <c r="B11" s="89" t="s">
        <v>186</v>
      </c>
      <c r="C11" s="89" t="s">
        <v>173</v>
      </c>
    </row>
    <row r="12" spans="2:8" x14ac:dyDescent="0.25">
      <c r="B12" s="89" t="s">
        <v>187</v>
      </c>
      <c r="C12" s="89" t="s">
        <v>173</v>
      </c>
    </row>
    <row r="13" spans="2:8" x14ac:dyDescent="0.25">
      <c r="B13" s="89" t="s">
        <v>188</v>
      </c>
      <c r="C13" s="89" t="s">
        <v>173</v>
      </c>
    </row>
    <row r="14" spans="2:8" x14ac:dyDescent="0.25">
      <c r="B14" s="89" t="s">
        <v>189</v>
      </c>
      <c r="C14" s="89" t="s">
        <v>173</v>
      </c>
    </row>
    <row r="15" spans="2:8" x14ac:dyDescent="0.25">
      <c r="B15" s="89" t="s">
        <v>190</v>
      </c>
      <c r="C15" s="89" t="s">
        <v>173</v>
      </c>
    </row>
    <row r="16" spans="2:8" x14ac:dyDescent="0.25">
      <c r="B16" s="89" t="s">
        <v>191</v>
      </c>
      <c r="C16" s="89" t="s">
        <v>173</v>
      </c>
    </row>
    <row r="17" spans="2:3" x14ac:dyDescent="0.25">
      <c r="B17" s="89" t="s">
        <v>192</v>
      </c>
      <c r="C17" s="89" t="s">
        <v>173</v>
      </c>
    </row>
    <row r="18" spans="2:3" x14ac:dyDescent="0.25">
      <c r="B18" s="89" t="s">
        <v>193</v>
      </c>
      <c r="C18" s="89" t="s">
        <v>173</v>
      </c>
    </row>
    <row r="19" spans="2:3" x14ac:dyDescent="0.25">
      <c r="B19" s="89" t="s">
        <v>194</v>
      </c>
      <c r="C19" s="89" t="s">
        <v>173</v>
      </c>
    </row>
    <row r="20" spans="2:3" x14ac:dyDescent="0.25">
      <c r="B20" s="89" t="s">
        <v>195</v>
      </c>
      <c r="C20" s="89" t="s">
        <v>173</v>
      </c>
    </row>
    <row r="21" spans="2:3" x14ac:dyDescent="0.25">
      <c r="B21" s="89" t="s">
        <v>196</v>
      </c>
      <c r="C21" s="89" t="s">
        <v>173</v>
      </c>
    </row>
    <row r="22" spans="2:3" x14ac:dyDescent="0.25">
      <c r="B22" s="89" t="s">
        <v>197</v>
      </c>
      <c r="C22" s="89" t="s">
        <v>173</v>
      </c>
    </row>
    <row r="23" spans="2:3" x14ac:dyDescent="0.25">
      <c r="B23" s="89" t="s">
        <v>198</v>
      </c>
      <c r="C23" s="89" t="s">
        <v>173</v>
      </c>
    </row>
    <row r="24" spans="2:3" x14ac:dyDescent="0.25">
      <c r="B24" s="89" t="s">
        <v>199</v>
      </c>
      <c r="C24" s="89" t="s">
        <v>173</v>
      </c>
    </row>
    <row r="25" spans="2:3" x14ac:dyDescent="0.25">
      <c r="B25" s="89" t="s">
        <v>200</v>
      </c>
      <c r="C25" s="89" t="s">
        <v>173</v>
      </c>
    </row>
    <row r="26" spans="2:3" x14ac:dyDescent="0.25">
      <c r="B26" s="89" t="s">
        <v>201</v>
      </c>
      <c r="C26" s="89" t="s">
        <v>173</v>
      </c>
    </row>
    <row r="27" spans="2:3" x14ac:dyDescent="0.25">
      <c r="B27" s="89" t="s">
        <v>202</v>
      </c>
      <c r="C27" s="89" t="s">
        <v>173</v>
      </c>
    </row>
    <row r="28" spans="2:3" x14ac:dyDescent="0.25">
      <c r="B28" s="89" t="s">
        <v>203</v>
      </c>
      <c r="C28" s="89" t="s">
        <v>173</v>
      </c>
    </row>
    <row r="29" spans="2:3" x14ac:dyDescent="0.25">
      <c r="B29" s="89" t="s">
        <v>204</v>
      </c>
      <c r="C29" s="89" t="s">
        <v>173</v>
      </c>
    </row>
    <row r="30" spans="2:3" x14ac:dyDescent="0.25">
      <c r="B30" s="89" t="s">
        <v>205</v>
      </c>
      <c r="C30" s="89" t="s">
        <v>173</v>
      </c>
    </row>
    <row r="31" spans="2:3" x14ac:dyDescent="0.25">
      <c r="B31" s="89" t="s">
        <v>206</v>
      </c>
      <c r="C31" s="89" t="s">
        <v>173</v>
      </c>
    </row>
    <row r="32" spans="2:3" x14ac:dyDescent="0.25">
      <c r="B32" s="89" t="s">
        <v>207</v>
      </c>
      <c r="C32" s="89" t="s">
        <v>173</v>
      </c>
    </row>
    <row r="33" spans="2:3" x14ac:dyDescent="0.25">
      <c r="B33" s="89" t="s">
        <v>208</v>
      </c>
      <c r="C33" s="89" t="s">
        <v>173</v>
      </c>
    </row>
    <row r="34" spans="2:3" x14ac:dyDescent="0.25">
      <c r="B34" s="89" t="s">
        <v>209</v>
      </c>
      <c r="C34" s="89" t="s">
        <v>173</v>
      </c>
    </row>
    <row r="35" spans="2:3" x14ac:dyDescent="0.25">
      <c r="B35" s="89" t="s">
        <v>210</v>
      </c>
      <c r="C35" s="89" t="s">
        <v>173</v>
      </c>
    </row>
    <row r="36" spans="2:3" x14ac:dyDescent="0.25">
      <c r="B36" s="89" t="s">
        <v>211</v>
      </c>
      <c r="C36" s="89" t="s">
        <v>173</v>
      </c>
    </row>
    <row r="37" spans="2:3" x14ac:dyDescent="0.25">
      <c r="B37" s="89" t="s">
        <v>212</v>
      </c>
      <c r="C37" s="89" t="s">
        <v>173</v>
      </c>
    </row>
    <row r="38" spans="2:3" x14ac:dyDescent="0.25">
      <c r="B38" s="89" t="s">
        <v>213</v>
      </c>
      <c r="C38" s="89" t="s">
        <v>173</v>
      </c>
    </row>
    <row r="39" spans="2:3" x14ac:dyDescent="0.25">
      <c r="B39" s="89" t="s">
        <v>214</v>
      </c>
      <c r="C39" s="89" t="s">
        <v>173</v>
      </c>
    </row>
    <row r="40" spans="2:3" x14ac:dyDescent="0.25">
      <c r="B40" s="89" t="s">
        <v>215</v>
      </c>
      <c r="C40" s="89" t="s">
        <v>173</v>
      </c>
    </row>
    <row r="41" spans="2:3" x14ac:dyDescent="0.25">
      <c r="B41" s="89" t="s">
        <v>216</v>
      </c>
      <c r="C41" s="89" t="s">
        <v>173</v>
      </c>
    </row>
    <row r="42" spans="2:3" x14ac:dyDescent="0.25">
      <c r="B42" s="89" t="s">
        <v>217</v>
      </c>
      <c r="C42" s="89" t="s">
        <v>173</v>
      </c>
    </row>
    <row r="43" spans="2:3" x14ac:dyDescent="0.25">
      <c r="B43" s="90" t="s">
        <v>218</v>
      </c>
      <c r="C43" s="89" t="s">
        <v>173</v>
      </c>
    </row>
    <row r="44" spans="2:3" x14ac:dyDescent="0.25">
      <c r="B44" s="89" t="s">
        <v>219</v>
      </c>
      <c r="C44" s="89" t="s">
        <v>173</v>
      </c>
    </row>
    <row r="45" spans="2:3" x14ac:dyDescent="0.25">
      <c r="B45" s="89" t="s">
        <v>220</v>
      </c>
      <c r="C45" s="89" t="s">
        <v>173</v>
      </c>
    </row>
    <row r="46" spans="2:3" x14ac:dyDescent="0.25">
      <c r="B46" s="90" t="s">
        <v>221</v>
      </c>
      <c r="C46" s="89" t="s">
        <v>173</v>
      </c>
    </row>
    <row r="47" spans="2:3" x14ac:dyDescent="0.25">
      <c r="B47" s="89" t="s">
        <v>222</v>
      </c>
      <c r="C47" s="89" t="s">
        <v>173</v>
      </c>
    </row>
    <row r="48" spans="2:3" x14ac:dyDescent="0.25">
      <c r="B48" s="89" t="s">
        <v>223</v>
      </c>
      <c r="C48" s="89" t="s">
        <v>173</v>
      </c>
    </row>
    <row r="49" spans="2:3" x14ac:dyDescent="0.25">
      <c r="B49" s="89" t="s">
        <v>224</v>
      </c>
      <c r="C49" s="89" t="s">
        <v>173</v>
      </c>
    </row>
    <row r="50" spans="2:3" x14ac:dyDescent="0.25">
      <c r="B50" s="89" t="s">
        <v>225</v>
      </c>
      <c r="C50" s="89" t="s">
        <v>173</v>
      </c>
    </row>
    <row r="51" spans="2:3" x14ac:dyDescent="0.25">
      <c r="B51" s="89" t="s">
        <v>226</v>
      </c>
      <c r="C51" s="89" t="s">
        <v>173</v>
      </c>
    </row>
    <row r="52" spans="2:3" x14ac:dyDescent="0.25">
      <c r="B52" s="89" t="s">
        <v>228</v>
      </c>
      <c r="C52" s="89" t="s">
        <v>172</v>
      </c>
    </row>
    <row r="53" spans="2:3" x14ac:dyDescent="0.25">
      <c r="B53" s="89" t="s">
        <v>229</v>
      </c>
      <c r="C53" s="89" t="s">
        <v>172</v>
      </c>
    </row>
    <row r="54" spans="2:3" x14ac:dyDescent="0.25">
      <c r="B54" s="89" t="s">
        <v>230</v>
      </c>
      <c r="C54" s="89" t="s">
        <v>172</v>
      </c>
    </row>
    <row r="55" spans="2:3" x14ac:dyDescent="0.25">
      <c r="B55" s="89" t="s">
        <v>231</v>
      </c>
      <c r="C55" s="89" t="s">
        <v>172</v>
      </c>
    </row>
    <row r="56" spans="2:3" x14ac:dyDescent="0.25">
      <c r="B56" s="89" t="s">
        <v>232</v>
      </c>
      <c r="C56" s="89" t="s">
        <v>172</v>
      </c>
    </row>
    <row r="57" spans="2:3" x14ac:dyDescent="0.25">
      <c r="B57" s="89" t="s">
        <v>233</v>
      </c>
      <c r="C57" s="89" t="s">
        <v>172</v>
      </c>
    </row>
    <row r="58" spans="2:3" x14ac:dyDescent="0.25">
      <c r="B58" s="89" t="s">
        <v>234</v>
      </c>
      <c r="C58" s="89" t="s">
        <v>172</v>
      </c>
    </row>
    <row r="59" spans="2:3" x14ac:dyDescent="0.25">
      <c r="B59" s="89" t="s">
        <v>235</v>
      </c>
      <c r="C59" s="89" t="s">
        <v>172</v>
      </c>
    </row>
    <row r="60" spans="2:3" x14ac:dyDescent="0.25">
      <c r="B60" s="89" t="s">
        <v>236</v>
      </c>
      <c r="C60" s="89" t="s">
        <v>172</v>
      </c>
    </row>
    <row r="61" spans="2:3" x14ac:dyDescent="0.25">
      <c r="B61" s="89" t="s">
        <v>237</v>
      </c>
      <c r="C61" s="89" t="s">
        <v>172</v>
      </c>
    </row>
    <row r="62" spans="2:3" x14ac:dyDescent="0.25">
      <c r="B62" s="89" t="s">
        <v>238</v>
      </c>
      <c r="C62" s="89" t="s">
        <v>172</v>
      </c>
    </row>
    <row r="63" spans="2:3" x14ac:dyDescent="0.25">
      <c r="B63" s="89" t="s">
        <v>239</v>
      </c>
      <c r="C63" s="89" t="s">
        <v>172</v>
      </c>
    </row>
    <row r="64" spans="2:3" x14ac:dyDescent="0.25">
      <c r="B64" s="89" t="s">
        <v>240</v>
      </c>
      <c r="C64" s="89" t="s">
        <v>172</v>
      </c>
    </row>
    <row r="65" spans="2:3" x14ac:dyDescent="0.25">
      <c r="B65" s="89" t="s">
        <v>241</v>
      </c>
      <c r="C65" s="89" t="s">
        <v>172</v>
      </c>
    </row>
    <row r="66" spans="2:3" x14ac:dyDescent="0.25">
      <c r="B66" s="89" t="s">
        <v>242</v>
      </c>
      <c r="C66" s="89" t="s">
        <v>172</v>
      </c>
    </row>
    <row r="67" spans="2:3" x14ac:dyDescent="0.25">
      <c r="B67" s="89" t="s">
        <v>243</v>
      </c>
      <c r="C67" s="89" t="s">
        <v>172</v>
      </c>
    </row>
    <row r="68" spans="2:3" x14ac:dyDescent="0.25">
      <c r="B68" s="89" t="s">
        <v>244</v>
      </c>
      <c r="C68" s="89" t="s">
        <v>172</v>
      </c>
    </row>
    <row r="69" spans="2:3" x14ac:dyDescent="0.25">
      <c r="B69" s="89" t="s">
        <v>245</v>
      </c>
      <c r="C69" s="89" t="s">
        <v>172</v>
      </c>
    </row>
    <row r="70" spans="2:3" x14ac:dyDescent="0.25">
      <c r="B70" s="89" t="s">
        <v>246</v>
      </c>
      <c r="C70" s="89" t="s">
        <v>172</v>
      </c>
    </row>
    <row r="71" spans="2:3" x14ac:dyDescent="0.25">
      <c r="B71" s="89" t="s">
        <v>247</v>
      </c>
      <c r="C71" s="89" t="s">
        <v>172</v>
      </c>
    </row>
    <row r="72" spans="2:3" x14ac:dyDescent="0.25">
      <c r="B72" s="89" t="s">
        <v>248</v>
      </c>
      <c r="C72" s="89" t="s">
        <v>172</v>
      </c>
    </row>
    <row r="73" spans="2:3" x14ac:dyDescent="0.25">
      <c r="B73" s="89" t="s">
        <v>249</v>
      </c>
      <c r="C73" s="89" t="s">
        <v>171</v>
      </c>
    </row>
    <row r="74" spans="2:3" x14ac:dyDescent="0.25">
      <c r="B74" s="89" t="s">
        <v>250</v>
      </c>
      <c r="C74" s="89" t="s">
        <v>171</v>
      </c>
    </row>
    <row r="75" spans="2:3" x14ac:dyDescent="0.25">
      <c r="B75" s="89" t="s">
        <v>251</v>
      </c>
      <c r="C75" s="89" t="s">
        <v>171</v>
      </c>
    </row>
    <row r="76" spans="2:3" x14ac:dyDescent="0.25">
      <c r="B76" s="89" t="s">
        <v>252</v>
      </c>
      <c r="C76" s="89" t="s">
        <v>171</v>
      </c>
    </row>
    <row r="77" spans="2:3" x14ac:dyDescent="0.25">
      <c r="B77" s="89" t="s">
        <v>254</v>
      </c>
      <c r="C77" s="89" t="s">
        <v>171</v>
      </c>
    </row>
    <row r="78" spans="2:3" x14ac:dyDescent="0.25">
      <c r="B78" s="89" t="s">
        <v>255</v>
      </c>
      <c r="C78" s="89" t="s">
        <v>171</v>
      </c>
    </row>
    <row r="79" spans="2:3" x14ac:dyDescent="0.25">
      <c r="B79" s="89" t="s">
        <v>256</v>
      </c>
      <c r="C79" s="89" t="s">
        <v>171</v>
      </c>
    </row>
    <row r="80" spans="2:3" x14ac:dyDescent="0.25">
      <c r="B80" s="89" t="s">
        <v>253</v>
      </c>
      <c r="C80" s="89" t="s">
        <v>171</v>
      </c>
    </row>
    <row r="81" spans="2:3" x14ac:dyDescent="0.25">
      <c r="B81" s="89" t="s">
        <v>257</v>
      </c>
      <c r="C81" s="89" t="s">
        <v>171</v>
      </c>
    </row>
    <row r="82" spans="2:3" x14ac:dyDescent="0.25">
      <c r="B82" s="89" t="s">
        <v>258</v>
      </c>
      <c r="C82" s="89" t="s">
        <v>171</v>
      </c>
    </row>
    <row r="83" spans="2:3" x14ac:dyDescent="0.25">
      <c r="B83" s="89" t="s">
        <v>259</v>
      </c>
      <c r="C83" s="89" t="s">
        <v>171</v>
      </c>
    </row>
    <row r="84" spans="2:3" x14ac:dyDescent="0.25">
      <c r="B84" s="89" t="s">
        <v>260</v>
      </c>
      <c r="C84" s="89" t="s">
        <v>171</v>
      </c>
    </row>
    <row r="85" spans="2:3" x14ac:dyDescent="0.25">
      <c r="B85" s="89" t="s">
        <v>261</v>
      </c>
      <c r="C85" s="89" t="s">
        <v>171</v>
      </c>
    </row>
    <row r="86" spans="2:3" x14ac:dyDescent="0.25">
      <c r="B86" s="89" t="s">
        <v>262</v>
      </c>
      <c r="C86" s="89" t="s">
        <v>171</v>
      </c>
    </row>
    <row r="87" spans="2:3" x14ac:dyDescent="0.25">
      <c r="B87" s="89" t="s">
        <v>263</v>
      </c>
      <c r="C87" s="89" t="s">
        <v>264</v>
      </c>
    </row>
    <row r="88" spans="2:3" x14ac:dyDescent="0.25">
      <c r="B88" s="89" t="s">
        <v>265</v>
      </c>
      <c r="C88" s="89" t="s">
        <v>264</v>
      </c>
    </row>
    <row r="89" spans="2:3" x14ac:dyDescent="0.25">
      <c r="B89" s="89" t="s">
        <v>266</v>
      </c>
      <c r="C89" s="89" t="s">
        <v>264</v>
      </c>
    </row>
    <row r="90" spans="2:3" x14ac:dyDescent="0.25">
      <c r="B90" s="89" t="s">
        <v>267</v>
      </c>
      <c r="C90" s="89" t="s">
        <v>264</v>
      </c>
    </row>
    <row r="91" spans="2:3" x14ac:dyDescent="0.25">
      <c r="B91" s="89" t="s">
        <v>268</v>
      </c>
      <c r="C91" s="89" t="s">
        <v>264</v>
      </c>
    </row>
    <row r="92" spans="2:3" x14ac:dyDescent="0.25">
      <c r="B92" s="89" t="s">
        <v>269</v>
      </c>
      <c r="C92" s="89" t="s">
        <v>264</v>
      </c>
    </row>
    <row r="93" spans="2:3" x14ac:dyDescent="0.25">
      <c r="B93" s="89" t="s">
        <v>270</v>
      </c>
      <c r="C93" s="89" t="s">
        <v>264</v>
      </c>
    </row>
    <row r="94" spans="2:3" x14ac:dyDescent="0.25">
      <c r="B94" s="89" t="s">
        <v>271</v>
      </c>
      <c r="C94" s="89" t="s">
        <v>264</v>
      </c>
    </row>
    <row r="95" spans="2:3" x14ac:dyDescent="0.25">
      <c r="B95" s="89" t="s">
        <v>272</v>
      </c>
      <c r="C95" s="89" t="s">
        <v>264</v>
      </c>
    </row>
    <row r="96" spans="2:3" x14ac:dyDescent="0.25">
      <c r="B96" s="89" t="s">
        <v>273</v>
      </c>
      <c r="C96" s="89" t="s">
        <v>264</v>
      </c>
    </row>
    <row r="97" spans="2:3" x14ac:dyDescent="0.25">
      <c r="B97" s="89" t="s">
        <v>274</v>
      </c>
      <c r="C97" s="89" t="s">
        <v>264</v>
      </c>
    </row>
    <row r="98" spans="2:3" x14ac:dyDescent="0.25">
      <c r="B98" s="89" t="s">
        <v>276</v>
      </c>
      <c r="C98" s="89" t="s">
        <v>275</v>
      </c>
    </row>
    <row r="99" spans="2:3" x14ac:dyDescent="0.25">
      <c r="B99" s="89" t="s">
        <v>277</v>
      </c>
      <c r="C99" s="89" t="s">
        <v>275</v>
      </c>
    </row>
    <row r="100" spans="2:3" x14ac:dyDescent="0.25">
      <c r="B100" s="89" t="s">
        <v>278</v>
      </c>
      <c r="C100" s="89" t="s">
        <v>275</v>
      </c>
    </row>
    <row r="101" spans="2:3" x14ac:dyDescent="0.25">
      <c r="B101" s="89" t="s">
        <v>279</v>
      </c>
      <c r="C101" s="89" t="s">
        <v>275</v>
      </c>
    </row>
    <row r="102" spans="2:3" x14ac:dyDescent="0.25">
      <c r="B102" s="89" t="s">
        <v>280</v>
      </c>
      <c r="C102" s="89" t="s">
        <v>275</v>
      </c>
    </row>
    <row r="103" spans="2:3" x14ac:dyDescent="0.25">
      <c r="B103" s="89" t="s">
        <v>281</v>
      </c>
      <c r="C103" s="89" t="s">
        <v>275</v>
      </c>
    </row>
    <row r="104" spans="2:3" x14ac:dyDescent="0.25">
      <c r="B104" s="89" t="s">
        <v>282</v>
      </c>
      <c r="C104" s="89" t="s">
        <v>275</v>
      </c>
    </row>
    <row r="105" spans="2:3" x14ac:dyDescent="0.25">
      <c r="B105" s="89" t="s">
        <v>283</v>
      </c>
      <c r="C105" s="89" t="s">
        <v>275</v>
      </c>
    </row>
    <row r="106" spans="2:3" x14ac:dyDescent="0.25">
      <c r="B106" s="89" t="s">
        <v>284</v>
      </c>
      <c r="C106" s="89" t="s">
        <v>275</v>
      </c>
    </row>
    <row r="107" spans="2:3" x14ac:dyDescent="0.25">
      <c r="B107" s="89" t="s">
        <v>285</v>
      </c>
      <c r="C107" s="89" t="s">
        <v>275</v>
      </c>
    </row>
    <row r="108" spans="2:3" x14ac:dyDescent="0.25">
      <c r="B108" s="89" t="s">
        <v>286</v>
      </c>
      <c r="C108" s="89" t="s">
        <v>275</v>
      </c>
    </row>
    <row r="109" spans="2:3" x14ac:dyDescent="0.25">
      <c r="B109" s="89" t="s">
        <v>287</v>
      </c>
      <c r="C109" s="89" t="s">
        <v>275</v>
      </c>
    </row>
    <row r="110" spans="2:3" x14ac:dyDescent="0.25">
      <c r="B110" s="89" t="s">
        <v>288</v>
      </c>
      <c r="C110" s="89" t="s">
        <v>275</v>
      </c>
    </row>
    <row r="111" spans="2:3" x14ac:dyDescent="0.25">
      <c r="B111" s="89" t="s">
        <v>289</v>
      </c>
      <c r="C111" s="89" t="s">
        <v>275</v>
      </c>
    </row>
    <row r="112" spans="2:3" x14ac:dyDescent="0.25">
      <c r="B112" s="89" t="s">
        <v>290</v>
      </c>
      <c r="C112" s="89" t="s">
        <v>275</v>
      </c>
    </row>
    <row r="113" spans="2:3" x14ac:dyDescent="0.25">
      <c r="B113" s="89" t="s">
        <v>291</v>
      </c>
      <c r="C113" s="89" t="s">
        <v>275</v>
      </c>
    </row>
    <row r="114" spans="2:3" x14ac:dyDescent="0.25">
      <c r="B114" s="89" t="s">
        <v>292</v>
      </c>
      <c r="C114" s="89" t="s">
        <v>293</v>
      </c>
    </row>
    <row r="115" spans="2:3" x14ac:dyDescent="0.25">
      <c r="B115" s="89" t="s">
        <v>294</v>
      </c>
      <c r="C115" s="89" t="s">
        <v>293</v>
      </c>
    </row>
    <row r="116" spans="2:3" x14ac:dyDescent="0.25">
      <c r="B116" s="89" t="s">
        <v>295</v>
      </c>
      <c r="C116" s="89" t="s">
        <v>293</v>
      </c>
    </row>
    <row r="117" spans="2:3" x14ac:dyDescent="0.25">
      <c r="B117" s="89" t="s">
        <v>296</v>
      </c>
      <c r="C117" s="89" t="s">
        <v>293</v>
      </c>
    </row>
    <row r="118" spans="2:3" x14ac:dyDescent="0.25">
      <c r="B118" s="89" t="s">
        <v>297</v>
      </c>
      <c r="C118" s="89" t="s">
        <v>293</v>
      </c>
    </row>
    <row r="119" spans="2:3" x14ac:dyDescent="0.25">
      <c r="B119" s="89" t="s">
        <v>298</v>
      </c>
      <c r="C119" s="89" t="s">
        <v>293</v>
      </c>
    </row>
    <row r="120" spans="2:3" x14ac:dyDescent="0.25">
      <c r="B120" s="89" t="s">
        <v>299</v>
      </c>
      <c r="C120" s="89" t="s">
        <v>293</v>
      </c>
    </row>
    <row r="121" spans="2:3" x14ac:dyDescent="0.25">
      <c r="B121" s="89" t="s">
        <v>300</v>
      </c>
      <c r="C121" s="89" t="s">
        <v>293</v>
      </c>
    </row>
    <row r="122" spans="2:3" x14ac:dyDescent="0.25">
      <c r="B122" s="89" t="s">
        <v>301</v>
      </c>
      <c r="C122" s="89" t="s">
        <v>293</v>
      </c>
    </row>
    <row r="123" spans="2:3" x14ac:dyDescent="0.25">
      <c r="B123" s="89" t="s">
        <v>302</v>
      </c>
      <c r="C123" s="89" t="s">
        <v>293</v>
      </c>
    </row>
    <row r="124" spans="2:3" x14ac:dyDescent="0.25">
      <c r="B124" s="89" t="s">
        <v>303</v>
      </c>
      <c r="C124" s="89" t="s">
        <v>293</v>
      </c>
    </row>
    <row r="125" spans="2:3" x14ac:dyDescent="0.25">
      <c r="B125" s="89" t="s">
        <v>304</v>
      </c>
      <c r="C125" s="89" t="s">
        <v>293</v>
      </c>
    </row>
    <row r="126" spans="2:3" x14ac:dyDescent="0.25">
      <c r="B126" s="89" t="s">
        <v>305</v>
      </c>
      <c r="C126" s="89" t="s">
        <v>293</v>
      </c>
    </row>
    <row r="127" spans="2:3" x14ac:dyDescent="0.25">
      <c r="B127" s="89" t="s">
        <v>306</v>
      </c>
      <c r="C127" s="89" t="s">
        <v>293</v>
      </c>
    </row>
    <row r="128" spans="2:3" x14ac:dyDescent="0.25">
      <c r="B128" s="89" t="s">
        <v>307</v>
      </c>
      <c r="C128" s="89" t="s">
        <v>293</v>
      </c>
    </row>
    <row r="129" spans="2:3" x14ac:dyDescent="0.25">
      <c r="B129" s="89" t="s">
        <v>308</v>
      </c>
      <c r="C129" s="89" t="s">
        <v>293</v>
      </c>
    </row>
    <row r="130" spans="2:3" x14ac:dyDescent="0.25">
      <c r="B130" s="89" t="s">
        <v>309</v>
      </c>
      <c r="C130" s="89" t="s">
        <v>293</v>
      </c>
    </row>
    <row r="131" spans="2:3" x14ac:dyDescent="0.25">
      <c r="B131" s="89" t="s">
        <v>310</v>
      </c>
      <c r="C131" s="89" t="s">
        <v>293</v>
      </c>
    </row>
    <row r="132" spans="2:3" x14ac:dyDescent="0.25">
      <c r="B132" s="89" t="s">
        <v>311</v>
      </c>
      <c r="C132" s="89" t="s">
        <v>293</v>
      </c>
    </row>
    <row r="133" spans="2:3" x14ac:dyDescent="0.25">
      <c r="B133" s="89" t="s">
        <v>312</v>
      </c>
      <c r="C133" s="89" t="s">
        <v>293</v>
      </c>
    </row>
    <row r="134" spans="2:3" x14ac:dyDescent="0.25">
      <c r="B134" s="89" t="s">
        <v>313</v>
      </c>
      <c r="C134" s="89" t="s">
        <v>293</v>
      </c>
    </row>
    <row r="135" spans="2:3" x14ac:dyDescent="0.25">
      <c r="B135" s="89" t="s">
        <v>314</v>
      </c>
      <c r="C135" s="89" t="s">
        <v>293</v>
      </c>
    </row>
    <row r="136" spans="2:3" x14ac:dyDescent="0.25">
      <c r="B136" s="89" t="s">
        <v>315</v>
      </c>
      <c r="C136" s="89" t="s">
        <v>293</v>
      </c>
    </row>
    <row r="137" spans="2:3" x14ac:dyDescent="0.25">
      <c r="B137" s="89" t="s">
        <v>316</v>
      </c>
      <c r="C137" s="89" t="s">
        <v>293</v>
      </c>
    </row>
    <row r="138" spans="2:3" x14ac:dyDescent="0.25">
      <c r="B138" s="89" t="s">
        <v>317</v>
      </c>
      <c r="C138" s="89" t="s">
        <v>293</v>
      </c>
    </row>
    <row r="139" spans="2:3" x14ac:dyDescent="0.25">
      <c r="B139" s="89" t="s">
        <v>318</v>
      </c>
      <c r="C139" s="89" t="s">
        <v>293</v>
      </c>
    </row>
    <row r="140" spans="2:3" x14ac:dyDescent="0.25">
      <c r="B140" s="89" t="s">
        <v>319</v>
      </c>
      <c r="C140" s="89" t="s">
        <v>293</v>
      </c>
    </row>
    <row r="141" spans="2:3" x14ac:dyDescent="0.25">
      <c r="B141" s="89" t="s">
        <v>320</v>
      </c>
      <c r="C141" s="89" t="s">
        <v>293</v>
      </c>
    </row>
    <row r="142" spans="2:3" x14ac:dyDescent="0.25">
      <c r="B142" s="89" t="s">
        <v>322</v>
      </c>
      <c r="C142" s="89" t="s">
        <v>321</v>
      </c>
    </row>
    <row r="143" spans="2:3" x14ac:dyDescent="0.25">
      <c r="B143" s="89" t="s">
        <v>323</v>
      </c>
      <c r="C143" s="89" t="s">
        <v>321</v>
      </c>
    </row>
    <row r="144" spans="2:3" x14ac:dyDescent="0.25">
      <c r="B144" s="89" t="s">
        <v>324</v>
      </c>
      <c r="C144" s="89" t="s">
        <v>321</v>
      </c>
    </row>
    <row r="145" spans="2:3" x14ac:dyDescent="0.25">
      <c r="B145" s="89" t="s">
        <v>325</v>
      </c>
      <c r="C145" s="89" t="s">
        <v>321</v>
      </c>
    </row>
    <row r="146" spans="2:3" x14ac:dyDescent="0.25">
      <c r="B146" s="89" t="s">
        <v>326</v>
      </c>
      <c r="C146" s="89" t="s">
        <v>321</v>
      </c>
    </row>
    <row r="147" spans="2:3" x14ac:dyDescent="0.25">
      <c r="B147" s="89" t="s">
        <v>327</v>
      </c>
      <c r="C147" s="89" t="s">
        <v>321</v>
      </c>
    </row>
    <row r="148" spans="2:3" x14ac:dyDescent="0.25">
      <c r="B148" s="89" t="s">
        <v>328</v>
      </c>
      <c r="C148" s="89" t="s">
        <v>321</v>
      </c>
    </row>
    <row r="149" spans="2:3" x14ac:dyDescent="0.25">
      <c r="B149" s="89" t="s">
        <v>329</v>
      </c>
      <c r="C149" s="89" t="s">
        <v>321</v>
      </c>
    </row>
    <row r="150" spans="2:3" x14ac:dyDescent="0.25">
      <c r="B150" s="89" t="s">
        <v>330</v>
      </c>
      <c r="C150" s="89" t="s">
        <v>321</v>
      </c>
    </row>
    <row r="151" spans="2:3" x14ac:dyDescent="0.25">
      <c r="B151" s="89" t="s">
        <v>331</v>
      </c>
      <c r="C151" s="89" t="s">
        <v>321</v>
      </c>
    </row>
    <row r="152" spans="2:3" x14ac:dyDescent="0.25">
      <c r="B152" s="89" t="s">
        <v>332</v>
      </c>
      <c r="C152" s="89" t="s">
        <v>321</v>
      </c>
    </row>
    <row r="153" spans="2:3" x14ac:dyDescent="0.25">
      <c r="B153" s="89" t="s">
        <v>333</v>
      </c>
      <c r="C153" s="89" t="s">
        <v>321</v>
      </c>
    </row>
    <row r="154" spans="2:3" x14ac:dyDescent="0.25">
      <c r="B154" s="89" t="s">
        <v>334</v>
      </c>
      <c r="C154" s="89" t="s">
        <v>321</v>
      </c>
    </row>
    <row r="155" spans="2:3" x14ac:dyDescent="0.25">
      <c r="B155" s="89" t="s">
        <v>335</v>
      </c>
      <c r="C155" s="89" t="s">
        <v>321</v>
      </c>
    </row>
    <row r="156" spans="2:3" x14ac:dyDescent="0.25">
      <c r="B156" s="89" t="s">
        <v>336</v>
      </c>
      <c r="C156" s="89" t="s">
        <v>321</v>
      </c>
    </row>
    <row r="157" spans="2:3" x14ac:dyDescent="0.25">
      <c r="B157" s="89" t="s">
        <v>337</v>
      </c>
      <c r="C157" s="89" t="s">
        <v>321</v>
      </c>
    </row>
    <row r="158" spans="2:3" x14ac:dyDescent="0.25">
      <c r="B158" s="89" t="s">
        <v>338</v>
      </c>
      <c r="C158" s="89" t="s">
        <v>321</v>
      </c>
    </row>
    <row r="159" spans="2:3" x14ac:dyDescent="0.25">
      <c r="B159" s="89" t="s">
        <v>339</v>
      </c>
      <c r="C159" s="89" t="s">
        <v>321</v>
      </c>
    </row>
    <row r="160" spans="2:3" x14ac:dyDescent="0.25">
      <c r="B160" s="89" t="s">
        <v>340</v>
      </c>
      <c r="C160" s="89" t="s">
        <v>321</v>
      </c>
    </row>
    <row r="161" spans="2:3" x14ac:dyDescent="0.25">
      <c r="B161" s="89" t="s">
        <v>341</v>
      </c>
      <c r="C161" s="89" t="s">
        <v>321</v>
      </c>
    </row>
    <row r="162" spans="2:3" x14ac:dyDescent="0.25">
      <c r="B162" s="89" t="s">
        <v>342</v>
      </c>
      <c r="C162" s="89" t="s">
        <v>321</v>
      </c>
    </row>
    <row r="163" spans="2:3" x14ac:dyDescent="0.25">
      <c r="B163" s="89" t="s">
        <v>343</v>
      </c>
      <c r="C163" s="89" t="s">
        <v>321</v>
      </c>
    </row>
    <row r="164" spans="2:3" x14ac:dyDescent="0.25">
      <c r="B164" s="89" t="s">
        <v>344</v>
      </c>
      <c r="C164" s="89" t="s">
        <v>321</v>
      </c>
    </row>
    <row r="165" spans="2:3" x14ac:dyDescent="0.25">
      <c r="B165" s="89" t="s">
        <v>345</v>
      </c>
      <c r="C165" s="89" t="s">
        <v>321</v>
      </c>
    </row>
    <row r="166" spans="2:3" x14ac:dyDescent="0.25">
      <c r="B166" s="89" t="s">
        <v>346</v>
      </c>
      <c r="C166" s="89" t="s">
        <v>321</v>
      </c>
    </row>
    <row r="167" spans="2:3" x14ac:dyDescent="0.25">
      <c r="B167" s="89" t="s">
        <v>347</v>
      </c>
      <c r="C167" s="89" t="s">
        <v>321</v>
      </c>
    </row>
    <row r="168" spans="2:3" x14ac:dyDescent="0.25">
      <c r="B168" s="89" t="s">
        <v>348</v>
      </c>
      <c r="C168" s="89" t="s">
        <v>321</v>
      </c>
    </row>
    <row r="169" spans="2:3" x14ac:dyDescent="0.25">
      <c r="B169" s="89" t="s">
        <v>349</v>
      </c>
      <c r="C169" s="89" t="s">
        <v>321</v>
      </c>
    </row>
    <row r="170" spans="2:3" x14ac:dyDescent="0.25">
      <c r="B170" s="89" t="s">
        <v>350</v>
      </c>
      <c r="C170" s="89" t="s">
        <v>321</v>
      </c>
    </row>
    <row r="171" spans="2:3" x14ac:dyDescent="0.25">
      <c r="B171" s="89" t="s">
        <v>351</v>
      </c>
      <c r="C171" s="89" t="s">
        <v>321</v>
      </c>
    </row>
    <row r="172" spans="2:3" x14ac:dyDescent="0.25">
      <c r="B172" s="89" t="s">
        <v>352</v>
      </c>
      <c r="C172" s="89" t="s">
        <v>321</v>
      </c>
    </row>
    <row r="173" spans="2:3" x14ac:dyDescent="0.25">
      <c r="B173" s="89" t="s">
        <v>353</v>
      </c>
      <c r="C173" s="89" t="s">
        <v>321</v>
      </c>
    </row>
    <row r="174" spans="2:3" x14ac:dyDescent="0.25">
      <c r="B174" s="89" t="s">
        <v>354</v>
      </c>
      <c r="C174" s="89" t="s">
        <v>321</v>
      </c>
    </row>
    <row r="175" spans="2:3" x14ac:dyDescent="0.25">
      <c r="B175" s="89" t="s">
        <v>355</v>
      </c>
      <c r="C175" s="89" t="s">
        <v>321</v>
      </c>
    </row>
    <row r="176" spans="2:3" x14ac:dyDescent="0.25">
      <c r="B176" s="89" t="s">
        <v>356</v>
      </c>
      <c r="C176" s="89" t="s">
        <v>321</v>
      </c>
    </row>
    <row r="177" spans="2:3" x14ac:dyDescent="0.25">
      <c r="B177" s="89" t="s">
        <v>357</v>
      </c>
      <c r="C177" s="89" t="s">
        <v>321</v>
      </c>
    </row>
    <row r="178" spans="2:3" x14ac:dyDescent="0.25">
      <c r="B178" s="89" t="s">
        <v>358</v>
      </c>
      <c r="C178" s="89" t="s">
        <v>321</v>
      </c>
    </row>
    <row r="179" spans="2:3" x14ac:dyDescent="0.25">
      <c r="B179" s="89" t="s">
        <v>359</v>
      </c>
      <c r="C179" s="89" t="s">
        <v>321</v>
      </c>
    </row>
    <row r="180" spans="2:3" x14ac:dyDescent="0.25">
      <c r="B180" s="89" t="s">
        <v>360</v>
      </c>
      <c r="C180" s="89" t="s">
        <v>321</v>
      </c>
    </row>
    <row r="181" spans="2:3" x14ac:dyDescent="0.25">
      <c r="B181" s="89" t="s">
        <v>361</v>
      </c>
      <c r="C181" s="89" t="s">
        <v>321</v>
      </c>
    </row>
    <row r="182" spans="2:3" x14ac:dyDescent="0.25">
      <c r="B182" s="89" t="s">
        <v>362</v>
      </c>
      <c r="C182" s="89" t="s">
        <v>321</v>
      </c>
    </row>
    <row r="183" spans="2:3" x14ac:dyDescent="0.25">
      <c r="B183" s="89" t="s">
        <v>363</v>
      </c>
      <c r="C183" s="89" t="s">
        <v>321</v>
      </c>
    </row>
    <row r="184" spans="2:3" x14ac:dyDescent="0.25">
      <c r="B184" s="89" t="s">
        <v>364</v>
      </c>
      <c r="C184" s="89" t="s">
        <v>321</v>
      </c>
    </row>
    <row r="185" spans="2:3" x14ac:dyDescent="0.25">
      <c r="B185" s="89" t="s">
        <v>365</v>
      </c>
      <c r="C185" s="89" t="s">
        <v>321</v>
      </c>
    </row>
    <row r="186" spans="2:3" x14ac:dyDescent="0.25">
      <c r="B186" s="89" t="s">
        <v>366</v>
      </c>
      <c r="C186" s="89" t="s">
        <v>321</v>
      </c>
    </row>
    <row r="187" spans="2:3" x14ac:dyDescent="0.25">
      <c r="B187" s="89" t="s">
        <v>367</v>
      </c>
      <c r="C187" s="89" t="s">
        <v>321</v>
      </c>
    </row>
    <row r="188" spans="2:3" x14ac:dyDescent="0.25">
      <c r="B188" s="89" t="s">
        <v>368</v>
      </c>
      <c r="C188" s="89" t="s">
        <v>321</v>
      </c>
    </row>
    <row r="189" spans="2:3" ht="45" x14ac:dyDescent="0.25">
      <c r="B189" s="90" t="s">
        <v>369</v>
      </c>
      <c r="C189" s="89" t="s">
        <v>321</v>
      </c>
    </row>
    <row r="190" spans="2:3" x14ac:dyDescent="0.25">
      <c r="B190" s="89" t="s">
        <v>370</v>
      </c>
      <c r="C190" s="89" t="s">
        <v>321</v>
      </c>
    </row>
    <row r="191" spans="2:3" x14ac:dyDescent="0.25">
      <c r="B191" s="89" t="s">
        <v>371</v>
      </c>
      <c r="C191" s="89" t="s">
        <v>321</v>
      </c>
    </row>
    <row r="192" spans="2:3" x14ac:dyDescent="0.25">
      <c r="B192" s="89" t="s">
        <v>372</v>
      </c>
      <c r="C192" s="89" t="s">
        <v>321</v>
      </c>
    </row>
    <row r="193" spans="2:3" x14ac:dyDescent="0.25">
      <c r="B193" s="89" t="s">
        <v>373</v>
      </c>
      <c r="C193" s="89" t="s">
        <v>321</v>
      </c>
    </row>
    <row r="194" spans="2:3" x14ac:dyDescent="0.25">
      <c r="B194" s="89" t="s">
        <v>374</v>
      </c>
      <c r="C194" s="89" t="s">
        <v>321</v>
      </c>
    </row>
    <row r="195" spans="2:3" x14ac:dyDescent="0.25">
      <c r="B195" s="89" t="s">
        <v>375</v>
      </c>
      <c r="C195" s="89" t="s">
        <v>321</v>
      </c>
    </row>
    <row r="196" spans="2:3" x14ac:dyDescent="0.25">
      <c r="B196" s="89" t="s">
        <v>376</v>
      </c>
      <c r="C196" s="89" t="s">
        <v>321</v>
      </c>
    </row>
    <row r="197" spans="2:3" x14ac:dyDescent="0.25">
      <c r="B197" s="89" t="s">
        <v>377</v>
      </c>
      <c r="C197" s="89" t="s">
        <v>321</v>
      </c>
    </row>
    <row r="198" spans="2:3" x14ac:dyDescent="0.25">
      <c r="B198" s="89" t="s">
        <v>378</v>
      </c>
      <c r="C198" s="89" t="s">
        <v>321</v>
      </c>
    </row>
    <row r="199" spans="2:3" x14ac:dyDescent="0.25">
      <c r="B199" s="89" t="s">
        <v>379</v>
      </c>
      <c r="C199" s="89" t="s">
        <v>321</v>
      </c>
    </row>
    <row r="200" spans="2:3" x14ac:dyDescent="0.25">
      <c r="B200" s="89" t="s">
        <v>380</v>
      </c>
      <c r="C200" s="89" t="s">
        <v>321</v>
      </c>
    </row>
    <row r="201" spans="2:3" x14ac:dyDescent="0.25">
      <c r="B201" s="89" t="s">
        <v>381</v>
      </c>
      <c r="C201" s="89" t="s">
        <v>321</v>
      </c>
    </row>
    <row r="202" spans="2:3" x14ac:dyDescent="0.25">
      <c r="B202" s="89" t="s">
        <v>382</v>
      </c>
      <c r="C202" s="89" t="s">
        <v>321</v>
      </c>
    </row>
    <row r="203" spans="2:3" x14ac:dyDescent="0.25">
      <c r="B203" s="89" t="s">
        <v>383</v>
      </c>
      <c r="C203" s="89" t="s">
        <v>321</v>
      </c>
    </row>
    <row r="204" spans="2:3" x14ac:dyDescent="0.25">
      <c r="B204" s="89" t="s">
        <v>384</v>
      </c>
      <c r="C204" s="89" t="s">
        <v>321</v>
      </c>
    </row>
    <row r="205" spans="2:3" x14ac:dyDescent="0.25">
      <c r="B205" s="89" t="s">
        <v>385</v>
      </c>
      <c r="C205" s="89" t="s">
        <v>321</v>
      </c>
    </row>
    <row r="206" spans="2:3" x14ac:dyDescent="0.25">
      <c r="B206" s="89" t="s">
        <v>386</v>
      </c>
      <c r="C206" s="89" t="s">
        <v>321</v>
      </c>
    </row>
    <row r="207" spans="2:3" x14ac:dyDescent="0.25">
      <c r="B207" s="89" t="s">
        <v>387</v>
      </c>
      <c r="C207" s="89" t="s">
        <v>321</v>
      </c>
    </row>
    <row r="208" spans="2:3" x14ac:dyDescent="0.25">
      <c r="B208" s="89" t="s">
        <v>388</v>
      </c>
      <c r="C208" s="89" t="s">
        <v>321</v>
      </c>
    </row>
    <row r="209" spans="2:3" x14ac:dyDescent="0.25">
      <c r="B209" s="89" t="s">
        <v>389</v>
      </c>
      <c r="C209" s="89" t="s">
        <v>321</v>
      </c>
    </row>
    <row r="210" spans="2:3" x14ac:dyDescent="0.25">
      <c r="B210" s="89" t="s">
        <v>390</v>
      </c>
      <c r="C210" s="89" t="s">
        <v>321</v>
      </c>
    </row>
    <row r="211" spans="2:3" x14ac:dyDescent="0.25">
      <c r="B211" s="89" t="s">
        <v>391</v>
      </c>
      <c r="C211" s="89" t="s">
        <v>321</v>
      </c>
    </row>
    <row r="212" spans="2:3" x14ac:dyDescent="0.25">
      <c r="B212" s="89" t="s">
        <v>392</v>
      </c>
      <c r="C212" s="89" t="s">
        <v>321</v>
      </c>
    </row>
    <row r="213" spans="2:3" x14ac:dyDescent="0.25">
      <c r="B213" s="89" t="s">
        <v>393</v>
      </c>
      <c r="C213" s="89" t="s">
        <v>321</v>
      </c>
    </row>
    <row r="214" spans="2:3" x14ac:dyDescent="0.25">
      <c r="B214" s="89" t="s">
        <v>394</v>
      </c>
      <c r="C214" s="89" t="s">
        <v>321</v>
      </c>
    </row>
    <row r="215" spans="2:3" x14ac:dyDescent="0.25">
      <c r="B215" s="89" t="s">
        <v>395</v>
      </c>
      <c r="C215" s="89" t="s">
        <v>321</v>
      </c>
    </row>
    <row r="216" spans="2:3" x14ac:dyDescent="0.25">
      <c r="B216" s="89" t="s">
        <v>396</v>
      </c>
      <c r="C216" s="89" t="s">
        <v>321</v>
      </c>
    </row>
    <row r="217" spans="2:3" x14ac:dyDescent="0.25">
      <c r="B217" s="89" t="s">
        <v>397</v>
      </c>
      <c r="C217" s="89" t="s">
        <v>321</v>
      </c>
    </row>
    <row r="218" spans="2:3" x14ac:dyDescent="0.25">
      <c r="B218" s="89" t="s">
        <v>398</v>
      </c>
      <c r="C218" s="89" t="s">
        <v>321</v>
      </c>
    </row>
    <row r="219" spans="2:3" x14ac:dyDescent="0.25">
      <c r="B219" s="89" t="s">
        <v>399</v>
      </c>
      <c r="C219" s="89" t="s">
        <v>321</v>
      </c>
    </row>
    <row r="220" spans="2:3" x14ac:dyDescent="0.25">
      <c r="B220" s="89" t="s">
        <v>400</v>
      </c>
      <c r="C220" s="89" t="s">
        <v>321</v>
      </c>
    </row>
    <row r="221" spans="2:3" x14ac:dyDescent="0.25">
      <c r="B221" s="89" t="s">
        <v>401</v>
      </c>
      <c r="C221" s="89" t="s">
        <v>321</v>
      </c>
    </row>
    <row r="222" spans="2:3" x14ac:dyDescent="0.25">
      <c r="B222" s="89" t="s">
        <v>402</v>
      </c>
      <c r="C222" s="89" t="s">
        <v>321</v>
      </c>
    </row>
    <row r="223" spans="2:3" x14ac:dyDescent="0.25">
      <c r="B223" s="89" t="s">
        <v>403</v>
      </c>
      <c r="C223" s="89" t="s">
        <v>321</v>
      </c>
    </row>
    <row r="224" spans="2:3" x14ac:dyDescent="0.25">
      <c r="B224" s="89" t="s">
        <v>404</v>
      </c>
      <c r="C224" s="89" t="s">
        <v>321</v>
      </c>
    </row>
    <row r="225" spans="2:3" x14ac:dyDescent="0.25">
      <c r="B225" s="89" t="s">
        <v>405</v>
      </c>
      <c r="C225" s="89" t="s">
        <v>321</v>
      </c>
    </row>
    <row r="226" spans="2:3" x14ac:dyDescent="0.25">
      <c r="B226" s="89" t="s">
        <v>406</v>
      </c>
      <c r="C226" s="89" t="s">
        <v>321</v>
      </c>
    </row>
    <row r="227" spans="2:3" x14ac:dyDescent="0.25">
      <c r="B227" s="89" t="s">
        <v>407</v>
      </c>
      <c r="C227" s="89" t="s">
        <v>321</v>
      </c>
    </row>
    <row r="228" spans="2:3" x14ac:dyDescent="0.25">
      <c r="B228" s="89" t="s">
        <v>408</v>
      </c>
      <c r="C228" s="89" t="s">
        <v>321</v>
      </c>
    </row>
    <row r="229" spans="2:3" x14ac:dyDescent="0.25">
      <c r="B229" s="89" t="s">
        <v>409</v>
      </c>
      <c r="C229" s="89" t="s">
        <v>321</v>
      </c>
    </row>
    <row r="230" spans="2:3" x14ac:dyDescent="0.25">
      <c r="B230" s="89" t="s">
        <v>410</v>
      </c>
      <c r="C230" s="89" t="s">
        <v>321</v>
      </c>
    </row>
    <row r="231" spans="2:3" x14ac:dyDescent="0.25">
      <c r="B231" s="89" t="s">
        <v>411</v>
      </c>
      <c r="C231" s="89" t="s">
        <v>321</v>
      </c>
    </row>
    <row r="232" spans="2:3" x14ac:dyDescent="0.25">
      <c r="B232" s="89" t="s">
        <v>412</v>
      </c>
      <c r="C232" s="89" t="s">
        <v>321</v>
      </c>
    </row>
    <row r="233" spans="2:3" x14ac:dyDescent="0.25">
      <c r="B233" s="89" t="s">
        <v>413</v>
      </c>
      <c r="C233" s="89" t="s">
        <v>321</v>
      </c>
    </row>
    <row r="234" spans="2:3" x14ac:dyDescent="0.25">
      <c r="B234" s="89" t="s">
        <v>414</v>
      </c>
      <c r="C234" s="89" t="s">
        <v>415</v>
      </c>
    </row>
    <row r="235" spans="2:3" x14ac:dyDescent="0.25">
      <c r="B235" s="89" t="s">
        <v>416</v>
      </c>
      <c r="C235" s="89" t="s">
        <v>415</v>
      </c>
    </row>
    <row r="236" spans="2:3" x14ac:dyDescent="0.25">
      <c r="B236" s="89" t="s">
        <v>417</v>
      </c>
      <c r="C236" s="89" t="s">
        <v>415</v>
      </c>
    </row>
    <row r="237" spans="2:3" x14ac:dyDescent="0.25">
      <c r="B237" s="89" t="s">
        <v>418</v>
      </c>
      <c r="C237" s="89" t="s">
        <v>415</v>
      </c>
    </row>
    <row r="238" spans="2:3" x14ac:dyDescent="0.25">
      <c r="B238" s="89" t="s">
        <v>419</v>
      </c>
      <c r="C238" s="89" t="s">
        <v>415</v>
      </c>
    </row>
    <row r="239" spans="2:3" x14ac:dyDescent="0.25">
      <c r="B239" s="89" t="s">
        <v>420</v>
      </c>
      <c r="C239" s="89" t="s">
        <v>415</v>
      </c>
    </row>
    <row r="240" spans="2:3" x14ac:dyDescent="0.25">
      <c r="B240" s="89" t="s">
        <v>421</v>
      </c>
      <c r="C240" s="89" t="s">
        <v>415</v>
      </c>
    </row>
    <row r="241" spans="2:3" x14ac:dyDescent="0.25">
      <c r="B241" s="89" t="s">
        <v>422</v>
      </c>
      <c r="C241" s="89" t="s">
        <v>415</v>
      </c>
    </row>
    <row r="242" spans="2:3" x14ac:dyDescent="0.25">
      <c r="B242" s="89" t="s">
        <v>423</v>
      </c>
      <c r="C242" s="89" t="s">
        <v>415</v>
      </c>
    </row>
    <row r="243" spans="2:3" x14ac:dyDescent="0.25">
      <c r="B243" s="89" t="s">
        <v>424</v>
      </c>
      <c r="C243" s="89" t="s">
        <v>415</v>
      </c>
    </row>
    <row r="244" spans="2:3" x14ac:dyDescent="0.25">
      <c r="B244" s="89" t="s">
        <v>425</v>
      </c>
      <c r="C244" s="89" t="s">
        <v>415</v>
      </c>
    </row>
    <row r="245" spans="2:3" x14ac:dyDescent="0.25">
      <c r="B245" s="89" t="s">
        <v>426</v>
      </c>
      <c r="C245" s="89" t="s">
        <v>415</v>
      </c>
    </row>
    <row r="246" spans="2:3" x14ac:dyDescent="0.25">
      <c r="B246" s="89" t="s">
        <v>428</v>
      </c>
      <c r="C246" s="89" t="s">
        <v>415</v>
      </c>
    </row>
    <row r="247" spans="2:3" x14ac:dyDescent="0.25">
      <c r="B247" s="89" t="s">
        <v>429</v>
      </c>
      <c r="C247" s="89" t="s">
        <v>415</v>
      </c>
    </row>
    <row r="248" spans="2:3" x14ac:dyDescent="0.25">
      <c r="B248" s="89" t="s">
        <v>430</v>
      </c>
      <c r="C248" s="89" t="s">
        <v>415</v>
      </c>
    </row>
  </sheetData>
  <pageMargins left="0.7" right="0.7" top="0.75" bottom="0.75" header="0.3" footer="0.3"/>
  <pageSetup paperSize="9" orientation="portrait" r:id="rId1"/>
  <customProperties>
    <customPr name="GUID" r:id="rId2"/>
  </customProperties>
  <tableParts count="2">
    <tablePart r:id="rId3"/>
    <tablePart r:id="rId4"/>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3"/>
  <dimension ref="B6:V45"/>
  <sheetViews>
    <sheetView topLeftCell="A19" workbookViewId="0"/>
    <sheetView workbookViewId="1"/>
  </sheetViews>
  <sheetFormatPr defaultRowHeight="15" x14ac:dyDescent="0.25"/>
  <cols>
    <col min="2" max="2" width="58.5703125" bestFit="1" customWidth="1"/>
    <col min="3" max="3" width="18" customWidth="1"/>
    <col min="4" max="5" width="21.28515625" customWidth="1"/>
    <col min="6" max="6" width="67.7109375" customWidth="1"/>
  </cols>
  <sheetData>
    <row r="6" spans="2:20" ht="15.75" thickBot="1" x14ac:dyDescent="0.3"/>
    <row r="7" spans="2:20" x14ac:dyDescent="0.25">
      <c r="B7" s="78" t="s">
        <v>118</v>
      </c>
      <c r="C7" s="79"/>
    </row>
    <row r="9" spans="2:20" x14ac:dyDescent="0.25">
      <c r="B9" s="516" t="str">
        <f>"Grupo Barraqueiro: "&amp;'Folha de Rosto'!C6&amp;" "&amp;'Folha de Rosto'!I6&amp;" - Emissões de GEE de Âmbito 2"</f>
        <v>Grupo Barraqueiro: PEGADA DE CARBONO 2022 - Emissões de GEE de Âmbito 2</v>
      </c>
      <c r="C9" s="516"/>
      <c r="D9" s="516"/>
      <c r="E9" s="516"/>
      <c r="F9" s="516"/>
      <c r="G9" s="516"/>
      <c r="H9" s="516"/>
      <c r="I9" s="516"/>
      <c r="J9" s="516"/>
      <c r="K9" s="516"/>
      <c r="L9" s="516"/>
      <c r="M9" s="516"/>
      <c r="N9" s="516"/>
      <c r="O9" s="516"/>
      <c r="P9" s="516"/>
      <c r="Q9" s="516"/>
      <c r="R9" s="516"/>
      <c r="S9" s="516"/>
      <c r="T9" s="516"/>
    </row>
    <row r="10" spans="2:20" ht="15.75" thickBot="1" x14ac:dyDescent="0.3"/>
    <row r="11" spans="2:20" ht="33.6" customHeight="1" thickBot="1" x14ac:dyDescent="0.3">
      <c r="B11" s="512" t="s">
        <v>119</v>
      </c>
      <c r="C11" s="512"/>
      <c r="D11" s="518" t="s">
        <v>125</v>
      </c>
      <c r="E11" s="518"/>
      <c r="F11" s="519"/>
      <c r="G11" s="519"/>
      <c r="H11" s="519"/>
      <c r="I11" s="519"/>
      <c r="J11" s="519"/>
      <c r="K11" s="519"/>
      <c r="L11" s="519"/>
      <c r="M11" s="519"/>
      <c r="N11" s="519"/>
      <c r="O11" s="520"/>
    </row>
    <row r="12" spans="2:20" ht="60.95" customHeight="1" thickBot="1" x14ac:dyDescent="0.3">
      <c r="B12" s="512" t="s">
        <v>120</v>
      </c>
      <c r="C12" s="512"/>
      <c r="D12" s="521" t="s">
        <v>124</v>
      </c>
      <c r="E12" s="521"/>
      <c r="F12" s="522"/>
      <c r="G12" s="522"/>
      <c r="H12" s="522"/>
      <c r="I12" s="522"/>
      <c r="J12" s="522"/>
      <c r="K12" s="522"/>
      <c r="L12" s="522"/>
      <c r="M12" s="522"/>
      <c r="N12" s="522"/>
      <c r="O12" s="523"/>
    </row>
    <row r="13" spans="2:20" ht="60.95" customHeight="1" thickBot="1" x14ac:dyDescent="0.3">
      <c r="B13" s="512" t="s">
        <v>121</v>
      </c>
      <c r="C13" s="512"/>
      <c r="D13" s="513" t="s">
        <v>1529</v>
      </c>
      <c r="E13" s="513"/>
      <c r="F13" s="514"/>
      <c r="G13" s="514"/>
      <c r="H13" s="514"/>
      <c r="I13" s="514"/>
      <c r="J13" s="514"/>
      <c r="K13" s="514"/>
      <c r="L13" s="514"/>
      <c r="M13" s="514"/>
      <c r="N13" s="514"/>
      <c r="O13" s="515"/>
    </row>
    <row r="14" spans="2:20" ht="60.95" customHeight="1" thickBot="1" x14ac:dyDescent="0.3">
      <c r="B14" s="512" t="s">
        <v>122</v>
      </c>
      <c r="C14" s="512"/>
      <c r="D14" s="513" t="s">
        <v>123</v>
      </c>
      <c r="E14" s="513"/>
      <c r="F14" s="514"/>
      <c r="G14" s="514"/>
      <c r="H14" s="514"/>
      <c r="I14" s="514"/>
      <c r="J14" s="514"/>
      <c r="K14" s="514"/>
      <c r="L14" s="514"/>
      <c r="M14" s="514"/>
      <c r="N14" s="514"/>
      <c r="O14" s="515"/>
    </row>
    <row r="15" spans="2:20" ht="60" customHeight="1" thickBot="1" x14ac:dyDescent="0.3">
      <c r="B15" s="512" t="s">
        <v>128</v>
      </c>
      <c r="C15" s="512"/>
      <c r="D15" s="547" t="s">
        <v>129</v>
      </c>
      <c r="E15" s="548"/>
      <c r="F15" s="548"/>
      <c r="G15" s="548"/>
      <c r="H15" s="548"/>
      <c r="I15" s="548"/>
      <c r="J15" s="548"/>
      <c r="K15" s="548"/>
      <c r="L15" s="548"/>
      <c r="M15" s="548"/>
      <c r="N15" s="548"/>
      <c r="O15" s="513"/>
    </row>
    <row r="17" spans="2:22" x14ac:dyDescent="0.25">
      <c r="B17" s="516" t="s">
        <v>1828</v>
      </c>
      <c r="C17" s="516"/>
      <c r="D17" s="516"/>
      <c r="E17" s="516"/>
      <c r="F17" s="516"/>
      <c r="G17" s="516"/>
      <c r="H17" s="516"/>
      <c r="I17" s="516"/>
      <c r="J17" s="516"/>
      <c r="K17" s="516"/>
      <c r="L17" s="516"/>
      <c r="M17" s="516"/>
      <c r="N17" s="516"/>
      <c r="O17" s="516"/>
      <c r="P17" s="516"/>
      <c r="Q17" s="516"/>
      <c r="R17" s="516"/>
      <c r="S17" s="516"/>
      <c r="T17" s="516"/>
      <c r="U17" s="516"/>
      <c r="V17" s="516"/>
    </row>
    <row r="18" spans="2:22" x14ac:dyDescent="0.25">
      <c r="B18" t="s">
        <v>130</v>
      </c>
    </row>
    <row r="20" spans="2:22" x14ac:dyDescent="0.25">
      <c r="B20" s="81" t="s">
        <v>135</v>
      </c>
    </row>
    <row r="21" spans="2:22" x14ac:dyDescent="0.25">
      <c r="B21" s="517"/>
      <c r="C21" s="517"/>
      <c r="D21" s="517"/>
      <c r="E21" s="517"/>
      <c r="F21" s="517"/>
      <c r="G21" s="517"/>
      <c r="H21" s="517"/>
      <c r="I21" s="517"/>
      <c r="J21" s="517"/>
      <c r="K21" s="517"/>
      <c r="L21" s="517"/>
      <c r="M21" s="517"/>
      <c r="N21" s="517"/>
      <c r="O21" s="517"/>
      <c r="P21" s="517"/>
      <c r="Q21" s="517"/>
      <c r="R21" s="517"/>
      <c r="S21" s="517"/>
      <c r="T21" s="517"/>
    </row>
    <row r="22" spans="2:22" x14ac:dyDescent="0.25">
      <c r="B22" s="517"/>
      <c r="C22" s="517"/>
      <c r="D22" s="517"/>
      <c r="E22" s="517"/>
      <c r="F22" s="517"/>
      <c r="G22" s="517"/>
      <c r="H22" s="517"/>
      <c r="I22" s="517"/>
      <c r="J22" s="517"/>
      <c r="K22" s="517"/>
      <c r="L22" s="517"/>
      <c r="M22" s="517"/>
      <c r="N22" s="517"/>
      <c r="O22" s="517"/>
      <c r="P22" s="517"/>
      <c r="Q22" s="517"/>
      <c r="R22" s="517"/>
      <c r="S22" s="517"/>
      <c r="T22" s="517"/>
    </row>
    <row r="24" spans="2:22" ht="15" customHeight="1" x14ac:dyDescent="0.25">
      <c r="B24" s="81" t="s">
        <v>136</v>
      </c>
    </row>
    <row r="25" spans="2:22" x14ac:dyDescent="0.25">
      <c r="B25" s="517"/>
      <c r="C25" s="517"/>
      <c r="D25" s="517"/>
      <c r="E25" s="517"/>
      <c r="F25" s="517"/>
      <c r="G25" s="517"/>
      <c r="H25" s="517"/>
      <c r="I25" s="517"/>
      <c r="J25" s="517"/>
      <c r="K25" s="517"/>
      <c r="L25" s="517"/>
      <c r="M25" s="517"/>
      <c r="N25" s="517"/>
      <c r="O25" s="517"/>
      <c r="P25" s="517"/>
      <c r="Q25" s="517"/>
      <c r="R25" s="517"/>
      <c r="S25" s="517"/>
      <c r="T25" s="517"/>
    </row>
    <row r="26" spans="2:22" x14ac:dyDescent="0.25">
      <c r="B26" s="517"/>
      <c r="C26" s="517"/>
      <c r="D26" s="517"/>
      <c r="E26" s="517"/>
      <c r="F26" s="517"/>
      <c r="G26" s="517"/>
      <c r="H26" s="517"/>
      <c r="I26" s="517"/>
      <c r="J26" s="517"/>
      <c r="K26" s="517"/>
      <c r="L26" s="517"/>
      <c r="M26" s="517"/>
      <c r="N26" s="517"/>
      <c r="O26" s="517"/>
      <c r="P26" s="517"/>
      <c r="Q26" s="517"/>
      <c r="R26" s="517"/>
      <c r="S26" s="517"/>
      <c r="T26" s="517"/>
    </row>
    <row r="27" spans="2:22" ht="15.75" thickBot="1" x14ac:dyDescent="0.3"/>
    <row r="28" spans="2:22" x14ac:dyDescent="0.25">
      <c r="B28" s="508" t="s">
        <v>131</v>
      </c>
      <c r="C28" s="508" t="s">
        <v>132</v>
      </c>
      <c r="D28" s="529" t="s">
        <v>133</v>
      </c>
      <c r="E28" s="529" t="s">
        <v>431</v>
      </c>
      <c r="F28" s="508" t="s">
        <v>134</v>
      </c>
    </row>
    <row r="29" spans="2:22" ht="15" customHeight="1" thickBot="1" x14ac:dyDescent="0.3">
      <c r="B29" s="509"/>
      <c r="C29" s="509"/>
      <c r="D29" s="530"/>
      <c r="E29" s="530"/>
      <c r="F29" s="509"/>
    </row>
    <row r="30" spans="2:22" ht="15.75" thickBot="1" x14ac:dyDescent="0.3">
      <c r="B30" s="82" t="s">
        <v>534</v>
      </c>
      <c r="C30" s="83" t="s">
        <v>538</v>
      </c>
      <c r="D30" s="84">
        <f>SUM(D34:D41)</f>
        <v>591684</v>
      </c>
      <c r="E30" s="84"/>
      <c r="F30" s="85" t="s">
        <v>548</v>
      </c>
    </row>
    <row r="31" spans="2:22" ht="15.75" thickBot="1" x14ac:dyDescent="0.3">
      <c r="B31" s="82" t="s">
        <v>535</v>
      </c>
      <c r="C31" s="83" t="s">
        <v>538</v>
      </c>
      <c r="D31" s="84">
        <f>19823+837</f>
        <v>20660</v>
      </c>
      <c r="E31" s="84"/>
      <c r="F31" s="85" t="s">
        <v>539</v>
      </c>
    </row>
    <row r="32" spans="2:22" ht="15.75" thickBot="1" x14ac:dyDescent="0.3">
      <c r="B32" s="82" t="s">
        <v>536</v>
      </c>
      <c r="C32" s="83" t="s">
        <v>538</v>
      </c>
      <c r="D32" s="84">
        <f>4651+0.6*96138</f>
        <v>62333.799999999996</v>
      </c>
      <c r="E32" s="84"/>
      <c r="F32" s="85" t="s">
        <v>1744</v>
      </c>
    </row>
    <row r="33" spans="2:6" ht="15.75" thickBot="1" x14ac:dyDescent="0.3">
      <c r="B33" s="82" t="s">
        <v>537</v>
      </c>
      <c r="C33" s="83" t="s">
        <v>538</v>
      </c>
      <c r="D33" s="84">
        <f>0.4*96138</f>
        <v>38455.200000000004</v>
      </c>
      <c r="E33" s="84"/>
      <c r="F33" s="85" t="s">
        <v>1744</v>
      </c>
    </row>
    <row r="34" spans="2:6" ht="15.75" thickBot="1" x14ac:dyDescent="0.3">
      <c r="B34" s="114" t="s">
        <v>540</v>
      </c>
      <c r="C34" s="115" t="s">
        <v>538</v>
      </c>
      <c r="D34" s="116">
        <f>0.3*112898</f>
        <v>33869.4</v>
      </c>
      <c r="E34" s="116"/>
      <c r="F34" s="117"/>
    </row>
    <row r="35" spans="2:6" ht="15.75" thickBot="1" x14ac:dyDescent="0.3">
      <c r="B35" s="114" t="s">
        <v>541</v>
      </c>
      <c r="C35" s="115" t="s">
        <v>538</v>
      </c>
      <c r="D35" s="116">
        <f>2384+0.2*193293</f>
        <v>41042.6</v>
      </c>
      <c r="E35" s="116"/>
      <c r="F35" s="117"/>
    </row>
    <row r="36" spans="2:6" ht="15.75" thickBot="1" x14ac:dyDescent="0.3">
      <c r="B36" s="114" t="s">
        <v>542</v>
      </c>
      <c r="C36" s="115" t="s">
        <v>538</v>
      </c>
      <c r="D36" s="116">
        <f>48591+4842+0.4*3896</f>
        <v>54991.4</v>
      </c>
      <c r="E36" s="116"/>
      <c r="F36" s="117"/>
    </row>
    <row r="37" spans="2:6" ht="15.75" thickBot="1" x14ac:dyDescent="0.3">
      <c r="B37" s="114" t="s">
        <v>543</v>
      </c>
      <c r="C37" s="115" t="s">
        <v>538</v>
      </c>
      <c r="D37" s="116">
        <f>92289+0.2*3896</f>
        <v>93068.2</v>
      </c>
      <c r="E37" s="116"/>
      <c r="F37" s="117"/>
    </row>
    <row r="38" spans="2:6" ht="15.75" thickBot="1" x14ac:dyDescent="0.3">
      <c r="B38" s="114" t="s">
        <v>547</v>
      </c>
      <c r="C38" s="115" t="s">
        <v>538</v>
      </c>
      <c r="D38" s="116">
        <f>0.8*193293</f>
        <v>154634.4</v>
      </c>
      <c r="E38" s="116"/>
      <c r="F38" s="117"/>
    </row>
    <row r="39" spans="2:6" ht="15.75" thickBot="1" x14ac:dyDescent="0.3">
      <c r="B39" s="114" t="s">
        <v>545</v>
      </c>
      <c r="C39" s="115" t="s">
        <v>538</v>
      </c>
      <c r="D39" s="116">
        <f>0.7*112898</f>
        <v>79028.599999999991</v>
      </c>
      <c r="E39" s="116"/>
      <c r="F39" s="117"/>
    </row>
    <row r="40" spans="2:6" ht="15.75" thickBot="1" x14ac:dyDescent="0.3">
      <c r="B40" s="114" t="s">
        <v>544</v>
      </c>
      <c r="C40" s="115" t="s">
        <v>538</v>
      </c>
      <c r="D40" s="116">
        <f>20709+0.4*3896+65819</f>
        <v>88086.399999999994</v>
      </c>
      <c r="E40" s="116"/>
      <c r="F40" s="117" t="s">
        <v>1848</v>
      </c>
    </row>
    <row r="41" spans="2:6" ht="15.75" thickBot="1" x14ac:dyDescent="0.3">
      <c r="B41" s="114" t="s">
        <v>546</v>
      </c>
      <c r="C41" s="115" t="s">
        <v>538</v>
      </c>
      <c r="D41" s="116">
        <v>46963</v>
      </c>
      <c r="E41" s="116"/>
      <c r="F41" s="117"/>
    </row>
    <row r="42" spans="2:6" ht="15.75" thickBot="1" x14ac:dyDescent="0.3">
      <c r="B42" s="82"/>
      <c r="C42" s="83"/>
      <c r="D42" s="84"/>
      <c r="E42" s="84"/>
      <c r="F42" s="85"/>
    </row>
    <row r="43" spans="2:6" ht="15.75" thickBot="1" x14ac:dyDescent="0.3">
      <c r="B43" s="82"/>
      <c r="C43" s="83"/>
      <c r="D43" s="84"/>
      <c r="E43" s="84"/>
      <c r="F43" s="85"/>
    </row>
    <row r="44" spans="2:6" ht="15.75" thickBot="1" x14ac:dyDescent="0.3">
      <c r="B44" s="82"/>
      <c r="C44" s="83"/>
      <c r="D44" s="84"/>
      <c r="E44" s="84"/>
      <c r="F44" s="85"/>
    </row>
    <row r="45" spans="2:6" ht="15.75" thickBot="1" x14ac:dyDescent="0.3">
      <c r="B45" s="82"/>
      <c r="C45" s="83"/>
      <c r="D45" s="84"/>
      <c r="E45" s="84"/>
      <c r="F45" s="85"/>
    </row>
  </sheetData>
  <mergeCells count="19">
    <mergeCell ref="B9:T9"/>
    <mergeCell ref="B11:C11"/>
    <mergeCell ref="D11:O11"/>
    <mergeCell ref="B12:C12"/>
    <mergeCell ref="D12:O12"/>
    <mergeCell ref="C28:C29"/>
    <mergeCell ref="D28:D29"/>
    <mergeCell ref="F28:F29"/>
    <mergeCell ref="B13:C13"/>
    <mergeCell ref="D13:O13"/>
    <mergeCell ref="E28:E29"/>
    <mergeCell ref="B14:C14"/>
    <mergeCell ref="D14:O14"/>
    <mergeCell ref="B15:C15"/>
    <mergeCell ref="D15:O15"/>
    <mergeCell ref="B17:V17"/>
    <mergeCell ref="B21:T22"/>
    <mergeCell ref="B25:T26"/>
    <mergeCell ref="B28:B29"/>
  </mergeCells>
  <dataValidations disablePrompts="1" count="1">
    <dataValidation type="list" allowBlank="1" showInputMessage="1" showErrorMessage="1" sqref="E30:E45">
      <formula1>"Ano, Mês"</formula1>
    </dataValidation>
  </dataValidations>
  <pageMargins left="0.7" right="0.7" top="0.75" bottom="0.75" header="0.3" footer="0.3"/>
  <customProperties>
    <customPr name="GUID" r:id="rId1"/>
  </customPropertie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4"/>
  <dimension ref="B6:V53"/>
  <sheetViews>
    <sheetView topLeftCell="A22" workbookViewId="0"/>
    <sheetView workbookViewId="1"/>
  </sheetViews>
  <sheetFormatPr defaultRowHeight="15" x14ac:dyDescent="0.25"/>
  <cols>
    <col min="2" max="2" width="48.28515625" bestFit="1" customWidth="1"/>
    <col min="3" max="3" width="32.28515625" customWidth="1"/>
    <col min="4" max="6" width="21.28515625" customWidth="1"/>
  </cols>
  <sheetData>
    <row r="6" spans="2:20" ht="15.75" thickBot="1" x14ac:dyDescent="0.3"/>
    <row r="7" spans="2:20" x14ac:dyDescent="0.25">
      <c r="B7" s="78" t="s">
        <v>118</v>
      </c>
      <c r="C7" s="79"/>
    </row>
    <row r="9" spans="2:20" x14ac:dyDescent="0.25">
      <c r="B9" s="516" t="str">
        <f>"Grupo Barraqueiro: "&amp;'Folha de Rosto'!C6&amp;" "&amp;'Folha de Rosto'!I6&amp;" - Emissões de GEE de Âmbito 3"</f>
        <v>Grupo Barraqueiro: PEGADA DE CARBONO 2022 - Emissões de GEE de Âmbito 3</v>
      </c>
      <c r="C9" s="516"/>
      <c r="D9" s="516"/>
      <c r="E9" s="516"/>
      <c r="F9" s="516"/>
      <c r="G9" s="516"/>
      <c r="H9" s="516"/>
      <c r="I9" s="516"/>
      <c r="J9" s="516"/>
      <c r="K9" s="516"/>
      <c r="L9" s="516"/>
      <c r="M9" s="516"/>
      <c r="N9" s="516"/>
      <c r="O9" s="516"/>
      <c r="P9" s="516"/>
      <c r="Q9" s="516"/>
      <c r="R9" s="516"/>
      <c r="S9" s="516"/>
      <c r="T9" s="516"/>
    </row>
    <row r="10" spans="2:20" ht="15.75" thickBot="1" x14ac:dyDescent="0.3"/>
    <row r="11" spans="2:20" ht="33.6" customHeight="1" thickBot="1" x14ac:dyDescent="0.3">
      <c r="B11" s="512" t="s">
        <v>119</v>
      </c>
      <c r="C11" s="512"/>
      <c r="D11" s="518" t="s">
        <v>522</v>
      </c>
      <c r="E11" s="518"/>
      <c r="F11" s="519"/>
      <c r="G11" s="519"/>
      <c r="H11" s="519"/>
      <c r="I11" s="519"/>
      <c r="J11" s="519"/>
      <c r="K11" s="519"/>
      <c r="L11" s="519"/>
      <c r="M11" s="519"/>
      <c r="N11" s="519"/>
      <c r="O11" s="520"/>
    </row>
    <row r="12" spans="2:20" ht="60.95" customHeight="1" thickBot="1" x14ac:dyDescent="0.3">
      <c r="B12" s="512" t="s">
        <v>120</v>
      </c>
      <c r="C12" s="512"/>
      <c r="D12" s="521" t="s">
        <v>433</v>
      </c>
      <c r="E12" s="521"/>
      <c r="F12" s="522"/>
      <c r="G12" s="522"/>
      <c r="H12" s="522"/>
      <c r="I12" s="522"/>
      <c r="J12" s="522"/>
      <c r="K12" s="522"/>
      <c r="L12" s="522"/>
      <c r="M12" s="522"/>
      <c r="N12" s="522"/>
      <c r="O12" s="523"/>
    </row>
    <row r="13" spans="2:20" ht="60.95" customHeight="1" thickBot="1" x14ac:dyDescent="0.3">
      <c r="B13" s="512" t="s">
        <v>121</v>
      </c>
      <c r="C13" s="512"/>
      <c r="D13" s="513" t="s">
        <v>1529</v>
      </c>
      <c r="E13" s="513"/>
      <c r="F13" s="514"/>
      <c r="G13" s="514"/>
      <c r="H13" s="514"/>
      <c r="I13" s="514"/>
      <c r="J13" s="514"/>
      <c r="K13" s="514"/>
      <c r="L13" s="514"/>
      <c r="M13" s="514"/>
      <c r="N13" s="514"/>
      <c r="O13" s="515"/>
    </row>
    <row r="14" spans="2:20" ht="60.95" customHeight="1" thickBot="1" x14ac:dyDescent="0.3">
      <c r="B14" s="512" t="s">
        <v>122</v>
      </c>
      <c r="C14" s="512"/>
      <c r="D14" s="513" t="s">
        <v>123</v>
      </c>
      <c r="E14" s="513"/>
      <c r="F14" s="514"/>
      <c r="G14" s="514"/>
      <c r="H14" s="514"/>
      <c r="I14" s="514"/>
      <c r="J14" s="514"/>
      <c r="K14" s="514"/>
      <c r="L14" s="514"/>
      <c r="M14" s="514"/>
      <c r="N14" s="514"/>
      <c r="O14" s="515"/>
    </row>
    <row r="15" spans="2:20" ht="60" customHeight="1" thickBot="1" x14ac:dyDescent="0.3">
      <c r="B15" s="512" t="s">
        <v>128</v>
      </c>
      <c r="C15" s="512"/>
      <c r="D15" s="547" t="s">
        <v>129</v>
      </c>
      <c r="E15" s="548"/>
      <c r="F15" s="548"/>
      <c r="G15" s="548"/>
      <c r="H15" s="548"/>
      <c r="I15" s="548"/>
      <c r="J15" s="548"/>
      <c r="K15" s="548"/>
      <c r="L15" s="548"/>
      <c r="M15" s="548"/>
      <c r="N15" s="548"/>
      <c r="O15" s="513"/>
    </row>
    <row r="17" spans="2:22" x14ac:dyDescent="0.25">
      <c r="B17" s="516" t="s">
        <v>1826</v>
      </c>
      <c r="C17" s="516"/>
      <c r="D17" s="516"/>
      <c r="E17" s="516"/>
      <c r="F17" s="516"/>
      <c r="G17" s="516"/>
      <c r="H17" s="516"/>
      <c r="I17" s="516"/>
      <c r="J17" s="516"/>
      <c r="K17" s="516"/>
      <c r="L17" s="516"/>
      <c r="M17" s="516"/>
      <c r="N17" s="516"/>
      <c r="O17" s="516"/>
      <c r="P17" s="516"/>
      <c r="Q17" s="516"/>
      <c r="R17" s="516"/>
      <c r="S17" s="516"/>
      <c r="T17" s="516"/>
      <c r="U17" s="516"/>
      <c r="V17" s="516"/>
    </row>
    <row r="18" spans="2:22" x14ac:dyDescent="0.25">
      <c r="B18" t="s">
        <v>130</v>
      </c>
    </row>
    <row r="20" spans="2:22" x14ac:dyDescent="0.25">
      <c r="B20" s="81" t="s">
        <v>135</v>
      </c>
    </row>
    <row r="21" spans="2:22" x14ac:dyDescent="0.25">
      <c r="B21" s="517"/>
      <c r="C21" s="517"/>
      <c r="D21" s="517"/>
      <c r="E21" s="517"/>
      <c r="F21" s="517"/>
      <c r="G21" s="517"/>
      <c r="H21" s="517"/>
      <c r="I21" s="517"/>
      <c r="J21" s="517"/>
      <c r="K21" s="517"/>
      <c r="L21" s="517"/>
      <c r="M21" s="517"/>
      <c r="N21" s="517"/>
      <c r="O21" s="517"/>
      <c r="P21" s="517"/>
      <c r="Q21" s="517"/>
      <c r="R21" s="517"/>
      <c r="S21" s="517"/>
      <c r="T21" s="517"/>
    </row>
    <row r="22" spans="2:22" x14ac:dyDescent="0.25">
      <c r="B22" s="517"/>
      <c r="C22" s="517"/>
      <c r="D22" s="517"/>
      <c r="E22" s="517"/>
      <c r="F22" s="517"/>
      <c r="G22" s="517"/>
      <c r="H22" s="517"/>
      <c r="I22" s="517"/>
      <c r="J22" s="517"/>
      <c r="K22" s="517"/>
      <c r="L22" s="517"/>
      <c r="M22" s="517"/>
      <c r="N22" s="517"/>
      <c r="O22" s="517"/>
      <c r="P22" s="517"/>
      <c r="Q22" s="517"/>
      <c r="R22" s="517"/>
      <c r="S22" s="517"/>
      <c r="T22" s="517"/>
    </row>
    <row r="24" spans="2:22" ht="15" customHeight="1" x14ac:dyDescent="0.25">
      <c r="B24" s="81" t="s">
        <v>136</v>
      </c>
    </row>
    <row r="25" spans="2:22" x14ac:dyDescent="0.25">
      <c r="B25" s="517"/>
      <c r="C25" s="517"/>
      <c r="D25" s="517"/>
      <c r="E25" s="517"/>
      <c r="F25" s="517"/>
      <c r="G25" s="517"/>
      <c r="H25" s="517"/>
      <c r="I25" s="517"/>
      <c r="J25" s="517"/>
      <c r="K25" s="517"/>
      <c r="L25" s="517"/>
      <c r="M25" s="517"/>
      <c r="N25" s="517"/>
      <c r="O25" s="517"/>
      <c r="P25" s="517"/>
      <c r="Q25" s="517"/>
      <c r="R25" s="517"/>
      <c r="S25" s="517"/>
      <c r="T25" s="517"/>
    </row>
    <row r="26" spans="2:22" x14ac:dyDescent="0.25">
      <c r="B26" s="517"/>
      <c r="C26" s="517"/>
      <c r="D26" s="517"/>
      <c r="E26" s="517"/>
      <c r="F26" s="517"/>
      <c r="G26" s="517"/>
      <c r="H26" s="517"/>
      <c r="I26" s="517"/>
      <c r="J26" s="517"/>
      <c r="K26" s="517"/>
      <c r="L26" s="517"/>
      <c r="M26" s="517"/>
      <c r="N26" s="517"/>
      <c r="O26" s="517"/>
      <c r="P26" s="517"/>
      <c r="Q26" s="517"/>
      <c r="R26" s="517"/>
      <c r="S26" s="517"/>
      <c r="T26" s="517"/>
    </row>
    <row r="27" spans="2:22" ht="15.75" thickBot="1" x14ac:dyDescent="0.3"/>
    <row r="28" spans="2:22" x14ac:dyDescent="0.25">
      <c r="B28" s="543" t="s">
        <v>131</v>
      </c>
      <c r="C28" s="543" t="s">
        <v>168</v>
      </c>
      <c r="D28" s="543" t="s">
        <v>140</v>
      </c>
      <c r="E28" s="543" t="s">
        <v>141</v>
      </c>
      <c r="F28" s="543" t="s">
        <v>134</v>
      </c>
    </row>
    <row r="29" spans="2:22" ht="15" customHeight="1" thickBot="1" x14ac:dyDescent="0.3">
      <c r="B29" s="544"/>
      <c r="C29" s="544"/>
      <c r="D29" s="544"/>
      <c r="E29" s="544"/>
      <c r="F29" s="544"/>
    </row>
    <row r="30" spans="2:22" ht="15.75" thickBot="1" x14ac:dyDescent="0.3">
      <c r="B30" s="82" t="s">
        <v>534</v>
      </c>
      <c r="C30" s="83" t="s">
        <v>588</v>
      </c>
      <c r="D30" s="120">
        <v>591684</v>
      </c>
      <c r="E30" s="85" t="s">
        <v>589</v>
      </c>
      <c r="F30" s="83"/>
    </row>
    <row r="31" spans="2:22" ht="15.75" thickBot="1" x14ac:dyDescent="0.3">
      <c r="B31" s="82" t="s">
        <v>535</v>
      </c>
      <c r="C31" s="83" t="s">
        <v>588</v>
      </c>
      <c r="D31" s="120">
        <v>20660</v>
      </c>
      <c r="E31" s="85" t="s">
        <v>589</v>
      </c>
      <c r="F31" s="83"/>
    </row>
    <row r="32" spans="2:22" ht="15.75" thickBot="1" x14ac:dyDescent="0.3">
      <c r="B32" s="82" t="s">
        <v>536</v>
      </c>
      <c r="C32" s="83" t="s">
        <v>588</v>
      </c>
      <c r="D32" s="120">
        <v>62333.799999999996</v>
      </c>
      <c r="E32" s="85" t="s">
        <v>589</v>
      </c>
      <c r="F32" s="83"/>
    </row>
    <row r="33" spans="2:6" ht="15.75" thickBot="1" x14ac:dyDescent="0.3">
      <c r="B33" s="82" t="s">
        <v>537</v>
      </c>
      <c r="C33" s="83" t="s">
        <v>588</v>
      </c>
      <c r="D33" s="120">
        <v>38455.200000000004</v>
      </c>
      <c r="E33" s="85" t="s">
        <v>589</v>
      </c>
      <c r="F33" s="83"/>
    </row>
    <row r="34" spans="2:6" ht="15.75" thickBot="1" x14ac:dyDescent="0.3">
      <c r="B34" s="114" t="s">
        <v>540</v>
      </c>
      <c r="C34" s="115" t="s">
        <v>588</v>
      </c>
      <c r="D34" s="135">
        <v>33869.4</v>
      </c>
      <c r="E34" s="117" t="s">
        <v>589</v>
      </c>
      <c r="F34" s="121"/>
    </row>
    <row r="35" spans="2:6" ht="15.75" thickBot="1" x14ac:dyDescent="0.3">
      <c r="B35" s="114" t="s">
        <v>541</v>
      </c>
      <c r="C35" s="115" t="s">
        <v>588</v>
      </c>
      <c r="D35" s="135">
        <v>41042.6</v>
      </c>
      <c r="E35" s="117" t="s">
        <v>589</v>
      </c>
      <c r="F35" s="121"/>
    </row>
    <row r="36" spans="2:6" ht="15.75" thickBot="1" x14ac:dyDescent="0.3">
      <c r="B36" s="114" t="s">
        <v>542</v>
      </c>
      <c r="C36" s="115" t="s">
        <v>588</v>
      </c>
      <c r="D36" s="135">
        <v>54991.4</v>
      </c>
      <c r="E36" s="117" t="s">
        <v>589</v>
      </c>
      <c r="F36" s="121"/>
    </row>
    <row r="37" spans="2:6" ht="15.75" thickBot="1" x14ac:dyDescent="0.3">
      <c r="B37" s="114" t="s">
        <v>543</v>
      </c>
      <c r="C37" s="115" t="s">
        <v>588</v>
      </c>
      <c r="D37" s="135">
        <v>93068.2</v>
      </c>
      <c r="E37" s="117" t="s">
        <v>589</v>
      </c>
      <c r="F37" s="121"/>
    </row>
    <row r="38" spans="2:6" ht="15.75" thickBot="1" x14ac:dyDescent="0.3">
      <c r="B38" s="114" t="s">
        <v>547</v>
      </c>
      <c r="C38" s="115" t="s">
        <v>588</v>
      </c>
      <c r="D38" s="135">
        <v>154634.4</v>
      </c>
      <c r="E38" s="117" t="s">
        <v>589</v>
      </c>
      <c r="F38" s="121"/>
    </row>
    <row r="39" spans="2:6" ht="15.75" thickBot="1" x14ac:dyDescent="0.3">
      <c r="B39" s="114" t="s">
        <v>545</v>
      </c>
      <c r="C39" s="115" t="s">
        <v>588</v>
      </c>
      <c r="D39" s="135">
        <v>79028.599999999991</v>
      </c>
      <c r="E39" s="117" t="s">
        <v>589</v>
      </c>
      <c r="F39" s="121"/>
    </row>
    <row r="40" spans="2:6" ht="15.75" thickBot="1" x14ac:dyDescent="0.3">
      <c r="B40" s="114" t="s">
        <v>544</v>
      </c>
      <c r="C40" s="115" t="s">
        <v>588</v>
      </c>
      <c r="D40" s="135">
        <v>88086.399999999994</v>
      </c>
      <c r="E40" s="117" t="s">
        <v>589</v>
      </c>
      <c r="F40" s="121"/>
    </row>
    <row r="41" spans="2:6" ht="15.75" thickBot="1" x14ac:dyDescent="0.3">
      <c r="B41" s="114" t="s">
        <v>546</v>
      </c>
      <c r="C41" s="115" t="s">
        <v>588</v>
      </c>
      <c r="D41" s="135">
        <v>46963</v>
      </c>
      <c r="E41" s="117" t="s">
        <v>589</v>
      </c>
      <c r="F41" s="121"/>
    </row>
    <row r="42" spans="2:6" ht="15.75" thickBot="1" x14ac:dyDescent="0.3">
      <c r="B42" s="82" t="s">
        <v>534</v>
      </c>
      <c r="C42" s="83" t="s">
        <v>1527</v>
      </c>
      <c r="D42" s="134">
        <f>'A1.1'!E45+'A1.1'!E55+'A1.2'!E32+'A1.2'!E44</f>
        <v>11603556.770999998</v>
      </c>
      <c r="E42" s="85" t="s">
        <v>630</v>
      </c>
      <c r="F42" s="83" t="s">
        <v>620</v>
      </c>
    </row>
    <row r="43" spans="2:6" ht="15.75" thickBot="1" x14ac:dyDescent="0.3">
      <c r="B43" s="82" t="s">
        <v>535</v>
      </c>
      <c r="C43" s="83" t="s">
        <v>1527</v>
      </c>
      <c r="D43" s="120">
        <f>'A1.1'!E46+'A1.1'!E62+'A1.2'!E34+'A1.2'!E48</f>
        <v>718078.27299999958</v>
      </c>
      <c r="E43" s="85" t="s">
        <v>630</v>
      </c>
      <c r="F43" s="83" t="s">
        <v>620</v>
      </c>
    </row>
    <row r="44" spans="2:6" ht="15.75" thickBot="1" x14ac:dyDescent="0.3">
      <c r="B44" s="82" t="s">
        <v>536</v>
      </c>
      <c r="C44" s="83" t="s">
        <v>1527</v>
      </c>
      <c r="D44" s="120">
        <f>'A1.1'!E47+'A1.2'!E34+'A1.2'!E44</f>
        <v>346052.67100000003</v>
      </c>
      <c r="E44" s="85" t="s">
        <v>630</v>
      </c>
      <c r="F44" s="83" t="s">
        <v>620</v>
      </c>
    </row>
    <row r="45" spans="2:6" ht="15.75" thickBot="1" x14ac:dyDescent="0.3">
      <c r="B45" s="82" t="s">
        <v>537</v>
      </c>
      <c r="C45" s="83" t="s">
        <v>1527</v>
      </c>
      <c r="D45" s="120">
        <f>'A1.1'!E48+'A1.2'!E35</f>
        <v>263227.19</v>
      </c>
      <c r="E45" s="85" t="s">
        <v>630</v>
      </c>
      <c r="F45" s="83" t="s">
        <v>620</v>
      </c>
    </row>
    <row r="46" spans="2:6" ht="15.75" thickBot="1" x14ac:dyDescent="0.3">
      <c r="B46" s="114" t="s">
        <v>540</v>
      </c>
      <c r="C46" s="115" t="s">
        <v>1527</v>
      </c>
      <c r="D46" s="135">
        <f>'A1.2'!E42</f>
        <v>13565.86</v>
      </c>
      <c r="E46" s="117" t="s">
        <v>630</v>
      </c>
      <c r="F46" s="115" t="s">
        <v>620</v>
      </c>
    </row>
    <row r="47" spans="2:6" ht="15.75" thickBot="1" x14ac:dyDescent="0.3">
      <c r="B47" s="114" t="s">
        <v>541</v>
      </c>
      <c r="C47" s="115" t="s">
        <v>1527</v>
      </c>
      <c r="D47" s="135">
        <f>'A1.1'!E50+'A1.1'!E57+'A1.2'!E37</f>
        <v>1910314.3560000004</v>
      </c>
      <c r="E47" s="117" t="s">
        <v>630</v>
      </c>
      <c r="F47" s="115" t="s">
        <v>620</v>
      </c>
    </row>
    <row r="48" spans="2:6" ht="15.75" thickBot="1" x14ac:dyDescent="0.3">
      <c r="B48" s="114" t="s">
        <v>542</v>
      </c>
      <c r="C48" s="115" t="s">
        <v>1527</v>
      </c>
      <c r="D48" s="135">
        <f>'A1.1'!E53+'A1.1'!E60+'A1.2'!E40+'A1.2'!E46</f>
        <v>1866440.7319999987</v>
      </c>
      <c r="E48" s="117" t="s">
        <v>630</v>
      </c>
      <c r="F48" s="115" t="s">
        <v>620</v>
      </c>
    </row>
    <row r="49" spans="2:6" ht="15.75" thickBot="1" x14ac:dyDescent="0.3">
      <c r="B49" s="114" t="s">
        <v>543</v>
      </c>
      <c r="C49" s="115" t="s">
        <v>1527</v>
      </c>
      <c r="D49" s="135">
        <f>'A1.1'!E54+'A1.1'!E61+'A1.2'!E41</f>
        <v>1821612.0540000002</v>
      </c>
      <c r="E49" s="117" t="s">
        <v>630</v>
      </c>
      <c r="F49" s="115" t="s">
        <v>620</v>
      </c>
    </row>
    <row r="50" spans="2:6" ht="15.75" thickBot="1" x14ac:dyDescent="0.3">
      <c r="B50" s="114" t="s">
        <v>547</v>
      </c>
      <c r="C50" s="115" t="s">
        <v>1527</v>
      </c>
      <c r="D50" s="135">
        <f>'A1.2'!E43+'A1.2'!E47</f>
        <v>5172.9070000000002</v>
      </c>
      <c r="E50" s="117" t="s">
        <v>630</v>
      </c>
      <c r="F50" s="115" t="s">
        <v>620</v>
      </c>
    </row>
    <row r="51" spans="2:6" ht="15.75" thickBot="1" x14ac:dyDescent="0.3">
      <c r="B51" s="114" t="s">
        <v>545</v>
      </c>
      <c r="C51" s="115" t="s">
        <v>1527</v>
      </c>
      <c r="D51" s="135">
        <f>'A1.1'!E51+'A1.1'!E58+'A1.2'!E38+'A1.2'!E45</f>
        <v>3352355.2970000012</v>
      </c>
      <c r="E51" s="117" t="s">
        <v>630</v>
      </c>
      <c r="F51" s="115" t="s">
        <v>620</v>
      </c>
    </row>
    <row r="52" spans="2:6" ht="15.75" thickBot="1" x14ac:dyDescent="0.3">
      <c r="B52" s="114" t="s">
        <v>544</v>
      </c>
      <c r="C52" s="115" t="s">
        <v>1527</v>
      </c>
      <c r="D52" s="135">
        <f>'A1.1'!E56+'A1.1'!E49+'A1.2'!E36</f>
        <v>1544056.3790000002</v>
      </c>
      <c r="E52" s="117" t="s">
        <v>630</v>
      </c>
      <c r="F52" s="115" t="s">
        <v>620</v>
      </c>
    </row>
    <row r="53" spans="2:6" ht="15.75" thickBot="1" x14ac:dyDescent="0.3">
      <c r="B53" s="114" t="s">
        <v>546</v>
      </c>
      <c r="C53" s="115" t="s">
        <v>1527</v>
      </c>
      <c r="D53" s="135">
        <f>'A1.1'!E52+'A1.1'!E59+'A1.2'!E39</f>
        <v>1090039.1860000002</v>
      </c>
      <c r="E53" s="117" t="s">
        <v>630</v>
      </c>
      <c r="F53" s="115" t="s">
        <v>620</v>
      </c>
    </row>
  </sheetData>
  <mergeCells count="19">
    <mergeCell ref="B25:T26"/>
    <mergeCell ref="B28:B29"/>
    <mergeCell ref="D28:D29"/>
    <mergeCell ref="E28:E29"/>
    <mergeCell ref="F28:F29"/>
    <mergeCell ref="C28:C29"/>
    <mergeCell ref="B21:T22"/>
    <mergeCell ref="B9:T9"/>
    <mergeCell ref="B11:C11"/>
    <mergeCell ref="D11:O11"/>
    <mergeCell ref="B12:C12"/>
    <mergeCell ref="D12:O12"/>
    <mergeCell ref="B13:C13"/>
    <mergeCell ref="D13:O13"/>
    <mergeCell ref="B14:C14"/>
    <mergeCell ref="D14:O14"/>
    <mergeCell ref="B15:C15"/>
    <mergeCell ref="D15:O15"/>
    <mergeCell ref="B17:V17"/>
  </mergeCells>
  <dataValidations count="2">
    <dataValidation type="list" allowBlank="1" showInputMessage="1" showErrorMessage="1" sqref="C30 C42">
      <formula1>"WTT (combustíveis), Perdas Rede (Eletricidade)"</formula1>
    </dataValidation>
    <dataValidation type="list" allowBlank="1" showInputMessage="1" showErrorMessage="1" sqref="E30:E53">
      <formula1>"kWh, l (litros), kg (quilos), Nm3 (metros cubicos norm.)"</formula1>
    </dataValidation>
  </dataValidations>
  <pageMargins left="0.7" right="0.7" top="0.75" bottom="0.75" header="0.3" footer="0.3"/>
  <customProperties>
    <customPr name="GUID" r:id="rId1"/>
  </customPropertie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5"/>
  <dimension ref="A1:N118"/>
  <sheetViews>
    <sheetView topLeftCell="A85" zoomScale="85" zoomScaleNormal="85" workbookViewId="0">
      <selection activeCell="B109" sqref="A109:B109"/>
    </sheetView>
    <sheetView topLeftCell="A109" workbookViewId="1">
      <selection activeCell="F118" sqref="F118"/>
    </sheetView>
  </sheetViews>
  <sheetFormatPr defaultRowHeight="15" x14ac:dyDescent="0.25"/>
  <cols>
    <col min="1" max="1" width="74.28515625" customWidth="1"/>
    <col min="2" max="2" width="72.140625" customWidth="1"/>
    <col min="3" max="3" width="22.85546875" bestFit="1" customWidth="1"/>
    <col min="4" max="4" width="22.85546875" customWidth="1"/>
    <col min="5" max="5" width="18" customWidth="1"/>
    <col min="6" max="8" width="21.28515625" customWidth="1"/>
    <col min="9" max="9" width="82" customWidth="1"/>
    <col min="10" max="10" width="13.42578125" customWidth="1"/>
    <col min="11" max="11" width="18.85546875" bestFit="1" customWidth="1"/>
    <col min="14" max="14" width="22.28515625" customWidth="1"/>
  </cols>
  <sheetData>
    <row r="1" spans="1:14" ht="15.75" customHeight="1" thickBot="1" x14ac:dyDescent="0.3">
      <c r="A1" s="543" t="s">
        <v>1851</v>
      </c>
      <c r="B1" s="508" t="s">
        <v>131</v>
      </c>
      <c r="C1" s="508" t="s">
        <v>1852</v>
      </c>
      <c r="D1" s="202" t="s">
        <v>1856</v>
      </c>
      <c r="E1" s="508" t="s">
        <v>132</v>
      </c>
      <c r="F1" s="529" t="s">
        <v>133</v>
      </c>
      <c r="G1" s="204" t="s">
        <v>1889</v>
      </c>
      <c r="H1" s="529" t="s">
        <v>431</v>
      </c>
      <c r="I1" s="508" t="s">
        <v>134</v>
      </c>
      <c r="J1" s="204" t="s">
        <v>1892</v>
      </c>
      <c r="K1" s="228" t="s">
        <v>2959</v>
      </c>
      <c r="L1" s="528" t="s">
        <v>2831</v>
      </c>
      <c r="M1" s="528" t="s">
        <v>3628</v>
      </c>
      <c r="N1" s="528" t="s">
        <v>3723</v>
      </c>
    </row>
    <row r="2" spans="1:14" ht="15" customHeight="1" thickBot="1" x14ac:dyDescent="0.3">
      <c r="A2" s="544"/>
      <c r="B2" s="509"/>
      <c r="C2" s="509"/>
      <c r="D2" s="203"/>
      <c r="E2" s="509"/>
      <c r="F2" s="530"/>
      <c r="G2" s="205"/>
      <c r="H2" s="530"/>
      <c r="I2" s="509"/>
      <c r="J2" s="205"/>
      <c r="K2" s="229"/>
      <c r="L2" s="528"/>
      <c r="M2" s="528"/>
      <c r="N2" s="528"/>
    </row>
    <row r="3" spans="1:14" ht="15.75" thickBot="1" x14ac:dyDescent="0.3">
      <c r="A3" s="82" t="s">
        <v>45</v>
      </c>
      <c r="B3" s="82" t="str">
        <f t="shared" ref="B3:B14" si="0">LEFT(A3,IFERROR(FIND(" - ",A3)-1,LEN(A3)))</f>
        <v>Barraqueiro Transportes, S.A.</v>
      </c>
      <c r="C3" s="82" t="str">
        <f t="shared" ref="C3:C66" si="1">IF(A3=B3,"X",RIGHT(A3,LEN(A3)-LEN(B3)-3))</f>
        <v>X</v>
      </c>
      <c r="D3" s="222">
        <v>2022</v>
      </c>
      <c r="E3" s="83" t="s">
        <v>538</v>
      </c>
      <c r="F3" s="84">
        <f>SUM(F7:F14)</f>
        <v>591684</v>
      </c>
      <c r="G3" s="224" t="s">
        <v>589</v>
      </c>
      <c r="H3" s="84"/>
      <c r="I3" s="85" t="s">
        <v>548</v>
      </c>
      <c r="J3" s="93" t="s">
        <v>1893</v>
      </c>
      <c r="K3" t="str">
        <f>E3</f>
        <v>GALP</v>
      </c>
      <c r="L3" t="s">
        <v>3525</v>
      </c>
      <c r="M3" t="s">
        <v>3525</v>
      </c>
      <c r="N3" t="s">
        <v>42</v>
      </c>
    </row>
    <row r="4" spans="1:14" ht="15.75" thickBot="1" x14ac:dyDescent="0.3">
      <c r="A4" s="82" t="s">
        <v>4683</v>
      </c>
      <c r="B4" s="82" t="s">
        <v>4683</v>
      </c>
      <c r="C4" s="82" t="str">
        <f t="shared" si="1"/>
        <v>X</v>
      </c>
      <c r="D4" s="222">
        <v>2022</v>
      </c>
      <c r="E4" s="83" t="s">
        <v>538</v>
      </c>
      <c r="F4" s="84">
        <f>19823+837</f>
        <v>20660</v>
      </c>
      <c r="G4" s="224" t="s">
        <v>589</v>
      </c>
      <c r="H4" s="84"/>
      <c r="I4" s="85" t="s">
        <v>539</v>
      </c>
      <c r="J4" s="93" t="s">
        <v>1893</v>
      </c>
      <c r="K4" t="str">
        <f t="shared" ref="K4:K67" si="2">E4</f>
        <v>GALP</v>
      </c>
      <c r="L4" t="s">
        <v>3525</v>
      </c>
      <c r="M4" t="s">
        <v>3525</v>
      </c>
      <c r="N4" t="s">
        <v>42</v>
      </c>
    </row>
    <row r="5" spans="1:14" ht="15.75" thickBot="1" x14ac:dyDescent="0.3">
      <c r="A5" s="82" t="s">
        <v>4684</v>
      </c>
      <c r="B5" s="82" t="s">
        <v>4684</v>
      </c>
      <c r="C5" s="82" t="str">
        <f t="shared" si="1"/>
        <v>X</v>
      </c>
      <c r="D5" s="222">
        <v>2022</v>
      </c>
      <c r="E5" s="83" t="s">
        <v>538</v>
      </c>
      <c r="F5" s="84">
        <f>4651+0.6*96138</f>
        <v>62333.799999999996</v>
      </c>
      <c r="G5" s="224" t="s">
        <v>589</v>
      </c>
      <c r="H5" s="84"/>
      <c r="I5" s="85" t="s">
        <v>1744</v>
      </c>
      <c r="J5" s="93" t="s">
        <v>1893</v>
      </c>
      <c r="K5" t="str">
        <f t="shared" si="2"/>
        <v>GALP</v>
      </c>
      <c r="L5" t="s">
        <v>3525</v>
      </c>
      <c r="M5" t="s">
        <v>3525</v>
      </c>
      <c r="N5" t="s">
        <v>42</v>
      </c>
    </row>
    <row r="6" spans="1:14" ht="15.75" thickBot="1" x14ac:dyDescent="0.3">
      <c r="A6" s="82" t="s">
        <v>4685</v>
      </c>
      <c r="B6" s="82" t="s">
        <v>4685</v>
      </c>
      <c r="C6" s="82" t="str">
        <f t="shared" si="1"/>
        <v>X</v>
      </c>
      <c r="D6" s="222">
        <v>2022</v>
      </c>
      <c r="E6" s="83" t="s">
        <v>538</v>
      </c>
      <c r="F6" s="84">
        <f>0.4*96138</f>
        <v>38455.200000000004</v>
      </c>
      <c r="G6" s="224" t="s">
        <v>589</v>
      </c>
      <c r="H6" s="84"/>
      <c r="I6" s="85" t="s">
        <v>1744</v>
      </c>
      <c r="J6" s="93" t="s">
        <v>1893</v>
      </c>
      <c r="K6" t="str">
        <f t="shared" si="2"/>
        <v>GALP</v>
      </c>
      <c r="L6" t="s">
        <v>3525</v>
      </c>
      <c r="M6" t="s">
        <v>3525</v>
      </c>
      <c r="N6" t="s">
        <v>42</v>
      </c>
    </row>
    <row r="7" spans="1:14" ht="15.75" thickBot="1" x14ac:dyDescent="0.3">
      <c r="A7" s="114" t="s">
        <v>3514</v>
      </c>
      <c r="B7" s="82" t="str">
        <f t="shared" si="0"/>
        <v>Barraqueiro Transportes, S.A.</v>
      </c>
      <c r="C7" s="82" t="str">
        <f t="shared" si="1"/>
        <v>Sede</v>
      </c>
      <c r="D7" s="222">
        <v>2022</v>
      </c>
      <c r="E7" s="115" t="s">
        <v>538</v>
      </c>
      <c r="F7" s="116">
        <f>0.3*112898</f>
        <v>33869.4</v>
      </c>
      <c r="G7" s="224" t="s">
        <v>589</v>
      </c>
      <c r="H7" s="116"/>
      <c r="I7" s="117"/>
      <c r="J7" s="93" t="s">
        <v>1893</v>
      </c>
      <c r="K7" t="str">
        <f t="shared" si="2"/>
        <v>GALP</v>
      </c>
      <c r="L7" t="s">
        <v>3525</v>
      </c>
      <c r="M7" t="s">
        <v>3525</v>
      </c>
      <c r="N7" t="s">
        <v>42</v>
      </c>
    </row>
    <row r="8" spans="1:14" ht="15.75" thickBot="1" x14ac:dyDescent="0.3">
      <c r="A8" s="114" t="s">
        <v>3314</v>
      </c>
      <c r="B8" s="82" t="str">
        <f t="shared" si="0"/>
        <v>Barraqueiro Transportes, S.A.</v>
      </c>
      <c r="C8" s="82" t="str">
        <f t="shared" si="1"/>
        <v>Barraqueiro Alugueres</v>
      </c>
      <c r="D8" s="222">
        <v>2022</v>
      </c>
      <c r="E8" s="115" t="s">
        <v>538</v>
      </c>
      <c r="F8" s="116">
        <f>2384+0.2*193293</f>
        <v>41042.6</v>
      </c>
      <c r="G8" s="224" t="s">
        <v>589</v>
      </c>
      <c r="H8" s="116"/>
      <c r="I8" s="117"/>
      <c r="J8" s="93" t="s">
        <v>1893</v>
      </c>
      <c r="K8" t="str">
        <f t="shared" si="2"/>
        <v>GALP</v>
      </c>
      <c r="L8" t="s">
        <v>3525</v>
      </c>
      <c r="M8" t="s">
        <v>3525</v>
      </c>
      <c r="N8" t="s">
        <v>42</v>
      </c>
    </row>
    <row r="9" spans="1:14" ht="15.75" thickBot="1" x14ac:dyDescent="0.3">
      <c r="A9" s="114" t="s">
        <v>3509</v>
      </c>
      <c r="B9" s="82" t="str">
        <f t="shared" si="0"/>
        <v>Barraqueiro Transportes, S.A.</v>
      </c>
      <c r="C9" s="82" t="str">
        <f t="shared" si="1"/>
        <v>Barraqueiro Oeste</v>
      </c>
      <c r="D9" s="222">
        <v>2022</v>
      </c>
      <c r="E9" s="115" t="s">
        <v>538</v>
      </c>
      <c r="F9" s="116">
        <f>48591+4842+0.4*3896</f>
        <v>54991.4</v>
      </c>
      <c r="G9" s="224" t="s">
        <v>589</v>
      </c>
      <c r="H9" s="116"/>
      <c r="I9" s="117"/>
      <c r="J9" s="93" t="s">
        <v>1893</v>
      </c>
      <c r="K9" t="str">
        <f t="shared" si="2"/>
        <v>GALP</v>
      </c>
      <c r="L9" t="s">
        <v>3525</v>
      </c>
      <c r="M9" t="s">
        <v>3525</v>
      </c>
      <c r="N9" t="s">
        <v>42</v>
      </c>
    </row>
    <row r="10" spans="1:14" ht="15.75" thickBot="1" x14ac:dyDescent="0.3">
      <c r="A10" s="114" t="s">
        <v>3510</v>
      </c>
      <c r="B10" s="82" t="str">
        <f t="shared" si="0"/>
        <v>Barraqueiro Transportes, S.A.</v>
      </c>
      <c r="C10" s="82" t="str">
        <f t="shared" si="1"/>
        <v>Boa Viagem</v>
      </c>
      <c r="D10" s="222">
        <v>2022</v>
      </c>
      <c r="E10" s="115" t="s">
        <v>538</v>
      </c>
      <c r="F10" s="116">
        <f>92289+0.2*3896</f>
        <v>93068.2</v>
      </c>
      <c r="G10" s="224" t="s">
        <v>589</v>
      </c>
      <c r="H10" s="116"/>
      <c r="I10" s="117"/>
      <c r="J10" s="93" t="s">
        <v>1893</v>
      </c>
      <c r="K10" t="str">
        <f t="shared" si="2"/>
        <v>GALP</v>
      </c>
      <c r="L10" t="s">
        <v>3525</v>
      </c>
      <c r="M10" t="s">
        <v>3525</v>
      </c>
      <c r="N10" t="s">
        <v>42</v>
      </c>
    </row>
    <row r="11" spans="1:14" ht="15.75" thickBot="1" x14ac:dyDescent="0.3">
      <c r="A11" s="114" t="s">
        <v>3560</v>
      </c>
      <c r="B11" s="82" t="str">
        <f t="shared" si="0"/>
        <v>Barraqueiro Transportes, S.A.</v>
      </c>
      <c r="C11" s="82" t="str">
        <f t="shared" si="1"/>
        <v>ESEVEL</v>
      </c>
      <c r="D11" s="222">
        <v>2022</v>
      </c>
      <c r="E11" s="115" t="s">
        <v>538</v>
      </c>
      <c r="F11" s="116">
        <f>0.8*193293</f>
        <v>154634.4</v>
      </c>
      <c r="G11" s="224" t="s">
        <v>589</v>
      </c>
      <c r="H11" s="116"/>
      <c r="I11" s="117"/>
      <c r="J11" s="93" t="s">
        <v>1893</v>
      </c>
      <c r="K11" t="str">
        <f t="shared" si="2"/>
        <v>GALP</v>
      </c>
      <c r="L11" t="s">
        <v>3525</v>
      </c>
      <c r="M11" t="s">
        <v>3525</v>
      </c>
      <c r="N11" t="s">
        <v>42</v>
      </c>
    </row>
    <row r="12" spans="1:14" ht="15.75" thickBot="1" x14ac:dyDescent="0.3">
      <c r="A12" s="114" t="s">
        <v>3507</v>
      </c>
      <c r="B12" s="82" t="str">
        <f t="shared" si="0"/>
        <v>Barraqueiro Transportes, S.A.</v>
      </c>
      <c r="C12" s="82" t="str">
        <f t="shared" si="1"/>
        <v>Estremadura</v>
      </c>
      <c r="D12" s="222">
        <v>2022</v>
      </c>
      <c r="E12" s="115" t="s">
        <v>538</v>
      </c>
      <c r="F12" s="116">
        <f>0.7*112898</f>
        <v>79028.599999999991</v>
      </c>
      <c r="G12" s="224" t="s">
        <v>589</v>
      </c>
      <c r="H12" s="116"/>
      <c r="I12" s="117"/>
      <c r="J12" s="93" t="s">
        <v>1893</v>
      </c>
      <c r="K12" t="str">
        <f t="shared" si="2"/>
        <v>GALP</v>
      </c>
      <c r="L12" t="s">
        <v>3525</v>
      </c>
      <c r="M12" t="s">
        <v>3525</v>
      </c>
      <c r="N12" t="s">
        <v>42</v>
      </c>
    </row>
    <row r="13" spans="1:14" ht="15.75" thickBot="1" x14ac:dyDescent="0.3">
      <c r="A13" s="114" t="s">
        <v>3698</v>
      </c>
      <c r="B13" s="82" t="str">
        <f t="shared" si="0"/>
        <v>Barraqueiro TTransportes, S.A.</v>
      </c>
      <c r="C13" s="82" t="str">
        <f t="shared" si="1"/>
        <v>Mafrense</v>
      </c>
      <c r="D13" s="222">
        <v>2022</v>
      </c>
      <c r="E13" s="115" t="s">
        <v>538</v>
      </c>
      <c r="F13" s="116">
        <f>20709+0.4*3896+65819</f>
        <v>88086.399999999994</v>
      </c>
      <c r="G13" s="224" t="s">
        <v>589</v>
      </c>
      <c r="H13" s="116"/>
      <c r="I13" s="117" t="s">
        <v>1848</v>
      </c>
      <c r="J13" s="93" t="s">
        <v>1893</v>
      </c>
      <c r="K13" t="str">
        <f t="shared" si="2"/>
        <v>GALP</v>
      </c>
      <c r="L13" t="s">
        <v>3525</v>
      </c>
      <c r="M13" t="s">
        <v>3525</v>
      </c>
      <c r="N13" t="s">
        <v>42</v>
      </c>
    </row>
    <row r="14" spans="1:14" ht="15.75" thickBot="1" x14ac:dyDescent="0.3">
      <c r="A14" s="114" t="s">
        <v>3508</v>
      </c>
      <c r="B14" s="82" t="str">
        <f t="shared" si="0"/>
        <v>Barraqueiro Transportes, S.A.</v>
      </c>
      <c r="C14" s="82" t="str">
        <f t="shared" si="1"/>
        <v>Frota Azul</v>
      </c>
      <c r="D14" s="222">
        <v>2022</v>
      </c>
      <c r="E14" s="115" t="s">
        <v>538</v>
      </c>
      <c r="F14" s="116">
        <v>46963</v>
      </c>
      <c r="G14" s="224" t="s">
        <v>589</v>
      </c>
      <c r="H14" s="116"/>
      <c r="I14" s="117"/>
      <c r="J14" s="93" t="s">
        <v>1893</v>
      </c>
      <c r="K14" t="str">
        <f t="shared" si="2"/>
        <v>GALP</v>
      </c>
      <c r="L14" t="s">
        <v>3525</v>
      </c>
      <c r="M14" t="s">
        <v>3525</v>
      </c>
      <c r="N14" t="s">
        <v>42</v>
      </c>
    </row>
    <row r="15" spans="1:14" ht="15.75" thickBot="1" x14ac:dyDescent="0.3">
      <c r="A15" s="82" t="s">
        <v>1929</v>
      </c>
      <c r="B15" s="82" t="s">
        <v>1929</v>
      </c>
      <c r="C15" s="82" t="str">
        <f t="shared" si="1"/>
        <v>X</v>
      </c>
      <c r="D15" s="222">
        <v>2022</v>
      </c>
      <c r="E15" s="83" t="s">
        <v>538</v>
      </c>
      <c r="F15" s="84">
        <v>61246</v>
      </c>
      <c r="G15" s="224" t="s">
        <v>589</v>
      </c>
      <c r="I15" s="85" t="s">
        <v>2890</v>
      </c>
      <c r="J15" s="93" t="s">
        <v>1893</v>
      </c>
      <c r="K15" t="str">
        <f t="shared" si="2"/>
        <v>GALP</v>
      </c>
      <c r="L15" t="s">
        <v>3525</v>
      </c>
      <c r="M15" t="s">
        <v>3525</v>
      </c>
      <c r="N15" t="s">
        <v>42</v>
      </c>
    </row>
    <row r="16" spans="1:14" ht="15.75" thickBot="1" x14ac:dyDescent="0.3">
      <c r="A16" s="82" t="s">
        <v>1929</v>
      </c>
      <c r="B16" s="82" t="s">
        <v>1929</v>
      </c>
      <c r="C16" s="82" t="str">
        <f t="shared" si="1"/>
        <v>X</v>
      </c>
      <c r="D16" s="222">
        <v>2022</v>
      </c>
      <c r="E16" s="83" t="s">
        <v>538</v>
      </c>
      <c r="F16" s="84">
        <v>73267</v>
      </c>
      <c r="G16" s="224" t="s">
        <v>589</v>
      </c>
      <c r="I16" s="85" t="s">
        <v>2891</v>
      </c>
      <c r="J16" s="93" t="s">
        <v>1893</v>
      </c>
      <c r="K16" t="str">
        <f t="shared" si="2"/>
        <v>GALP</v>
      </c>
      <c r="L16" t="s">
        <v>3525</v>
      </c>
      <c r="M16" t="s">
        <v>3525</v>
      </c>
      <c r="N16" t="s">
        <v>42</v>
      </c>
    </row>
    <row r="17" spans="1:14" ht="15.75" thickBot="1" x14ac:dyDescent="0.3">
      <c r="A17" s="82" t="s">
        <v>1929</v>
      </c>
      <c r="B17" s="82" t="s">
        <v>1929</v>
      </c>
      <c r="C17" s="82" t="str">
        <f t="shared" si="1"/>
        <v>X</v>
      </c>
      <c r="D17" s="222">
        <v>2022</v>
      </c>
      <c r="E17" s="83" t="s">
        <v>538</v>
      </c>
      <c r="F17" s="84">
        <v>72905</v>
      </c>
      <c r="G17" s="224" t="s">
        <v>589</v>
      </c>
      <c r="I17" s="85" t="s">
        <v>2892</v>
      </c>
      <c r="J17" s="93" t="s">
        <v>1893</v>
      </c>
      <c r="K17" t="str">
        <f t="shared" si="2"/>
        <v>GALP</v>
      </c>
      <c r="L17" t="s">
        <v>3525</v>
      </c>
      <c r="M17" t="s">
        <v>3525</v>
      </c>
      <c r="N17" t="s">
        <v>42</v>
      </c>
    </row>
    <row r="18" spans="1:14" ht="15.75" thickBot="1" x14ac:dyDescent="0.3">
      <c r="A18" s="82" t="s">
        <v>1929</v>
      </c>
      <c r="B18" s="82" t="s">
        <v>1929</v>
      </c>
      <c r="C18" s="82" t="str">
        <f t="shared" si="1"/>
        <v>X</v>
      </c>
      <c r="D18" s="222">
        <v>2022</v>
      </c>
      <c r="E18" s="83" t="s">
        <v>538</v>
      </c>
      <c r="F18" s="84">
        <v>58629</v>
      </c>
      <c r="G18" s="224" t="s">
        <v>589</v>
      </c>
      <c r="I18" s="85" t="s">
        <v>2893</v>
      </c>
      <c r="J18" s="93" t="s">
        <v>1893</v>
      </c>
      <c r="K18" t="str">
        <f t="shared" si="2"/>
        <v>GALP</v>
      </c>
      <c r="L18" t="s">
        <v>3525</v>
      </c>
      <c r="M18" t="s">
        <v>3525</v>
      </c>
      <c r="N18" t="s">
        <v>42</v>
      </c>
    </row>
    <row r="19" spans="1:14" ht="15.75" thickBot="1" x14ac:dyDescent="0.3">
      <c r="A19" s="82" t="s">
        <v>1929</v>
      </c>
      <c r="B19" s="82" t="s">
        <v>1929</v>
      </c>
      <c r="C19" s="82" t="str">
        <f t="shared" si="1"/>
        <v>X</v>
      </c>
      <c r="D19" s="222">
        <v>2022</v>
      </c>
      <c r="E19" s="83" t="s">
        <v>538</v>
      </c>
      <c r="F19" s="84">
        <v>68302.5</v>
      </c>
      <c r="G19" s="224" t="s">
        <v>589</v>
      </c>
      <c r="I19" s="85" t="s">
        <v>2894</v>
      </c>
      <c r="J19" s="93" t="s">
        <v>1893</v>
      </c>
      <c r="K19" t="str">
        <f t="shared" si="2"/>
        <v>GALP</v>
      </c>
      <c r="L19" t="s">
        <v>3525</v>
      </c>
      <c r="M19" t="s">
        <v>3525</v>
      </c>
      <c r="N19" t="s">
        <v>42</v>
      </c>
    </row>
    <row r="20" spans="1:14" ht="15.75" thickBot="1" x14ac:dyDescent="0.3">
      <c r="A20" s="82" t="s">
        <v>1929</v>
      </c>
      <c r="B20" s="82" t="s">
        <v>1929</v>
      </c>
      <c r="C20" s="82" t="str">
        <f t="shared" si="1"/>
        <v>X</v>
      </c>
      <c r="D20" s="222">
        <v>2022</v>
      </c>
      <c r="E20" s="83" t="s">
        <v>538</v>
      </c>
      <c r="F20" s="84">
        <v>55283</v>
      </c>
      <c r="G20" s="224" t="s">
        <v>589</v>
      </c>
      <c r="I20" s="85" t="s">
        <v>2895</v>
      </c>
      <c r="J20" s="93" t="s">
        <v>1893</v>
      </c>
      <c r="K20" t="str">
        <f t="shared" si="2"/>
        <v>GALP</v>
      </c>
      <c r="L20" t="s">
        <v>3525</v>
      </c>
      <c r="M20" t="s">
        <v>3525</v>
      </c>
      <c r="N20" t="s">
        <v>42</v>
      </c>
    </row>
    <row r="21" spans="1:14" ht="15.75" thickBot="1" x14ac:dyDescent="0.3">
      <c r="A21" s="82" t="s">
        <v>1929</v>
      </c>
      <c r="B21" s="82" t="s">
        <v>1929</v>
      </c>
      <c r="C21" s="82" t="str">
        <f t="shared" si="1"/>
        <v>X</v>
      </c>
      <c r="D21" s="222">
        <v>2022</v>
      </c>
      <c r="E21" s="83" t="s">
        <v>538</v>
      </c>
      <c r="F21" s="84">
        <v>59733.2</v>
      </c>
      <c r="G21" s="224" t="s">
        <v>589</v>
      </c>
      <c r="I21" s="85" t="s">
        <v>2896</v>
      </c>
      <c r="J21" s="93" t="s">
        <v>1893</v>
      </c>
      <c r="K21" t="str">
        <f t="shared" si="2"/>
        <v>GALP</v>
      </c>
      <c r="L21" t="s">
        <v>3525</v>
      </c>
      <c r="M21" t="s">
        <v>3525</v>
      </c>
      <c r="N21" t="s">
        <v>42</v>
      </c>
    </row>
    <row r="22" spans="1:14" ht="15.75" thickBot="1" x14ac:dyDescent="0.3">
      <c r="A22" s="82" t="s">
        <v>1929</v>
      </c>
      <c r="B22" s="82" t="s">
        <v>1929</v>
      </c>
      <c r="C22" s="82" t="str">
        <f t="shared" si="1"/>
        <v>X</v>
      </c>
      <c r="D22" s="222">
        <v>2022</v>
      </c>
      <c r="E22" s="83" t="s">
        <v>538</v>
      </c>
      <c r="F22" s="84">
        <v>59736</v>
      </c>
      <c r="G22" s="224" t="s">
        <v>589</v>
      </c>
      <c r="I22" s="85" t="s">
        <v>2897</v>
      </c>
      <c r="J22" s="93" t="s">
        <v>1893</v>
      </c>
      <c r="K22" t="str">
        <f t="shared" si="2"/>
        <v>GALP</v>
      </c>
      <c r="L22" t="s">
        <v>3525</v>
      </c>
      <c r="M22" t="s">
        <v>3525</v>
      </c>
      <c r="N22" t="s">
        <v>42</v>
      </c>
    </row>
    <row r="23" spans="1:14" ht="15.75" thickBot="1" x14ac:dyDescent="0.3">
      <c r="A23" s="82" t="s">
        <v>1929</v>
      </c>
      <c r="B23" s="82" t="s">
        <v>1929</v>
      </c>
      <c r="C23" s="82" t="str">
        <f t="shared" si="1"/>
        <v>X</v>
      </c>
      <c r="D23" s="222">
        <v>2022</v>
      </c>
      <c r="E23" s="83" t="s">
        <v>538</v>
      </c>
      <c r="F23" s="84">
        <v>60731</v>
      </c>
      <c r="G23" s="224" t="s">
        <v>589</v>
      </c>
      <c r="I23" s="85" t="s">
        <v>2898</v>
      </c>
      <c r="J23" s="93" t="s">
        <v>1893</v>
      </c>
      <c r="K23" t="str">
        <f t="shared" si="2"/>
        <v>GALP</v>
      </c>
      <c r="L23" t="s">
        <v>3525</v>
      </c>
      <c r="M23" t="s">
        <v>3525</v>
      </c>
      <c r="N23" t="s">
        <v>42</v>
      </c>
    </row>
    <row r="24" spans="1:14" ht="15.75" thickBot="1" x14ac:dyDescent="0.3">
      <c r="A24" s="82" t="s">
        <v>1929</v>
      </c>
      <c r="B24" s="82" t="s">
        <v>1929</v>
      </c>
      <c r="C24" s="82" t="str">
        <f t="shared" si="1"/>
        <v>X</v>
      </c>
      <c r="D24" s="222">
        <v>2022</v>
      </c>
      <c r="E24" s="83" t="s">
        <v>538</v>
      </c>
      <c r="F24" s="84">
        <v>71348</v>
      </c>
      <c r="G24" s="224" t="s">
        <v>589</v>
      </c>
      <c r="I24" s="85" t="s">
        <v>2899</v>
      </c>
      <c r="J24" s="93" t="s">
        <v>1893</v>
      </c>
      <c r="K24" t="str">
        <f t="shared" si="2"/>
        <v>GALP</v>
      </c>
      <c r="L24" t="s">
        <v>3525</v>
      </c>
      <c r="M24" t="s">
        <v>3525</v>
      </c>
      <c r="N24" t="s">
        <v>42</v>
      </c>
    </row>
    <row r="25" spans="1:14" ht="15.75" thickBot="1" x14ac:dyDescent="0.3">
      <c r="A25" s="82" t="s">
        <v>1929</v>
      </c>
      <c r="B25" s="82" t="s">
        <v>1929</v>
      </c>
      <c r="C25" s="82" t="str">
        <f t="shared" si="1"/>
        <v>X</v>
      </c>
      <c r="D25" s="222">
        <v>2022</v>
      </c>
      <c r="E25" s="83" t="s">
        <v>538</v>
      </c>
      <c r="F25" s="84">
        <v>57477</v>
      </c>
      <c r="G25" s="224" t="s">
        <v>589</v>
      </c>
      <c r="I25" s="85" t="s">
        <v>2900</v>
      </c>
      <c r="J25" s="93" t="s">
        <v>1893</v>
      </c>
      <c r="K25" t="str">
        <f t="shared" si="2"/>
        <v>GALP</v>
      </c>
      <c r="L25" t="s">
        <v>3525</v>
      </c>
      <c r="M25" t="s">
        <v>3525</v>
      </c>
      <c r="N25" t="s">
        <v>42</v>
      </c>
    </row>
    <row r="26" spans="1:14" ht="15.75" thickBot="1" x14ac:dyDescent="0.3">
      <c r="A26" s="82" t="s">
        <v>1929</v>
      </c>
      <c r="B26" s="82" t="s">
        <v>1929</v>
      </c>
      <c r="C26" s="82" t="str">
        <f t="shared" si="1"/>
        <v>X</v>
      </c>
      <c r="D26" s="222">
        <v>2022</v>
      </c>
      <c r="E26" s="83" t="s">
        <v>538</v>
      </c>
      <c r="F26" s="84">
        <v>61859</v>
      </c>
      <c r="G26" s="224" t="s">
        <v>589</v>
      </c>
      <c r="I26" s="85" t="s">
        <v>2901</v>
      </c>
      <c r="J26" s="93" t="s">
        <v>1893</v>
      </c>
      <c r="K26" t="str">
        <f t="shared" si="2"/>
        <v>GALP</v>
      </c>
      <c r="L26" t="s">
        <v>3525</v>
      </c>
      <c r="M26" t="s">
        <v>3525</v>
      </c>
      <c r="N26" t="s">
        <v>42</v>
      </c>
    </row>
    <row r="27" spans="1:14" ht="15.75" thickBot="1" x14ac:dyDescent="0.3">
      <c r="A27" s="82" t="s">
        <v>1931</v>
      </c>
      <c r="B27" s="82" t="s">
        <v>1931</v>
      </c>
      <c r="C27" s="82" t="str">
        <f t="shared" si="1"/>
        <v>X</v>
      </c>
      <c r="D27" s="222">
        <v>2022</v>
      </c>
      <c r="E27" s="83" t="s">
        <v>538</v>
      </c>
      <c r="F27" s="84">
        <f>17765.5+3419+8286</f>
        <v>29470.5</v>
      </c>
      <c r="G27" s="224" t="s">
        <v>589</v>
      </c>
      <c r="I27" s="85"/>
      <c r="J27" s="93" t="s">
        <v>1893</v>
      </c>
      <c r="K27" t="str">
        <f t="shared" si="2"/>
        <v>GALP</v>
      </c>
      <c r="L27" t="s">
        <v>3525</v>
      </c>
      <c r="M27" t="s">
        <v>3525</v>
      </c>
      <c r="N27" t="s">
        <v>42</v>
      </c>
    </row>
    <row r="28" spans="1:14" ht="15.75" thickBot="1" x14ac:dyDescent="0.3">
      <c r="A28" s="82" t="s">
        <v>1934</v>
      </c>
      <c r="B28" s="82" t="s">
        <v>1934</v>
      </c>
      <c r="C28" s="82" t="str">
        <f t="shared" si="1"/>
        <v>X</v>
      </c>
      <c r="D28" s="222">
        <v>2022</v>
      </c>
      <c r="E28" s="83" t="s">
        <v>538</v>
      </c>
      <c r="F28" s="84">
        <v>342144</v>
      </c>
      <c r="G28" s="224" t="s">
        <v>589</v>
      </c>
      <c r="I28" s="85">
        <v>2023</v>
      </c>
      <c r="J28" s="93" t="s">
        <v>1893</v>
      </c>
      <c r="K28" t="str">
        <f t="shared" si="2"/>
        <v>GALP</v>
      </c>
      <c r="L28" t="s">
        <v>3525</v>
      </c>
      <c r="M28" t="s">
        <v>3525</v>
      </c>
      <c r="N28" t="s">
        <v>42</v>
      </c>
    </row>
    <row r="29" spans="1:14" ht="15.75" thickBot="1" x14ac:dyDescent="0.3">
      <c r="A29" s="82" t="s">
        <v>1935</v>
      </c>
      <c r="B29" s="82" t="s">
        <v>1935</v>
      </c>
      <c r="C29" s="82" t="str">
        <f t="shared" si="1"/>
        <v>X</v>
      </c>
      <c r="D29" s="222">
        <v>2022</v>
      </c>
      <c r="E29" s="83" t="s">
        <v>538</v>
      </c>
      <c r="F29" s="84">
        <f>374293-6805</f>
        <v>367488</v>
      </c>
      <c r="G29" s="224" t="s">
        <v>589</v>
      </c>
      <c r="I29" s="85" t="s">
        <v>2902</v>
      </c>
      <c r="J29" s="93" t="s">
        <v>1893</v>
      </c>
      <c r="K29" t="str">
        <f t="shared" si="2"/>
        <v>GALP</v>
      </c>
      <c r="L29" t="s">
        <v>3525</v>
      </c>
      <c r="M29" t="s">
        <v>3525</v>
      </c>
      <c r="N29" t="s">
        <v>42</v>
      </c>
    </row>
    <row r="30" spans="1:14" ht="15.75" thickBot="1" x14ac:dyDescent="0.3">
      <c r="A30" s="82" t="s">
        <v>4686</v>
      </c>
      <c r="B30" s="82" t="s">
        <v>4686</v>
      </c>
      <c r="C30" s="82" t="str">
        <f>IF(A30=B30,"X",RIGHT(A30,LEN(A30)-LEN(B30)-3))</f>
        <v>X</v>
      </c>
      <c r="D30" s="222">
        <v>2022</v>
      </c>
      <c r="E30" s="83" t="s">
        <v>538</v>
      </c>
      <c r="F30" s="84">
        <v>764498.36128675716</v>
      </c>
      <c r="G30" s="224" t="s">
        <v>589</v>
      </c>
      <c r="I30" s="85" t="s">
        <v>2903</v>
      </c>
      <c r="J30" s="93" t="s">
        <v>1893</v>
      </c>
      <c r="K30" t="str">
        <f t="shared" si="2"/>
        <v>GALP</v>
      </c>
      <c r="L30" t="s">
        <v>3525</v>
      </c>
      <c r="M30" t="s">
        <v>3525</v>
      </c>
      <c r="N30" t="s">
        <v>42</v>
      </c>
    </row>
    <row r="31" spans="1:14" ht="15.75" thickBot="1" x14ac:dyDescent="0.3">
      <c r="A31" s="82" t="s">
        <v>4687</v>
      </c>
      <c r="B31" s="82" t="s">
        <v>4687</v>
      </c>
      <c r="C31" s="82" t="str">
        <f t="shared" si="1"/>
        <v>X</v>
      </c>
      <c r="D31" s="222">
        <v>2022</v>
      </c>
      <c r="E31" s="83" t="s">
        <v>538</v>
      </c>
      <c r="F31" s="84">
        <v>52838.428859768654</v>
      </c>
      <c r="G31" s="224" t="s">
        <v>589</v>
      </c>
      <c r="I31" s="85"/>
      <c r="J31" s="93" t="s">
        <v>1893</v>
      </c>
      <c r="K31" t="str">
        <f t="shared" si="2"/>
        <v>GALP</v>
      </c>
      <c r="L31" t="s">
        <v>3525</v>
      </c>
      <c r="M31" t="s">
        <v>3525</v>
      </c>
      <c r="N31" t="s">
        <v>42</v>
      </c>
    </row>
    <row r="32" spans="1:14" ht="15.75" thickBot="1" x14ac:dyDescent="0.3">
      <c r="A32" s="82" t="s">
        <v>3511</v>
      </c>
      <c r="B32" s="82" t="s">
        <v>3511</v>
      </c>
      <c r="C32" s="82" t="str">
        <f t="shared" si="1"/>
        <v>X</v>
      </c>
      <c r="D32" s="222">
        <v>2022</v>
      </c>
      <c r="E32" s="83" t="s">
        <v>538</v>
      </c>
      <c r="F32" s="84">
        <v>56619.841628353337</v>
      </c>
      <c r="G32" s="224" t="s">
        <v>589</v>
      </c>
      <c r="I32" s="85"/>
      <c r="J32" s="93" t="s">
        <v>1893</v>
      </c>
      <c r="K32" t="str">
        <f t="shared" si="2"/>
        <v>GALP</v>
      </c>
      <c r="L32" t="s">
        <v>3525</v>
      </c>
      <c r="M32" t="s">
        <v>3525</v>
      </c>
      <c r="N32" t="s">
        <v>42</v>
      </c>
    </row>
    <row r="33" spans="1:14" ht="15.75" thickBot="1" x14ac:dyDescent="0.3">
      <c r="A33" s="82" t="s">
        <v>4694</v>
      </c>
      <c r="B33" s="82" t="s">
        <v>4694</v>
      </c>
      <c r="C33" s="82" t="str">
        <f t="shared" si="1"/>
        <v>X</v>
      </c>
      <c r="D33" s="222">
        <v>2022</v>
      </c>
      <c r="E33" s="276" t="s">
        <v>538</v>
      </c>
      <c r="F33" s="84">
        <v>4514</v>
      </c>
      <c r="G33" s="224" t="s">
        <v>589</v>
      </c>
      <c r="I33" s="85" t="s">
        <v>2890</v>
      </c>
      <c r="J33" s="93" t="s">
        <v>1893</v>
      </c>
      <c r="K33" t="str">
        <f t="shared" si="2"/>
        <v>GALP</v>
      </c>
      <c r="L33" t="s">
        <v>3525</v>
      </c>
      <c r="M33" t="s">
        <v>3525</v>
      </c>
      <c r="N33" t="s">
        <v>42</v>
      </c>
    </row>
    <row r="34" spans="1:14" ht="15.75" thickBot="1" x14ac:dyDescent="0.3">
      <c r="A34" s="82" t="s">
        <v>4694</v>
      </c>
      <c r="B34" s="82" t="s">
        <v>4694</v>
      </c>
      <c r="C34" s="82" t="str">
        <f t="shared" si="1"/>
        <v>X</v>
      </c>
      <c r="D34" s="222">
        <v>2022</v>
      </c>
      <c r="E34" s="83" t="s">
        <v>538</v>
      </c>
      <c r="F34" s="84">
        <v>4667</v>
      </c>
      <c r="G34" s="224" t="s">
        <v>589</v>
      </c>
      <c r="I34" s="85" t="s">
        <v>2891</v>
      </c>
      <c r="J34" s="93" t="s">
        <v>1893</v>
      </c>
      <c r="K34" t="str">
        <f t="shared" si="2"/>
        <v>GALP</v>
      </c>
      <c r="L34" t="s">
        <v>3525</v>
      </c>
      <c r="M34" t="s">
        <v>3525</v>
      </c>
      <c r="N34" t="s">
        <v>42</v>
      </c>
    </row>
    <row r="35" spans="1:14" ht="15.75" thickBot="1" x14ac:dyDescent="0.3">
      <c r="A35" s="82" t="s">
        <v>4694</v>
      </c>
      <c r="B35" s="82" t="s">
        <v>4694</v>
      </c>
      <c r="C35" s="82" t="str">
        <f t="shared" si="1"/>
        <v>X</v>
      </c>
      <c r="D35" s="222">
        <v>2022</v>
      </c>
      <c r="E35" s="83" t="s">
        <v>538</v>
      </c>
      <c r="F35" s="84">
        <v>4434</v>
      </c>
      <c r="G35" s="224" t="s">
        <v>589</v>
      </c>
      <c r="I35" s="85" t="s">
        <v>2892</v>
      </c>
      <c r="J35" s="93" t="s">
        <v>1893</v>
      </c>
      <c r="K35" t="str">
        <f t="shared" si="2"/>
        <v>GALP</v>
      </c>
      <c r="L35" t="s">
        <v>3525</v>
      </c>
      <c r="M35" t="s">
        <v>3525</v>
      </c>
      <c r="N35" t="s">
        <v>42</v>
      </c>
    </row>
    <row r="36" spans="1:14" ht="15.75" thickBot="1" x14ac:dyDescent="0.3">
      <c r="A36" s="82" t="s">
        <v>4694</v>
      </c>
      <c r="B36" s="82" t="s">
        <v>4694</v>
      </c>
      <c r="C36" s="82" t="str">
        <f t="shared" si="1"/>
        <v>X</v>
      </c>
      <c r="D36" s="222">
        <v>2022</v>
      </c>
      <c r="E36" s="83" t="s">
        <v>538</v>
      </c>
      <c r="F36" s="84">
        <v>3925</v>
      </c>
      <c r="G36" s="224" t="s">
        <v>589</v>
      </c>
      <c r="I36" s="85" t="s">
        <v>2893</v>
      </c>
      <c r="J36" s="93" t="s">
        <v>1893</v>
      </c>
      <c r="K36" t="str">
        <f t="shared" si="2"/>
        <v>GALP</v>
      </c>
      <c r="L36" t="s">
        <v>3525</v>
      </c>
      <c r="M36" t="s">
        <v>3525</v>
      </c>
      <c r="N36" t="s">
        <v>42</v>
      </c>
    </row>
    <row r="37" spans="1:14" ht="15.75" thickBot="1" x14ac:dyDescent="0.3">
      <c r="A37" s="82" t="s">
        <v>4694</v>
      </c>
      <c r="B37" s="82" t="s">
        <v>4694</v>
      </c>
      <c r="C37" s="82" t="str">
        <f t="shared" si="1"/>
        <v>X</v>
      </c>
      <c r="D37" s="222">
        <v>2022</v>
      </c>
      <c r="E37" s="83" t="s">
        <v>538</v>
      </c>
      <c r="F37" s="84">
        <v>3575</v>
      </c>
      <c r="G37" s="224" t="s">
        <v>589</v>
      </c>
      <c r="I37" s="85" t="s">
        <v>2894</v>
      </c>
      <c r="J37" s="93" t="s">
        <v>1893</v>
      </c>
      <c r="K37" t="str">
        <f t="shared" si="2"/>
        <v>GALP</v>
      </c>
      <c r="L37" t="s">
        <v>3525</v>
      </c>
      <c r="M37" t="s">
        <v>3525</v>
      </c>
      <c r="N37" t="s">
        <v>42</v>
      </c>
    </row>
    <row r="38" spans="1:14" ht="15.75" thickBot="1" x14ac:dyDescent="0.3">
      <c r="A38" s="82" t="s">
        <v>4694</v>
      </c>
      <c r="B38" s="82" t="s">
        <v>4694</v>
      </c>
      <c r="C38" s="82" t="str">
        <f t="shared" si="1"/>
        <v>X</v>
      </c>
      <c r="D38" s="222">
        <v>2022</v>
      </c>
      <c r="E38" s="83" t="s">
        <v>538</v>
      </c>
      <c r="F38" s="84">
        <v>4118</v>
      </c>
      <c r="G38" s="224" t="s">
        <v>589</v>
      </c>
      <c r="I38" s="85" t="s">
        <v>2895</v>
      </c>
      <c r="J38" s="93" t="s">
        <v>1893</v>
      </c>
      <c r="K38" t="str">
        <f t="shared" si="2"/>
        <v>GALP</v>
      </c>
      <c r="L38" t="s">
        <v>3525</v>
      </c>
      <c r="M38" t="s">
        <v>3525</v>
      </c>
      <c r="N38" t="s">
        <v>42</v>
      </c>
    </row>
    <row r="39" spans="1:14" ht="15.75" thickBot="1" x14ac:dyDescent="0.3">
      <c r="A39" s="82" t="s">
        <v>4694</v>
      </c>
      <c r="B39" s="82" t="s">
        <v>4694</v>
      </c>
      <c r="C39" s="82" t="str">
        <f t="shared" si="1"/>
        <v>X</v>
      </c>
      <c r="D39" s="222">
        <v>2022</v>
      </c>
      <c r="E39" s="83" t="s">
        <v>538</v>
      </c>
      <c r="F39" s="84">
        <v>4489</v>
      </c>
      <c r="G39" s="224" t="s">
        <v>589</v>
      </c>
      <c r="I39" s="85" t="s">
        <v>2896</v>
      </c>
      <c r="J39" s="93" t="s">
        <v>1893</v>
      </c>
      <c r="K39" t="str">
        <f t="shared" si="2"/>
        <v>GALP</v>
      </c>
      <c r="L39" t="s">
        <v>3525</v>
      </c>
      <c r="M39" t="s">
        <v>3525</v>
      </c>
      <c r="N39" t="s">
        <v>42</v>
      </c>
    </row>
    <row r="40" spans="1:14" ht="15.75" thickBot="1" x14ac:dyDescent="0.3">
      <c r="A40" s="82" t="s">
        <v>4694</v>
      </c>
      <c r="B40" s="82" t="s">
        <v>4694</v>
      </c>
      <c r="C40" s="82" t="str">
        <f t="shared" si="1"/>
        <v>X</v>
      </c>
      <c r="D40" s="222">
        <v>2022</v>
      </c>
      <c r="E40" s="83" t="s">
        <v>538</v>
      </c>
      <c r="F40" s="84">
        <v>4745</v>
      </c>
      <c r="G40" s="224" t="s">
        <v>589</v>
      </c>
      <c r="I40" s="85" t="s">
        <v>2897</v>
      </c>
      <c r="J40" s="93" t="s">
        <v>1893</v>
      </c>
      <c r="K40" t="str">
        <f t="shared" si="2"/>
        <v>GALP</v>
      </c>
      <c r="L40" t="s">
        <v>3525</v>
      </c>
      <c r="M40" t="s">
        <v>3525</v>
      </c>
      <c r="N40" t="s">
        <v>42</v>
      </c>
    </row>
    <row r="41" spans="1:14" ht="15.75" thickBot="1" x14ac:dyDescent="0.3">
      <c r="A41" s="82" t="s">
        <v>4694</v>
      </c>
      <c r="B41" s="82" t="s">
        <v>4694</v>
      </c>
      <c r="C41" s="82" t="str">
        <f t="shared" si="1"/>
        <v>X</v>
      </c>
      <c r="D41" s="222">
        <v>2022</v>
      </c>
      <c r="E41" s="83" t="s">
        <v>538</v>
      </c>
      <c r="F41" s="84">
        <v>4767</v>
      </c>
      <c r="G41" s="224" t="s">
        <v>589</v>
      </c>
      <c r="I41" s="85" t="s">
        <v>2898</v>
      </c>
      <c r="J41" s="93" t="s">
        <v>1893</v>
      </c>
      <c r="K41" t="str">
        <f t="shared" si="2"/>
        <v>GALP</v>
      </c>
      <c r="L41" t="s">
        <v>3525</v>
      </c>
      <c r="M41" t="s">
        <v>3525</v>
      </c>
      <c r="N41" t="s">
        <v>42</v>
      </c>
    </row>
    <row r="42" spans="1:14" ht="15.75" thickBot="1" x14ac:dyDescent="0.3">
      <c r="A42" s="82" t="s">
        <v>4694</v>
      </c>
      <c r="B42" s="82" t="s">
        <v>4694</v>
      </c>
      <c r="C42" s="82" t="str">
        <f t="shared" si="1"/>
        <v>X</v>
      </c>
      <c r="D42" s="222">
        <v>2022</v>
      </c>
      <c r="E42" s="83" t="s">
        <v>538</v>
      </c>
      <c r="F42" s="84">
        <v>4481</v>
      </c>
      <c r="G42" s="224" t="s">
        <v>589</v>
      </c>
      <c r="I42" s="85" t="s">
        <v>2899</v>
      </c>
      <c r="J42" s="93" t="s">
        <v>1893</v>
      </c>
      <c r="K42" t="str">
        <f t="shared" si="2"/>
        <v>GALP</v>
      </c>
      <c r="L42" t="s">
        <v>3525</v>
      </c>
      <c r="M42" t="s">
        <v>3525</v>
      </c>
      <c r="N42" t="s">
        <v>42</v>
      </c>
    </row>
    <row r="43" spans="1:14" ht="15.75" thickBot="1" x14ac:dyDescent="0.3">
      <c r="A43" s="82" t="s">
        <v>4694</v>
      </c>
      <c r="B43" s="82" t="s">
        <v>4694</v>
      </c>
      <c r="C43" s="82" t="str">
        <f t="shared" si="1"/>
        <v>X</v>
      </c>
      <c r="D43" s="222">
        <v>2022</v>
      </c>
      <c r="E43" s="83" t="s">
        <v>538</v>
      </c>
      <c r="F43" s="84">
        <v>4211</v>
      </c>
      <c r="G43" s="224" t="s">
        <v>589</v>
      </c>
      <c r="I43" s="85" t="s">
        <v>2900</v>
      </c>
      <c r="J43" s="93" t="s">
        <v>1893</v>
      </c>
      <c r="K43" t="str">
        <f t="shared" si="2"/>
        <v>GALP</v>
      </c>
      <c r="L43" t="s">
        <v>3525</v>
      </c>
      <c r="M43" t="s">
        <v>3525</v>
      </c>
      <c r="N43" t="s">
        <v>42</v>
      </c>
    </row>
    <row r="44" spans="1:14" ht="15.75" thickBot="1" x14ac:dyDescent="0.3">
      <c r="A44" s="82" t="s">
        <v>4694</v>
      </c>
      <c r="B44" s="82" t="s">
        <v>4694</v>
      </c>
      <c r="C44" s="82" t="str">
        <f t="shared" si="1"/>
        <v>X</v>
      </c>
      <c r="D44" s="222">
        <v>2022</v>
      </c>
      <c r="E44" s="83" t="s">
        <v>538</v>
      </c>
      <c r="F44" s="84">
        <v>7920</v>
      </c>
      <c r="G44" s="224" t="s">
        <v>589</v>
      </c>
      <c r="I44" s="85" t="s">
        <v>2901</v>
      </c>
      <c r="J44" s="93" t="s">
        <v>1893</v>
      </c>
      <c r="K44" t="str">
        <f t="shared" si="2"/>
        <v>GALP</v>
      </c>
      <c r="L44" t="s">
        <v>3525</v>
      </c>
      <c r="M44" t="s">
        <v>3525</v>
      </c>
      <c r="N44" t="s">
        <v>42</v>
      </c>
    </row>
    <row r="45" spans="1:14" ht="15.75" thickBot="1" x14ac:dyDescent="0.3">
      <c r="A45" s="82" t="s">
        <v>4693</v>
      </c>
      <c r="B45" s="82" t="s">
        <v>4693</v>
      </c>
      <c r="C45" s="82" t="str">
        <f t="shared" si="1"/>
        <v>X</v>
      </c>
      <c r="D45" s="222">
        <v>2022</v>
      </c>
      <c r="E45" s="83" t="s">
        <v>538</v>
      </c>
      <c r="F45" s="84">
        <v>501470</v>
      </c>
      <c r="G45" s="224" t="s">
        <v>589</v>
      </c>
      <c r="I45" s="85"/>
      <c r="J45" s="93" t="s">
        <v>1893</v>
      </c>
      <c r="K45" t="str">
        <f t="shared" si="2"/>
        <v>GALP</v>
      </c>
      <c r="L45" t="s">
        <v>3525</v>
      </c>
      <c r="M45" t="s">
        <v>3525</v>
      </c>
      <c r="N45" t="s">
        <v>42</v>
      </c>
    </row>
    <row r="46" spans="1:14" ht="15.75" thickBot="1" x14ac:dyDescent="0.3">
      <c r="A46" s="82" t="s">
        <v>4709</v>
      </c>
      <c r="B46" s="82" t="s">
        <v>4709</v>
      </c>
      <c r="C46" s="82" t="str">
        <f t="shared" si="1"/>
        <v>X</v>
      </c>
      <c r="D46" s="222">
        <v>2022</v>
      </c>
      <c r="E46" s="83" t="s">
        <v>2956</v>
      </c>
      <c r="F46" s="124">
        <v>700</v>
      </c>
      <c r="G46" s="224" t="s">
        <v>589</v>
      </c>
      <c r="I46" s="85" t="s">
        <v>2904</v>
      </c>
      <c r="J46" s="93" t="s">
        <v>1893</v>
      </c>
      <c r="K46" t="s">
        <v>2960</v>
      </c>
      <c r="L46" t="s">
        <v>3525</v>
      </c>
      <c r="M46" t="s">
        <v>3525</v>
      </c>
      <c r="N46" t="s">
        <v>42</v>
      </c>
    </row>
    <row r="47" spans="1:14" ht="15.75" thickBot="1" x14ac:dyDescent="0.3">
      <c r="A47" s="82" t="s">
        <v>4709</v>
      </c>
      <c r="B47" s="82" t="s">
        <v>4709</v>
      </c>
      <c r="C47" s="82" t="str">
        <f t="shared" si="1"/>
        <v>X</v>
      </c>
      <c r="D47" s="222">
        <v>2022</v>
      </c>
      <c r="E47" s="83" t="s">
        <v>2956</v>
      </c>
      <c r="F47" s="124">
        <v>750</v>
      </c>
      <c r="G47" s="224" t="s">
        <v>589</v>
      </c>
      <c r="I47" s="85" t="s">
        <v>2905</v>
      </c>
      <c r="J47" s="93" t="s">
        <v>1893</v>
      </c>
      <c r="K47" t="s">
        <v>2960</v>
      </c>
      <c r="L47" t="s">
        <v>3525</v>
      </c>
      <c r="M47" t="s">
        <v>3525</v>
      </c>
      <c r="N47" t="s">
        <v>42</v>
      </c>
    </row>
    <row r="48" spans="1:14" ht="15.75" thickBot="1" x14ac:dyDescent="0.3">
      <c r="A48" s="82" t="s">
        <v>4709</v>
      </c>
      <c r="B48" s="82" t="s">
        <v>4709</v>
      </c>
      <c r="C48" s="82" t="str">
        <f t="shared" si="1"/>
        <v>X</v>
      </c>
      <c r="D48" s="222">
        <v>2022</v>
      </c>
      <c r="E48" s="83" t="s">
        <v>2956</v>
      </c>
      <c r="F48" s="124">
        <v>1636</v>
      </c>
      <c r="G48" s="224" t="s">
        <v>589</v>
      </c>
      <c r="I48" s="85" t="s">
        <v>2906</v>
      </c>
      <c r="J48" s="93" t="s">
        <v>1893</v>
      </c>
      <c r="K48" t="s">
        <v>2960</v>
      </c>
      <c r="L48" t="s">
        <v>3525</v>
      </c>
      <c r="M48" t="s">
        <v>3525</v>
      </c>
      <c r="N48" t="s">
        <v>42</v>
      </c>
    </row>
    <row r="49" spans="1:14" ht="15.75" thickBot="1" x14ac:dyDescent="0.3">
      <c r="A49" s="82" t="s">
        <v>4709</v>
      </c>
      <c r="B49" s="82" t="s">
        <v>4709</v>
      </c>
      <c r="C49" s="82" t="str">
        <f t="shared" si="1"/>
        <v>X</v>
      </c>
      <c r="D49" s="222">
        <v>2022</v>
      </c>
      <c r="E49" s="83" t="s">
        <v>2956</v>
      </c>
      <c r="F49" s="124">
        <v>1229</v>
      </c>
      <c r="G49" s="224" t="s">
        <v>589</v>
      </c>
      <c r="I49" s="85" t="s">
        <v>2907</v>
      </c>
      <c r="J49" s="93" t="s">
        <v>1893</v>
      </c>
      <c r="K49" t="s">
        <v>2960</v>
      </c>
      <c r="L49" t="s">
        <v>3525</v>
      </c>
      <c r="M49" t="s">
        <v>3525</v>
      </c>
      <c r="N49" t="s">
        <v>42</v>
      </c>
    </row>
    <row r="50" spans="1:14" ht="15.75" thickBot="1" x14ac:dyDescent="0.3">
      <c r="A50" s="82" t="s">
        <v>4709</v>
      </c>
      <c r="B50" s="82" t="s">
        <v>4709</v>
      </c>
      <c r="C50" s="82" t="str">
        <f t="shared" si="1"/>
        <v>X</v>
      </c>
      <c r="D50" s="222">
        <v>2022</v>
      </c>
      <c r="E50" s="83" t="s">
        <v>2956</v>
      </c>
      <c r="F50" s="124">
        <v>1383</v>
      </c>
      <c r="G50" s="224" t="s">
        <v>589</v>
      </c>
      <c r="I50" s="85" t="s">
        <v>2908</v>
      </c>
      <c r="J50" s="93" t="s">
        <v>1893</v>
      </c>
      <c r="K50" t="s">
        <v>2960</v>
      </c>
      <c r="L50" t="s">
        <v>3525</v>
      </c>
      <c r="M50" t="s">
        <v>3525</v>
      </c>
      <c r="N50" t="s">
        <v>42</v>
      </c>
    </row>
    <row r="51" spans="1:14" ht="15.75" thickBot="1" x14ac:dyDescent="0.3">
      <c r="A51" s="82" t="s">
        <v>4709</v>
      </c>
      <c r="B51" s="82" t="s">
        <v>4709</v>
      </c>
      <c r="C51" s="82" t="str">
        <f t="shared" si="1"/>
        <v>X</v>
      </c>
      <c r="D51" s="222">
        <v>2022</v>
      </c>
      <c r="E51" s="83" t="s">
        <v>2956</v>
      </c>
      <c r="F51" s="124">
        <v>1150</v>
      </c>
      <c r="G51" s="224" t="s">
        <v>589</v>
      </c>
      <c r="I51" s="85" t="s">
        <v>2909</v>
      </c>
      <c r="J51" s="93" t="s">
        <v>1893</v>
      </c>
      <c r="K51" t="s">
        <v>2960</v>
      </c>
      <c r="L51" t="s">
        <v>3525</v>
      </c>
      <c r="M51" t="s">
        <v>3525</v>
      </c>
      <c r="N51" t="s">
        <v>42</v>
      </c>
    </row>
    <row r="52" spans="1:14" ht="15.75" thickBot="1" x14ac:dyDescent="0.3">
      <c r="A52" s="82" t="s">
        <v>4709</v>
      </c>
      <c r="B52" s="82" t="s">
        <v>4709</v>
      </c>
      <c r="C52" s="82" t="str">
        <f t="shared" si="1"/>
        <v>X</v>
      </c>
      <c r="D52" s="222">
        <v>2022</v>
      </c>
      <c r="E52" s="83" t="s">
        <v>2956</v>
      </c>
      <c r="F52" s="124">
        <v>1372</v>
      </c>
      <c r="G52" s="224" t="s">
        <v>589</v>
      </c>
      <c r="I52" s="85" t="s">
        <v>2910</v>
      </c>
      <c r="J52" s="93" t="s">
        <v>1893</v>
      </c>
      <c r="K52" t="s">
        <v>2960</v>
      </c>
      <c r="L52" t="s">
        <v>3525</v>
      </c>
      <c r="M52" t="s">
        <v>3525</v>
      </c>
      <c r="N52" t="s">
        <v>42</v>
      </c>
    </row>
    <row r="53" spans="1:14" ht="15.75" thickBot="1" x14ac:dyDescent="0.3">
      <c r="A53" s="82" t="s">
        <v>4709</v>
      </c>
      <c r="B53" s="82" t="s">
        <v>4709</v>
      </c>
      <c r="C53" s="82" t="str">
        <f t="shared" si="1"/>
        <v>X</v>
      </c>
      <c r="D53" s="222">
        <v>2022</v>
      </c>
      <c r="E53" s="83" t="s">
        <v>2956</v>
      </c>
      <c r="F53" s="124">
        <v>1613</v>
      </c>
      <c r="G53" s="224" t="s">
        <v>589</v>
      </c>
      <c r="I53" s="85" t="s">
        <v>2911</v>
      </c>
      <c r="J53" s="93" t="s">
        <v>1893</v>
      </c>
      <c r="K53" t="s">
        <v>2960</v>
      </c>
      <c r="L53" t="s">
        <v>3525</v>
      </c>
      <c r="M53" t="s">
        <v>3525</v>
      </c>
      <c r="N53" t="s">
        <v>42</v>
      </c>
    </row>
    <row r="54" spans="1:14" ht="15.75" thickBot="1" x14ac:dyDescent="0.3">
      <c r="A54" s="82" t="s">
        <v>4709</v>
      </c>
      <c r="B54" s="82" t="s">
        <v>4709</v>
      </c>
      <c r="C54" s="82" t="str">
        <f t="shared" si="1"/>
        <v>X</v>
      </c>
      <c r="D54" s="222">
        <v>2022</v>
      </c>
      <c r="E54" s="83" t="s">
        <v>2956</v>
      </c>
      <c r="F54" s="124">
        <v>1399</v>
      </c>
      <c r="G54" s="224" t="s">
        <v>589</v>
      </c>
      <c r="I54" s="85" t="s">
        <v>2912</v>
      </c>
      <c r="J54" s="93" t="s">
        <v>1893</v>
      </c>
      <c r="K54" t="s">
        <v>2960</v>
      </c>
      <c r="L54" t="s">
        <v>3525</v>
      </c>
      <c r="M54" t="s">
        <v>3525</v>
      </c>
      <c r="N54" t="s">
        <v>42</v>
      </c>
    </row>
    <row r="55" spans="1:14" ht="15.75" thickBot="1" x14ac:dyDescent="0.3">
      <c r="A55" s="82" t="s">
        <v>4709</v>
      </c>
      <c r="B55" s="82" t="s">
        <v>4709</v>
      </c>
      <c r="C55" s="82" t="str">
        <f t="shared" si="1"/>
        <v>X</v>
      </c>
      <c r="D55" s="222">
        <v>2022</v>
      </c>
      <c r="E55" s="83" t="s">
        <v>2956</v>
      </c>
      <c r="F55" s="124">
        <v>1158</v>
      </c>
      <c r="G55" s="224" t="s">
        <v>589</v>
      </c>
      <c r="I55" s="85" t="s">
        <v>2913</v>
      </c>
      <c r="J55" s="93" t="s">
        <v>1893</v>
      </c>
      <c r="K55" t="s">
        <v>2960</v>
      </c>
      <c r="L55" t="s">
        <v>3525</v>
      </c>
      <c r="M55" t="s">
        <v>3525</v>
      </c>
      <c r="N55" t="s">
        <v>42</v>
      </c>
    </row>
    <row r="56" spans="1:14" ht="15.75" thickBot="1" x14ac:dyDescent="0.3">
      <c r="A56" s="82" t="s">
        <v>4709</v>
      </c>
      <c r="B56" s="82" t="s">
        <v>4709</v>
      </c>
      <c r="C56" s="82" t="str">
        <f t="shared" si="1"/>
        <v>X</v>
      </c>
      <c r="D56" s="222">
        <v>2022</v>
      </c>
      <c r="E56" s="83" t="s">
        <v>2956</v>
      </c>
      <c r="F56" s="124">
        <v>1066</v>
      </c>
      <c r="G56" s="224" t="s">
        <v>589</v>
      </c>
      <c r="I56" s="85" t="s">
        <v>2914</v>
      </c>
      <c r="J56" s="93" t="s">
        <v>1893</v>
      </c>
      <c r="K56" t="s">
        <v>2960</v>
      </c>
      <c r="L56" t="s">
        <v>3525</v>
      </c>
      <c r="M56" t="s">
        <v>3525</v>
      </c>
      <c r="N56" t="s">
        <v>42</v>
      </c>
    </row>
    <row r="57" spans="1:14" ht="15.75" thickBot="1" x14ac:dyDescent="0.3">
      <c r="A57" s="82" t="s">
        <v>4709</v>
      </c>
      <c r="B57" s="82" t="s">
        <v>4709</v>
      </c>
      <c r="C57" s="82" t="str">
        <f t="shared" si="1"/>
        <v>X</v>
      </c>
      <c r="D57" s="222">
        <v>2022</v>
      </c>
      <c r="E57" s="83" t="s">
        <v>2956</v>
      </c>
      <c r="F57" s="124">
        <v>1106</v>
      </c>
      <c r="G57" s="224" t="s">
        <v>589</v>
      </c>
      <c r="I57" s="85" t="s">
        <v>2915</v>
      </c>
      <c r="J57" s="93" t="s">
        <v>1893</v>
      </c>
      <c r="K57" t="s">
        <v>2960</v>
      </c>
      <c r="L57" t="s">
        <v>3525</v>
      </c>
      <c r="M57" t="s">
        <v>3525</v>
      </c>
      <c r="N57" t="s">
        <v>42</v>
      </c>
    </row>
    <row r="58" spans="1:14" ht="15.75" thickBot="1" x14ac:dyDescent="0.3">
      <c r="A58" s="82" t="s">
        <v>4709</v>
      </c>
      <c r="B58" s="82" t="s">
        <v>4709</v>
      </c>
      <c r="C58" s="82" t="str">
        <f t="shared" si="1"/>
        <v>X</v>
      </c>
      <c r="D58" s="222">
        <v>2022</v>
      </c>
      <c r="E58" s="83" t="s">
        <v>2956</v>
      </c>
      <c r="F58" s="124">
        <v>1821</v>
      </c>
      <c r="G58" s="224" t="s">
        <v>589</v>
      </c>
      <c r="I58" s="85" t="s">
        <v>2916</v>
      </c>
      <c r="J58" s="93" t="s">
        <v>1893</v>
      </c>
      <c r="K58" t="s">
        <v>2960</v>
      </c>
      <c r="L58" t="s">
        <v>3525</v>
      </c>
      <c r="M58" t="s">
        <v>3525</v>
      </c>
      <c r="N58" t="s">
        <v>42</v>
      </c>
    </row>
    <row r="59" spans="1:14" ht="15.75" thickBot="1" x14ac:dyDescent="0.3">
      <c r="A59" s="82" t="s">
        <v>2836</v>
      </c>
      <c r="B59" s="82" t="s">
        <v>2836</v>
      </c>
      <c r="C59" s="82" t="str">
        <f t="shared" si="1"/>
        <v>X</v>
      </c>
      <c r="D59" s="222">
        <v>2022</v>
      </c>
      <c r="E59" s="83" t="s">
        <v>538</v>
      </c>
      <c r="F59" s="84">
        <v>111285</v>
      </c>
      <c r="G59" s="224" t="s">
        <v>589</v>
      </c>
      <c r="I59" s="85" t="s">
        <v>2917</v>
      </c>
      <c r="J59" s="93" t="s">
        <v>1893</v>
      </c>
      <c r="K59" t="str">
        <f t="shared" si="2"/>
        <v>GALP</v>
      </c>
      <c r="L59" t="s">
        <v>3525</v>
      </c>
      <c r="M59" t="s">
        <v>3525</v>
      </c>
      <c r="N59" t="s">
        <v>42</v>
      </c>
    </row>
    <row r="60" spans="1:14" ht="15.75" thickBot="1" x14ac:dyDescent="0.3">
      <c r="A60" s="82" t="s">
        <v>2889</v>
      </c>
      <c r="B60" s="82" t="s">
        <v>2889</v>
      </c>
      <c r="C60" s="82" t="str">
        <f t="shared" si="1"/>
        <v>X</v>
      </c>
      <c r="D60" s="222">
        <v>2022</v>
      </c>
      <c r="E60" s="83" t="s">
        <v>2956</v>
      </c>
      <c r="F60" s="84">
        <f>17170+5980</f>
        <v>23150</v>
      </c>
      <c r="G60" s="224" t="s">
        <v>589</v>
      </c>
      <c r="I60" s="85" t="s">
        <v>2918</v>
      </c>
      <c r="J60" s="93" t="s">
        <v>1893</v>
      </c>
      <c r="K60" t="s">
        <v>2960</v>
      </c>
      <c r="L60" t="s">
        <v>3525</v>
      </c>
      <c r="M60" t="s">
        <v>3525</v>
      </c>
      <c r="N60" t="s">
        <v>42</v>
      </c>
    </row>
    <row r="61" spans="1:14" ht="15.75" thickBot="1" x14ac:dyDescent="0.3">
      <c r="A61" s="82" t="s">
        <v>4695</v>
      </c>
      <c r="B61" s="82" t="s">
        <v>4695</v>
      </c>
      <c r="C61" s="82" t="str">
        <f t="shared" si="1"/>
        <v>X</v>
      </c>
      <c r="D61" s="222">
        <v>2022</v>
      </c>
      <c r="E61" s="83" t="s">
        <v>2957</v>
      </c>
      <c r="F61" s="84">
        <f>25737+1335+11054+331+17839+47176</f>
        <v>103472</v>
      </c>
      <c r="G61" s="224" t="s">
        <v>589</v>
      </c>
      <c r="I61" s="85" t="s">
        <v>2918</v>
      </c>
      <c r="J61" s="93" t="s">
        <v>1893</v>
      </c>
      <c r="K61" t="s">
        <v>2960</v>
      </c>
      <c r="L61" t="s">
        <v>3525</v>
      </c>
      <c r="M61" t="s">
        <v>3525</v>
      </c>
      <c r="N61" t="s">
        <v>42</v>
      </c>
    </row>
    <row r="62" spans="1:14" ht="15.75" thickBot="1" x14ac:dyDescent="0.3">
      <c r="A62" s="82" t="s">
        <v>4695</v>
      </c>
      <c r="B62" s="82" t="s">
        <v>4695</v>
      </c>
      <c r="C62" s="82" t="str">
        <f t="shared" si="1"/>
        <v>X</v>
      </c>
      <c r="D62" s="222">
        <v>2022</v>
      </c>
      <c r="E62" s="83" t="s">
        <v>2958</v>
      </c>
      <c r="F62" s="84">
        <v>84822</v>
      </c>
      <c r="G62" s="224" t="s">
        <v>589</v>
      </c>
      <c r="I62" s="85" t="s">
        <v>2918</v>
      </c>
      <c r="J62" s="93" t="s">
        <v>1893</v>
      </c>
      <c r="K62" t="str">
        <f t="shared" si="2"/>
        <v>Naturgy</v>
      </c>
      <c r="L62" t="s">
        <v>3525</v>
      </c>
      <c r="M62" t="s">
        <v>3525</v>
      </c>
      <c r="N62" t="s">
        <v>42</v>
      </c>
    </row>
    <row r="63" spans="1:14" ht="15.75" thickBot="1" x14ac:dyDescent="0.3">
      <c r="A63" s="82" t="s">
        <v>4696</v>
      </c>
      <c r="B63" s="82" t="s">
        <v>4696</v>
      </c>
      <c r="C63" s="82" t="str">
        <f t="shared" si="1"/>
        <v>X</v>
      </c>
      <c r="D63" s="222">
        <v>2022</v>
      </c>
      <c r="E63" s="83" t="s">
        <v>2956</v>
      </c>
      <c r="F63" s="84">
        <f>15361+32269+6844+29336+6934+32110+41690</f>
        <v>164544</v>
      </c>
      <c r="G63" s="224" t="s">
        <v>589</v>
      </c>
      <c r="I63" s="85" t="s">
        <v>2918</v>
      </c>
      <c r="J63" s="93" t="s">
        <v>1893</v>
      </c>
      <c r="K63" t="s">
        <v>2960</v>
      </c>
      <c r="L63" t="s">
        <v>3525</v>
      </c>
      <c r="M63" t="s">
        <v>3525</v>
      </c>
      <c r="N63" t="s">
        <v>42</v>
      </c>
    </row>
    <row r="64" spans="1:14" ht="15.75" thickBot="1" x14ac:dyDescent="0.3">
      <c r="A64" s="82" t="s">
        <v>4697</v>
      </c>
      <c r="B64" s="82" t="s">
        <v>4697</v>
      </c>
      <c r="C64" s="82" t="str">
        <f t="shared" si="1"/>
        <v>X</v>
      </c>
      <c r="D64" s="222">
        <v>2022</v>
      </c>
      <c r="E64" s="83" t="s">
        <v>2956</v>
      </c>
      <c r="F64" s="84">
        <f>24988+89717+6583+5250+1327+1800+17042</f>
        <v>146707</v>
      </c>
      <c r="G64" s="224" t="s">
        <v>589</v>
      </c>
      <c r="I64" s="85" t="s">
        <v>2918</v>
      </c>
      <c r="J64" s="93" t="s">
        <v>1893</v>
      </c>
      <c r="K64" t="s">
        <v>2960</v>
      </c>
      <c r="L64" t="s">
        <v>3525</v>
      </c>
      <c r="M64" t="s">
        <v>3525</v>
      </c>
      <c r="N64" t="s">
        <v>42</v>
      </c>
    </row>
    <row r="65" spans="1:14" ht="15.75" thickBot="1" x14ac:dyDescent="0.3">
      <c r="A65" s="82" t="s">
        <v>4698</v>
      </c>
      <c r="B65" s="82" t="s">
        <v>4698</v>
      </c>
      <c r="C65" s="82" t="str">
        <f t="shared" si="1"/>
        <v>X</v>
      </c>
      <c r="D65" s="222">
        <v>2022</v>
      </c>
      <c r="E65" s="83" t="s">
        <v>2956</v>
      </c>
      <c r="F65" s="84">
        <f>10089+62543+93123</f>
        <v>165755</v>
      </c>
      <c r="G65" s="224" t="s">
        <v>589</v>
      </c>
      <c r="I65" s="85" t="s">
        <v>2918</v>
      </c>
      <c r="J65" s="93" t="s">
        <v>1893</v>
      </c>
      <c r="K65" t="s">
        <v>2960</v>
      </c>
      <c r="L65" t="s">
        <v>3525</v>
      </c>
      <c r="M65" t="s">
        <v>3525</v>
      </c>
      <c r="N65" t="s">
        <v>42</v>
      </c>
    </row>
    <row r="66" spans="1:14" ht="15.75" thickBot="1" x14ac:dyDescent="0.3">
      <c r="A66" s="82" t="s">
        <v>4710</v>
      </c>
      <c r="B66" s="82" t="s">
        <v>4710</v>
      </c>
      <c r="C66" s="82" t="str">
        <f t="shared" si="1"/>
        <v>X</v>
      </c>
      <c r="D66" s="222">
        <v>2022</v>
      </c>
      <c r="E66" s="83" t="s">
        <v>538</v>
      </c>
      <c r="F66" s="84">
        <v>0</v>
      </c>
      <c r="G66" s="224" t="s">
        <v>589</v>
      </c>
      <c r="I66" s="85" t="s">
        <v>2919</v>
      </c>
      <c r="J66" s="93" t="s">
        <v>1893</v>
      </c>
      <c r="K66" t="str">
        <f t="shared" si="2"/>
        <v>GALP</v>
      </c>
      <c r="L66" t="s">
        <v>3525</v>
      </c>
      <c r="M66" t="s">
        <v>3525</v>
      </c>
      <c r="N66" t="s">
        <v>42</v>
      </c>
    </row>
    <row r="67" spans="1:14" ht="15.75" thickBot="1" x14ac:dyDescent="0.3">
      <c r="A67" s="82" t="s">
        <v>4710</v>
      </c>
      <c r="B67" s="82" t="s">
        <v>4710</v>
      </c>
      <c r="C67" s="82" t="str">
        <f t="shared" ref="C67:C107" si="3">IF(A67=B67,"X",RIGHT(A67,LEN(A67)-LEN(B67)-3))</f>
        <v>X</v>
      </c>
      <c r="D67" s="222">
        <v>2022</v>
      </c>
      <c r="E67" s="83" t="s">
        <v>538</v>
      </c>
      <c r="F67" s="84">
        <v>26816</v>
      </c>
      <c r="G67" s="224" t="s">
        <v>589</v>
      </c>
      <c r="I67" s="85" t="s">
        <v>2920</v>
      </c>
      <c r="J67" s="93" t="s">
        <v>1893</v>
      </c>
      <c r="K67" t="str">
        <f t="shared" si="2"/>
        <v>GALP</v>
      </c>
      <c r="L67" t="s">
        <v>3525</v>
      </c>
      <c r="M67" t="s">
        <v>3525</v>
      </c>
      <c r="N67" t="s">
        <v>42</v>
      </c>
    </row>
    <row r="68" spans="1:14" ht="15.75" thickBot="1" x14ac:dyDescent="0.3">
      <c r="A68" s="82" t="s">
        <v>4710</v>
      </c>
      <c r="B68" s="82" t="s">
        <v>4710</v>
      </c>
      <c r="C68" s="82" t="str">
        <f t="shared" si="3"/>
        <v>X</v>
      </c>
      <c r="D68" s="222">
        <v>2022</v>
      </c>
      <c r="E68" s="83" t="s">
        <v>538</v>
      </c>
      <c r="F68" s="84">
        <v>6989</v>
      </c>
      <c r="G68" s="224" t="s">
        <v>589</v>
      </c>
      <c r="I68" s="85" t="s">
        <v>2921</v>
      </c>
      <c r="J68" s="93" t="s">
        <v>1893</v>
      </c>
      <c r="K68" t="str">
        <f t="shared" ref="K68:K102" si="4">E68</f>
        <v>GALP</v>
      </c>
      <c r="L68" t="s">
        <v>3525</v>
      </c>
      <c r="M68" t="s">
        <v>3525</v>
      </c>
      <c r="N68" t="s">
        <v>42</v>
      </c>
    </row>
    <row r="69" spans="1:14" ht="15.75" thickBot="1" x14ac:dyDescent="0.3">
      <c r="A69" s="82" t="s">
        <v>4700</v>
      </c>
      <c r="B69" s="82" t="s">
        <v>4700</v>
      </c>
      <c r="C69" s="82" t="str">
        <f t="shared" si="3"/>
        <v>X</v>
      </c>
      <c r="D69" s="222">
        <v>2022</v>
      </c>
      <c r="E69" s="83" t="s">
        <v>538</v>
      </c>
      <c r="F69" s="84">
        <v>7997</v>
      </c>
      <c r="G69" s="224" t="s">
        <v>589</v>
      </c>
      <c r="I69" s="85" t="s">
        <v>2922</v>
      </c>
      <c r="J69" s="93" t="s">
        <v>1893</v>
      </c>
      <c r="K69" t="str">
        <f t="shared" si="4"/>
        <v>GALP</v>
      </c>
      <c r="L69" t="s">
        <v>3525</v>
      </c>
      <c r="M69" t="s">
        <v>3525</v>
      </c>
      <c r="N69" t="s">
        <v>42</v>
      </c>
    </row>
    <row r="70" spans="1:14" ht="15.75" thickBot="1" x14ac:dyDescent="0.3">
      <c r="A70" s="290" t="s">
        <v>4706</v>
      </c>
      <c r="B70" s="290" t="s">
        <v>4706</v>
      </c>
      <c r="C70" s="82" t="str">
        <f t="shared" si="3"/>
        <v>X</v>
      </c>
      <c r="D70" s="222">
        <v>2022</v>
      </c>
      <c r="E70" s="83" t="s">
        <v>538</v>
      </c>
      <c r="F70" s="84">
        <v>54493</v>
      </c>
      <c r="G70" s="224" t="s">
        <v>589</v>
      </c>
      <c r="I70" s="85" t="s">
        <v>2923</v>
      </c>
      <c r="J70" s="93" t="s">
        <v>1893</v>
      </c>
      <c r="K70" t="str">
        <f t="shared" si="4"/>
        <v>GALP</v>
      </c>
      <c r="L70" t="s">
        <v>3525</v>
      </c>
      <c r="M70" t="s">
        <v>3525</v>
      </c>
      <c r="N70" t="s">
        <v>42</v>
      </c>
    </row>
    <row r="71" spans="1:14" ht="15.75" thickBot="1" x14ac:dyDescent="0.3">
      <c r="A71" s="290" t="s">
        <v>4706</v>
      </c>
      <c r="B71" s="290" t="s">
        <v>4706</v>
      </c>
      <c r="C71" s="82" t="str">
        <f t="shared" si="3"/>
        <v>X</v>
      </c>
      <c r="D71" s="222">
        <v>2022</v>
      </c>
      <c r="E71" s="83" t="s">
        <v>538</v>
      </c>
      <c r="F71" s="84">
        <v>132360</v>
      </c>
      <c r="G71" s="224" t="s">
        <v>589</v>
      </c>
      <c r="I71" s="85" t="s">
        <v>2924</v>
      </c>
      <c r="J71" s="93" t="s">
        <v>1893</v>
      </c>
      <c r="K71" t="str">
        <f t="shared" si="4"/>
        <v>GALP</v>
      </c>
      <c r="L71" t="s">
        <v>3525</v>
      </c>
      <c r="M71" t="s">
        <v>3525</v>
      </c>
      <c r="N71" t="s">
        <v>34</v>
      </c>
    </row>
    <row r="72" spans="1:14" ht="15.75" thickBot="1" x14ac:dyDescent="0.3">
      <c r="A72" s="290" t="s">
        <v>4706</v>
      </c>
      <c r="B72" s="290" t="s">
        <v>4706</v>
      </c>
      <c r="C72" s="82" t="str">
        <f t="shared" si="3"/>
        <v>X</v>
      </c>
      <c r="D72" s="222">
        <v>2022</v>
      </c>
      <c r="E72" s="83" t="s">
        <v>538</v>
      </c>
      <c r="F72" s="84">
        <v>50727</v>
      </c>
      <c r="G72" s="224" t="s">
        <v>589</v>
      </c>
      <c r="I72" s="85" t="s">
        <v>2925</v>
      </c>
      <c r="J72" s="93" t="s">
        <v>1893</v>
      </c>
      <c r="K72" t="str">
        <f t="shared" si="4"/>
        <v>GALP</v>
      </c>
      <c r="L72" t="s">
        <v>3525</v>
      </c>
      <c r="M72" t="s">
        <v>3525</v>
      </c>
      <c r="N72" s="249" t="s">
        <v>42</v>
      </c>
    </row>
    <row r="73" spans="1:14" ht="15.75" thickBot="1" x14ac:dyDescent="0.3">
      <c r="A73" s="290" t="s">
        <v>4706</v>
      </c>
      <c r="B73" s="290" t="s">
        <v>4706</v>
      </c>
      <c r="C73" s="82" t="str">
        <f t="shared" si="3"/>
        <v>X</v>
      </c>
      <c r="D73" s="222">
        <v>2022</v>
      </c>
      <c r="E73" s="83" t="s">
        <v>538</v>
      </c>
      <c r="F73" s="84">
        <v>0</v>
      </c>
      <c r="G73" s="224" t="s">
        <v>589</v>
      </c>
      <c r="I73" s="85" t="s">
        <v>2926</v>
      </c>
      <c r="J73" s="93" t="s">
        <v>1893</v>
      </c>
      <c r="K73" t="str">
        <f t="shared" si="4"/>
        <v>GALP</v>
      </c>
      <c r="L73" t="s">
        <v>3525</v>
      </c>
      <c r="M73" t="s">
        <v>3525</v>
      </c>
      <c r="N73" t="s">
        <v>42</v>
      </c>
    </row>
    <row r="74" spans="1:14" ht="15.75" thickBot="1" x14ac:dyDescent="0.3">
      <c r="A74" s="290" t="s">
        <v>4706</v>
      </c>
      <c r="B74" s="290" t="s">
        <v>4706</v>
      </c>
      <c r="C74" s="82" t="str">
        <f t="shared" si="3"/>
        <v>X</v>
      </c>
      <c r="D74" s="222">
        <v>2022</v>
      </c>
      <c r="E74" s="83" t="s">
        <v>538</v>
      </c>
      <c r="F74" s="84">
        <v>208555</v>
      </c>
      <c r="G74" s="224" t="s">
        <v>589</v>
      </c>
      <c r="I74" s="85" t="s">
        <v>2927</v>
      </c>
      <c r="J74" s="93" t="s">
        <v>1893</v>
      </c>
      <c r="K74" t="str">
        <f t="shared" si="4"/>
        <v>GALP</v>
      </c>
      <c r="L74" t="s">
        <v>3525</v>
      </c>
      <c r="M74" t="s">
        <v>3525</v>
      </c>
      <c r="N74" t="s">
        <v>34</v>
      </c>
    </row>
    <row r="75" spans="1:14" ht="15.75" thickBot="1" x14ac:dyDescent="0.3">
      <c r="A75" s="290" t="s">
        <v>4706</v>
      </c>
      <c r="B75" s="290" t="s">
        <v>4706</v>
      </c>
      <c r="C75" s="82" t="str">
        <f t="shared" si="3"/>
        <v>X</v>
      </c>
      <c r="D75" s="222">
        <v>2022</v>
      </c>
      <c r="E75" s="83" t="s">
        <v>538</v>
      </c>
      <c r="F75" s="84">
        <v>10483</v>
      </c>
      <c r="G75" s="224" t="s">
        <v>589</v>
      </c>
      <c r="I75" s="85" t="s">
        <v>2928</v>
      </c>
      <c r="J75" s="93" t="s">
        <v>1893</v>
      </c>
      <c r="K75" t="str">
        <f t="shared" si="4"/>
        <v>GALP</v>
      </c>
      <c r="L75" t="s">
        <v>3525</v>
      </c>
      <c r="M75" t="s">
        <v>3525</v>
      </c>
      <c r="N75" s="249" t="s">
        <v>42</v>
      </c>
    </row>
    <row r="76" spans="1:14" ht="15.75" thickBot="1" x14ac:dyDescent="0.3">
      <c r="A76" s="290" t="s">
        <v>4706</v>
      </c>
      <c r="B76" s="290" t="s">
        <v>4706</v>
      </c>
      <c r="C76" s="82" t="str">
        <f t="shared" si="3"/>
        <v>X</v>
      </c>
      <c r="D76" s="222">
        <v>2022</v>
      </c>
      <c r="E76" s="83" t="s">
        <v>538</v>
      </c>
      <c r="F76" s="84">
        <v>305767</v>
      </c>
      <c r="G76" s="224" t="s">
        <v>589</v>
      </c>
      <c r="I76" s="85" t="s">
        <v>2929</v>
      </c>
      <c r="J76" s="93" t="s">
        <v>1893</v>
      </c>
      <c r="K76" t="str">
        <f t="shared" si="4"/>
        <v>GALP</v>
      </c>
      <c r="L76" t="s">
        <v>3525</v>
      </c>
      <c r="M76" t="s">
        <v>3525</v>
      </c>
      <c r="N76" s="249" t="s">
        <v>42</v>
      </c>
    </row>
    <row r="77" spans="1:14" ht="15.75" thickBot="1" x14ac:dyDescent="0.3">
      <c r="A77" s="290" t="s">
        <v>4706</v>
      </c>
      <c r="B77" s="290" t="s">
        <v>4706</v>
      </c>
      <c r="C77" s="82" t="str">
        <f t="shared" si="3"/>
        <v>X</v>
      </c>
      <c r="D77" s="222">
        <v>2022</v>
      </c>
      <c r="E77" s="83" t="s">
        <v>538</v>
      </c>
      <c r="F77" s="84">
        <v>49926</v>
      </c>
      <c r="G77" s="224" t="s">
        <v>589</v>
      </c>
      <c r="I77" s="85" t="s">
        <v>2930</v>
      </c>
      <c r="J77" s="93" t="s">
        <v>1893</v>
      </c>
      <c r="K77" t="str">
        <f t="shared" si="4"/>
        <v>GALP</v>
      </c>
      <c r="L77" t="s">
        <v>3525</v>
      </c>
      <c r="M77" t="s">
        <v>3525</v>
      </c>
      <c r="N77" t="s">
        <v>34</v>
      </c>
    </row>
    <row r="78" spans="1:14" ht="15.75" thickBot="1" x14ac:dyDescent="0.3">
      <c r="A78" s="290" t="s">
        <v>4706</v>
      </c>
      <c r="B78" s="290" t="s">
        <v>4706</v>
      </c>
      <c r="C78" s="82" t="str">
        <f t="shared" si="3"/>
        <v>X</v>
      </c>
      <c r="D78" s="222">
        <v>2022</v>
      </c>
      <c r="E78" s="83" t="s">
        <v>538</v>
      </c>
      <c r="F78" s="84">
        <v>2947</v>
      </c>
      <c r="G78" s="224" t="s">
        <v>589</v>
      </c>
      <c r="I78" s="85" t="s">
        <v>2931</v>
      </c>
      <c r="J78" s="93" t="s">
        <v>1893</v>
      </c>
      <c r="K78" t="str">
        <f t="shared" si="4"/>
        <v>GALP</v>
      </c>
      <c r="L78" t="s">
        <v>3525</v>
      </c>
      <c r="M78" t="s">
        <v>3525</v>
      </c>
      <c r="N78" t="s">
        <v>34</v>
      </c>
    </row>
    <row r="79" spans="1:14" ht="15.75" thickBot="1" x14ac:dyDescent="0.3">
      <c r="A79" s="290" t="s">
        <v>4706</v>
      </c>
      <c r="B79" s="290" t="s">
        <v>4706</v>
      </c>
      <c r="C79" s="82" t="str">
        <f t="shared" si="3"/>
        <v>X</v>
      </c>
      <c r="D79" s="222">
        <v>2022</v>
      </c>
      <c r="E79" s="83" t="s">
        <v>538</v>
      </c>
      <c r="F79" s="84">
        <v>0</v>
      </c>
      <c r="G79" s="224" t="s">
        <v>589</v>
      </c>
      <c r="I79" s="85" t="s">
        <v>2932</v>
      </c>
      <c r="J79" s="93" t="s">
        <v>1893</v>
      </c>
      <c r="K79" t="str">
        <f t="shared" si="4"/>
        <v>GALP</v>
      </c>
      <c r="L79" t="s">
        <v>3525</v>
      </c>
      <c r="M79" t="s">
        <v>3525</v>
      </c>
      <c r="N79" s="249" t="s">
        <v>42</v>
      </c>
    </row>
    <row r="80" spans="1:14" ht="15.75" thickBot="1" x14ac:dyDescent="0.3">
      <c r="A80" s="290" t="s">
        <v>4706</v>
      </c>
      <c r="B80" s="290" t="s">
        <v>4706</v>
      </c>
      <c r="C80" s="82" t="str">
        <f t="shared" si="3"/>
        <v>X</v>
      </c>
      <c r="D80" s="222">
        <v>2022</v>
      </c>
      <c r="E80" s="83" t="s">
        <v>538</v>
      </c>
      <c r="F80" s="84">
        <v>0</v>
      </c>
      <c r="G80" s="224" t="s">
        <v>589</v>
      </c>
      <c r="I80" s="85" t="s">
        <v>2933</v>
      </c>
      <c r="J80" s="93" t="s">
        <v>1893</v>
      </c>
      <c r="K80" t="str">
        <f t="shared" si="4"/>
        <v>GALP</v>
      </c>
      <c r="L80" t="s">
        <v>3525</v>
      </c>
      <c r="M80" t="s">
        <v>3525</v>
      </c>
      <c r="N80" s="249" t="s">
        <v>42</v>
      </c>
    </row>
    <row r="81" spans="1:14" ht="15.75" thickBot="1" x14ac:dyDescent="0.3">
      <c r="A81" s="290" t="s">
        <v>4706</v>
      </c>
      <c r="B81" s="290" t="s">
        <v>4706</v>
      </c>
      <c r="C81" s="82" t="str">
        <f t="shared" si="3"/>
        <v>X</v>
      </c>
      <c r="D81" s="222">
        <v>2022</v>
      </c>
      <c r="E81" s="83" t="s">
        <v>538</v>
      </c>
      <c r="F81" s="84">
        <v>161443</v>
      </c>
      <c r="G81" s="224" t="s">
        <v>589</v>
      </c>
      <c r="I81" s="85" t="s">
        <v>2934</v>
      </c>
      <c r="J81" s="93" t="s">
        <v>1893</v>
      </c>
      <c r="K81" t="str">
        <f t="shared" si="4"/>
        <v>GALP</v>
      </c>
      <c r="L81" t="s">
        <v>3525</v>
      </c>
      <c r="M81" t="s">
        <v>3525</v>
      </c>
      <c r="N81" s="249" t="s">
        <v>42</v>
      </c>
    </row>
    <row r="82" spans="1:14" ht="15.75" thickBot="1" x14ac:dyDescent="0.3">
      <c r="A82" s="290" t="s">
        <v>4706</v>
      </c>
      <c r="B82" s="290" t="s">
        <v>4706</v>
      </c>
      <c r="C82" s="82" t="str">
        <f t="shared" si="3"/>
        <v>X</v>
      </c>
      <c r="D82" s="222">
        <v>2022</v>
      </c>
      <c r="E82" s="83" t="s">
        <v>538</v>
      </c>
      <c r="F82" s="84">
        <v>86247</v>
      </c>
      <c r="G82" s="224" t="s">
        <v>589</v>
      </c>
      <c r="I82" s="85" t="s">
        <v>2935</v>
      </c>
      <c r="J82" s="93" t="s">
        <v>1893</v>
      </c>
      <c r="K82" t="str">
        <f t="shared" si="4"/>
        <v>GALP</v>
      </c>
      <c r="L82" t="s">
        <v>3525</v>
      </c>
      <c r="M82" t="s">
        <v>3525</v>
      </c>
      <c r="N82" s="249" t="s">
        <v>42</v>
      </c>
    </row>
    <row r="83" spans="1:14" ht="15.75" thickBot="1" x14ac:dyDescent="0.3">
      <c r="A83" s="290" t="s">
        <v>4706</v>
      </c>
      <c r="B83" s="290" t="s">
        <v>4706</v>
      </c>
      <c r="C83" s="82" t="str">
        <f t="shared" si="3"/>
        <v>X</v>
      </c>
      <c r="D83" s="222">
        <v>2022</v>
      </c>
      <c r="E83" s="83" t="s">
        <v>538</v>
      </c>
      <c r="F83" s="84">
        <v>324307</v>
      </c>
      <c r="G83" s="224" t="s">
        <v>589</v>
      </c>
      <c r="I83" s="85" t="s">
        <v>2936</v>
      </c>
      <c r="J83" s="93" t="s">
        <v>1893</v>
      </c>
      <c r="K83" t="str">
        <f t="shared" si="4"/>
        <v>GALP</v>
      </c>
      <c r="L83" t="s">
        <v>3525</v>
      </c>
      <c r="M83" t="s">
        <v>3525</v>
      </c>
      <c r="N83" s="249" t="s">
        <v>42</v>
      </c>
    </row>
    <row r="84" spans="1:14" ht="15.75" thickBot="1" x14ac:dyDescent="0.3">
      <c r="A84" s="290" t="s">
        <v>4706</v>
      </c>
      <c r="B84" s="290" t="s">
        <v>4706</v>
      </c>
      <c r="C84" s="82" t="str">
        <f t="shared" si="3"/>
        <v>X</v>
      </c>
      <c r="D84" s="222">
        <v>2022</v>
      </c>
      <c r="E84" s="83" t="s">
        <v>538</v>
      </c>
      <c r="F84" s="84">
        <v>29750</v>
      </c>
      <c r="G84" s="224" t="s">
        <v>589</v>
      </c>
      <c r="I84" s="85" t="s">
        <v>2937</v>
      </c>
      <c r="J84" s="93" t="s">
        <v>1893</v>
      </c>
      <c r="K84" t="str">
        <f t="shared" si="4"/>
        <v>GALP</v>
      </c>
      <c r="L84" t="s">
        <v>3525</v>
      </c>
      <c r="M84" t="s">
        <v>3525</v>
      </c>
      <c r="N84" s="249" t="s">
        <v>42</v>
      </c>
    </row>
    <row r="85" spans="1:14" ht="15.75" thickBot="1" x14ac:dyDescent="0.3">
      <c r="A85" s="290" t="s">
        <v>4706</v>
      </c>
      <c r="B85" s="290" t="s">
        <v>4706</v>
      </c>
      <c r="C85" s="82" t="str">
        <f t="shared" si="3"/>
        <v>X</v>
      </c>
      <c r="D85" s="222">
        <v>2022</v>
      </c>
      <c r="E85" s="83" t="s">
        <v>538</v>
      </c>
      <c r="F85" s="84">
        <v>21994</v>
      </c>
      <c r="G85" s="224" t="s">
        <v>589</v>
      </c>
      <c r="I85" s="85" t="s">
        <v>2938</v>
      </c>
      <c r="J85" s="93" t="s">
        <v>1893</v>
      </c>
      <c r="K85" t="str">
        <f t="shared" si="4"/>
        <v>GALP</v>
      </c>
      <c r="L85" t="s">
        <v>3525</v>
      </c>
      <c r="M85" t="s">
        <v>3525</v>
      </c>
      <c r="N85" s="249" t="s">
        <v>42</v>
      </c>
    </row>
    <row r="86" spans="1:14" ht="15.75" thickBot="1" x14ac:dyDescent="0.3">
      <c r="A86" s="290" t="s">
        <v>4706</v>
      </c>
      <c r="B86" s="290" t="s">
        <v>4706</v>
      </c>
      <c r="C86" s="82" t="str">
        <f t="shared" si="3"/>
        <v>X</v>
      </c>
      <c r="D86" s="222">
        <v>2022</v>
      </c>
      <c r="E86" s="83" t="s">
        <v>538</v>
      </c>
      <c r="F86" s="84">
        <v>0</v>
      </c>
      <c r="G86" s="224" t="s">
        <v>589</v>
      </c>
      <c r="I86" s="85" t="s">
        <v>2939</v>
      </c>
      <c r="J86" s="93" t="s">
        <v>1893</v>
      </c>
      <c r="K86" t="str">
        <f t="shared" si="4"/>
        <v>GALP</v>
      </c>
      <c r="L86" t="s">
        <v>3525</v>
      </c>
      <c r="M86" t="s">
        <v>3525</v>
      </c>
      <c r="N86" t="s">
        <v>34</v>
      </c>
    </row>
    <row r="87" spans="1:14" ht="15.75" thickBot="1" x14ac:dyDescent="0.3">
      <c r="A87" s="290" t="s">
        <v>4706</v>
      </c>
      <c r="B87" s="290" t="s">
        <v>4706</v>
      </c>
      <c r="C87" s="82" t="str">
        <f t="shared" si="3"/>
        <v>X</v>
      </c>
      <c r="D87" s="222">
        <v>2022</v>
      </c>
      <c r="E87" s="83" t="s">
        <v>538</v>
      </c>
      <c r="F87" s="84">
        <v>7579</v>
      </c>
      <c r="G87" s="224" t="s">
        <v>589</v>
      </c>
      <c r="I87" s="85" t="s">
        <v>2940</v>
      </c>
      <c r="J87" s="93" t="s">
        <v>1893</v>
      </c>
      <c r="K87" t="str">
        <f t="shared" si="4"/>
        <v>GALP</v>
      </c>
      <c r="L87" t="s">
        <v>3525</v>
      </c>
      <c r="M87" t="s">
        <v>3525</v>
      </c>
      <c r="N87" t="s">
        <v>42</v>
      </c>
    </row>
    <row r="88" spans="1:14" ht="15.75" thickBot="1" x14ac:dyDescent="0.3">
      <c r="A88" s="290" t="s">
        <v>4706</v>
      </c>
      <c r="B88" s="290" t="s">
        <v>4706</v>
      </c>
      <c r="C88" s="82" t="str">
        <f t="shared" si="3"/>
        <v>X</v>
      </c>
      <c r="D88" s="222">
        <v>2022</v>
      </c>
      <c r="E88" s="83" t="s">
        <v>538</v>
      </c>
      <c r="F88" s="84">
        <v>22183</v>
      </c>
      <c r="G88" s="224" t="s">
        <v>589</v>
      </c>
      <c r="I88" s="85" t="s">
        <v>2941</v>
      </c>
      <c r="J88" s="93" t="s">
        <v>1893</v>
      </c>
      <c r="K88" t="str">
        <f t="shared" si="4"/>
        <v>GALP</v>
      </c>
      <c r="L88" t="s">
        <v>3525</v>
      </c>
      <c r="M88" t="s">
        <v>3525</v>
      </c>
      <c r="N88" t="s">
        <v>42</v>
      </c>
    </row>
    <row r="89" spans="1:14" ht="15.75" thickBot="1" x14ac:dyDescent="0.3">
      <c r="A89" s="290" t="s">
        <v>4706</v>
      </c>
      <c r="B89" s="290" t="s">
        <v>4706</v>
      </c>
      <c r="C89" s="82" t="str">
        <f t="shared" si="3"/>
        <v>X</v>
      </c>
      <c r="D89" s="222">
        <v>2022</v>
      </c>
      <c r="E89" s="83" t="s">
        <v>538</v>
      </c>
      <c r="F89" s="84">
        <v>0</v>
      </c>
      <c r="G89" s="224" t="s">
        <v>589</v>
      </c>
      <c r="I89" s="85" t="s">
        <v>2942</v>
      </c>
      <c r="J89" s="93" t="s">
        <v>1893</v>
      </c>
      <c r="K89" t="str">
        <f t="shared" si="4"/>
        <v>GALP</v>
      </c>
      <c r="L89" t="s">
        <v>3525</v>
      </c>
      <c r="M89" t="s">
        <v>3525</v>
      </c>
      <c r="N89" t="s">
        <v>42</v>
      </c>
    </row>
    <row r="90" spans="1:14" ht="15.75" thickBot="1" x14ac:dyDescent="0.3">
      <c r="A90" s="290" t="s">
        <v>4706</v>
      </c>
      <c r="B90" s="290" t="s">
        <v>4706</v>
      </c>
      <c r="C90" s="82" t="str">
        <f t="shared" si="3"/>
        <v>X</v>
      </c>
      <c r="D90" s="222">
        <v>2022</v>
      </c>
      <c r="E90" s="83" t="s">
        <v>538</v>
      </c>
      <c r="F90" s="84">
        <v>47262</v>
      </c>
      <c r="G90" s="224" t="s">
        <v>589</v>
      </c>
      <c r="I90" s="85" t="s">
        <v>2943</v>
      </c>
      <c r="J90" s="93" t="s">
        <v>1893</v>
      </c>
      <c r="K90" t="str">
        <f t="shared" si="4"/>
        <v>GALP</v>
      </c>
      <c r="L90" t="s">
        <v>3525</v>
      </c>
      <c r="M90" t="s">
        <v>3525</v>
      </c>
      <c r="N90" s="249" t="s">
        <v>42</v>
      </c>
    </row>
    <row r="91" spans="1:14" ht="15.75" thickBot="1" x14ac:dyDescent="0.3">
      <c r="A91" s="290" t="s">
        <v>4706</v>
      </c>
      <c r="B91" s="290" t="s">
        <v>4706</v>
      </c>
      <c r="C91" s="82" t="str">
        <f t="shared" si="3"/>
        <v>X</v>
      </c>
      <c r="D91" s="222">
        <v>2022</v>
      </c>
      <c r="E91" s="83" t="s">
        <v>538</v>
      </c>
      <c r="F91" s="84">
        <v>127750</v>
      </c>
      <c r="G91" s="224" t="s">
        <v>589</v>
      </c>
      <c r="I91" s="85" t="s">
        <v>2944</v>
      </c>
      <c r="J91" s="93" t="s">
        <v>1893</v>
      </c>
      <c r="K91" t="str">
        <f t="shared" si="4"/>
        <v>GALP</v>
      </c>
      <c r="L91" t="s">
        <v>3525</v>
      </c>
      <c r="M91" t="s">
        <v>3525</v>
      </c>
      <c r="N91" t="s">
        <v>42</v>
      </c>
    </row>
    <row r="92" spans="1:14" ht="15.75" thickBot="1" x14ac:dyDescent="0.3">
      <c r="A92" s="290" t="s">
        <v>4706</v>
      </c>
      <c r="B92" s="290" t="s">
        <v>4706</v>
      </c>
      <c r="C92" s="82" t="str">
        <f t="shared" si="3"/>
        <v>X</v>
      </c>
      <c r="D92" s="222">
        <v>2022</v>
      </c>
      <c r="E92" s="83" t="s">
        <v>538</v>
      </c>
      <c r="F92" s="84">
        <v>30831</v>
      </c>
      <c r="G92" s="224" t="s">
        <v>589</v>
      </c>
      <c r="I92" s="85" t="s">
        <v>2945</v>
      </c>
      <c r="J92" s="93" t="s">
        <v>1893</v>
      </c>
      <c r="K92" t="str">
        <f t="shared" si="4"/>
        <v>GALP</v>
      </c>
      <c r="L92" t="s">
        <v>3525</v>
      </c>
      <c r="M92" t="s">
        <v>3525</v>
      </c>
      <c r="N92" t="s">
        <v>42</v>
      </c>
    </row>
    <row r="93" spans="1:14" ht="15.75" thickBot="1" x14ac:dyDescent="0.3">
      <c r="A93" s="290" t="s">
        <v>4706</v>
      </c>
      <c r="B93" s="290" t="s">
        <v>4706</v>
      </c>
      <c r="C93" s="82" t="str">
        <f t="shared" si="3"/>
        <v>X</v>
      </c>
      <c r="D93" s="222">
        <v>2022</v>
      </c>
      <c r="E93" s="83" t="s">
        <v>538</v>
      </c>
      <c r="F93" s="84">
        <v>28569</v>
      </c>
      <c r="G93" s="224" t="s">
        <v>589</v>
      </c>
      <c r="I93" s="85" t="s">
        <v>2946</v>
      </c>
      <c r="J93" s="93" t="s">
        <v>1893</v>
      </c>
      <c r="K93" t="str">
        <f t="shared" si="4"/>
        <v>GALP</v>
      </c>
      <c r="L93" t="s">
        <v>3525</v>
      </c>
      <c r="M93" t="s">
        <v>3525</v>
      </c>
      <c r="N93" t="s">
        <v>34</v>
      </c>
    </row>
    <row r="94" spans="1:14" ht="15.75" thickBot="1" x14ac:dyDescent="0.3">
      <c r="A94" s="290" t="s">
        <v>4706</v>
      </c>
      <c r="B94" s="290" t="s">
        <v>4706</v>
      </c>
      <c r="C94" s="82" t="str">
        <f t="shared" si="3"/>
        <v>X</v>
      </c>
      <c r="D94" s="222">
        <v>2022</v>
      </c>
      <c r="E94" s="83" t="s">
        <v>538</v>
      </c>
      <c r="F94" s="84">
        <v>0</v>
      </c>
      <c r="G94" s="224" t="s">
        <v>589</v>
      </c>
      <c r="I94" s="85" t="s">
        <v>2947</v>
      </c>
      <c r="J94" s="93" t="s">
        <v>1893</v>
      </c>
      <c r="K94" t="str">
        <f t="shared" si="4"/>
        <v>GALP</v>
      </c>
      <c r="L94" t="s">
        <v>3525</v>
      </c>
      <c r="M94" t="s">
        <v>3525</v>
      </c>
      <c r="N94" t="s">
        <v>34</v>
      </c>
    </row>
    <row r="95" spans="1:14" ht="15.75" thickBot="1" x14ac:dyDescent="0.3">
      <c r="A95" s="290" t="s">
        <v>4706</v>
      </c>
      <c r="B95" s="290" t="s">
        <v>4706</v>
      </c>
      <c r="C95" s="82" t="str">
        <f t="shared" si="3"/>
        <v>X</v>
      </c>
      <c r="D95" s="222">
        <v>2022</v>
      </c>
      <c r="E95" s="83" t="s">
        <v>538</v>
      </c>
      <c r="F95" s="84">
        <v>0</v>
      </c>
      <c r="G95" s="224" t="s">
        <v>589</v>
      </c>
      <c r="I95" s="85" t="s">
        <v>2948</v>
      </c>
      <c r="J95" s="93" t="s">
        <v>1893</v>
      </c>
      <c r="K95" t="str">
        <f t="shared" si="4"/>
        <v>GALP</v>
      </c>
      <c r="L95" t="s">
        <v>3525</v>
      </c>
      <c r="M95" t="s">
        <v>3525</v>
      </c>
      <c r="N95" t="s">
        <v>42</v>
      </c>
    </row>
    <row r="96" spans="1:14" ht="15.75" thickBot="1" x14ac:dyDescent="0.3">
      <c r="A96" s="290" t="s">
        <v>4706</v>
      </c>
      <c r="B96" s="290" t="s">
        <v>4706</v>
      </c>
      <c r="C96" s="82" t="str">
        <f t="shared" si="3"/>
        <v>X</v>
      </c>
      <c r="D96" s="222">
        <v>2022</v>
      </c>
      <c r="E96" s="83" t="s">
        <v>538</v>
      </c>
      <c r="F96" s="84">
        <v>106288</v>
      </c>
      <c r="G96" s="224" t="s">
        <v>589</v>
      </c>
      <c r="I96" s="85" t="s">
        <v>2949</v>
      </c>
      <c r="J96" s="93" t="s">
        <v>1893</v>
      </c>
      <c r="K96" t="str">
        <f t="shared" si="4"/>
        <v>GALP</v>
      </c>
      <c r="L96" t="s">
        <v>3525</v>
      </c>
      <c r="M96" t="s">
        <v>3525</v>
      </c>
      <c r="N96" t="s">
        <v>34</v>
      </c>
    </row>
    <row r="97" spans="1:14" ht="15.75" thickBot="1" x14ac:dyDescent="0.3">
      <c r="A97" s="290" t="s">
        <v>4706</v>
      </c>
      <c r="B97" s="290" t="s">
        <v>4706</v>
      </c>
      <c r="C97" s="82" t="str">
        <f t="shared" si="3"/>
        <v>X</v>
      </c>
      <c r="D97" s="222">
        <v>2022</v>
      </c>
      <c r="E97" s="83" t="s">
        <v>538</v>
      </c>
      <c r="F97" s="84">
        <v>59307</v>
      </c>
      <c r="G97" s="224" t="s">
        <v>589</v>
      </c>
      <c r="I97" s="85" t="s">
        <v>2950</v>
      </c>
      <c r="J97" s="93" t="s">
        <v>1893</v>
      </c>
      <c r="K97" t="str">
        <f t="shared" si="4"/>
        <v>GALP</v>
      </c>
      <c r="L97" t="s">
        <v>3525</v>
      </c>
      <c r="M97" t="s">
        <v>3525</v>
      </c>
      <c r="N97" t="s">
        <v>42</v>
      </c>
    </row>
    <row r="98" spans="1:14" ht="15.75" thickBot="1" x14ac:dyDescent="0.3">
      <c r="A98" s="290" t="s">
        <v>4706</v>
      </c>
      <c r="B98" s="290" t="s">
        <v>4706</v>
      </c>
      <c r="C98" s="82" t="str">
        <f t="shared" si="3"/>
        <v>X</v>
      </c>
      <c r="D98" s="222">
        <v>2022</v>
      </c>
      <c r="E98" s="83" t="s">
        <v>538</v>
      </c>
      <c r="F98" s="84">
        <v>16371</v>
      </c>
      <c r="G98" s="224" t="s">
        <v>589</v>
      </c>
      <c r="I98" s="85" t="s">
        <v>2951</v>
      </c>
      <c r="J98" s="93" t="s">
        <v>1893</v>
      </c>
      <c r="K98" t="str">
        <f t="shared" si="4"/>
        <v>GALP</v>
      </c>
      <c r="L98" t="s">
        <v>3525</v>
      </c>
      <c r="M98" t="s">
        <v>3525</v>
      </c>
      <c r="N98" t="s">
        <v>42</v>
      </c>
    </row>
    <row r="99" spans="1:14" ht="15.75" thickBot="1" x14ac:dyDescent="0.3">
      <c r="A99" s="290" t="s">
        <v>4706</v>
      </c>
      <c r="B99" s="290" t="s">
        <v>4706</v>
      </c>
      <c r="C99" s="82" t="str">
        <f t="shared" si="3"/>
        <v>X</v>
      </c>
      <c r="D99" s="222">
        <v>2022</v>
      </c>
      <c r="E99" s="83" t="s">
        <v>538</v>
      </c>
      <c r="F99" s="84">
        <v>0</v>
      </c>
      <c r="G99" s="224" t="s">
        <v>589</v>
      </c>
      <c r="I99" s="85" t="s">
        <v>2952</v>
      </c>
      <c r="J99" s="93" t="s">
        <v>1893</v>
      </c>
      <c r="K99" t="str">
        <f t="shared" si="4"/>
        <v>GALP</v>
      </c>
      <c r="L99" t="s">
        <v>3525</v>
      </c>
      <c r="M99" t="s">
        <v>3525</v>
      </c>
      <c r="N99" t="s">
        <v>42</v>
      </c>
    </row>
    <row r="100" spans="1:14" ht="15.75" thickBot="1" x14ac:dyDescent="0.3">
      <c r="A100" s="290" t="s">
        <v>4706</v>
      </c>
      <c r="B100" s="290" t="s">
        <v>4706</v>
      </c>
      <c r="C100" s="82" t="str">
        <f t="shared" si="3"/>
        <v>X</v>
      </c>
      <c r="D100" s="222">
        <v>2022</v>
      </c>
      <c r="E100" s="83" t="s">
        <v>538</v>
      </c>
      <c r="F100" s="84">
        <v>0</v>
      </c>
      <c r="G100" s="224" t="s">
        <v>589</v>
      </c>
      <c r="I100" s="85" t="s">
        <v>2953</v>
      </c>
      <c r="J100" s="93" t="s">
        <v>1893</v>
      </c>
      <c r="K100" t="str">
        <f t="shared" si="4"/>
        <v>GALP</v>
      </c>
      <c r="L100" t="s">
        <v>3525</v>
      </c>
      <c r="M100" t="s">
        <v>3525</v>
      </c>
      <c r="N100" t="s">
        <v>42</v>
      </c>
    </row>
    <row r="101" spans="1:14" ht="15.75" thickBot="1" x14ac:dyDescent="0.3">
      <c r="A101" s="290" t="s">
        <v>4706</v>
      </c>
      <c r="B101" s="290" t="s">
        <v>4706</v>
      </c>
      <c r="C101" s="82" t="str">
        <f t="shared" si="3"/>
        <v>X</v>
      </c>
      <c r="D101" s="222">
        <v>2022</v>
      </c>
      <c r="E101" s="83" t="s">
        <v>538</v>
      </c>
      <c r="F101" s="84">
        <v>0</v>
      </c>
      <c r="G101" s="224" t="s">
        <v>589</v>
      </c>
      <c r="I101" s="85" t="s">
        <v>2954</v>
      </c>
      <c r="J101" s="93" t="s">
        <v>1893</v>
      </c>
      <c r="K101" t="str">
        <f t="shared" si="4"/>
        <v>GALP</v>
      </c>
      <c r="L101" t="s">
        <v>3525</v>
      </c>
      <c r="M101" t="s">
        <v>3525</v>
      </c>
      <c r="N101" t="s">
        <v>42</v>
      </c>
    </row>
    <row r="102" spans="1:14" ht="15.75" thickBot="1" x14ac:dyDescent="0.3">
      <c r="A102" s="290" t="s">
        <v>4706</v>
      </c>
      <c r="B102" s="290" t="s">
        <v>4706</v>
      </c>
      <c r="C102" s="82" t="str">
        <f t="shared" si="3"/>
        <v>X</v>
      </c>
      <c r="D102" s="222">
        <v>2022</v>
      </c>
      <c r="E102" s="83" t="s">
        <v>538</v>
      </c>
      <c r="F102" s="84">
        <v>5772</v>
      </c>
      <c r="G102" s="224" t="s">
        <v>589</v>
      </c>
      <c r="I102" s="274" t="s">
        <v>2955</v>
      </c>
      <c r="J102" s="93" t="s">
        <v>1893</v>
      </c>
      <c r="K102" t="str">
        <f t="shared" si="4"/>
        <v>GALP</v>
      </c>
      <c r="L102" t="s">
        <v>3525</v>
      </c>
      <c r="M102" t="s">
        <v>3525</v>
      </c>
      <c r="N102" s="249" t="s">
        <v>42</v>
      </c>
    </row>
    <row r="103" spans="1:14" ht="15.75" thickBot="1" x14ac:dyDescent="0.3">
      <c r="A103" s="290" t="s">
        <v>4705</v>
      </c>
      <c r="B103" s="290" t="s">
        <v>4705</v>
      </c>
      <c r="C103" s="82" t="str">
        <f t="shared" si="3"/>
        <v>X</v>
      </c>
      <c r="D103" s="222">
        <v>2022</v>
      </c>
      <c r="E103" s="83" t="s">
        <v>2956</v>
      </c>
      <c r="F103" s="84">
        <v>1433304</v>
      </c>
      <c r="G103" s="224" t="s">
        <v>589</v>
      </c>
      <c r="I103" s="85" t="s">
        <v>3622</v>
      </c>
      <c r="J103" s="93" t="s">
        <v>1893</v>
      </c>
      <c r="K103" t="s">
        <v>2960</v>
      </c>
      <c r="L103" t="s">
        <v>3525</v>
      </c>
      <c r="M103" t="s">
        <v>3525</v>
      </c>
      <c r="N103" t="s">
        <v>42</v>
      </c>
    </row>
    <row r="104" spans="1:14" ht="15.75" thickBot="1" x14ac:dyDescent="0.3">
      <c r="A104" s="290" t="s">
        <v>4705</v>
      </c>
      <c r="B104" s="290" t="s">
        <v>4705</v>
      </c>
      <c r="C104" s="82" t="str">
        <f t="shared" si="3"/>
        <v>X</v>
      </c>
      <c r="D104" s="222">
        <v>2022</v>
      </c>
      <c r="E104" s="83" t="s">
        <v>3526</v>
      </c>
      <c r="F104" s="347">
        <v>18697259.5</v>
      </c>
      <c r="G104" s="224" t="s">
        <v>589</v>
      </c>
      <c r="I104" s="85" t="s">
        <v>3529</v>
      </c>
      <c r="J104" s="93" t="s">
        <v>1893</v>
      </c>
      <c r="K104" t="s">
        <v>3532</v>
      </c>
      <c r="L104" t="s">
        <v>3525</v>
      </c>
      <c r="M104" t="s">
        <v>3525</v>
      </c>
      <c r="N104" t="s">
        <v>42</v>
      </c>
    </row>
    <row r="105" spans="1:14" ht="15.75" thickBot="1" x14ac:dyDescent="0.3">
      <c r="A105" s="290" t="s">
        <v>4705</v>
      </c>
      <c r="B105" s="290" t="s">
        <v>4705</v>
      </c>
      <c r="C105" s="82" t="str">
        <f t="shared" si="3"/>
        <v>X</v>
      </c>
      <c r="D105" s="222">
        <v>2022</v>
      </c>
      <c r="E105" s="83" t="s">
        <v>3527</v>
      </c>
      <c r="F105" s="281">
        <v>15023170.75</v>
      </c>
      <c r="G105" s="224" t="s">
        <v>589</v>
      </c>
      <c r="I105" s="85" t="s">
        <v>3530</v>
      </c>
      <c r="J105" s="93" t="s">
        <v>1893</v>
      </c>
      <c r="K105" t="s">
        <v>3527</v>
      </c>
      <c r="L105" t="s">
        <v>3525</v>
      </c>
      <c r="M105" t="s">
        <v>3525</v>
      </c>
      <c r="N105" t="s">
        <v>42</v>
      </c>
    </row>
    <row r="106" spans="1:14" ht="15.75" thickBot="1" x14ac:dyDescent="0.3">
      <c r="A106" s="290" t="s">
        <v>4705</v>
      </c>
      <c r="B106" s="290" t="s">
        <v>4705</v>
      </c>
      <c r="C106" s="82" t="str">
        <f t="shared" si="3"/>
        <v>X</v>
      </c>
      <c r="D106" s="222">
        <v>2022</v>
      </c>
      <c r="E106" s="83" t="s">
        <v>538</v>
      </c>
      <c r="F106" s="281">
        <v>8672060.25</v>
      </c>
      <c r="G106" s="224" t="s">
        <v>589</v>
      </c>
      <c r="I106" s="85" t="s">
        <v>3531</v>
      </c>
      <c r="J106" s="93" t="s">
        <v>1893</v>
      </c>
      <c r="K106" t="str">
        <f>E106</f>
        <v>GALP</v>
      </c>
      <c r="L106" t="s">
        <v>3525</v>
      </c>
      <c r="M106" t="s">
        <v>3525</v>
      </c>
      <c r="N106" t="s">
        <v>42</v>
      </c>
    </row>
    <row r="107" spans="1:14" ht="15.75" thickBot="1" x14ac:dyDescent="0.3">
      <c r="A107" s="290" t="s">
        <v>4705</v>
      </c>
      <c r="B107" s="290" t="s">
        <v>4705</v>
      </c>
      <c r="C107" s="82" t="str">
        <f t="shared" si="3"/>
        <v>X</v>
      </c>
      <c r="D107" s="222">
        <v>2022</v>
      </c>
      <c r="E107" s="83" t="s">
        <v>3528</v>
      </c>
      <c r="F107" s="84">
        <v>9582024</v>
      </c>
      <c r="G107" s="224" t="s">
        <v>589</v>
      </c>
      <c r="I107" s="85" t="s">
        <v>3531</v>
      </c>
      <c r="J107" s="93" t="s">
        <v>1893</v>
      </c>
      <c r="K107" t="s">
        <v>3528</v>
      </c>
      <c r="L107" t="s">
        <v>3525</v>
      </c>
      <c r="M107" t="s">
        <v>3525</v>
      </c>
      <c r="N107" t="s">
        <v>42</v>
      </c>
    </row>
    <row r="108" spans="1:14" ht="15.75" thickBot="1" x14ac:dyDescent="0.3">
      <c r="A108" s="290" t="s">
        <v>4701</v>
      </c>
      <c r="B108" s="290" t="s">
        <v>4701</v>
      </c>
      <c r="C108" s="82" t="str">
        <f t="shared" ref="C108:C110" si="5">IF(A108=B108,"X",RIGHT(A108,LEN(A108)-LEN(B108)-3))</f>
        <v>X</v>
      </c>
      <c r="D108" s="222">
        <v>2022</v>
      </c>
      <c r="E108" s="83" t="s">
        <v>538</v>
      </c>
      <c r="F108" s="84">
        <v>18052</v>
      </c>
      <c r="G108" s="224" t="s">
        <v>589</v>
      </c>
      <c r="I108" s="346" t="s">
        <v>3897</v>
      </c>
      <c r="J108" s="93" t="s">
        <v>1893</v>
      </c>
      <c r="K108" t="str">
        <f t="shared" ref="K108:K109" si="6">E108</f>
        <v>GALP</v>
      </c>
      <c r="L108" t="s">
        <v>3525</v>
      </c>
      <c r="M108" t="s">
        <v>3525</v>
      </c>
      <c r="N108" t="s">
        <v>42</v>
      </c>
    </row>
    <row r="109" spans="1:14" ht="15.75" thickBot="1" x14ac:dyDescent="0.3">
      <c r="A109" s="290" t="s">
        <v>4793</v>
      </c>
      <c r="B109" s="290" t="s">
        <v>4793</v>
      </c>
      <c r="C109" s="82" t="str">
        <f t="shared" si="5"/>
        <v>X</v>
      </c>
      <c r="D109" s="222">
        <v>2022</v>
      </c>
      <c r="E109" s="83" t="s">
        <v>538</v>
      </c>
      <c r="F109" s="84">
        <v>5856</v>
      </c>
      <c r="G109" s="224" t="s">
        <v>589</v>
      </c>
      <c r="I109" s="346" t="s">
        <v>3897</v>
      </c>
      <c r="J109" s="93" t="s">
        <v>1893</v>
      </c>
      <c r="K109" t="str">
        <f t="shared" si="6"/>
        <v>GALP</v>
      </c>
      <c r="L109" t="s">
        <v>3525</v>
      </c>
      <c r="M109" t="s">
        <v>3525</v>
      </c>
      <c r="N109" t="s">
        <v>42</v>
      </c>
    </row>
    <row r="110" spans="1:14" ht="15.75" thickBot="1" x14ac:dyDescent="0.3">
      <c r="A110" s="290" t="s">
        <v>4792</v>
      </c>
      <c r="B110" s="290" t="s">
        <v>4792</v>
      </c>
      <c r="C110" s="82" t="str">
        <f t="shared" si="5"/>
        <v>X</v>
      </c>
      <c r="D110" s="222">
        <v>2022</v>
      </c>
      <c r="E110" s="83" t="s">
        <v>538</v>
      </c>
      <c r="F110" s="84">
        <v>4980</v>
      </c>
      <c r="G110" s="224" t="s">
        <v>589</v>
      </c>
      <c r="I110" s="346" t="s">
        <v>3897</v>
      </c>
      <c r="J110" s="93" t="s">
        <v>1893</v>
      </c>
      <c r="K110" t="str">
        <f t="shared" ref="K110" si="7">E110</f>
        <v>GALP</v>
      </c>
      <c r="L110" t="s">
        <v>3525</v>
      </c>
      <c r="M110" t="s">
        <v>3525</v>
      </c>
      <c r="N110" t="s">
        <v>42</v>
      </c>
    </row>
    <row r="111" spans="1:14" ht="15.75" thickBot="1" x14ac:dyDescent="0.3">
      <c r="A111" t="s">
        <v>4704</v>
      </c>
      <c r="B111" t="s">
        <v>4704</v>
      </c>
      <c r="C111" s="82" t="str">
        <f t="shared" ref="C111:C115" si="8">IF(A111=B111,"X",RIGHT(A111,LEN(A111)-LEN(B111)-3))</f>
        <v>X</v>
      </c>
      <c r="D111" s="222">
        <v>2022</v>
      </c>
      <c r="E111" s="299" t="s">
        <v>4717</v>
      </c>
      <c r="F111" s="281">
        <v>19925136.66383943</v>
      </c>
      <c r="G111" s="224" t="s">
        <v>589</v>
      </c>
      <c r="I111" s="82" t="s">
        <v>3910</v>
      </c>
      <c r="J111" s="93" t="s">
        <v>1893</v>
      </c>
      <c r="K111" s="299" t="s">
        <v>4717</v>
      </c>
      <c r="L111" t="s">
        <v>3525</v>
      </c>
      <c r="M111" t="s">
        <v>3525</v>
      </c>
      <c r="N111" t="s">
        <v>42</v>
      </c>
    </row>
    <row r="112" spans="1:14" ht="15.75" thickBot="1" x14ac:dyDescent="0.3">
      <c r="A112" t="s">
        <v>4704</v>
      </c>
      <c r="B112" t="s">
        <v>4704</v>
      </c>
      <c r="C112" s="82" t="str">
        <f t="shared" si="8"/>
        <v>X</v>
      </c>
      <c r="D112" s="222">
        <v>2022</v>
      </c>
      <c r="E112" s="83" t="s">
        <v>538</v>
      </c>
      <c r="F112" s="281">
        <v>1190634</v>
      </c>
      <c r="G112" s="224" t="s">
        <v>589</v>
      </c>
      <c r="I112" s="82" t="s">
        <v>3911</v>
      </c>
      <c r="J112" s="93" t="s">
        <v>1893</v>
      </c>
      <c r="K112" s="83" t="s">
        <v>538</v>
      </c>
      <c r="L112" t="s">
        <v>3525</v>
      </c>
      <c r="M112" t="s">
        <v>3525</v>
      </c>
      <c r="N112" t="s">
        <v>42</v>
      </c>
    </row>
    <row r="113" spans="1:14" ht="15.75" thickBot="1" x14ac:dyDescent="0.3">
      <c r="A113" t="s">
        <v>4704</v>
      </c>
      <c r="B113" t="s">
        <v>4704</v>
      </c>
      <c r="C113" s="82" t="str">
        <f t="shared" si="8"/>
        <v>X</v>
      </c>
      <c r="D113" s="222">
        <v>2022</v>
      </c>
      <c r="E113" s="299" t="s">
        <v>538</v>
      </c>
      <c r="F113" s="281">
        <v>292840</v>
      </c>
      <c r="G113" s="224" t="s">
        <v>589</v>
      </c>
      <c r="I113" s="82" t="s">
        <v>3912</v>
      </c>
      <c r="J113" s="93" t="s">
        <v>1893</v>
      </c>
      <c r="K113" s="299" t="s">
        <v>538</v>
      </c>
      <c r="L113" t="s">
        <v>3525</v>
      </c>
      <c r="M113" t="s">
        <v>3525</v>
      </c>
      <c r="N113" t="s">
        <v>42</v>
      </c>
    </row>
    <row r="114" spans="1:14" ht="15.75" thickBot="1" x14ac:dyDescent="0.3">
      <c r="A114" t="s">
        <v>4704</v>
      </c>
      <c r="B114" t="s">
        <v>4704</v>
      </c>
      <c r="C114" s="82" t="str">
        <f t="shared" si="8"/>
        <v>X</v>
      </c>
      <c r="D114" s="222">
        <v>2022</v>
      </c>
      <c r="E114" s="83" t="s">
        <v>538</v>
      </c>
      <c r="F114" s="281">
        <v>38079</v>
      </c>
      <c r="G114" s="224" t="s">
        <v>589</v>
      </c>
      <c r="I114" s="82" t="s">
        <v>3913</v>
      </c>
      <c r="J114" s="93" t="s">
        <v>1893</v>
      </c>
      <c r="K114" s="83" t="s">
        <v>538</v>
      </c>
      <c r="L114" t="s">
        <v>3525</v>
      </c>
      <c r="M114" t="s">
        <v>3525</v>
      </c>
      <c r="N114" t="s">
        <v>42</v>
      </c>
    </row>
    <row r="115" spans="1:14" ht="15.75" thickBot="1" x14ac:dyDescent="0.3">
      <c r="A115" t="s">
        <v>4704</v>
      </c>
      <c r="B115" t="s">
        <v>4704</v>
      </c>
      <c r="C115" s="82" t="str">
        <f t="shared" si="8"/>
        <v>X</v>
      </c>
      <c r="D115" s="222">
        <v>2022</v>
      </c>
      <c r="E115" s="299" t="s">
        <v>538</v>
      </c>
      <c r="F115" s="281">
        <v>300559</v>
      </c>
      <c r="G115" s="224" t="s">
        <v>589</v>
      </c>
      <c r="I115" s="82" t="s">
        <v>3914</v>
      </c>
      <c r="J115" s="93" t="s">
        <v>1893</v>
      </c>
      <c r="K115" s="299" t="s">
        <v>538</v>
      </c>
      <c r="L115" t="s">
        <v>3525</v>
      </c>
      <c r="M115" t="s">
        <v>3525</v>
      </c>
      <c r="N115" t="s">
        <v>42</v>
      </c>
    </row>
    <row r="116" spans="1:14" ht="15.75" thickBot="1" x14ac:dyDescent="0.3">
      <c r="A116" t="s">
        <v>4703</v>
      </c>
      <c r="B116" t="s">
        <v>4703</v>
      </c>
      <c r="C116" s="82" t="str">
        <f t="shared" ref="C116:C117" si="9">IF(A116=B116,"X",RIGHT(A116,LEN(A116)-LEN(B116)-3))</f>
        <v>X</v>
      </c>
      <c r="D116" s="222">
        <v>2022</v>
      </c>
      <c r="E116" s="83" t="s">
        <v>538</v>
      </c>
      <c r="F116" s="281">
        <v>637283</v>
      </c>
      <c r="G116" s="224" t="s">
        <v>589</v>
      </c>
      <c r="I116" t="s">
        <v>3952</v>
      </c>
      <c r="J116" s="93" t="s">
        <v>1893</v>
      </c>
      <c r="K116" s="83" t="s">
        <v>538</v>
      </c>
      <c r="L116" t="s">
        <v>3525</v>
      </c>
      <c r="M116" t="s">
        <v>3525</v>
      </c>
      <c r="N116" t="s">
        <v>42</v>
      </c>
    </row>
    <row r="117" spans="1:14" ht="15.75" thickBot="1" x14ac:dyDescent="0.3">
      <c r="A117" t="s">
        <v>4703</v>
      </c>
      <c r="B117" t="s">
        <v>4703</v>
      </c>
      <c r="C117" s="82" t="str">
        <f t="shared" si="9"/>
        <v>X</v>
      </c>
      <c r="D117" s="222">
        <v>2022</v>
      </c>
      <c r="E117" s="83" t="s">
        <v>538</v>
      </c>
      <c r="F117" s="281">
        <v>612707</v>
      </c>
      <c r="G117" s="224" t="s">
        <v>589</v>
      </c>
      <c r="I117" t="s">
        <v>3953</v>
      </c>
      <c r="J117" s="93" t="s">
        <v>1893</v>
      </c>
      <c r="K117" s="83" t="s">
        <v>538</v>
      </c>
      <c r="L117" t="s">
        <v>3525</v>
      </c>
      <c r="M117" t="s">
        <v>3525</v>
      </c>
      <c r="N117" t="s">
        <v>42</v>
      </c>
    </row>
    <row r="118" spans="1:14" ht="15.75" thickBot="1" x14ac:dyDescent="0.3">
      <c r="A118" t="s">
        <v>4718</v>
      </c>
      <c r="B118" t="s">
        <v>4718</v>
      </c>
      <c r="C118" t="s">
        <v>1969</v>
      </c>
      <c r="D118" s="222">
        <v>2022</v>
      </c>
      <c r="E118" s="83" t="s">
        <v>538</v>
      </c>
      <c r="F118" s="433">
        <v>349836</v>
      </c>
      <c r="G118" s="224" t="s">
        <v>589</v>
      </c>
      <c r="I118" s="85" t="s">
        <v>4719</v>
      </c>
      <c r="J118" s="93" t="s">
        <v>1893</v>
      </c>
      <c r="K118" t="str">
        <f t="shared" ref="K118" si="10">E118</f>
        <v>GALP</v>
      </c>
      <c r="L118" t="s">
        <v>3525</v>
      </c>
      <c r="M118" t="s">
        <v>3525</v>
      </c>
      <c r="N118" t="s">
        <v>42</v>
      </c>
    </row>
  </sheetData>
  <autoFilter ref="A1:N107"/>
  <mergeCells count="10">
    <mergeCell ref="L1:L2"/>
    <mergeCell ref="M1:M2"/>
    <mergeCell ref="N1:N2"/>
    <mergeCell ref="H1:H2"/>
    <mergeCell ref="I1:I2"/>
    <mergeCell ref="A1:A2"/>
    <mergeCell ref="C1:C2"/>
    <mergeCell ref="B1:B2"/>
    <mergeCell ref="E1:E2"/>
    <mergeCell ref="F1:F2"/>
  </mergeCells>
  <dataValidations count="1">
    <dataValidation type="list" allowBlank="1" showInputMessage="1" showErrorMessage="1" sqref="H3:H14">
      <formula1>"Ano, Mês"</formula1>
    </dataValidation>
  </dataValidations>
  <pageMargins left="0.7" right="0.7" top="0.75" bottom="0.75" header="0.3" footer="0.3"/>
  <pageSetup paperSize="9" orientation="portrait" r:id="rId1"/>
  <customProperties>
    <customPr name="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6"/>
  <dimension ref="A1:S143"/>
  <sheetViews>
    <sheetView zoomScale="190" zoomScaleNormal="190" workbookViewId="0">
      <pane xSplit="2" ySplit="2" topLeftCell="C78" activePane="bottomRight" state="frozen"/>
      <selection pane="topRight" activeCell="C1" sqref="C1"/>
      <selection pane="bottomLeft" activeCell="A3" sqref="A3"/>
      <selection pane="bottomRight" activeCell="A85" sqref="A85:B85"/>
    </sheetView>
    <sheetView tabSelected="1" topLeftCell="D67" workbookViewId="1">
      <selection activeCell="H95" sqref="H95"/>
    </sheetView>
  </sheetViews>
  <sheetFormatPr defaultRowHeight="15" x14ac:dyDescent="0.25"/>
  <cols>
    <col min="1" max="1" width="75.28515625" customWidth="1"/>
    <col min="2" max="2" width="74.85546875" customWidth="1"/>
    <col min="3" max="3" width="48.28515625" customWidth="1"/>
    <col min="4" max="6" width="32.28515625" customWidth="1"/>
    <col min="7" max="7" width="21.28515625" style="89" customWidth="1"/>
    <col min="8" max="8" width="21.28515625" customWidth="1"/>
    <col min="9" max="9" width="21.28515625" style="89" customWidth="1"/>
    <col min="10" max="10" width="21.28515625" customWidth="1"/>
    <col min="14" max="14" width="54.7109375" bestFit="1" customWidth="1"/>
    <col min="15" max="15" width="12.28515625" customWidth="1"/>
    <col min="16" max="16" width="25.5703125" customWidth="1"/>
    <col min="19" max="19" width="14.140625" customWidth="1"/>
  </cols>
  <sheetData>
    <row r="1" spans="1:19" ht="15.75" thickBot="1" x14ac:dyDescent="0.3">
      <c r="A1" s="543" t="s">
        <v>1851</v>
      </c>
      <c r="B1" s="508" t="s">
        <v>131</v>
      </c>
      <c r="C1" s="508" t="s">
        <v>1852</v>
      </c>
      <c r="D1" s="543" t="s">
        <v>1857</v>
      </c>
      <c r="E1" s="543" t="s">
        <v>168</v>
      </c>
      <c r="F1" s="231" t="s">
        <v>132</v>
      </c>
      <c r="G1" s="529" t="s">
        <v>140</v>
      </c>
      <c r="H1" s="543" t="s">
        <v>1860</v>
      </c>
      <c r="I1" s="529" t="s">
        <v>141</v>
      </c>
      <c r="J1" s="543" t="s">
        <v>134</v>
      </c>
      <c r="K1" s="543" t="s">
        <v>1894</v>
      </c>
      <c r="L1" s="543" t="s">
        <v>1856</v>
      </c>
      <c r="M1" s="543" t="s">
        <v>1895</v>
      </c>
      <c r="N1" s="543" t="s">
        <v>1897</v>
      </c>
      <c r="O1" s="543" t="s">
        <v>2962</v>
      </c>
      <c r="P1" s="543" t="s">
        <v>2963</v>
      </c>
      <c r="Q1" s="528" t="s">
        <v>2831</v>
      </c>
      <c r="R1" s="528" t="s">
        <v>3628</v>
      </c>
      <c r="S1" s="528" t="s">
        <v>3723</v>
      </c>
    </row>
    <row r="2" spans="1:19" ht="15.75" thickBot="1" x14ac:dyDescent="0.3">
      <c r="A2" s="544"/>
      <c r="B2" s="509"/>
      <c r="C2" s="509"/>
      <c r="D2" s="544"/>
      <c r="E2" s="544"/>
      <c r="F2" s="232"/>
      <c r="G2" s="530"/>
      <c r="H2" s="544"/>
      <c r="I2" s="530"/>
      <c r="J2" s="544"/>
      <c r="K2" s="544"/>
      <c r="L2" s="544"/>
      <c r="M2" s="544"/>
      <c r="N2" s="544"/>
      <c r="O2" s="544" t="s">
        <v>2962</v>
      </c>
      <c r="P2" s="544" t="s">
        <v>2963</v>
      </c>
      <c r="Q2" s="528"/>
      <c r="R2" s="528"/>
      <c r="S2" s="528"/>
    </row>
    <row r="3" spans="1:19" ht="15.75" thickBot="1" x14ac:dyDescent="0.3">
      <c r="A3" s="82" t="s">
        <v>45</v>
      </c>
      <c r="B3" s="82" t="str">
        <f>LEFT(A3,IFERROR(FIND(" - ",A3)-1,LEN(A3)))</f>
        <v>Barraqueiro Transportes, S.A.</v>
      </c>
      <c r="C3" s="82" t="str">
        <f>IF(A3=B3,"X",RIGHT(A3,LEN(A3)-LEN(B3)-3))</f>
        <v>X</v>
      </c>
      <c r="D3" s="83" t="s">
        <v>588</v>
      </c>
      <c r="E3" s="83" t="s">
        <v>1859</v>
      </c>
      <c r="F3" s="83" t="s">
        <v>538</v>
      </c>
      <c r="G3" s="120">
        <v>591684</v>
      </c>
      <c r="H3" s="85" t="s">
        <v>589</v>
      </c>
      <c r="I3" s="123" t="s">
        <v>589</v>
      </c>
      <c r="J3" s="83" t="s">
        <v>1898</v>
      </c>
      <c r="K3" t="s">
        <v>1893</v>
      </c>
      <c r="L3" s="234">
        <v>2022</v>
      </c>
      <c r="M3">
        <v>2022</v>
      </c>
      <c r="N3" t="str">
        <f>IF(J3="Eléctrica",K3&amp;": "&amp;J3&amp;": "&amp;E3&amp;": Portugal: "&amp;M3&amp;":: "&amp;I3,K3&amp;": "&amp;J3&amp;": "&amp;E3&amp;": "&amp;M3&amp;":: "&amp;I3)</f>
        <v>AIE: Eléctrica: Perdas Rede SEN: Portugal: 2022:: kWh</v>
      </c>
      <c r="O3" t="str">
        <f>J3</f>
        <v>Eléctrica</v>
      </c>
      <c r="P3" t="str">
        <f>F3</f>
        <v>GALP</v>
      </c>
      <c r="Q3" s="234" t="s">
        <v>3535</v>
      </c>
      <c r="R3" s="234" t="s">
        <v>3536</v>
      </c>
      <c r="S3" t="s">
        <v>42</v>
      </c>
    </row>
    <row r="4" spans="1:19" ht="15.75" thickBot="1" x14ac:dyDescent="0.3">
      <c r="A4" s="82" t="s">
        <v>4683</v>
      </c>
      <c r="B4" s="82" t="s">
        <v>4683</v>
      </c>
      <c r="C4" s="82" t="str">
        <f t="shared" ref="C4:C26" si="0">IF(A4=B4,"X",RIGHT(A4,LEN(A4)-LEN(B4)-3))</f>
        <v>X</v>
      </c>
      <c r="D4" s="83" t="s">
        <v>588</v>
      </c>
      <c r="E4" s="83" t="s">
        <v>1859</v>
      </c>
      <c r="F4" s="83" t="s">
        <v>538</v>
      </c>
      <c r="G4" s="120">
        <v>20660</v>
      </c>
      <c r="H4" s="85" t="s">
        <v>589</v>
      </c>
      <c r="I4" s="123" t="s">
        <v>589</v>
      </c>
      <c r="J4" s="83" t="s">
        <v>1898</v>
      </c>
      <c r="K4" t="s">
        <v>1893</v>
      </c>
      <c r="L4" s="234">
        <v>2022</v>
      </c>
      <c r="M4">
        <v>2022</v>
      </c>
      <c r="N4" t="str">
        <f t="shared" ref="N4:N26" si="1">IF(J4="Eléctrica",K4&amp;": "&amp;J4&amp;": "&amp;E4&amp;": Portugal: "&amp;M4&amp;":: "&amp;I4,K4&amp;": "&amp;J4&amp;": "&amp;E4&amp;": "&amp;M4&amp;":: "&amp;I4)</f>
        <v>AIE: Eléctrica: Perdas Rede SEN: Portugal: 2022:: kWh</v>
      </c>
      <c r="O4" t="str">
        <f t="shared" ref="O4:O67" si="2">J4</f>
        <v>Eléctrica</v>
      </c>
      <c r="P4" t="str">
        <f t="shared" ref="P4:P67" si="3">F4</f>
        <v>GALP</v>
      </c>
      <c r="Q4" s="234" t="s">
        <v>3535</v>
      </c>
      <c r="R4" s="234" t="s">
        <v>3536</v>
      </c>
      <c r="S4" t="s">
        <v>42</v>
      </c>
    </row>
    <row r="5" spans="1:19" ht="15.75" thickBot="1" x14ac:dyDescent="0.3">
      <c r="A5" s="82" t="s">
        <v>4684</v>
      </c>
      <c r="B5" s="82" t="s">
        <v>4684</v>
      </c>
      <c r="C5" s="82" t="str">
        <f t="shared" si="0"/>
        <v>X</v>
      </c>
      <c r="D5" s="83" t="s">
        <v>588</v>
      </c>
      <c r="E5" s="83" t="s">
        <v>1859</v>
      </c>
      <c r="F5" s="83" t="s">
        <v>538</v>
      </c>
      <c r="G5" s="120">
        <v>62333.799999999996</v>
      </c>
      <c r="H5" s="85" t="s">
        <v>589</v>
      </c>
      <c r="I5" s="123" t="s">
        <v>589</v>
      </c>
      <c r="J5" s="83" t="s">
        <v>1898</v>
      </c>
      <c r="K5" t="s">
        <v>1893</v>
      </c>
      <c r="L5" s="234">
        <v>2022</v>
      </c>
      <c r="M5">
        <v>2022</v>
      </c>
      <c r="N5" t="str">
        <f t="shared" si="1"/>
        <v>AIE: Eléctrica: Perdas Rede SEN: Portugal: 2022:: kWh</v>
      </c>
      <c r="O5" t="str">
        <f t="shared" si="2"/>
        <v>Eléctrica</v>
      </c>
      <c r="P5" t="str">
        <f t="shared" si="3"/>
        <v>GALP</v>
      </c>
      <c r="Q5" s="234" t="s">
        <v>3535</v>
      </c>
      <c r="R5" s="234" t="s">
        <v>3536</v>
      </c>
      <c r="S5" t="s">
        <v>42</v>
      </c>
    </row>
    <row r="6" spans="1:19" ht="15.75" thickBot="1" x14ac:dyDescent="0.3">
      <c r="A6" s="82" t="s">
        <v>4685</v>
      </c>
      <c r="B6" s="82" t="s">
        <v>4685</v>
      </c>
      <c r="C6" s="82" t="str">
        <f t="shared" si="0"/>
        <v>X</v>
      </c>
      <c r="D6" s="83" t="s">
        <v>588</v>
      </c>
      <c r="E6" s="83" t="s">
        <v>1859</v>
      </c>
      <c r="F6" s="83" t="s">
        <v>538</v>
      </c>
      <c r="G6" s="120">
        <v>38455.200000000004</v>
      </c>
      <c r="H6" s="85" t="s">
        <v>589</v>
      </c>
      <c r="I6" s="123" t="s">
        <v>589</v>
      </c>
      <c r="J6" s="83" t="s">
        <v>1898</v>
      </c>
      <c r="K6" t="s">
        <v>1893</v>
      </c>
      <c r="L6" s="234">
        <v>2022</v>
      </c>
      <c r="M6">
        <v>2022</v>
      </c>
      <c r="N6" t="str">
        <f t="shared" si="1"/>
        <v>AIE: Eléctrica: Perdas Rede SEN: Portugal: 2022:: kWh</v>
      </c>
      <c r="O6" t="str">
        <f t="shared" si="2"/>
        <v>Eléctrica</v>
      </c>
      <c r="P6" t="str">
        <f t="shared" si="3"/>
        <v>GALP</v>
      </c>
      <c r="Q6" s="234" t="s">
        <v>3535</v>
      </c>
      <c r="R6" s="234" t="s">
        <v>3536</v>
      </c>
      <c r="S6" t="s">
        <v>42</v>
      </c>
    </row>
    <row r="7" spans="1:19" ht="15.75" thickBot="1" x14ac:dyDescent="0.3">
      <c r="A7" s="114" t="s">
        <v>3514</v>
      </c>
      <c r="B7" s="82" t="str">
        <f t="shared" ref="B7:B26" si="4">LEFT(A7,IFERROR(FIND(" - ",A7)-1,LEN(A7)))</f>
        <v>Barraqueiro Transportes, S.A.</v>
      </c>
      <c r="C7" s="82" t="str">
        <f t="shared" si="0"/>
        <v>Sede</v>
      </c>
      <c r="D7" s="115" t="s">
        <v>588</v>
      </c>
      <c r="E7" s="83" t="s">
        <v>1859</v>
      </c>
      <c r="F7" s="83" t="s">
        <v>538</v>
      </c>
      <c r="G7" s="135">
        <v>33869.4</v>
      </c>
      <c r="H7" s="117" t="s">
        <v>589</v>
      </c>
      <c r="I7" s="121" t="s">
        <v>589</v>
      </c>
      <c r="J7" s="121" t="s">
        <v>1898</v>
      </c>
      <c r="K7" t="s">
        <v>1893</v>
      </c>
      <c r="L7" s="234">
        <v>2022</v>
      </c>
      <c r="M7">
        <v>2022</v>
      </c>
      <c r="N7" t="str">
        <f t="shared" si="1"/>
        <v>AIE: Eléctrica: Perdas Rede SEN: Portugal: 2022:: kWh</v>
      </c>
      <c r="O7" t="str">
        <f t="shared" si="2"/>
        <v>Eléctrica</v>
      </c>
      <c r="P7" t="str">
        <f t="shared" si="3"/>
        <v>GALP</v>
      </c>
      <c r="Q7" s="234" t="s">
        <v>3535</v>
      </c>
      <c r="R7" s="234" t="s">
        <v>3536</v>
      </c>
      <c r="S7" t="s">
        <v>42</v>
      </c>
    </row>
    <row r="8" spans="1:19" ht="15.75" thickBot="1" x14ac:dyDescent="0.3">
      <c r="A8" s="114" t="s">
        <v>3314</v>
      </c>
      <c r="B8" s="82" t="str">
        <f t="shared" si="4"/>
        <v>Barraqueiro Transportes, S.A.</v>
      </c>
      <c r="C8" s="82" t="str">
        <f t="shared" si="0"/>
        <v>Barraqueiro Alugueres</v>
      </c>
      <c r="D8" s="115" t="s">
        <v>588</v>
      </c>
      <c r="E8" s="83" t="s">
        <v>1859</v>
      </c>
      <c r="F8" s="83" t="s">
        <v>538</v>
      </c>
      <c r="G8" s="135">
        <v>41042.6</v>
      </c>
      <c r="H8" s="117" t="s">
        <v>589</v>
      </c>
      <c r="I8" s="121" t="s">
        <v>589</v>
      </c>
      <c r="J8" s="121" t="s">
        <v>1898</v>
      </c>
      <c r="K8" t="s">
        <v>1893</v>
      </c>
      <c r="L8" s="234">
        <v>2022</v>
      </c>
      <c r="M8">
        <v>2022</v>
      </c>
      <c r="N8" t="str">
        <f t="shared" si="1"/>
        <v>AIE: Eléctrica: Perdas Rede SEN: Portugal: 2022:: kWh</v>
      </c>
      <c r="O8" t="str">
        <f t="shared" si="2"/>
        <v>Eléctrica</v>
      </c>
      <c r="P8" t="str">
        <f t="shared" si="3"/>
        <v>GALP</v>
      </c>
      <c r="Q8" s="234" t="s">
        <v>3535</v>
      </c>
      <c r="R8" s="234" t="s">
        <v>3536</v>
      </c>
      <c r="S8" t="s">
        <v>42</v>
      </c>
    </row>
    <row r="9" spans="1:19" ht="15.75" thickBot="1" x14ac:dyDescent="0.3">
      <c r="A9" s="114" t="s">
        <v>3509</v>
      </c>
      <c r="B9" s="82" t="str">
        <f t="shared" si="4"/>
        <v>Barraqueiro Transportes, S.A.</v>
      </c>
      <c r="C9" s="82" t="str">
        <f t="shared" si="0"/>
        <v>Barraqueiro Oeste</v>
      </c>
      <c r="D9" s="115" t="s">
        <v>588</v>
      </c>
      <c r="E9" s="83" t="s">
        <v>1859</v>
      </c>
      <c r="F9" s="83" t="s">
        <v>538</v>
      </c>
      <c r="G9" s="135">
        <v>54991.4</v>
      </c>
      <c r="H9" s="117" t="s">
        <v>589</v>
      </c>
      <c r="I9" s="121" t="s">
        <v>589</v>
      </c>
      <c r="J9" s="121" t="s">
        <v>1898</v>
      </c>
      <c r="K9" t="s">
        <v>1893</v>
      </c>
      <c r="L9" s="234">
        <v>2022</v>
      </c>
      <c r="M9">
        <v>2022</v>
      </c>
      <c r="N9" t="str">
        <f t="shared" si="1"/>
        <v>AIE: Eléctrica: Perdas Rede SEN: Portugal: 2022:: kWh</v>
      </c>
      <c r="O9" t="str">
        <f t="shared" si="2"/>
        <v>Eléctrica</v>
      </c>
      <c r="P9" t="str">
        <f t="shared" si="3"/>
        <v>GALP</v>
      </c>
      <c r="Q9" s="234" t="s">
        <v>3535</v>
      </c>
      <c r="R9" s="234" t="s">
        <v>3536</v>
      </c>
      <c r="S9" t="s">
        <v>42</v>
      </c>
    </row>
    <row r="10" spans="1:19" ht="15.75" thickBot="1" x14ac:dyDescent="0.3">
      <c r="A10" s="114" t="s">
        <v>3510</v>
      </c>
      <c r="B10" s="82" t="str">
        <f t="shared" si="4"/>
        <v>Barraqueiro Transportes, S.A.</v>
      </c>
      <c r="C10" s="82" t="str">
        <f t="shared" si="0"/>
        <v>Boa Viagem</v>
      </c>
      <c r="D10" s="115" t="s">
        <v>588</v>
      </c>
      <c r="E10" s="83" t="s">
        <v>1859</v>
      </c>
      <c r="F10" s="83" t="s">
        <v>538</v>
      </c>
      <c r="G10" s="135">
        <v>93068.2</v>
      </c>
      <c r="H10" s="117" t="s">
        <v>589</v>
      </c>
      <c r="I10" s="121" t="s">
        <v>589</v>
      </c>
      <c r="J10" s="121" t="s">
        <v>1898</v>
      </c>
      <c r="K10" t="s">
        <v>1893</v>
      </c>
      <c r="L10" s="234">
        <v>2022</v>
      </c>
      <c r="M10">
        <v>2022</v>
      </c>
      <c r="N10" t="str">
        <f t="shared" si="1"/>
        <v>AIE: Eléctrica: Perdas Rede SEN: Portugal: 2022:: kWh</v>
      </c>
      <c r="O10" t="str">
        <f t="shared" si="2"/>
        <v>Eléctrica</v>
      </c>
      <c r="P10" t="str">
        <f t="shared" si="3"/>
        <v>GALP</v>
      </c>
      <c r="Q10" s="234" t="s">
        <v>3535</v>
      </c>
      <c r="R10" s="234" t="s">
        <v>3536</v>
      </c>
      <c r="S10" t="s">
        <v>42</v>
      </c>
    </row>
    <row r="11" spans="1:19" ht="15.75" thickBot="1" x14ac:dyDescent="0.3">
      <c r="A11" s="114" t="s">
        <v>3560</v>
      </c>
      <c r="B11" s="82" t="str">
        <f t="shared" si="4"/>
        <v>Barraqueiro Transportes, S.A.</v>
      </c>
      <c r="C11" s="82" t="str">
        <f t="shared" si="0"/>
        <v>ESEVEL</v>
      </c>
      <c r="D11" s="115" t="s">
        <v>588</v>
      </c>
      <c r="E11" s="83" t="s">
        <v>1859</v>
      </c>
      <c r="F11" s="83" t="s">
        <v>538</v>
      </c>
      <c r="G11" s="135">
        <v>154634.4</v>
      </c>
      <c r="H11" s="117" t="s">
        <v>589</v>
      </c>
      <c r="I11" s="121" t="s">
        <v>589</v>
      </c>
      <c r="J11" s="121" t="s">
        <v>1898</v>
      </c>
      <c r="K11" t="s">
        <v>1893</v>
      </c>
      <c r="L11" s="234">
        <v>2022</v>
      </c>
      <c r="M11">
        <v>2022</v>
      </c>
      <c r="N11" t="str">
        <f t="shared" si="1"/>
        <v>AIE: Eléctrica: Perdas Rede SEN: Portugal: 2022:: kWh</v>
      </c>
      <c r="O11" t="str">
        <f t="shared" si="2"/>
        <v>Eléctrica</v>
      </c>
      <c r="P11" t="str">
        <f t="shared" si="3"/>
        <v>GALP</v>
      </c>
      <c r="Q11" s="234" t="s">
        <v>3535</v>
      </c>
      <c r="R11" s="234" t="s">
        <v>3536</v>
      </c>
      <c r="S11" t="s">
        <v>42</v>
      </c>
    </row>
    <row r="12" spans="1:19" ht="15.75" thickBot="1" x14ac:dyDescent="0.3">
      <c r="A12" s="114" t="s">
        <v>3507</v>
      </c>
      <c r="B12" s="82" t="str">
        <f t="shared" si="4"/>
        <v>Barraqueiro Transportes, S.A.</v>
      </c>
      <c r="C12" s="82" t="str">
        <f t="shared" si="0"/>
        <v>Estremadura</v>
      </c>
      <c r="D12" s="115" t="s">
        <v>588</v>
      </c>
      <c r="E12" s="83" t="s">
        <v>1859</v>
      </c>
      <c r="F12" s="83" t="s">
        <v>538</v>
      </c>
      <c r="G12" s="135">
        <v>79028.599999999991</v>
      </c>
      <c r="H12" s="117" t="s">
        <v>589</v>
      </c>
      <c r="I12" s="121" t="s">
        <v>589</v>
      </c>
      <c r="J12" s="121" t="s">
        <v>1898</v>
      </c>
      <c r="K12" t="s">
        <v>1893</v>
      </c>
      <c r="L12" s="234">
        <v>2022</v>
      </c>
      <c r="M12">
        <v>2022</v>
      </c>
      <c r="N12" t="str">
        <f t="shared" si="1"/>
        <v>AIE: Eléctrica: Perdas Rede SEN: Portugal: 2022:: kWh</v>
      </c>
      <c r="O12" t="str">
        <f t="shared" si="2"/>
        <v>Eléctrica</v>
      </c>
      <c r="P12" t="str">
        <f t="shared" si="3"/>
        <v>GALP</v>
      </c>
      <c r="Q12" s="234" t="s">
        <v>3535</v>
      </c>
      <c r="R12" s="234" t="s">
        <v>3536</v>
      </c>
      <c r="S12" t="s">
        <v>42</v>
      </c>
    </row>
    <row r="13" spans="1:19" ht="15.75" thickBot="1" x14ac:dyDescent="0.3">
      <c r="A13" s="114" t="s">
        <v>3506</v>
      </c>
      <c r="B13" s="82" t="str">
        <f t="shared" si="4"/>
        <v>Barraqueiro Transportes, S.A.</v>
      </c>
      <c r="C13" s="82" t="str">
        <f t="shared" si="0"/>
        <v>Mafrense</v>
      </c>
      <c r="D13" s="115" t="s">
        <v>588</v>
      </c>
      <c r="E13" s="83" t="s">
        <v>1859</v>
      </c>
      <c r="F13" s="83" t="s">
        <v>538</v>
      </c>
      <c r="G13" s="135">
        <v>88086.399999999994</v>
      </c>
      <c r="H13" s="117" t="s">
        <v>589</v>
      </c>
      <c r="I13" s="121" t="s">
        <v>589</v>
      </c>
      <c r="J13" s="121" t="s">
        <v>1898</v>
      </c>
      <c r="K13" t="s">
        <v>1893</v>
      </c>
      <c r="L13" s="234">
        <v>2022</v>
      </c>
      <c r="M13">
        <v>2022</v>
      </c>
      <c r="N13" t="str">
        <f t="shared" si="1"/>
        <v>AIE: Eléctrica: Perdas Rede SEN: Portugal: 2022:: kWh</v>
      </c>
      <c r="O13" t="str">
        <f t="shared" si="2"/>
        <v>Eléctrica</v>
      </c>
      <c r="P13" t="str">
        <f t="shared" si="3"/>
        <v>GALP</v>
      </c>
      <c r="Q13" s="234" t="s">
        <v>3535</v>
      </c>
      <c r="R13" s="234" t="s">
        <v>3536</v>
      </c>
      <c r="S13" t="s">
        <v>42</v>
      </c>
    </row>
    <row r="14" spans="1:19" ht="15.75" thickBot="1" x14ac:dyDescent="0.3">
      <c r="A14" s="114" t="s">
        <v>3561</v>
      </c>
      <c r="B14" s="82" t="str">
        <f t="shared" si="4"/>
        <v>Barraqueiro Transportes, S.A.</v>
      </c>
      <c r="C14" s="82" t="str">
        <f t="shared" si="0"/>
        <v>Frota Aul</v>
      </c>
      <c r="D14" s="115" t="s">
        <v>588</v>
      </c>
      <c r="E14" s="83" t="s">
        <v>1859</v>
      </c>
      <c r="F14" s="83" t="s">
        <v>538</v>
      </c>
      <c r="G14" s="135">
        <v>46963</v>
      </c>
      <c r="H14" s="117" t="s">
        <v>589</v>
      </c>
      <c r="I14" s="121" t="s">
        <v>589</v>
      </c>
      <c r="J14" s="121" t="s">
        <v>1898</v>
      </c>
      <c r="K14" t="s">
        <v>1893</v>
      </c>
      <c r="L14" s="234">
        <v>2022</v>
      </c>
      <c r="M14">
        <v>2022</v>
      </c>
      <c r="N14" t="str">
        <f t="shared" si="1"/>
        <v>AIE: Eléctrica: Perdas Rede SEN: Portugal: 2022:: kWh</v>
      </c>
      <c r="O14" t="str">
        <f t="shared" si="2"/>
        <v>Eléctrica</v>
      </c>
      <c r="P14" t="str">
        <f t="shared" si="3"/>
        <v>GALP</v>
      </c>
      <c r="Q14" s="234" t="s">
        <v>3535</v>
      </c>
      <c r="R14" s="234" t="s">
        <v>3536</v>
      </c>
      <c r="S14" t="s">
        <v>42</v>
      </c>
    </row>
    <row r="15" spans="1:19" ht="15.75" thickBot="1" x14ac:dyDescent="0.3">
      <c r="A15" s="82" t="s">
        <v>45</v>
      </c>
      <c r="B15" s="82" t="str">
        <f t="shared" si="4"/>
        <v>Barraqueiro Transportes, S.A.</v>
      </c>
      <c r="C15" s="82" t="str">
        <f t="shared" si="0"/>
        <v>X</v>
      </c>
      <c r="D15" s="83" t="s">
        <v>1527</v>
      </c>
      <c r="E15" s="83" t="s">
        <v>1858</v>
      </c>
      <c r="F15" s="83"/>
      <c r="G15" s="134">
        <f>'A1.1'!E45+'A1.1'!E55+'A1.2'!E32+'A1.2'!E44</f>
        <v>11603556.770999998</v>
      </c>
      <c r="H15" s="85" t="s">
        <v>630</v>
      </c>
      <c r="I15" s="123" t="s">
        <v>1861</v>
      </c>
      <c r="J15" s="83" t="s">
        <v>620</v>
      </c>
      <c r="K15" t="s">
        <v>1896</v>
      </c>
      <c r="L15" s="234">
        <v>2022</v>
      </c>
      <c r="M15">
        <v>2022</v>
      </c>
      <c r="N15" t="str">
        <f t="shared" si="1"/>
        <v>DEFRA: Gasóleo: WTT: 2022:: l</v>
      </c>
      <c r="O15" t="str">
        <f t="shared" si="2"/>
        <v>Gasóleo</v>
      </c>
      <c r="P15">
        <f t="shared" si="3"/>
        <v>0</v>
      </c>
      <c r="Q15" s="234" t="s">
        <v>3535</v>
      </c>
      <c r="R15" s="234" t="s">
        <v>3536</v>
      </c>
      <c r="S15" t="s">
        <v>42</v>
      </c>
    </row>
    <row r="16" spans="1:19" ht="15.75" thickBot="1" x14ac:dyDescent="0.3">
      <c r="A16" s="82" t="s">
        <v>4683</v>
      </c>
      <c r="B16" s="82" t="s">
        <v>4683</v>
      </c>
      <c r="C16" s="82" t="str">
        <f t="shared" si="0"/>
        <v>X</v>
      </c>
      <c r="D16" s="83" t="s">
        <v>1527</v>
      </c>
      <c r="E16" s="83" t="s">
        <v>1858</v>
      </c>
      <c r="F16" s="83"/>
      <c r="G16" s="120">
        <f>'A1.1'!E46+'A1.1'!E62+'A1.2'!E34+'A1.2'!E48</f>
        <v>718078.27299999958</v>
      </c>
      <c r="H16" s="85" t="s">
        <v>630</v>
      </c>
      <c r="I16" s="123" t="s">
        <v>1861</v>
      </c>
      <c r="J16" s="83" t="s">
        <v>620</v>
      </c>
      <c r="K16" t="s">
        <v>1896</v>
      </c>
      <c r="L16" s="234">
        <v>2022</v>
      </c>
      <c r="M16">
        <v>2022</v>
      </c>
      <c r="N16" t="str">
        <f t="shared" si="1"/>
        <v>DEFRA: Gasóleo: WTT: 2022:: l</v>
      </c>
      <c r="O16" t="str">
        <f t="shared" si="2"/>
        <v>Gasóleo</v>
      </c>
      <c r="P16">
        <f t="shared" si="3"/>
        <v>0</v>
      </c>
      <c r="Q16" s="234" t="s">
        <v>3535</v>
      </c>
      <c r="R16" s="234" t="s">
        <v>3536</v>
      </c>
      <c r="S16" t="s">
        <v>42</v>
      </c>
    </row>
    <row r="17" spans="1:19" ht="15.75" thickBot="1" x14ac:dyDescent="0.3">
      <c r="A17" s="82" t="s">
        <v>4684</v>
      </c>
      <c r="B17" s="82" t="s">
        <v>4684</v>
      </c>
      <c r="C17" s="82" t="str">
        <f t="shared" si="0"/>
        <v>X</v>
      </c>
      <c r="D17" s="83" t="s">
        <v>1527</v>
      </c>
      <c r="E17" s="83" t="s">
        <v>1858</v>
      </c>
      <c r="F17" s="83"/>
      <c r="G17" s="120">
        <f>'A1.1'!E47+'A1.2'!E34+'A1.2'!E44</f>
        <v>346052.67100000003</v>
      </c>
      <c r="H17" s="85" t="s">
        <v>630</v>
      </c>
      <c r="I17" s="123" t="s">
        <v>1861</v>
      </c>
      <c r="J17" s="83" t="s">
        <v>620</v>
      </c>
      <c r="K17" t="s">
        <v>1896</v>
      </c>
      <c r="L17" s="234">
        <v>2022</v>
      </c>
      <c r="M17">
        <v>2022</v>
      </c>
      <c r="N17" t="str">
        <f t="shared" si="1"/>
        <v>DEFRA: Gasóleo: WTT: 2022:: l</v>
      </c>
      <c r="O17" t="str">
        <f t="shared" si="2"/>
        <v>Gasóleo</v>
      </c>
      <c r="P17">
        <f t="shared" si="3"/>
        <v>0</v>
      </c>
      <c r="Q17" s="234" t="s">
        <v>3535</v>
      </c>
      <c r="R17" s="234" t="s">
        <v>3536</v>
      </c>
      <c r="S17" t="s">
        <v>42</v>
      </c>
    </row>
    <row r="18" spans="1:19" ht="15.75" thickBot="1" x14ac:dyDescent="0.3">
      <c r="A18" s="82" t="s">
        <v>4685</v>
      </c>
      <c r="B18" s="82" t="s">
        <v>4685</v>
      </c>
      <c r="C18" s="82" t="str">
        <f t="shared" si="0"/>
        <v>X</v>
      </c>
      <c r="D18" s="83" t="s">
        <v>1527</v>
      </c>
      <c r="E18" s="83" t="s">
        <v>1858</v>
      </c>
      <c r="F18" s="83"/>
      <c r="G18" s="120">
        <f>'A1.1'!E48+'A1.2'!E35</f>
        <v>263227.19</v>
      </c>
      <c r="H18" s="85" t="s">
        <v>630</v>
      </c>
      <c r="I18" s="123" t="s">
        <v>1861</v>
      </c>
      <c r="J18" s="83" t="s">
        <v>620</v>
      </c>
      <c r="K18" t="s">
        <v>1896</v>
      </c>
      <c r="L18" s="234">
        <v>2022</v>
      </c>
      <c r="M18">
        <v>2022</v>
      </c>
      <c r="N18" t="str">
        <f t="shared" si="1"/>
        <v>DEFRA: Gasóleo: WTT: 2022:: l</v>
      </c>
      <c r="O18" t="str">
        <f t="shared" si="2"/>
        <v>Gasóleo</v>
      </c>
      <c r="P18">
        <f t="shared" si="3"/>
        <v>0</v>
      </c>
      <c r="Q18" s="234" t="s">
        <v>3535</v>
      </c>
      <c r="R18" s="234" t="s">
        <v>3536</v>
      </c>
      <c r="S18" t="s">
        <v>42</v>
      </c>
    </row>
    <row r="19" spans="1:19" ht="15.75" thickBot="1" x14ac:dyDescent="0.3">
      <c r="A19" s="114" t="s">
        <v>3514</v>
      </c>
      <c r="B19" s="82" t="str">
        <f t="shared" si="4"/>
        <v>Barraqueiro Transportes, S.A.</v>
      </c>
      <c r="C19" s="82" t="str">
        <f t="shared" si="0"/>
        <v>Sede</v>
      </c>
      <c r="D19" s="115" t="s">
        <v>1527</v>
      </c>
      <c r="E19" s="83" t="s">
        <v>1858</v>
      </c>
      <c r="F19" s="83"/>
      <c r="G19" s="135">
        <f>'A1.2'!E42</f>
        <v>13565.86</v>
      </c>
      <c r="H19" s="117" t="s">
        <v>630</v>
      </c>
      <c r="I19" s="123" t="s">
        <v>1861</v>
      </c>
      <c r="J19" s="115" t="s">
        <v>620</v>
      </c>
      <c r="K19" t="s">
        <v>1896</v>
      </c>
      <c r="L19" s="234">
        <v>2022</v>
      </c>
      <c r="M19">
        <v>2022</v>
      </c>
      <c r="N19" t="str">
        <f t="shared" si="1"/>
        <v>DEFRA: Gasóleo: WTT: 2022:: l</v>
      </c>
      <c r="O19" t="str">
        <f t="shared" si="2"/>
        <v>Gasóleo</v>
      </c>
      <c r="P19">
        <f t="shared" si="3"/>
        <v>0</v>
      </c>
      <c r="Q19" s="234" t="s">
        <v>3535</v>
      </c>
      <c r="R19" s="234" t="s">
        <v>3536</v>
      </c>
      <c r="S19" t="s">
        <v>42</v>
      </c>
    </row>
    <row r="20" spans="1:19" ht="15.75" thickBot="1" x14ac:dyDescent="0.3">
      <c r="A20" s="114" t="s">
        <v>3314</v>
      </c>
      <c r="B20" s="82" t="str">
        <f t="shared" si="4"/>
        <v>Barraqueiro Transportes, S.A.</v>
      </c>
      <c r="C20" s="82" t="str">
        <f t="shared" si="0"/>
        <v>Barraqueiro Alugueres</v>
      </c>
      <c r="D20" s="115" t="s">
        <v>1527</v>
      </c>
      <c r="E20" s="83" t="s">
        <v>1858</v>
      </c>
      <c r="F20" s="83"/>
      <c r="G20" s="135">
        <f>'A1.1'!E50+'A1.1'!E57+'A1.2'!E37</f>
        <v>1910314.3560000004</v>
      </c>
      <c r="H20" s="117" t="s">
        <v>630</v>
      </c>
      <c r="I20" s="123" t="s">
        <v>1861</v>
      </c>
      <c r="J20" s="115" t="s">
        <v>620</v>
      </c>
      <c r="K20" t="s">
        <v>1896</v>
      </c>
      <c r="L20" s="234">
        <v>2022</v>
      </c>
      <c r="M20">
        <v>2022</v>
      </c>
      <c r="N20" t="str">
        <f t="shared" si="1"/>
        <v>DEFRA: Gasóleo: WTT: 2022:: l</v>
      </c>
      <c r="O20" t="str">
        <f t="shared" si="2"/>
        <v>Gasóleo</v>
      </c>
      <c r="P20">
        <f t="shared" si="3"/>
        <v>0</v>
      </c>
      <c r="Q20" s="234" t="s">
        <v>3535</v>
      </c>
      <c r="R20" s="234" t="s">
        <v>3536</v>
      </c>
      <c r="S20" t="s">
        <v>42</v>
      </c>
    </row>
    <row r="21" spans="1:19" ht="15.75" thickBot="1" x14ac:dyDescent="0.3">
      <c r="A21" s="114" t="s">
        <v>3509</v>
      </c>
      <c r="B21" s="82" t="str">
        <f t="shared" si="4"/>
        <v>Barraqueiro Transportes, S.A.</v>
      </c>
      <c r="C21" s="82" t="str">
        <f t="shared" si="0"/>
        <v>Barraqueiro Oeste</v>
      </c>
      <c r="D21" s="115" t="s">
        <v>1527</v>
      </c>
      <c r="E21" s="83" t="s">
        <v>1858</v>
      </c>
      <c r="F21" s="83"/>
      <c r="G21" s="135">
        <f>'A1.1'!E53+'A1.1'!E60+'A1.2'!E40+'A1.2'!E46</f>
        <v>1866440.7319999987</v>
      </c>
      <c r="H21" s="117" t="s">
        <v>630</v>
      </c>
      <c r="I21" s="123" t="s">
        <v>1861</v>
      </c>
      <c r="J21" s="115" t="s">
        <v>620</v>
      </c>
      <c r="K21" t="s">
        <v>1896</v>
      </c>
      <c r="L21" s="234">
        <v>2022</v>
      </c>
      <c r="M21">
        <v>2022</v>
      </c>
      <c r="N21" t="str">
        <f t="shared" si="1"/>
        <v>DEFRA: Gasóleo: WTT: 2022:: l</v>
      </c>
      <c r="O21" t="str">
        <f t="shared" si="2"/>
        <v>Gasóleo</v>
      </c>
      <c r="P21">
        <f t="shared" si="3"/>
        <v>0</v>
      </c>
      <c r="Q21" s="234" t="s">
        <v>3535</v>
      </c>
      <c r="R21" s="234" t="s">
        <v>3536</v>
      </c>
      <c r="S21" t="s">
        <v>42</v>
      </c>
    </row>
    <row r="22" spans="1:19" ht="15.75" thickBot="1" x14ac:dyDescent="0.3">
      <c r="A22" s="114" t="s">
        <v>3510</v>
      </c>
      <c r="B22" s="82" t="str">
        <f t="shared" si="4"/>
        <v>Barraqueiro Transportes, S.A.</v>
      </c>
      <c r="C22" s="82" t="str">
        <f t="shared" si="0"/>
        <v>Boa Viagem</v>
      </c>
      <c r="D22" s="115" t="s">
        <v>1527</v>
      </c>
      <c r="E22" s="83" t="s">
        <v>1858</v>
      </c>
      <c r="F22" s="83"/>
      <c r="G22" s="135">
        <f>'A1.1'!E54+'A1.1'!E61+'A1.2'!E41</f>
        <v>1821612.0540000002</v>
      </c>
      <c r="H22" s="117" t="s">
        <v>630</v>
      </c>
      <c r="I22" s="123" t="s">
        <v>1861</v>
      </c>
      <c r="J22" s="115" t="s">
        <v>620</v>
      </c>
      <c r="K22" t="s">
        <v>1896</v>
      </c>
      <c r="L22" s="234">
        <v>2022</v>
      </c>
      <c r="M22">
        <v>2022</v>
      </c>
      <c r="N22" t="str">
        <f t="shared" si="1"/>
        <v>DEFRA: Gasóleo: WTT: 2022:: l</v>
      </c>
      <c r="O22" t="str">
        <f t="shared" si="2"/>
        <v>Gasóleo</v>
      </c>
      <c r="P22">
        <f t="shared" si="3"/>
        <v>0</v>
      </c>
      <c r="Q22" s="234" t="s">
        <v>3535</v>
      </c>
      <c r="R22" s="234" t="s">
        <v>3536</v>
      </c>
      <c r="S22" t="s">
        <v>42</v>
      </c>
    </row>
    <row r="23" spans="1:19" ht="15.75" thickBot="1" x14ac:dyDescent="0.3">
      <c r="A23" s="114" t="s">
        <v>3560</v>
      </c>
      <c r="B23" s="82" t="str">
        <f t="shared" si="4"/>
        <v>Barraqueiro Transportes, S.A.</v>
      </c>
      <c r="C23" s="82" t="str">
        <f t="shared" si="0"/>
        <v>ESEVEL</v>
      </c>
      <c r="D23" s="115" t="s">
        <v>1527</v>
      </c>
      <c r="E23" s="83" t="s">
        <v>1858</v>
      </c>
      <c r="F23" s="83"/>
      <c r="G23" s="135">
        <f>'A1.2'!E43+'A1.2'!E47</f>
        <v>5172.9070000000002</v>
      </c>
      <c r="H23" s="117" t="s">
        <v>630</v>
      </c>
      <c r="I23" s="123" t="s">
        <v>1861</v>
      </c>
      <c r="J23" s="115" t="s">
        <v>620</v>
      </c>
      <c r="K23" t="s">
        <v>1896</v>
      </c>
      <c r="L23" s="234">
        <v>2022</v>
      </c>
      <c r="M23">
        <v>2022</v>
      </c>
      <c r="N23" t="str">
        <f t="shared" si="1"/>
        <v>DEFRA: Gasóleo: WTT: 2022:: l</v>
      </c>
      <c r="O23" t="str">
        <f t="shared" si="2"/>
        <v>Gasóleo</v>
      </c>
      <c r="P23">
        <f t="shared" si="3"/>
        <v>0</v>
      </c>
      <c r="Q23" s="234" t="s">
        <v>3535</v>
      </c>
      <c r="R23" s="234" t="s">
        <v>3536</v>
      </c>
      <c r="S23" t="s">
        <v>42</v>
      </c>
    </row>
    <row r="24" spans="1:19" ht="15.75" thickBot="1" x14ac:dyDescent="0.3">
      <c r="A24" s="114" t="s">
        <v>3507</v>
      </c>
      <c r="B24" s="82" t="str">
        <f t="shared" si="4"/>
        <v>Barraqueiro Transportes, S.A.</v>
      </c>
      <c r="C24" s="82" t="str">
        <f t="shared" si="0"/>
        <v>Estremadura</v>
      </c>
      <c r="D24" s="115" t="s">
        <v>1527</v>
      </c>
      <c r="E24" s="83" t="s">
        <v>1858</v>
      </c>
      <c r="F24" s="83"/>
      <c r="G24" s="135">
        <f>'A1.1'!E51+'A1.1'!E58+'A1.2'!E38+'A1.2'!E45</f>
        <v>3352355.2970000012</v>
      </c>
      <c r="H24" s="117" t="s">
        <v>630</v>
      </c>
      <c r="I24" s="123" t="s">
        <v>1861</v>
      </c>
      <c r="J24" s="115" t="s">
        <v>620</v>
      </c>
      <c r="K24" t="s">
        <v>1896</v>
      </c>
      <c r="L24" s="234">
        <v>2022</v>
      </c>
      <c r="M24">
        <v>2022</v>
      </c>
      <c r="N24" t="str">
        <f t="shared" si="1"/>
        <v>DEFRA: Gasóleo: WTT: 2022:: l</v>
      </c>
      <c r="O24" t="str">
        <f t="shared" si="2"/>
        <v>Gasóleo</v>
      </c>
      <c r="P24">
        <f t="shared" si="3"/>
        <v>0</v>
      </c>
      <c r="Q24" s="234" t="s">
        <v>3535</v>
      </c>
      <c r="R24" s="234" t="s">
        <v>3536</v>
      </c>
      <c r="S24" t="s">
        <v>42</v>
      </c>
    </row>
    <row r="25" spans="1:19" ht="15.75" thickBot="1" x14ac:dyDescent="0.3">
      <c r="A25" s="114" t="s">
        <v>3506</v>
      </c>
      <c r="B25" s="82" t="str">
        <f t="shared" si="4"/>
        <v>Barraqueiro Transportes, S.A.</v>
      </c>
      <c r="C25" s="82" t="str">
        <f t="shared" si="0"/>
        <v>Mafrense</v>
      </c>
      <c r="D25" s="115" t="s">
        <v>1527</v>
      </c>
      <c r="E25" s="83" t="s">
        <v>1858</v>
      </c>
      <c r="F25" s="83"/>
      <c r="G25" s="135">
        <f>'A1.1'!E56+'A1.1'!E49+'A1.2'!E36</f>
        <v>1544056.3790000002</v>
      </c>
      <c r="H25" s="117" t="s">
        <v>630</v>
      </c>
      <c r="I25" s="123" t="s">
        <v>1861</v>
      </c>
      <c r="J25" s="115" t="s">
        <v>620</v>
      </c>
      <c r="K25" t="s">
        <v>1896</v>
      </c>
      <c r="L25" s="234">
        <v>2022</v>
      </c>
      <c r="M25">
        <v>2022</v>
      </c>
      <c r="N25" t="str">
        <f t="shared" si="1"/>
        <v>DEFRA: Gasóleo: WTT: 2022:: l</v>
      </c>
      <c r="O25" t="str">
        <f t="shared" si="2"/>
        <v>Gasóleo</v>
      </c>
      <c r="P25">
        <f t="shared" si="3"/>
        <v>0</v>
      </c>
      <c r="Q25" s="234" t="s">
        <v>3535</v>
      </c>
      <c r="R25" s="234" t="s">
        <v>3536</v>
      </c>
      <c r="S25" t="s">
        <v>42</v>
      </c>
    </row>
    <row r="26" spans="1:19" ht="15.75" thickBot="1" x14ac:dyDescent="0.3">
      <c r="A26" s="114" t="s">
        <v>3561</v>
      </c>
      <c r="B26" s="82" t="str">
        <f t="shared" si="4"/>
        <v>Barraqueiro Transportes, S.A.</v>
      </c>
      <c r="C26" s="82" t="str">
        <f t="shared" si="0"/>
        <v>Frota Aul</v>
      </c>
      <c r="D26" s="115" t="s">
        <v>1527</v>
      </c>
      <c r="E26" s="83" t="s">
        <v>1858</v>
      </c>
      <c r="F26" s="83"/>
      <c r="G26" s="135">
        <f>'A1.1'!E52+'A1.1'!E59+'A1.2'!E39</f>
        <v>1090039.1860000002</v>
      </c>
      <c r="H26" s="117" t="s">
        <v>630</v>
      </c>
      <c r="I26" s="123" t="s">
        <v>1861</v>
      </c>
      <c r="J26" s="115" t="s">
        <v>620</v>
      </c>
      <c r="K26" t="s">
        <v>1896</v>
      </c>
      <c r="L26" s="234">
        <v>2022</v>
      </c>
      <c r="M26">
        <v>2022</v>
      </c>
      <c r="N26" t="str">
        <f t="shared" si="1"/>
        <v>DEFRA: Gasóleo: WTT: 2022:: l</v>
      </c>
      <c r="O26" t="str">
        <f t="shared" si="2"/>
        <v>Gasóleo</v>
      </c>
      <c r="P26">
        <f t="shared" si="3"/>
        <v>0</v>
      </c>
      <c r="Q26" s="234" t="s">
        <v>3535</v>
      </c>
      <c r="R26" s="234" t="s">
        <v>3536</v>
      </c>
      <c r="S26" t="s">
        <v>42</v>
      </c>
    </row>
    <row r="27" spans="1:19" ht="15.75" thickBot="1" x14ac:dyDescent="0.3">
      <c r="A27" s="137" t="s">
        <v>1929</v>
      </c>
      <c r="B27" s="137" t="str">
        <f>LEFT(A27,IFERROR(FIND(" - ",A27)-1,LEN(A27)))</f>
        <v>Rodoviária de Lisboa, S.A.</v>
      </c>
      <c r="C27" s="137" t="str">
        <f t="shared" ref="C27:C37" si="5">IF(A27=B27,"X",RIGHT(A27,LEN(A27)-LEN(B27)-3))</f>
        <v>X</v>
      </c>
      <c r="D27" s="115" t="s">
        <v>1527</v>
      </c>
      <c r="E27" s="83" t="s">
        <v>1858</v>
      </c>
      <c r="F27" s="83"/>
      <c r="G27" s="120">
        <f t="array" ref="G27">SUMPRODUCT('A1.1 copy'!$M$2:$M$1000,IF('A1.1 copy'!$A$2:$A$1000=A27,1,0),IF('A1.1 copy'!$H$2:$H$1000=I27,1,0),IF('A1.1 copy'!$L$2:$L$1000=O27,1,0),IF('A1.1 copy'!$D$2:$D$1000=L27,1,0))</f>
        <v>7614235.6999999993</v>
      </c>
      <c r="H27" s="117" t="s">
        <v>630</v>
      </c>
      <c r="I27" s="123" t="s">
        <v>1861</v>
      </c>
      <c r="J27" s="115" t="s">
        <v>620</v>
      </c>
      <c r="K27" t="s">
        <v>1896</v>
      </c>
      <c r="L27" s="234">
        <v>2022</v>
      </c>
      <c r="M27">
        <v>2022</v>
      </c>
      <c r="N27" t="str">
        <f t="shared" ref="N27:N79" si="6">IF(J27="Eléctrica",K27&amp;": "&amp;J27&amp;": "&amp;E27&amp;": Portugal: "&amp;M27&amp;":: "&amp;I27,K27&amp;": "&amp;J27&amp;": "&amp;E27&amp;": "&amp;M27&amp;":: "&amp;I27)</f>
        <v>DEFRA: Gasóleo: WTT: 2022:: l</v>
      </c>
      <c r="O27" t="str">
        <f t="shared" si="2"/>
        <v>Gasóleo</v>
      </c>
      <c r="P27">
        <f t="shared" si="3"/>
        <v>0</v>
      </c>
      <c r="Q27" s="234" t="s">
        <v>3535</v>
      </c>
      <c r="R27" s="234" t="s">
        <v>3536</v>
      </c>
      <c r="S27" t="s">
        <v>42</v>
      </c>
    </row>
    <row r="28" spans="1:19" ht="15.75" thickBot="1" x14ac:dyDescent="0.3">
      <c r="A28" s="137" t="s">
        <v>1929</v>
      </c>
      <c r="B28" s="137" t="str">
        <f>LEFT(A28,IFERROR(FIND(" - ",A28)-1,LEN(A28)))</f>
        <v>Rodoviária de Lisboa, S.A.</v>
      </c>
      <c r="C28" s="137" t="str">
        <f t="shared" si="5"/>
        <v>X</v>
      </c>
      <c r="D28" s="115" t="s">
        <v>1527</v>
      </c>
      <c r="E28" s="83" t="s">
        <v>1858</v>
      </c>
      <c r="F28" s="83"/>
      <c r="G28" s="120">
        <f t="array" ref="G28">SUMPRODUCT('A1.1 copy'!$M$2:$M$1000,IF('A1.1 copy'!$A$2:$A$1000=A28,1,0),IF('A1.1 copy'!$H$2:$H$1000=I28,1,0),IF('A1.1 copy'!$L$2:$L$1000=O28,1,0),IF('A1.1 copy'!$D$2:$D$1000=L28,1,0))</f>
        <v>60588</v>
      </c>
      <c r="H28" s="117" t="s">
        <v>1943</v>
      </c>
      <c r="I28" s="123" t="s">
        <v>1964</v>
      </c>
      <c r="J28" s="276" t="s">
        <v>2961</v>
      </c>
      <c r="K28" t="s">
        <v>1896</v>
      </c>
      <c r="L28" s="234">
        <v>2022</v>
      </c>
      <c r="M28">
        <v>2022</v>
      </c>
      <c r="N28" t="str">
        <f t="shared" si="6"/>
        <v>DEFRA: GN: WTT: 2022:: Nm3</v>
      </c>
      <c r="O28" t="s">
        <v>1963</v>
      </c>
      <c r="P28">
        <f t="shared" si="3"/>
        <v>0</v>
      </c>
      <c r="Q28" s="234" t="s">
        <v>3535</v>
      </c>
      <c r="R28" s="234" t="s">
        <v>3536</v>
      </c>
      <c r="S28" t="s">
        <v>42</v>
      </c>
    </row>
    <row r="29" spans="1:19" ht="15.75" thickBot="1" x14ac:dyDescent="0.3">
      <c r="A29" s="137" t="s">
        <v>1931</v>
      </c>
      <c r="B29" s="137" t="str">
        <f>LEFT(A29,IFERROR(FIND(" - ",A29)-1,LEN(A29)))</f>
        <v>Marques, Lda.</v>
      </c>
      <c r="C29" s="137" t="str">
        <f t="shared" si="5"/>
        <v>X</v>
      </c>
      <c r="D29" s="115" t="s">
        <v>1527</v>
      </c>
      <c r="E29" s="83" t="s">
        <v>1858</v>
      </c>
      <c r="F29" s="83"/>
      <c r="G29" s="120">
        <f t="array" ref="G29">SUMPRODUCT('A1.1 copy'!$M$2:$M$1000,IF('A1.1 copy'!$A$2:$A$1000=A29,1,0),IF('A1.1 copy'!$H$2:$H$1000=I29,1,0),IF('A1.1 copy'!$L$2:$L$1000=O29,1,0),IF('A1.1 copy'!$D$2:$D$1000=L29,1,0))</f>
        <v>1053420.31</v>
      </c>
      <c r="H29" s="117" t="s">
        <v>630</v>
      </c>
      <c r="I29" s="123" t="s">
        <v>1861</v>
      </c>
      <c r="J29" s="115" t="s">
        <v>620</v>
      </c>
      <c r="K29" t="s">
        <v>1896</v>
      </c>
      <c r="L29" s="234">
        <v>2022</v>
      </c>
      <c r="M29">
        <v>2022</v>
      </c>
      <c r="N29" t="str">
        <f t="shared" si="6"/>
        <v>DEFRA: Gasóleo: WTT: 2022:: l</v>
      </c>
      <c r="O29" t="str">
        <f t="shared" si="2"/>
        <v>Gasóleo</v>
      </c>
      <c r="P29">
        <f t="shared" si="3"/>
        <v>0</v>
      </c>
      <c r="Q29" s="234" t="s">
        <v>3535</v>
      </c>
      <c r="R29" s="234" t="s">
        <v>3536</v>
      </c>
      <c r="S29" t="s">
        <v>42</v>
      </c>
    </row>
    <row r="30" spans="1:19" ht="15.75" thickBot="1" x14ac:dyDescent="0.3">
      <c r="A30" s="137" t="s">
        <v>1934</v>
      </c>
      <c r="B30" s="137" t="str">
        <f>LEFT(A30,IFERROR(FIND(" - ",A30)-1,LEN(A30)))</f>
        <v>Rodo Cargo, S.A.</v>
      </c>
      <c r="C30" s="137" t="str">
        <f t="shared" si="5"/>
        <v>X</v>
      </c>
      <c r="D30" s="115" t="s">
        <v>1527</v>
      </c>
      <c r="E30" s="83" t="s">
        <v>1858</v>
      </c>
      <c r="F30" s="83"/>
      <c r="G30" s="120">
        <f t="array" ref="G30">SUMPRODUCT('A1.1 copy'!$M$2:$M$1000,IF('A1.1 copy'!$A$2:$A$1000=A30,1,0),IF('A1.1 copy'!$H$2:$H$1000=I30,1,0),IF('A1.1 copy'!$L$2:$L$1000=O30,1,0),IF('A1.1 copy'!$D$2:$D$1000=L30,1,0))</f>
        <v>6748135</v>
      </c>
      <c r="H30" s="117" t="s">
        <v>630</v>
      </c>
      <c r="I30" s="123" t="s">
        <v>1861</v>
      </c>
      <c r="J30" s="115" t="s">
        <v>620</v>
      </c>
      <c r="K30" t="s">
        <v>1896</v>
      </c>
      <c r="L30" s="234">
        <v>2022</v>
      </c>
      <c r="M30">
        <v>2022</v>
      </c>
      <c r="N30" t="str">
        <f t="shared" si="6"/>
        <v>DEFRA: Gasóleo: WTT: 2022:: l</v>
      </c>
      <c r="O30" t="str">
        <f t="shared" si="2"/>
        <v>Gasóleo</v>
      </c>
      <c r="P30">
        <f t="shared" si="3"/>
        <v>0</v>
      </c>
      <c r="Q30" s="234" t="s">
        <v>3535</v>
      </c>
      <c r="R30" s="234" t="s">
        <v>3536</v>
      </c>
      <c r="S30" t="s">
        <v>42</v>
      </c>
    </row>
    <row r="31" spans="1:19" ht="15.75" thickBot="1" x14ac:dyDescent="0.3">
      <c r="A31" s="137" t="s">
        <v>1935</v>
      </c>
      <c r="B31" s="137" t="str">
        <f>LEFT(A31,IFERROR(FIND(" - ",A31)-1,LEN(A31)))</f>
        <v>Rodoviária do Alentejo, S.A.</v>
      </c>
      <c r="C31" s="137" t="str">
        <f t="shared" si="5"/>
        <v>X</v>
      </c>
      <c r="D31" s="115" t="s">
        <v>1527</v>
      </c>
      <c r="E31" s="83" t="s">
        <v>1858</v>
      </c>
      <c r="F31" s="83"/>
      <c r="G31" s="120">
        <f t="array" ref="G31">SUMPRODUCT('A1.1 copy'!$M$2:$M$1000,IF('A1.1 copy'!$A$2:$A$1000=A31,1,0),IF('A1.1 copy'!$H$2:$H$1000=I31,1,0),IF('A1.1 copy'!$L$2:$L$1000=O31,1,0),IF('A1.1 copy'!$D$2:$D$1000=L31,1,0))</f>
        <v>4172187.33</v>
      </c>
      <c r="H31" s="117" t="s">
        <v>630</v>
      </c>
      <c r="I31" s="123" t="s">
        <v>1861</v>
      </c>
      <c r="J31" s="115" t="s">
        <v>620</v>
      </c>
      <c r="K31" t="s">
        <v>1896</v>
      </c>
      <c r="L31" s="234">
        <v>2022</v>
      </c>
      <c r="M31">
        <v>2022</v>
      </c>
      <c r="N31" t="str">
        <f t="shared" si="6"/>
        <v>DEFRA: Gasóleo: WTT: 2022:: l</v>
      </c>
      <c r="O31" t="str">
        <f t="shared" si="2"/>
        <v>Gasóleo</v>
      </c>
      <c r="P31">
        <f t="shared" si="3"/>
        <v>0</v>
      </c>
      <c r="Q31" s="234" t="s">
        <v>3535</v>
      </c>
      <c r="R31" s="234" t="s">
        <v>3536</v>
      </c>
      <c r="S31" t="s">
        <v>42</v>
      </c>
    </row>
    <row r="32" spans="1:19" ht="15.75" thickBot="1" x14ac:dyDescent="0.3">
      <c r="A32" s="290" t="s">
        <v>2966</v>
      </c>
      <c r="B32" s="290" t="s">
        <v>2966</v>
      </c>
      <c r="C32" s="137" t="str">
        <f t="shared" si="5"/>
        <v>X</v>
      </c>
      <c r="D32" s="115" t="s">
        <v>1527</v>
      </c>
      <c r="E32" s="83" t="s">
        <v>1858</v>
      </c>
      <c r="F32" s="83"/>
      <c r="G32" s="120">
        <f t="array" ref="G32">SUMPRODUCT('A1.1 copy'!$M$2:$M$1000,IF('A1.1 copy'!$A$2:$A$1000=A32,1,0),IF('A1.1 copy'!$H$2:$H$1000=I32,1,0),IF('A1.1 copy'!$L$2:$L$1000=O32,1,0),IF('A1.1 copy'!$D$2:$D$1000=L32,1,0))</f>
        <v>257212</v>
      </c>
      <c r="H32" s="117" t="s">
        <v>630</v>
      </c>
      <c r="I32" s="123" t="s">
        <v>1861</v>
      </c>
      <c r="J32" s="115" t="s">
        <v>620</v>
      </c>
      <c r="K32" t="s">
        <v>1896</v>
      </c>
      <c r="L32" s="234">
        <v>2022</v>
      </c>
      <c r="M32">
        <v>2022</v>
      </c>
      <c r="N32" t="str">
        <f t="shared" si="6"/>
        <v>DEFRA: Gasóleo: WTT: 2022:: l</v>
      </c>
      <c r="O32" t="str">
        <f t="shared" si="2"/>
        <v>Gasóleo</v>
      </c>
      <c r="P32">
        <f t="shared" si="3"/>
        <v>0</v>
      </c>
      <c r="Q32" s="234" t="s">
        <v>3535</v>
      </c>
      <c r="R32" s="234" t="s">
        <v>3536</v>
      </c>
      <c r="S32" t="s">
        <v>42</v>
      </c>
    </row>
    <row r="33" spans="1:19" ht="15.75" thickBot="1" x14ac:dyDescent="0.3">
      <c r="A33" s="290" t="s">
        <v>2964</v>
      </c>
      <c r="B33" s="290" t="s">
        <v>2964</v>
      </c>
      <c r="C33" s="137" t="str">
        <f t="shared" si="5"/>
        <v>X</v>
      </c>
      <c r="D33" s="115" t="s">
        <v>1527</v>
      </c>
      <c r="E33" s="83" t="s">
        <v>1858</v>
      </c>
      <c r="F33" s="83"/>
      <c r="G33" s="120">
        <f t="array" ref="G33">SUMPRODUCT('A1.1 copy'!$M$2:$M$1000,IF('A1.1 copy'!$A$2:$A$1000=A33,1,0),IF('A1.1 copy'!$H$2:$H$1000=I33,1,0),IF('A1.1 copy'!$L$2:$L$1000=O33,1,0),IF('A1.1 copy'!$D$2:$D$1000=L33,1,0))</f>
        <v>683924</v>
      </c>
      <c r="H33" s="117" t="s">
        <v>630</v>
      </c>
      <c r="I33" s="123" t="s">
        <v>1861</v>
      </c>
      <c r="J33" s="115" t="s">
        <v>620</v>
      </c>
      <c r="K33" t="s">
        <v>1896</v>
      </c>
      <c r="L33" s="234">
        <v>2022</v>
      </c>
      <c r="M33">
        <v>2022</v>
      </c>
      <c r="N33" t="str">
        <f t="shared" si="6"/>
        <v>DEFRA: Gasóleo: WTT: 2022:: l</v>
      </c>
      <c r="O33" t="str">
        <f t="shared" si="2"/>
        <v>Gasóleo</v>
      </c>
      <c r="P33">
        <f t="shared" si="3"/>
        <v>0</v>
      </c>
      <c r="Q33" s="234" t="s">
        <v>3535</v>
      </c>
      <c r="R33" s="234" t="s">
        <v>3536</v>
      </c>
      <c r="S33" t="s">
        <v>42</v>
      </c>
    </row>
    <row r="34" spans="1:19" ht="15.75" thickBot="1" x14ac:dyDescent="0.3">
      <c r="A34" s="290" t="s">
        <v>2965</v>
      </c>
      <c r="B34" s="290" t="s">
        <v>2965</v>
      </c>
      <c r="C34" s="137" t="str">
        <f t="shared" si="5"/>
        <v>X</v>
      </c>
      <c r="D34" s="115" t="s">
        <v>1527</v>
      </c>
      <c r="E34" s="83" t="s">
        <v>1858</v>
      </c>
      <c r="F34" s="83"/>
      <c r="G34" s="120">
        <f t="array" ref="G34">SUMPRODUCT('A1.1 copy'!$M$2:$M$1000,IF('A1.1 copy'!$A$2:$A$1000=A34,1,0),IF('A1.1 copy'!$H$2:$H$1000=I34,1,0),IF('A1.1 copy'!$L$2:$L$1000=O34,1,0),IF('A1.1 copy'!$D$2:$D$1000=L34,1,0))</f>
        <v>182410</v>
      </c>
      <c r="H34" s="117" t="s">
        <v>630</v>
      </c>
      <c r="I34" s="123" t="s">
        <v>1861</v>
      </c>
      <c r="J34" s="115" t="s">
        <v>620</v>
      </c>
      <c r="K34" t="s">
        <v>1896</v>
      </c>
      <c r="L34" s="234">
        <v>2022</v>
      </c>
      <c r="M34">
        <v>2022</v>
      </c>
      <c r="N34" t="str">
        <f t="shared" si="6"/>
        <v>DEFRA: Gasóleo: WTT: 2022:: l</v>
      </c>
      <c r="O34" t="str">
        <f t="shared" si="2"/>
        <v>Gasóleo</v>
      </c>
      <c r="P34">
        <f t="shared" si="3"/>
        <v>0</v>
      </c>
      <c r="Q34" s="234" t="s">
        <v>3535</v>
      </c>
      <c r="R34" s="234" t="s">
        <v>3536</v>
      </c>
      <c r="S34" t="s">
        <v>42</v>
      </c>
    </row>
    <row r="35" spans="1:19" ht="15.75" thickBot="1" x14ac:dyDescent="0.3">
      <c r="A35" s="289" t="s">
        <v>2967</v>
      </c>
      <c r="B35" s="289" t="s">
        <v>2967</v>
      </c>
      <c r="C35" s="137" t="str">
        <f t="shared" si="5"/>
        <v>X</v>
      </c>
      <c r="D35" s="115" t="s">
        <v>1527</v>
      </c>
      <c r="E35" s="83" t="s">
        <v>1858</v>
      </c>
      <c r="F35" s="83"/>
      <c r="G35" s="120">
        <f t="array" ref="G35">SUMPRODUCT('A1.1 copy'!$M$2:$M$1000,IF('A1.1 copy'!$A$2:$A$1000=A35,1,0),IF('A1.1 copy'!$H$2:$H$1000=I35,1,0),IF('A1.1 copy'!$L$2:$L$1000=O35,1,0),IF('A1.1 copy'!$D$2:$D$1000=L35,1,0))</f>
        <v>272369.5</v>
      </c>
      <c r="H35" s="117" t="s">
        <v>630</v>
      </c>
      <c r="I35" s="123" t="s">
        <v>1861</v>
      </c>
      <c r="J35" s="115" t="s">
        <v>620</v>
      </c>
      <c r="K35" t="s">
        <v>1896</v>
      </c>
      <c r="L35" s="234">
        <v>2022</v>
      </c>
      <c r="M35">
        <v>2022</v>
      </c>
      <c r="N35" t="str">
        <f t="shared" si="6"/>
        <v>DEFRA: Gasóleo: WTT: 2022:: l</v>
      </c>
      <c r="O35" t="str">
        <f t="shared" si="2"/>
        <v>Gasóleo</v>
      </c>
      <c r="P35">
        <f t="shared" si="3"/>
        <v>0</v>
      </c>
      <c r="Q35" s="234" t="s">
        <v>3535</v>
      </c>
      <c r="R35" s="234" t="s">
        <v>3536</v>
      </c>
      <c r="S35" t="s">
        <v>42</v>
      </c>
    </row>
    <row r="36" spans="1:19" ht="15.75" thickBot="1" x14ac:dyDescent="0.3">
      <c r="A36" s="137" t="s">
        <v>4686</v>
      </c>
      <c r="B36" s="137" t="s">
        <v>4686</v>
      </c>
      <c r="C36" s="137" t="str">
        <f t="shared" si="5"/>
        <v>X</v>
      </c>
      <c r="D36" s="115" t="s">
        <v>1527</v>
      </c>
      <c r="E36" s="83" t="s">
        <v>1858</v>
      </c>
      <c r="F36" s="83"/>
      <c r="G36" s="120">
        <f t="array" ref="G36">SUMPRODUCT('A1.1 copy'!$M$2:$M$1000,IF('A1.1 copy'!$A$2:$A$1000=A36,1,0),IF('A1.1 copy'!$H$2:$H$1000=I36,1,0),IF('A1.1 copy'!$L$2:$L$1000=O36,1,0),IF('A1.1 copy'!$D$2:$D$1000=L36,1,0))</f>
        <v>3519575.733</v>
      </c>
      <c r="H36" s="117" t="s">
        <v>630</v>
      </c>
      <c r="I36" s="123" t="s">
        <v>1861</v>
      </c>
      <c r="J36" s="115" t="s">
        <v>620</v>
      </c>
      <c r="K36" t="s">
        <v>1896</v>
      </c>
      <c r="L36" s="234">
        <v>2022</v>
      </c>
      <c r="M36">
        <v>2022</v>
      </c>
      <c r="N36" t="str">
        <f t="shared" si="6"/>
        <v>DEFRA: Gasóleo: WTT: 2022:: l</v>
      </c>
      <c r="O36" t="str">
        <f t="shared" si="2"/>
        <v>Gasóleo</v>
      </c>
      <c r="P36">
        <f t="shared" si="3"/>
        <v>0</v>
      </c>
      <c r="Q36" s="234" t="s">
        <v>3535</v>
      </c>
      <c r="R36" s="234" t="s">
        <v>3536</v>
      </c>
      <c r="S36" t="s">
        <v>42</v>
      </c>
    </row>
    <row r="37" spans="1:19" ht="15.75" thickBot="1" x14ac:dyDescent="0.3">
      <c r="A37" s="137" t="s">
        <v>4687</v>
      </c>
      <c r="B37" s="137" t="s">
        <v>4687</v>
      </c>
      <c r="C37" s="137" t="str">
        <f t="shared" si="5"/>
        <v>X</v>
      </c>
      <c r="D37" s="115" t="s">
        <v>1527</v>
      </c>
      <c r="E37" s="83" t="s">
        <v>1858</v>
      </c>
      <c r="F37" s="83"/>
      <c r="G37" s="120">
        <f t="array" ref="G37">SUMPRODUCT('A1.1 copy'!$M$2:$M$1000,IF('A1.1 copy'!$A$2:$A$1000=A37,1,0),IF('A1.1 copy'!$H$2:$H$1000=I37,1,0),IF('A1.1 copy'!$L$2:$L$1000=O37,1,0),IF('A1.1 copy'!$D$2:$D$1000=L37,1,0))</f>
        <v>991446.01</v>
      </c>
      <c r="H37" s="117" t="s">
        <v>630</v>
      </c>
      <c r="I37" s="123" t="s">
        <v>1861</v>
      </c>
      <c r="J37" s="115" t="s">
        <v>620</v>
      </c>
      <c r="K37" t="s">
        <v>1896</v>
      </c>
      <c r="L37" s="234">
        <v>2022</v>
      </c>
      <c r="M37">
        <v>2022</v>
      </c>
      <c r="N37" t="str">
        <f t="shared" si="6"/>
        <v>DEFRA: Gasóleo: WTT: 2022:: l</v>
      </c>
      <c r="O37" t="str">
        <f t="shared" si="2"/>
        <v>Gasóleo</v>
      </c>
      <c r="P37">
        <f t="shared" si="3"/>
        <v>0</v>
      </c>
      <c r="Q37" s="234" t="s">
        <v>3535</v>
      </c>
      <c r="R37" s="234" t="s">
        <v>3536</v>
      </c>
      <c r="S37" t="s">
        <v>42</v>
      </c>
    </row>
    <row r="38" spans="1:19" ht="15.75" thickBot="1" x14ac:dyDescent="0.3">
      <c r="A38" s="137" t="s">
        <v>3511</v>
      </c>
      <c r="B38" s="137" t="s">
        <v>3511</v>
      </c>
      <c r="C38" s="137" t="s">
        <v>1969</v>
      </c>
      <c r="D38" s="115" t="s">
        <v>1527</v>
      </c>
      <c r="E38" s="83" t="s">
        <v>1858</v>
      </c>
      <c r="F38" s="83"/>
      <c r="G38" s="120">
        <f t="array" ref="G38">SUMPRODUCT('A1.1 copy'!$M$2:$M$1000,IF('A1.1 copy'!$A$2:$A$1000=A38,1,0),IF('A1.1 copy'!$H$2:$H$1000=I38,1,0),IF('A1.1 copy'!$L$2:$L$1000=O38,1,0),IF('A1.1 copy'!$D$2:$D$1000=L38,1,0))</f>
        <v>344822.06</v>
      </c>
      <c r="H38" s="117" t="s">
        <v>630</v>
      </c>
      <c r="I38" s="123" t="s">
        <v>1861</v>
      </c>
      <c r="J38" s="115" t="s">
        <v>620</v>
      </c>
      <c r="K38" t="s">
        <v>1896</v>
      </c>
      <c r="L38" s="234">
        <v>2022</v>
      </c>
      <c r="M38">
        <v>2022</v>
      </c>
      <c r="N38" t="str">
        <f t="shared" si="6"/>
        <v>DEFRA: Gasóleo: WTT: 2022:: l</v>
      </c>
      <c r="O38" t="str">
        <f t="shared" si="2"/>
        <v>Gasóleo</v>
      </c>
      <c r="P38">
        <f t="shared" si="3"/>
        <v>0</v>
      </c>
      <c r="Q38" s="234" t="s">
        <v>3535</v>
      </c>
      <c r="R38" s="234" t="s">
        <v>3536</v>
      </c>
      <c r="S38" t="s">
        <v>42</v>
      </c>
    </row>
    <row r="39" spans="1:19" ht="15.75" thickBot="1" x14ac:dyDescent="0.3">
      <c r="A39" s="137" t="s">
        <v>4688</v>
      </c>
      <c r="B39" s="137" t="s">
        <v>4688</v>
      </c>
      <c r="C39" s="137" t="str">
        <f>IF(A39=B39,"X",RIGHT(A39,LEN(A39)-LEN(B39)-3))</f>
        <v>X</v>
      </c>
      <c r="D39" s="115" t="s">
        <v>1527</v>
      </c>
      <c r="E39" s="83" t="s">
        <v>1858</v>
      </c>
      <c r="F39" s="83"/>
      <c r="G39" s="120">
        <f t="array" ref="G39">SUMPRODUCT('A1.1 copy'!$M$2:$M$1000,IF('A1.1 copy'!$A$2:$A$1000=A39,1,0),IF('A1.1 copy'!$H$2:$H$1000=I39,1,0),IF('A1.1 copy'!$L$2:$L$1000=O39,1,0),IF('A1.1 copy'!$D$2:$D$1000=L39,1,0))</f>
        <v>182961.86</v>
      </c>
      <c r="H39" s="117" t="s">
        <v>630</v>
      </c>
      <c r="I39" s="123" t="s">
        <v>1861</v>
      </c>
      <c r="J39" s="115" t="s">
        <v>620</v>
      </c>
      <c r="K39" t="s">
        <v>1896</v>
      </c>
      <c r="L39" s="234">
        <v>2022</v>
      </c>
      <c r="M39">
        <v>2022</v>
      </c>
      <c r="N39" t="str">
        <f t="shared" si="6"/>
        <v>DEFRA: Gasóleo: WTT: 2022:: l</v>
      </c>
      <c r="O39" t="str">
        <f t="shared" si="2"/>
        <v>Gasóleo</v>
      </c>
      <c r="P39">
        <f t="shared" si="3"/>
        <v>0</v>
      </c>
      <c r="Q39" s="234" t="s">
        <v>3535</v>
      </c>
      <c r="R39" s="234" t="s">
        <v>3536</v>
      </c>
      <c r="S39" t="s">
        <v>42</v>
      </c>
    </row>
    <row r="40" spans="1:19" ht="15.75" thickBot="1" x14ac:dyDescent="0.3">
      <c r="A40" s="137" t="s">
        <v>4689</v>
      </c>
      <c r="B40" s="137" t="s">
        <v>4689</v>
      </c>
      <c r="C40" s="137" t="str">
        <f>IF(A40=B40,"X",RIGHT(A40,LEN(A40)-LEN(B40)-3))</f>
        <v>X</v>
      </c>
      <c r="D40" s="115" t="s">
        <v>1527</v>
      </c>
      <c r="E40" s="83" t="s">
        <v>1858</v>
      </c>
      <c r="F40" s="83"/>
      <c r="G40" s="120">
        <f t="array" ref="G40">SUMPRODUCT('A1.1 copy'!$M$2:$M$1000,IF('A1.1 copy'!$A$2:$A$1000=A40,1,0),IF('A1.1 copy'!$H$2:$H$1000=I40,1,0),IF('A1.1 copy'!$L$2:$L$1000=O40,1,0),IF('A1.1 copy'!$D$2:$D$1000=L40,1,0))</f>
        <v>205680.44999999995</v>
      </c>
      <c r="H40" s="117" t="s">
        <v>630</v>
      </c>
      <c r="I40" s="123" t="s">
        <v>1861</v>
      </c>
      <c r="J40" s="115" t="s">
        <v>620</v>
      </c>
      <c r="K40" t="s">
        <v>1896</v>
      </c>
      <c r="L40" s="234">
        <v>2022</v>
      </c>
      <c r="M40">
        <v>2022</v>
      </c>
      <c r="N40" t="str">
        <f t="shared" si="6"/>
        <v>DEFRA: Gasóleo: WTT: 2022:: l</v>
      </c>
      <c r="O40" t="str">
        <f t="shared" si="2"/>
        <v>Gasóleo</v>
      </c>
      <c r="P40">
        <f t="shared" si="3"/>
        <v>0</v>
      </c>
      <c r="Q40" s="234" t="s">
        <v>3535</v>
      </c>
      <c r="R40" s="234" t="s">
        <v>3536</v>
      </c>
      <c r="S40" t="s">
        <v>42</v>
      </c>
    </row>
    <row r="41" spans="1:19" ht="15.75" thickBot="1" x14ac:dyDescent="0.3">
      <c r="A41" s="137" t="s">
        <v>4690</v>
      </c>
      <c r="B41" s="137" t="s">
        <v>4690</v>
      </c>
      <c r="C41" s="137" t="s">
        <v>1969</v>
      </c>
      <c r="D41" s="115" t="s">
        <v>1527</v>
      </c>
      <c r="E41" s="83" t="s">
        <v>1858</v>
      </c>
      <c r="F41" s="83"/>
      <c r="G41" s="120">
        <f t="array" ref="G41">SUMPRODUCT('A1.1 copy'!$M$2:$M$1000,IF('A1.1 copy'!$A$2:$A$1000=A41,1,0),IF('A1.1 copy'!$H$2:$H$1000=I41,1,0),IF('A1.1 copy'!$L$2:$L$1000=O41,1,0),IF('A1.1 copy'!$D$2:$D$1000=L41,1,0))</f>
        <v>1931610.9300000009</v>
      </c>
      <c r="H41" s="117" t="s">
        <v>630</v>
      </c>
      <c r="I41" s="123" t="s">
        <v>1861</v>
      </c>
      <c r="J41" s="115" t="s">
        <v>620</v>
      </c>
      <c r="K41" t="s">
        <v>1896</v>
      </c>
      <c r="L41" s="234">
        <v>2022</v>
      </c>
      <c r="M41">
        <v>2022</v>
      </c>
      <c r="N41" t="str">
        <f t="shared" si="6"/>
        <v>DEFRA: Gasóleo: WTT: 2022:: l</v>
      </c>
      <c r="O41" t="str">
        <f t="shared" si="2"/>
        <v>Gasóleo</v>
      </c>
      <c r="P41">
        <f t="shared" si="3"/>
        <v>0</v>
      </c>
      <c r="Q41" s="234" t="s">
        <v>3535</v>
      </c>
      <c r="R41" s="234" t="s">
        <v>3536</v>
      </c>
      <c r="S41" t="s">
        <v>42</v>
      </c>
    </row>
    <row r="42" spans="1:19" ht="15.75" thickBot="1" x14ac:dyDescent="0.3">
      <c r="A42" s="137" t="s">
        <v>4691</v>
      </c>
      <c r="B42" s="137" t="s">
        <v>4691</v>
      </c>
      <c r="C42" s="137" t="str">
        <f>IF(A42=B42,"X",RIGHT(A42,LEN(A42)-LEN(B42)-3))</f>
        <v>X</v>
      </c>
      <c r="D42" s="115" t="s">
        <v>1527</v>
      </c>
      <c r="E42" s="83" t="s">
        <v>1858</v>
      </c>
      <c r="F42" s="83"/>
      <c r="G42" s="120">
        <f t="array" ref="G42">SUMPRODUCT('A1.1 copy'!$M$2:$M$1000,IF('A1.1 copy'!$A$2:$A$1000=A42,1,0),IF('A1.1 copy'!$H$2:$H$1000=I42,1,0),IF('A1.1 copy'!$L$2:$L$1000=O42,1,0),IF('A1.1 copy'!$D$2:$D$1000=L42,1,0))</f>
        <v>3544.9</v>
      </c>
      <c r="H42" s="117" t="s">
        <v>630</v>
      </c>
      <c r="I42" s="123" t="s">
        <v>1861</v>
      </c>
      <c r="J42" s="115" t="s">
        <v>620</v>
      </c>
      <c r="K42" t="s">
        <v>1896</v>
      </c>
      <c r="L42" s="234">
        <v>2022</v>
      </c>
      <c r="M42">
        <v>2022</v>
      </c>
      <c r="N42" t="str">
        <f t="shared" si="6"/>
        <v>DEFRA: Gasóleo: WTT: 2022:: l</v>
      </c>
      <c r="O42" t="str">
        <f t="shared" si="2"/>
        <v>Gasóleo</v>
      </c>
      <c r="P42">
        <f t="shared" si="3"/>
        <v>0</v>
      </c>
      <c r="Q42" s="234" t="s">
        <v>3535</v>
      </c>
      <c r="R42" s="234" t="s">
        <v>3536</v>
      </c>
      <c r="S42" t="s">
        <v>42</v>
      </c>
    </row>
    <row r="43" spans="1:19" ht="15.75" thickBot="1" x14ac:dyDescent="0.3">
      <c r="A43" s="137" t="s">
        <v>4694</v>
      </c>
      <c r="B43" s="137" t="s">
        <v>4694</v>
      </c>
      <c r="C43" s="137" t="s">
        <v>1969</v>
      </c>
      <c r="D43" s="115" t="s">
        <v>1527</v>
      </c>
      <c r="E43" s="83" t="s">
        <v>1858</v>
      </c>
      <c r="F43" s="83"/>
      <c r="G43" s="120">
        <f t="array" ref="G43">SUMPRODUCT('A1.1 copy'!$M$2:$M$1000,IF('A1.1 copy'!$A$2:$A$1000=A43,1,0),IF('A1.1 copy'!$H$2:$H$1000=I43,1,0),IF('A1.1 copy'!$L$2:$L$1000=O43,1,0),IF('A1.1 copy'!$D$2:$D$1000=L43,1,0))</f>
        <v>3299337.7099999995</v>
      </c>
      <c r="H43" s="117" t="s">
        <v>630</v>
      </c>
      <c r="I43" s="123" t="s">
        <v>1861</v>
      </c>
      <c r="J43" s="115" t="s">
        <v>620</v>
      </c>
      <c r="K43" t="s">
        <v>1896</v>
      </c>
      <c r="L43" s="234">
        <v>2022</v>
      </c>
      <c r="M43">
        <v>2022</v>
      </c>
      <c r="N43" t="str">
        <f t="shared" si="6"/>
        <v>DEFRA: Gasóleo: WTT: 2022:: l</v>
      </c>
      <c r="O43" t="str">
        <f t="shared" si="2"/>
        <v>Gasóleo</v>
      </c>
      <c r="P43">
        <f t="shared" si="3"/>
        <v>0</v>
      </c>
      <c r="Q43" s="234" t="s">
        <v>3535</v>
      </c>
      <c r="R43" s="234" t="s">
        <v>3536</v>
      </c>
      <c r="S43" t="s">
        <v>42</v>
      </c>
    </row>
    <row r="44" spans="1:19" ht="15.75" thickBot="1" x14ac:dyDescent="0.3">
      <c r="A44" s="137" t="s">
        <v>4693</v>
      </c>
      <c r="B44" s="137" t="s">
        <v>4693</v>
      </c>
      <c r="C44" s="137" t="str">
        <f t="shared" ref="C44:C51" si="7">IF(A44=B44,"X",RIGHT(A44,LEN(A44)-LEN(B44)-3))</f>
        <v>X</v>
      </c>
      <c r="D44" s="115" t="s">
        <v>1527</v>
      </c>
      <c r="E44" s="83" t="s">
        <v>1858</v>
      </c>
      <c r="F44" s="83"/>
      <c r="G44" s="120">
        <f t="array" ref="G44">SUMPRODUCT('A1.1 copy'!$M$2:$M$1000,IF('A1.1 copy'!$A$2:$A$1000=A44,1,0),IF('A1.1 copy'!$H$2:$H$1000=I44,1,0),IF('A1.1 copy'!$L$2:$L$1000=O44,1,0),IF('A1.1 copy'!$D$2:$D$1000=L44,1,0))</f>
        <v>5417773.4609999964</v>
      </c>
      <c r="H44" s="117" t="s">
        <v>630</v>
      </c>
      <c r="I44" s="123" t="s">
        <v>1861</v>
      </c>
      <c r="J44" s="115" t="s">
        <v>620</v>
      </c>
      <c r="K44" t="s">
        <v>1896</v>
      </c>
      <c r="L44" s="234">
        <v>2022</v>
      </c>
      <c r="M44">
        <v>2022</v>
      </c>
      <c r="N44" t="str">
        <f t="shared" si="6"/>
        <v>DEFRA: Gasóleo: WTT: 2022:: l</v>
      </c>
      <c r="O44" t="str">
        <f t="shared" si="2"/>
        <v>Gasóleo</v>
      </c>
      <c r="P44">
        <f t="shared" si="3"/>
        <v>0</v>
      </c>
      <c r="Q44" s="234" t="s">
        <v>3535</v>
      </c>
      <c r="R44" s="234" t="s">
        <v>3536</v>
      </c>
      <c r="S44" t="s">
        <v>42</v>
      </c>
    </row>
    <row r="45" spans="1:19" ht="15.75" thickBot="1" x14ac:dyDescent="0.3">
      <c r="A45" s="137" t="s">
        <v>2836</v>
      </c>
      <c r="B45" s="137" t="str">
        <f t="shared" ref="B45:B53" si="8">LEFT(A45,IFERROR(FIND(" - ",A45)-1,LEN(A45)))</f>
        <v>Isidoro Duarte, S.A.</v>
      </c>
      <c r="C45" s="137" t="str">
        <f t="shared" si="7"/>
        <v>X</v>
      </c>
      <c r="D45" s="115" t="s">
        <v>1527</v>
      </c>
      <c r="E45" s="83" t="s">
        <v>1858</v>
      </c>
      <c r="F45" s="83"/>
      <c r="G45" s="120">
        <f t="array" ref="G45">SUMPRODUCT('A1.1 copy'!$M$2:$M$1000,IF('A1.1 copy'!$A$2:$A$1000=A45,1,0),IF('A1.1 copy'!$H$2:$H$1000=I45,1,0),IF('A1.1 copy'!$L$2:$L$1000=O45,1,0),IF('A1.1 copy'!$D$2:$D$1000=L45,1,0))</f>
        <v>950961</v>
      </c>
      <c r="H45" s="117" t="s">
        <v>630</v>
      </c>
      <c r="I45" s="123" t="s">
        <v>1861</v>
      </c>
      <c r="J45" s="115" t="s">
        <v>620</v>
      </c>
      <c r="K45" t="s">
        <v>1896</v>
      </c>
      <c r="L45" s="234">
        <v>2022</v>
      </c>
      <c r="M45">
        <v>2022</v>
      </c>
      <c r="N45" t="str">
        <f t="shared" si="6"/>
        <v>DEFRA: Gasóleo: WTT: 2022:: l</v>
      </c>
      <c r="O45" t="str">
        <f t="shared" si="2"/>
        <v>Gasóleo</v>
      </c>
      <c r="P45">
        <f t="shared" si="3"/>
        <v>0</v>
      </c>
      <c r="Q45" s="234" t="s">
        <v>3535</v>
      </c>
      <c r="R45" s="234" t="s">
        <v>3536</v>
      </c>
      <c r="S45" t="s">
        <v>42</v>
      </c>
    </row>
    <row r="46" spans="1:19" ht="15.75" thickBot="1" x14ac:dyDescent="0.3">
      <c r="A46" s="137" t="s">
        <v>4692</v>
      </c>
      <c r="B46" s="137" t="s">
        <v>4692</v>
      </c>
      <c r="C46" s="137" t="str">
        <f t="shared" si="7"/>
        <v>X</v>
      </c>
      <c r="D46" s="115" t="s">
        <v>1527</v>
      </c>
      <c r="E46" s="83" t="s">
        <v>1858</v>
      </c>
      <c r="F46" s="83"/>
      <c r="G46" s="120">
        <f t="array" ref="G46">SUMPRODUCT('A1.1 copy'!$M$2:$M$1000,IF('A1.1 copy'!$A$2:$A$1000=A46,1,0),IF('A1.1 copy'!$H$2:$H$1000=I46,1,0),IF('A1.1 copy'!$L$2:$L$1000=O46,1,0),IF('A1.1 copy'!$D$2:$D$1000=L46,1,0))</f>
        <v>87425</v>
      </c>
      <c r="H46" s="117" t="s">
        <v>630</v>
      </c>
      <c r="I46" s="123" t="s">
        <v>1861</v>
      </c>
      <c r="J46" s="115" t="s">
        <v>620</v>
      </c>
      <c r="K46" t="s">
        <v>1896</v>
      </c>
      <c r="L46" s="234">
        <v>2022</v>
      </c>
      <c r="M46">
        <v>2022</v>
      </c>
      <c r="N46" t="str">
        <f t="shared" si="6"/>
        <v>DEFRA: Gasóleo: WTT: 2022:: l</v>
      </c>
      <c r="O46" t="str">
        <f t="shared" si="2"/>
        <v>Gasóleo</v>
      </c>
      <c r="P46">
        <f t="shared" si="3"/>
        <v>0</v>
      </c>
      <c r="Q46" s="234" t="s">
        <v>3535</v>
      </c>
      <c r="R46" s="234" t="s">
        <v>3536</v>
      </c>
      <c r="S46" t="s">
        <v>42</v>
      </c>
    </row>
    <row r="47" spans="1:19" ht="15.75" thickBot="1" x14ac:dyDescent="0.3">
      <c r="A47" s="137" t="s">
        <v>4695</v>
      </c>
      <c r="B47" s="137" t="s">
        <v>4695</v>
      </c>
      <c r="C47" s="137" t="str">
        <f t="shared" si="7"/>
        <v>X</v>
      </c>
      <c r="D47" s="115" t="s">
        <v>1527</v>
      </c>
      <c r="E47" s="83" t="s">
        <v>1858</v>
      </c>
      <c r="F47" s="83"/>
      <c r="G47" s="120">
        <f t="array" ref="G47">SUMPRODUCT('A1.1 copy'!$M$2:$M$1000,IF('A1.1 copy'!$A$2:$A$1000=A47,1,0),IF('A1.1 copy'!$H$2:$H$1000=I47,1,0),IF('A1.1 copy'!$L$2:$L$1000=O47,1,0),IF('A1.1 copy'!$D$2:$D$1000=L47,1,0))</f>
        <v>2809045.9</v>
      </c>
      <c r="H47" s="117" t="s">
        <v>630</v>
      </c>
      <c r="I47" s="123" t="s">
        <v>1861</v>
      </c>
      <c r="J47" s="115" t="s">
        <v>620</v>
      </c>
      <c r="K47" t="s">
        <v>1896</v>
      </c>
      <c r="L47" s="234">
        <v>2022</v>
      </c>
      <c r="M47">
        <v>2022</v>
      </c>
      <c r="N47" t="str">
        <f t="shared" si="6"/>
        <v>DEFRA: Gasóleo: WTT: 2022:: l</v>
      </c>
      <c r="O47" t="str">
        <f t="shared" si="2"/>
        <v>Gasóleo</v>
      </c>
      <c r="P47">
        <f t="shared" si="3"/>
        <v>0</v>
      </c>
      <c r="Q47" s="234" t="s">
        <v>3535</v>
      </c>
      <c r="R47" s="234" t="s">
        <v>3536</v>
      </c>
      <c r="S47" t="s">
        <v>42</v>
      </c>
    </row>
    <row r="48" spans="1:19" ht="15.75" thickBot="1" x14ac:dyDescent="0.3">
      <c r="A48" s="137" t="s">
        <v>4696</v>
      </c>
      <c r="B48" s="137" t="s">
        <v>4696</v>
      </c>
      <c r="C48" s="137" t="str">
        <f t="shared" si="7"/>
        <v>X</v>
      </c>
      <c r="D48" s="115" t="s">
        <v>1527</v>
      </c>
      <c r="E48" s="83" t="s">
        <v>1858</v>
      </c>
      <c r="F48" s="83"/>
      <c r="G48" s="120">
        <f t="array" ref="G48">SUMPRODUCT('A1.1 copy'!$M$2:$M$1000,IF('A1.1 copy'!$A$2:$A$1000=A48,1,0),IF('A1.1 copy'!$H$2:$H$1000=I48,1,0),IF('A1.1 copy'!$L$2:$L$1000=O48,1,0),IF('A1.1 copy'!$D$2:$D$1000=L48,1,0))</f>
        <v>2402062.9</v>
      </c>
      <c r="H48" s="117" t="s">
        <v>630</v>
      </c>
      <c r="I48" s="123" t="s">
        <v>1861</v>
      </c>
      <c r="J48" s="115" t="s">
        <v>620</v>
      </c>
      <c r="K48" t="s">
        <v>1896</v>
      </c>
      <c r="L48" s="234">
        <v>2022</v>
      </c>
      <c r="M48">
        <v>2022</v>
      </c>
      <c r="N48" t="str">
        <f t="shared" si="6"/>
        <v>DEFRA: Gasóleo: WTT: 2022:: l</v>
      </c>
      <c r="O48" t="str">
        <f t="shared" si="2"/>
        <v>Gasóleo</v>
      </c>
      <c r="P48">
        <f t="shared" si="3"/>
        <v>0</v>
      </c>
      <c r="Q48" s="234" t="s">
        <v>3535</v>
      </c>
      <c r="R48" s="234" t="s">
        <v>3536</v>
      </c>
      <c r="S48" t="s">
        <v>42</v>
      </c>
    </row>
    <row r="49" spans="1:19" ht="15.75" thickBot="1" x14ac:dyDescent="0.3">
      <c r="A49" s="137" t="s">
        <v>4697</v>
      </c>
      <c r="B49" s="137" t="s">
        <v>4697</v>
      </c>
      <c r="C49" s="137" t="str">
        <f t="shared" si="7"/>
        <v>X</v>
      </c>
      <c r="D49" s="115" t="s">
        <v>1527</v>
      </c>
      <c r="E49" s="83" t="s">
        <v>1858</v>
      </c>
      <c r="F49" s="83"/>
      <c r="G49" s="120">
        <f t="array" ref="G49">SUMPRODUCT('A1.1 copy'!$M$2:$M$1000,IF('A1.1 copy'!$A$2:$A$1000=A49,1,0),IF('A1.1 copy'!$H$2:$H$1000=I49,1,0),IF('A1.1 copy'!$L$2:$L$1000=O49,1,0),IF('A1.1 copy'!$D$2:$D$1000=L49,1,0))</f>
        <v>1564043.57</v>
      </c>
      <c r="H49" s="117" t="s">
        <v>630</v>
      </c>
      <c r="I49" s="123" t="s">
        <v>1861</v>
      </c>
      <c r="J49" s="115" t="s">
        <v>620</v>
      </c>
      <c r="K49" t="s">
        <v>1896</v>
      </c>
      <c r="L49" s="234">
        <v>2022</v>
      </c>
      <c r="M49">
        <v>2022</v>
      </c>
      <c r="N49" t="str">
        <f t="shared" si="6"/>
        <v>DEFRA: Gasóleo: WTT: 2022:: l</v>
      </c>
      <c r="O49" t="str">
        <f t="shared" si="2"/>
        <v>Gasóleo</v>
      </c>
      <c r="P49">
        <f t="shared" si="3"/>
        <v>0</v>
      </c>
      <c r="Q49" s="234" t="s">
        <v>3535</v>
      </c>
      <c r="R49" s="234" t="s">
        <v>3536</v>
      </c>
      <c r="S49" t="s">
        <v>42</v>
      </c>
    </row>
    <row r="50" spans="1:19" ht="15.75" thickBot="1" x14ac:dyDescent="0.3">
      <c r="A50" s="137" t="s">
        <v>4698</v>
      </c>
      <c r="B50" s="137" t="s">
        <v>4698</v>
      </c>
      <c r="C50" s="137" t="str">
        <f t="shared" si="7"/>
        <v>X</v>
      </c>
      <c r="D50" s="115" t="s">
        <v>1527</v>
      </c>
      <c r="E50" s="83" t="s">
        <v>1858</v>
      </c>
      <c r="F50" s="83"/>
      <c r="G50" s="120">
        <f t="array" ref="G50">SUMPRODUCT('A1.1 copy'!$M$2:$M$1000,IF('A1.1 copy'!$A$2:$A$1000=A50,1,0),IF('A1.1 copy'!$H$2:$H$1000=I50,1,0),IF('A1.1 copy'!$L$2:$L$1000=O50,1,0),IF('A1.1 copy'!$D$2:$D$1000=L50,1,0))</f>
        <v>1781986.2000000002</v>
      </c>
      <c r="H50" s="117" t="s">
        <v>630</v>
      </c>
      <c r="I50" s="123" t="s">
        <v>1861</v>
      </c>
      <c r="J50" s="115" t="s">
        <v>620</v>
      </c>
      <c r="K50" t="s">
        <v>1896</v>
      </c>
      <c r="L50" s="234">
        <v>2022</v>
      </c>
      <c r="M50">
        <v>2022</v>
      </c>
      <c r="N50" t="str">
        <f t="shared" si="6"/>
        <v>DEFRA: Gasóleo: WTT: 2022:: l</v>
      </c>
      <c r="O50" t="str">
        <f t="shared" si="2"/>
        <v>Gasóleo</v>
      </c>
      <c r="P50">
        <f t="shared" si="3"/>
        <v>0</v>
      </c>
      <c r="Q50" s="234" t="s">
        <v>3535</v>
      </c>
      <c r="R50" s="234" t="s">
        <v>3536</v>
      </c>
      <c r="S50" t="s">
        <v>42</v>
      </c>
    </row>
    <row r="51" spans="1:19" ht="15.75" thickBot="1" x14ac:dyDescent="0.3">
      <c r="A51" s="137" t="s">
        <v>4699</v>
      </c>
      <c r="B51" s="137" t="s">
        <v>4699</v>
      </c>
      <c r="C51" s="137" t="str">
        <f t="shared" si="7"/>
        <v>X</v>
      </c>
      <c r="D51" s="115" t="s">
        <v>1527</v>
      </c>
      <c r="E51" s="83" t="s">
        <v>1858</v>
      </c>
      <c r="F51" s="83"/>
      <c r="G51" s="120">
        <f t="array" ref="G51">SUMPRODUCT('A1.1 copy'!$M$2:$M$1000,IF('A1.1 copy'!$A$2:$A$1000=A51,1,0),IF('A1.1 copy'!$H$2:$H$1000=I51,1,0),IF('A1.1 copy'!$L$2:$L$1000=O51,1,0),IF('A1.1 copy'!$D$2:$D$1000=L51,1,0))</f>
        <v>0</v>
      </c>
      <c r="H51" s="117" t="s">
        <v>630</v>
      </c>
      <c r="I51" s="123" t="s">
        <v>1861</v>
      </c>
      <c r="J51" s="115" t="s">
        <v>620</v>
      </c>
      <c r="K51" t="s">
        <v>1896</v>
      </c>
      <c r="L51" s="234">
        <v>2022</v>
      </c>
      <c r="M51">
        <v>2022</v>
      </c>
      <c r="N51" t="str">
        <f t="shared" si="6"/>
        <v>DEFRA: Gasóleo: WTT: 2022:: l</v>
      </c>
      <c r="O51" t="str">
        <f t="shared" si="2"/>
        <v>Gasóleo</v>
      </c>
      <c r="P51">
        <f t="shared" si="3"/>
        <v>0</v>
      </c>
      <c r="Q51" s="234" t="s">
        <v>3535</v>
      </c>
      <c r="R51" s="234" t="s">
        <v>3536</v>
      </c>
      <c r="S51" t="s">
        <v>42</v>
      </c>
    </row>
    <row r="52" spans="1:19" ht="15.75" thickBot="1" x14ac:dyDescent="0.3">
      <c r="A52" s="137" t="s">
        <v>4700</v>
      </c>
      <c r="B52" s="137" t="s">
        <v>4700</v>
      </c>
      <c r="C52" s="137" t="s">
        <v>1969</v>
      </c>
      <c r="D52" s="115" t="s">
        <v>1527</v>
      </c>
      <c r="E52" s="83" t="s">
        <v>1858</v>
      </c>
      <c r="F52" s="83"/>
      <c r="G52" s="120">
        <f t="array" ref="G52">SUMPRODUCT('A1.1 copy'!$M$2:$M$1000,IF('A1.1 copy'!$A$2:$A$1000=A52,1,0),IF('A1.1 copy'!$H$2:$H$1000=I52,1,0),IF('A1.1 copy'!$L$2:$L$1000=O52,1,0),IF('A1.1 copy'!$D$2:$D$1000=L52,1,0))</f>
        <v>0</v>
      </c>
      <c r="H52" s="117" t="s">
        <v>630</v>
      </c>
      <c r="I52" s="123" t="s">
        <v>1861</v>
      </c>
      <c r="J52" s="115" t="s">
        <v>620</v>
      </c>
      <c r="K52" t="s">
        <v>1896</v>
      </c>
      <c r="L52" s="234">
        <v>2022</v>
      </c>
      <c r="M52">
        <v>2022</v>
      </c>
      <c r="N52" t="str">
        <f t="shared" si="6"/>
        <v>DEFRA: Gasóleo: WTT: 2022:: l</v>
      </c>
      <c r="O52" t="str">
        <f t="shared" si="2"/>
        <v>Gasóleo</v>
      </c>
      <c r="P52">
        <f t="shared" si="3"/>
        <v>0</v>
      </c>
      <c r="Q52" s="234" t="s">
        <v>3535</v>
      </c>
      <c r="R52" s="234" t="s">
        <v>3536</v>
      </c>
      <c r="S52" t="s">
        <v>42</v>
      </c>
    </row>
    <row r="53" spans="1:19" ht="15.75" thickBot="1" x14ac:dyDescent="0.3">
      <c r="A53" s="137" t="s">
        <v>1935</v>
      </c>
      <c r="B53" s="137" t="str">
        <f t="shared" si="8"/>
        <v>Rodoviária do Alentejo, S.A.</v>
      </c>
      <c r="C53" s="137" t="str">
        <f t="shared" ref="C53:C86" si="9">IF(A53=B53,"X",RIGHT(A53,LEN(A53)-LEN(B53)-3))</f>
        <v>X</v>
      </c>
      <c r="D53" s="115" t="s">
        <v>1527</v>
      </c>
      <c r="E53" s="83" t="s">
        <v>1858</v>
      </c>
      <c r="F53" s="83"/>
      <c r="G53" s="120">
        <f t="array" ref="G53">SUMPRODUCT('A1.1 copy'!$M$2:$M$1000,IF('A1.1 copy'!$A$2:$A$1000=A53,1,0),IF('A1.1 copy'!$H$2:$H$1000=I53,1,0),IF('A1.1 copy'!$L$2:$L$1000=O53,1,0),IF('A1.1 copy'!$D$2:$D$1000=L53,1,0))</f>
        <v>3879.17</v>
      </c>
      <c r="H53" s="117" t="s">
        <v>630</v>
      </c>
      <c r="I53" s="123" t="s">
        <v>1861</v>
      </c>
      <c r="J53" s="115" t="s">
        <v>1952</v>
      </c>
      <c r="K53" t="s">
        <v>1896</v>
      </c>
      <c r="L53" s="234">
        <v>2022</v>
      </c>
      <c r="M53">
        <v>2022</v>
      </c>
      <c r="N53" t="str">
        <f t="shared" si="6"/>
        <v>DEFRA: Gasolina: WTT: 2022:: l</v>
      </c>
      <c r="O53" t="str">
        <f t="shared" si="2"/>
        <v>Gasolina</v>
      </c>
      <c r="P53">
        <f t="shared" si="3"/>
        <v>0</v>
      </c>
      <c r="Q53" s="234" t="s">
        <v>3535</v>
      </c>
      <c r="R53" s="234" t="s">
        <v>3536</v>
      </c>
      <c r="S53" t="s">
        <v>42</v>
      </c>
    </row>
    <row r="54" spans="1:19" ht="15.75" thickBot="1" x14ac:dyDescent="0.3">
      <c r="A54" s="277" t="s">
        <v>1929</v>
      </c>
      <c r="B54" s="277" t="s">
        <v>1929</v>
      </c>
      <c r="C54" s="277" t="str">
        <f t="shared" si="9"/>
        <v>X</v>
      </c>
      <c r="D54" s="115" t="s">
        <v>588</v>
      </c>
      <c r="E54" s="83" t="s">
        <v>1859</v>
      </c>
      <c r="F54" s="83" t="s">
        <v>538</v>
      </c>
      <c r="G54" s="120">
        <f t="array" ref="G54">SUMPRODUCT(IF('A2 copy'!$A$2:$A$1000=A54,1,0),'A2 copy'!$F$2:$F$1000,IF('A2 copy'!$D$2:$D$1000=L54,1,0),IF('A2 copy'!$E$2:$E$1000=P54,1,0),IF('A2 copy'!$G$2:$G$1000=I54,1,0))</f>
        <v>760516.7</v>
      </c>
      <c r="H54" s="85" t="s">
        <v>589</v>
      </c>
      <c r="I54" s="123" t="s">
        <v>589</v>
      </c>
      <c r="J54" s="83" t="s">
        <v>1898</v>
      </c>
      <c r="K54" t="s">
        <v>1893</v>
      </c>
      <c r="L54" s="234">
        <v>2022</v>
      </c>
      <c r="M54">
        <v>2022</v>
      </c>
      <c r="N54" t="str">
        <f t="shared" si="6"/>
        <v>AIE: Eléctrica: Perdas Rede SEN: Portugal: 2022:: kWh</v>
      </c>
      <c r="O54" t="str">
        <f t="shared" si="2"/>
        <v>Eléctrica</v>
      </c>
      <c r="P54" t="str">
        <f t="shared" si="3"/>
        <v>GALP</v>
      </c>
      <c r="Q54" s="234" t="s">
        <v>3535</v>
      </c>
      <c r="R54" s="234" t="s">
        <v>3536</v>
      </c>
      <c r="S54" t="s">
        <v>42</v>
      </c>
    </row>
    <row r="55" spans="1:19" ht="15.75" thickBot="1" x14ac:dyDescent="0.3">
      <c r="A55" s="277" t="s">
        <v>1931</v>
      </c>
      <c r="B55" s="277" t="s">
        <v>1931</v>
      </c>
      <c r="C55" s="277" t="str">
        <f t="shared" si="9"/>
        <v>X</v>
      </c>
      <c r="D55" s="115" t="s">
        <v>588</v>
      </c>
      <c r="E55" s="83" t="s">
        <v>1859</v>
      </c>
      <c r="F55" s="83" t="s">
        <v>538</v>
      </c>
      <c r="G55" s="120">
        <f t="array" ref="G55">SUMPRODUCT(IF('A2 copy'!$A$2:$A$1000=A55,1,0),'A2 copy'!$F$2:$F$1000,IF('A2 copy'!$D$2:$D$1000=L55,1,0),IF('A2 copy'!$E$2:$E$1000=P55,1,0),IF('A2 copy'!$G$2:$G$1000=I55,1,0))</f>
        <v>29470.5</v>
      </c>
      <c r="H55" s="85" t="s">
        <v>589</v>
      </c>
      <c r="I55" s="123" t="s">
        <v>589</v>
      </c>
      <c r="J55" s="83" t="s">
        <v>1898</v>
      </c>
      <c r="K55" t="s">
        <v>1893</v>
      </c>
      <c r="L55" s="234">
        <v>2022</v>
      </c>
      <c r="M55">
        <v>2022</v>
      </c>
      <c r="N55" t="str">
        <f t="shared" si="6"/>
        <v>AIE: Eléctrica: Perdas Rede SEN: Portugal: 2022:: kWh</v>
      </c>
      <c r="O55" t="str">
        <f t="shared" si="2"/>
        <v>Eléctrica</v>
      </c>
      <c r="P55" t="str">
        <f t="shared" si="3"/>
        <v>GALP</v>
      </c>
      <c r="Q55" s="234" t="s">
        <v>3535</v>
      </c>
      <c r="R55" s="234" t="s">
        <v>3536</v>
      </c>
      <c r="S55" t="s">
        <v>42</v>
      </c>
    </row>
    <row r="56" spans="1:19" ht="15.75" thickBot="1" x14ac:dyDescent="0.3">
      <c r="A56" s="277" t="s">
        <v>1934</v>
      </c>
      <c r="B56" s="277" t="s">
        <v>1934</v>
      </c>
      <c r="C56" s="277" t="str">
        <f t="shared" si="9"/>
        <v>X</v>
      </c>
      <c r="D56" s="115" t="s">
        <v>588</v>
      </c>
      <c r="E56" s="83" t="s">
        <v>1859</v>
      </c>
      <c r="F56" s="83" t="s">
        <v>538</v>
      </c>
      <c r="G56" s="120">
        <f t="array" ref="G56">SUMPRODUCT(IF('A2 copy'!$A$2:$A$1000=A56,1,0),'A2 copy'!$F$2:$F$1000,IF('A2 copy'!$D$2:$D$1000=L56,1,0),IF('A2 copy'!$E$2:$E$1000=P56,1,0),IF('A2 copy'!$G$2:$G$1000=I56,1,0))</f>
        <v>342144</v>
      </c>
      <c r="H56" s="85" t="s">
        <v>589</v>
      </c>
      <c r="I56" s="123" t="s">
        <v>589</v>
      </c>
      <c r="J56" s="83" t="s">
        <v>1898</v>
      </c>
      <c r="K56" t="s">
        <v>1893</v>
      </c>
      <c r="L56" s="234">
        <v>2022</v>
      </c>
      <c r="M56">
        <v>2022</v>
      </c>
      <c r="N56" t="str">
        <f t="shared" si="6"/>
        <v>AIE: Eléctrica: Perdas Rede SEN: Portugal: 2022:: kWh</v>
      </c>
      <c r="O56" t="str">
        <f t="shared" si="2"/>
        <v>Eléctrica</v>
      </c>
      <c r="P56" t="str">
        <f t="shared" si="3"/>
        <v>GALP</v>
      </c>
      <c r="Q56" s="234" t="s">
        <v>3535</v>
      </c>
      <c r="R56" s="234" t="s">
        <v>3536</v>
      </c>
      <c r="S56" t="s">
        <v>42</v>
      </c>
    </row>
    <row r="57" spans="1:19" ht="15.75" thickBot="1" x14ac:dyDescent="0.3">
      <c r="A57" s="277" t="s">
        <v>1935</v>
      </c>
      <c r="B57" s="277" t="s">
        <v>1935</v>
      </c>
      <c r="C57" s="277" t="str">
        <f t="shared" si="9"/>
        <v>X</v>
      </c>
      <c r="D57" s="115" t="s">
        <v>588</v>
      </c>
      <c r="E57" s="83" t="s">
        <v>1859</v>
      </c>
      <c r="F57" s="83" t="s">
        <v>538</v>
      </c>
      <c r="G57" s="120">
        <f t="array" ref="G57">SUMPRODUCT(IF('A2 copy'!$A$2:$A$1000=A57,1,0),'A2 copy'!$F$2:$F$1000,IF('A2 copy'!$D$2:$D$1000=L57,1,0),IF('A2 copy'!$E$2:$E$1000=P57,1,0),IF('A2 copy'!$G$2:$G$1000=I57,1,0))</f>
        <v>367488</v>
      </c>
      <c r="H57" s="85" t="s">
        <v>589</v>
      </c>
      <c r="I57" s="123" t="s">
        <v>589</v>
      </c>
      <c r="J57" s="83" t="s">
        <v>1898</v>
      </c>
      <c r="K57" t="s">
        <v>1893</v>
      </c>
      <c r="L57" s="234">
        <v>2022</v>
      </c>
      <c r="M57">
        <v>2022</v>
      </c>
      <c r="N57" t="str">
        <f t="shared" si="6"/>
        <v>AIE: Eléctrica: Perdas Rede SEN: Portugal: 2022:: kWh</v>
      </c>
      <c r="O57" t="str">
        <f t="shared" si="2"/>
        <v>Eléctrica</v>
      </c>
      <c r="P57" t="str">
        <f t="shared" si="3"/>
        <v>GALP</v>
      </c>
      <c r="Q57" s="234" t="s">
        <v>3535</v>
      </c>
      <c r="R57" s="234" t="s">
        <v>3536</v>
      </c>
      <c r="S57" t="s">
        <v>42</v>
      </c>
    </row>
    <row r="58" spans="1:19" ht="15.75" thickBot="1" x14ac:dyDescent="0.3">
      <c r="A58" s="277" t="s">
        <v>4686</v>
      </c>
      <c r="B58" s="277" t="s">
        <v>4686</v>
      </c>
      <c r="C58" s="277" t="str">
        <f t="shared" si="9"/>
        <v>X</v>
      </c>
      <c r="D58" s="115" t="s">
        <v>588</v>
      </c>
      <c r="E58" s="83" t="s">
        <v>1859</v>
      </c>
      <c r="F58" s="83" t="s">
        <v>538</v>
      </c>
      <c r="G58" s="120">
        <f t="array" ref="G58">SUMPRODUCT(IF('A2 copy'!$A$2:$A$1000=A58,1,0),'A2 copy'!$F$2:$F$1000,IF('A2 copy'!$D$2:$D$1000=L58,1,0),IF('A2 copy'!$E$2:$E$1000=P58,1,0),IF('A2 copy'!$G$2:$G$1000=I58,1,0))</f>
        <v>764498.36128675716</v>
      </c>
      <c r="H58" s="85" t="s">
        <v>589</v>
      </c>
      <c r="I58" s="123" t="s">
        <v>589</v>
      </c>
      <c r="J58" s="83" t="s">
        <v>1898</v>
      </c>
      <c r="K58" t="s">
        <v>1893</v>
      </c>
      <c r="L58" s="234">
        <v>2022</v>
      </c>
      <c r="M58">
        <v>2022</v>
      </c>
      <c r="N58" t="str">
        <f t="shared" si="6"/>
        <v>AIE: Eléctrica: Perdas Rede SEN: Portugal: 2022:: kWh</v>
      </c>
      <c r="O58" t="str">
        <f t="shared" si="2"/>
        <v>Eléctrica</v>
      </c>
      <c r="P58" t="str">
        <f t="shared" si="3"/>
        <v>GALP</v>
      </c>
      <c r="Q58" s="234" t="s">
        <v>3535</v>
      </c>
      <c r="R58" s="234" t="s">
        <v>3536</v>
      </c>
      <c r="S58" t="s">
        <v>42</v>
      </c>
    </row>
    <row r="59" spans="1:19" ht="15.75" thickBot="1" x14ac:dyDescent="0.3">
      <c r="A59" s="277" t="s">
        <v>4687</v>
      </c>
      <c r="B59" s="277" t="s">
        <v>4687</v>
      </c>
      <c r="C59" s="277" t="str">
        <f t="shared" si="9"/>
        <v>X</v>
      </c>
      <c r="D59" s="115" t="s">
        <v>588</v>
      </c>
      <c r="E59" s="83" t="s">
        <v>1859</v>
      </c>
      <c r="F59" s="83" t="s">
        <v>538</v>
      </c>
      <c r="G59" s="120">
        <f t="array" ref="G59">SUMPRODUCT(IF('A2 copy'!$A$2:$A$1000=A59,1,0),'A2 copy'!$F$2:$F$1000,IF('A2 copy'!$D$2:$D$1000=L59,1,0),IF('A2 copy'!$E$2:$E$1000=P59,1,0),IF('A2 copy'!$G$2:$G$1000=I59,1,0))</f>
        <v>52838.428859768654</v>
      </c>
      <c r="H59" s="85" t="s">
        <v>589</v>
      </c>
      <c r="I59" s="123" t="s">
        <v>589</v>
      </c>
      <c r="J59" s="83" t="s">
        <v>1898</v>
      </c>
      <c r="K59" t="s">
        <v>1893</v>
      </c>
      <c r="L59" s="234">
        <v>2022</v>
      </c>
      <c r="M59">
        <v>2022</v>
      </c>
      <c r="N59" t="str">
        <f t="shared" si="6"/>
        <v>AIE: Eléctrica: Perdas Rede SEN: Portugal: 2022:: kWh</v>
      </c>
      <c r="O59" t="str">
        <f t="shared" si="2"/>
        <v>Eléctrica</v>
      </c>
      <c r="P59" t="str">
        <f t="shared" si="3"/>
        <v>GALP</v>
      </c>
      <c r="Q59" s="234" t="s">
        <v>3535</v>
      </c>
      <c r="R59" s="234" t="s">
        <v>3536</v>
      </c>
      <c r="S59" t="s">
        <v>42</v>
      </c>
    </row>
    <row r="60" spans="1:19" ht="15.75" thickBot="1" x14ac:dyDescent="0.3">
      <c r="A60" s="277" t="s">
        <v>3511</v>
      </c>
      <c r="B60" s="277" t="s">
        <v>3511</v>
      </c>
      <c r="C60" s="277" t="str">
        <f t="shared" si="9"/>
        <v>X</v>
      </c>
      <c r="D60" s="115" t="s">
        <v>588</v>
      </c>
      <c r="E60" s="83" t="s">
        <v>1859</v>
      </c>
      <c r="F60" s="83" t="s">
        <v>538</v>
      </c>
      <c r="G60" s="120">
        <f t="array" ref="G60">SUMPRODUCT(IF('A2 copy'!$A$2:$A$1000=A60,1,0),'A2 copy'!$F$2:$F$1000,IF('A2 copy'!$D$2:$D$1000=L60,1,0),IF('A2 copy'!$E$2:$E$1000=P60,1,0),IF('A2 copy'!$G$2:$G$1000=I60,1,0))</f>
        <v>56619.841628353337</v>
      </c>
      <c r="H60" s="85" t="s">
        <v>589</v>
      </c>
      <c r="I60" s="123" t="s">
        <v>589</v>
      </c>
      <c r="J60" s="83" t="s">
        <v>1898</v>
      </c>
      <c r="K60" t="s">
        <v>1893</v>
      </c>
      <c r="L60" s="234">
        <v>2022</v>
      </c>
      <c r="M60">
        <v>2022</v>
      </c>
      <c r="N60" t="str">
        <f t="shared" si="6"/>
        <v>AIE: Eléctrica: Perdas Rede SEN: Portugal: 2022:: kWh</v>
      </c>
      <c r="O60" t="str">
        <f t="shared" si="2"/>
        <v>Eléctrica</v>
      </c>
      <c r="P60" t="str">
        <f t="shared" si="3"/>
        <v>GALP</v>
      </c>
      <c r="Q60" s="234" t="s">
        <v>3535</v>
      </c>
      <c r="R60" s="234" t="s">
        <v>3536</v>
      </c>
      <c r="S60" t="s">
        <v>42</v>
      </c>
    </row>
    <row r="61" spans="1:19" ht="15.75" thickBot="1" x14ac:dyDescent="0.3">
      <c r="A61" s="277" t="s">
        <v>4694</v>
      </c>
      <c r="B61" s="277" t="s">
        <v>4694</v>
      </c>
      <c r="C61" s="277" t="str">
        <f t="shared" si="9"/>
        <v>X</v>
      </c>
      <c r="D61" s="115" t="s">
        <v>588</v>
      </c>
      <c r="E61" s="83" t="s">
        <v>1859</v>
      </c>
      <c r="F61" s="276" t="s">
        <v>538</v>
      </c>
      <c r="G61" s="120">
        <f t="array" ref="G61">SUMPRODUCT(IF('A2 copy'!$A$2:$A$1000=A61,1,0),'A2 copy'!$F$2:$F$1000,IF('A2 copy'!$D$2:$D$1000=L61,1,0),IF('A2 copy'!$E$2:$E$1000=P61,1,0),IF('A2 copy'!$G$2:$G$1000=I61,1,0))</f>
        <v>55846</v>
      </c>
      <c r="H61" s="85" t="s">
        <v>589</v>
      </c>
      <c r="I61" s="123" t="s">
        <v>589</v>
      </c>
      <c r="J61" s="83" t="s">
        <v>1898</v>
      </c>
      <c r="K61" t="s">
        <v>1893</v>
      </c>
      <c r="L61" s="234">
        <v>2022</v>
      </c>
      <c r="M61">
        <v>2022</v>
      </c>
      <c r="N61" t="str">
        <f t="shared" si="6"/>
        <v>AIE: Eléctrica: Perdas Rede SEN: Portugal: 2022:: kWh</v>
      </c>
      <c r="O61" t="str">
        <f t="shared" si="2"/>
        <v>Eléctrica</v>
      </c>
      <c r="P61" t="str">
        <f t="shared" si="3"/>
        <v>GALP</v>
      </c>
      <c r="Q61" s="234" t="s">
        <v>3535</v>
      </c>
      <c r="R61" s="234" t="s">
        <v>3536</v>
      </c>
      <c r="S61" t="s">
        <v>42</v>
      </c>
    </row>
    <row r="62" spans="1:19" ht="15.75" thickBot="1" x14ac:dyDescent="0.3">
      <c r="A62" s="277" t="s">
        <v>4693</v>
      </c>
      <c r="B62" s="277" t="s">
        <v>4693</v>
      </c>
      <c r="C62" s="277" t="str">
        <f t="shared" si="9"/>
        <v>X</v>
      </c>
      <c r="D62" s="115" t="s">
        <v>588</v>
      </c>
      <c r="E62" s="83" t="s">
        <v>1859</v>
      </c>
      <c r="F62" s="83" t="s">
        <v>538</v>
      </c>
      <c r="G62" s="120">
        <f t="array" ref="G62">SUMPRODUCT(IF('A2 copy'!$A$2:$A$1000=A62,1,0),'A2 copy'!$F$2:$F$1000,IF('A2 copy'!$D$2:$D$1000=L62,1,0),IF('A2 copy'!$E$2:$E$1000=P62,1,0),IF('A2 copy'!$G$2:$G$1000=I62,1,0))</f>
        <v>501470</v>
      </c>
      <c r="H62" s="85" t="s">
        <v>589</v>
      </c>
      <c r="I62" s="123" t="s">
        <v>589</v>
      </c>
      <c r="J62" s="83" t="s">
        <v>1898</v>
      </c>
      <c r="K62" t="s">
        <v>1893</v>
      </c>
      <c r="L62" s="234">
        <v>2022</v>
      </c>
      <c r="M62">
        <v>2022</v>
      </c>
      <c r="N62" t="str">
        <f t="shared" si="6"/>
        <v>AIE: Eléctrica: Perdas Rede SEN: Portugal: 2022:: kWh</v>
      </c>
      <c r="O62" t="str">
        <f t="shared" si="2"/>
        <v>Eléctrica</v>
      </c>
      <c r="P62" t="str">
        <f t="shared" si="3"/>
        <v>GALP</v>
      </c>
      <c r="Q62" s="234" t="s">
        <v>3535</v>
      </c>
      <c r="R62" s="234" t="s">
        <v>3536</v>
      </c>
      <c r="S62" t="s">
        <v>42</v>
      </c>
    </row>
    <row r="63" spans="1:19" ht="15.75" thickBot="1" x14ac:dyDescent="0.3">
      <c r="A63" s="277" t="s">
        <v>4709</v>
      </c>
      <c r="B63" s="277" t="s">
        <v>4709</v>
      </c>
      <c r="C63" s="277" t="str">
        <f t="shared" si="9"/>
        <v>X</v>
      </c>
      <c r="D63" s="115" t="s">
        <v>588</v>
      </c>
      <c r="E63" s="83" t="s">
        <v>1859</v>
      </c>
      <c r="F63" s="83" t="s">
        <v>2960</v>
      </c>
      <c r="G63" s="120">
        <f t="array" ref="G63">SUMPRODUCT(IF('A2 copy'!$A$2:$A$1000=A63,1,0),'A2 copy'!$F$2:$F$1000,IF('A2 copy'!$D$2:$D$1000=L63,1,0),IF('A2 copy'!$E$2:$E$1000=P63,1,0),IF('A2 copy'!$G$2:$G$1000=I63,1,0))</f>
        <v>16383</v>
      </c>
      <c r="H63" s="85" t="s">
        <v>589</v>
      </c>
      <c r="I63" s="123" t="s">
        <v>589</v>
      </c>
      <c r="J63" s="83" t="s">
        <v>1898</v>
      </c>
      <c r="K63" t="s">
        <v>1893</v>
      </c>
      <c r="L63" s="234">
        <v>2022</v>
      </c>
      <c r="M63">
        <v>2022</v>
      </c>
      <c r="N63" t="str">
        <f t="shared" si="6"/>
        <v>AIE: Eléctrica: Perdas Rede SEN: Portugal: 2022:: kWh</v>
      </c>
      <c r="O63" t="str">
        <f t="shared" si="2"/>
        <v>Eléctrica</v>
      </c>
      <c r="P63" t="s">
        <v>2956</v>
      </c>
      <c r="Q63" s="234" t="s">
        <v>3535</v>
      </c>
      <c r="R63" s="234" t="s">
        <v>3536</v>
      </c>
      <c r="S63" t="s">
        <v>42</v>
      </c>
    </row>
    <row r="64" spans="1:19" ht="15.75" thickBot="1" x14ac:dyDescent="0.3">
      <c r="A64" s="277" t="s">
        <v>2836</v>
      </c>
      <c r="B64" s="277" t="s">
        <v>2836</v>
      </c>
      <c r="C64" s="277" t="str">
        <f t="shared" si="9"/>
        <v>X</v>
      </c>
      <c r="D64" s="115" t="s">
        <v>588</v>
      </c>
      <c r="E64" s="83" t="s">
        <v>1859</v>
      </c>
      <c r="F64" s="83" t="s">
        <v>538</v>
      </c>
      <c r="G64" s="120">
        <f t="array" ref="G64">SUMPRODUCT(IF('A2 copy'!$A$2:$A$1000=A64,1,0),'A2 copy'!$F$2:$F$1000,IF('A2 copy'!$D$2:$D$1000=L64,1,0),IF('A2 copy'!$E$2:$E$1000=P64,1,0),IF('A2 copy'!$G$2:$G$1000=I64,1,0))</f>
        <v>111285</v>
      </c>
      <c r="H64" s="85" t="s">
        <v>589</v>
      </c>
      <c r="I64" s="123" t="s">
        <v>589</v>
      </c>
      <c r="J64" s="83" t="s">
        <v>1898</v>
      </c>
      <c r="K64" t="s">
        <v>1893</v>
      </c>
      <c r="L64" s="234">
        <v>2022</v>
      </c>
      <c r="M64">
        <v>2022</v>
      </c>
      <c r="N64" t="str">
        <f t="shared" si="6"/>
        <v>AIE: Eléctrica: Perdas Rede SEN: Portugal: 2022:: kWh</v>
      </c>
      <c r="O64" t="str">
        <f t="shared" si="2"/>
        <v>Eléctrica</v>
      </c>
      <c r="P64" t="str">
        <f t="shared" si="3"/>
        <v>GALP</v>
      </c>
      <c r="Q64" s="234" t="s">
        <v>3535</v>
      </c>
      <c r="R64" s="234" t="s">
        <v>3536</v>
      </c>
      <c r="S64" t="s">
        <v>42</v>
      </c>
    </row>
    <row r="65" spans="1:19" ht="15.75" thickBot="1" x14ac:dyDescent="0.3">
      <c r="A65" s="277" t="s">
        <v>2889</v>
      </c>
      <c r="B65" s="277" t="s">
        <v>2889</v>
      </c>
      <c r="C65" s="277" t="str">
        <f t="shared" si="9"/>
        <v>X</v>
      </c>
      <c r="D65" s="115" t="s">
        <v>588</v>
      </c>
      <c r="E65" s="83" t="s">
        <v>1859</v>
      </c>
      <c r="F65" s="83" t="s">
        <v>2960</v>
      </c>
      <c r="G65" s="120">
        <f t="array" ref="G65">SUMPRODUCT(IF('A2 copy'!$A$2:$A$1000=A65,1,0),'A2 copy'!$F$2:$F$1000,IF('A2 copy'!$D$2:$D$1000=L65,1,0),IF('A2 copy'!$E$2:$E$1000=P65,1,0),IF('A2 copy'!$G$2:$G$1000=I65,1,0))</f>
        <v>23150</v>
      </c>
      <c r="H65" s="85" t="s">
        <v>589</v>
      </c>
      <c r="I65" s="123" t="s">
        <v>589</v>
      </c>
      <c r="J65" s="83" t="s">
        <v>1898</v>
      </c>
      <c r="K65" t="s">
        <v>1893</v>
      </c>
      <c r="L65" s="234">
        <v>2022</v>
      </c>
      <c r="M65">
        <v>2022</v>
      </c>
      <c r="N65" t="str">
        <f t="shared" si="6"/>
        <v>AIE: Eléctrica: Perdas Rede SEN: Portugal: 2022:: kWh</v>
      </c>
      <c r="O65" t="str">
        <f t="shared" si="2"/>
        <v>Eléctrica</v>
      </c>
      <c r="P65" t="s">
        <v>2956</v>
      </c>
      <c r="Q65" s="234" t="s">
        <v>3535</v>
      </c>
      <c r="R65" s="234" t="s">
        <v>3536</v>
      </c>
      <c r="S65" t="s">
        <v>42</v>
      </c>
    </row>
    <row r="66" spans="1:19" ht="15.75" thickBot="1" x14ac:dyDescent="0.3">
      <c r="A66" s="277" t="s">
        <v>4695</v>
      </c>
      <c r="B66" s="277" t="s">
        <v>4695</v>
      </c>
      <c r="C66" s="277" t="str">
        <f t="shared" si="9"/>
        <v>X</v>
      </c>
      <c r="D66" s="115" t="s">
        <v>588</v>
      </c>
      <c r="E66" s="83" t="s">
        <v>1859</v>
      </c>
      <c r="F66" s="83" t="s">
        <v>2960</v>
      </c>
      <c r="G66" s="120">
        <f t="array" ref="G66">SUMPRODUCT(IF('A2 copy'!$A$2:$A$1000=A66,1,0),'A2 copy'!$F$2:$F$1000,IF('A2 copy'!$D$2:$D$1000=L66,1,0),IF('A2 copy'!$E$2:$E$1000=P66,1,0),IF('A2 copy'!$G$2:$G$1000=I66,1,0))</f>
        <v>0</v>
      </c>
      <c r="H66" s="85" t="s">
        <v>589</v>
      </c>
      <c r="I66" s="123" t="s">
        <v>589</v>
      </c>
      <c r="J66" s="83" t="s">
        <v>1898</v>
      </c>
      <c r="K66" t="s">
        <v>1893</v>
      </c>
      <c r="L66" s="234">
        <v>2022</v>
      </c>
      <c r="M66">
        <v>2022</v>
      </c>
      <c r="N66" t="str">
        <f t="shared" si="6"/>
        <v>AIE: Eléctrica: Perdas Rede SEN: Portugal: 2022:: kWh</v>
      </c>
      <c r="O66" t="str">
        <f t="shared" si="2"/>
        <v>Eléctrica</v>
      </c>
      <c r="P66" t="s">
        <v>2956</v>
      </c>
      <c r="Q66" s="234" t="s">
        <v>3535</v>
      </c>
      <c r="R66" s="234" t="s">
        <v>3536</v>
      </c>
      <c r="S66" t="s">
        <v>42</v>
      </c>
    </row>
    <row r="67" spans="1:19" ht="15.75" thickBot="1" x14ac:dyDescent="0.3">
      <c r="A67" s="277" t="s">
        <v>4695</v>
      </c>
      <c r="B67" s="277" t="s">
        <v>4695</v>
      </c>
      <c r="C67" s="277" t="str">
        <f t="shared" si="9"/>
        <v>X</v>
      </c>
      <c r="D67" s="115" t="s">
        <v>588</v>
      </c>
      <c r="E67" s="83" t="s">
        <v>1859</v>
      </c>
      <c r="F67" s="83" t="s">
        <v>2958</v>
      </c>
      <c r="G67" s="120">
        <f t="array" ref="G67">SUMPRODUCT(IF('A2 copy'!$A$2:$A$1000=A67,1,0),'A2 copy'!$F$2:$F$1000,IF('A2 copy'!$D$2:$D$1000=L67,1,0),IF('A2 copy'!$E$2:$E$1000=P67,1,0),IF('A2 copy'!$G$2:$G$1000=I67,1,0))</f>
        <v>84822</v>
      </c>
      <c r="H67" s="85" t="s">
        <v>589</v>
      </c>
      <c r="I67" s="123" t="s">
        <v>589</v>
      </c>
      <c r="J67" s="83" t="s">
        <v>1898</v>
      </c>
      <c r="K67" t="s">
        <v>1893</v>
      </c>
      <c r="L67" s="234">
        <v>2022</v>
      </c>
      <c r="M67">
        <v>2022</v>
      </c>
      <c r="N67" t="str">
        <f t="shared" si="6"/>
        <v>AIE: Eléctrica: Perdas Rede SEN: Portugal: 2022:: kWh</v>
      </c>
      <c r="O67" t="str">
        <f t="shared" si="2"/>
        <v>Eléctrica</v>
      </c>
      <c r="P67" t="str">
        <f t="shared" si="3"/>
        <v>Naturgy</v>
      </c>
      <c r="Q67" s="234" t="s">
        <v>3535</v>
      </c>
      <c r="R67" s="234" t="s">
        <v>3536</v>
      </c>
      <c r="S67" t="s">
        <v>42</v>
      </c>
    </row>
    <row r="68" spans="1:19" ht="15.75" thickBot="1" x14ac:dyDescent="0.3">
      <c r="A68" s="277" t="s">
        <v>4696</v>
      </c>
      <c r="B68" s="277" t="s">
        <v>4696</v>
      </c>
      <c r="C68" s="277" t="str">
        <f t="shared" si="9"/>
        <v>X</v>
      </c>
      <c r="D68" s="115" t="s">
        <v>588</v>
      </c>
      <c r="E68" s="83" t="s">
        <v>1859</v>
      </c>
      <c r="F68" s="83" t="s">
        <v>2960</v>
      </c>
      <c r="G68" s="120">
        <f t="array" ref="G68">SUMPRODUCT(IF('A2 copy'!$A$2:$A$1000=A68,1,0),'A2 copy'!$F$2:$F$1000,IF('A2 copy'!$D$2:$D$1000=L68,1,0),IF('A2 copy'!$E$2:$E$1000=P68,1,0),IF('A2 copy'!$G$2:$G$1000=I68,1,0))</f>
        <v>164544</v>
      </c>
      <c r="H68" s="85" t="s">
        <v>589</v>
      </c>
      <c r="I68" s="123" t="s">
        <v>589</v>
      </c>
      <c r="J68" s="83" t="s">
        <v>1898</v>
      </c>
      <c r="K68" t="s">
        <v>1893</v>
      </c>
      <c r="L68" s="234">
        <v>2022</v>
      </c>
      <c r="M68">
        <v>2022</v>
      </c>
      <c r="N68" t="str">
        <f t="shared" si="6"/>
        <v>AIE: Eléctrica: Perdas Rede SEN: Portugal: 2022:: kWh</v>
      </c>
      <c r="O68" t="str">
        <f t="shared" ref="O68:O81" si="10">J68</f>
        <v>Eléctrica</v>
      </c>
      <c r="P68" t="s">
        <v>2956</v>
      </c>
      <c r="Q68" s="234" t="s">
        <v>3535</v>
      </c>
      <c r="R68" s="234" t="s">
        <v>3536</v>
      </c>
      <c r="S68" t="s">
        <v>42</v>
      </c>
    </row>
    <row r="69" spans="1:19" ht="15.75" thickBot="1" x14ac:dyDescent="0.3">
      <c r="A69" s="277" t="s">
        <v>4697</v>
      </c>
      <c r="B69" s="277" t="s">
        <v>4697</v>
      </c>
      <c r="C69" s="277" t="str">
        <f t="shared" si="9"/>
        <v>X</v>
      </c>
      <c r="D69" s="115" t="s">
        <v>588</v>
      </c>
      <c r="E69" s="83" t="s">
        <v>1859</v>
      </c>
      <c r="F69" s="83" t="s">
        <v>2960</v>
      </c>
      <c r="G69" s="120">
        <f t="array" ref="G69">SUMPRODUCT(IF('A2 copy'!$A$2:$A$1000=A69,1,0),'A2 copy'!$F$2:$F$1000,IF('A2 copy'!$D$2:$D$1000=L69,1,0),IF('A2 copy'!$E$2:$E$1000=P69,1,0),IF('A2 copy'!$G$2:$G$1000=I69,1,0))</f>
        <v>146707</v>
      </c>
      <c r="H69" s="85" t="s">
        <v>589</v>
      </c>
      <c r="I69" s="123" t="s">
        <v>589</v>
      </c>
      <c r="J69" s="83" t="s">
        <v>1898</v>
      </c>
      <c r="K69" t="s">
        <v>1893</v>
      </c>
      <c r="L69" s="234">
        <v>2022</v>
      </c>
      <c r="M69">
        <v>2022</v>
      </c>
      <c r="N69" t="str">
        <f t="shared" si="6"/>
        <v>AIE: Eléctrica: Perdas Rede SEN: Portugal: 2022:: kWh</v>
      </c>
      <c r="O69" t="str">
        <f t="shared" si="10"/>
        <v>Eléctrica</v>
      </c>
      <c r="P69" t="s">
        <v>2956</v>
      </c>
      <c r="Q69" s="234" t="s">
        <v>3535</v>
      </c>
      <c r="R69" s="234" t="s">
        <v>3536</v>
      </c>
      <c r="S69" t="s">
        <v>42</v>
      </c>
    </row>
    <row r="70" spans="1:19" ht="15.75" thickBot="1" x14ac:dyDescent="0.3">
      <c r="A70" s="277" t="s">
        <v>4698</v>
      </c>
      <c r="B70" s="277" t="s">
        <v>4698</v>
      </c>
      <c r="C70" s="277" t="str">
        <f t="shared" si="9"/>
        <v>X</v>
      </c>
      <c r="D70" s="115" t="s">
        <v>588</v>
      </c>
      <c r="E70" s="83" t="s">
        <v>1859</v>
      </c>
      <c r="F70" s="83" t="s">
        <v>2960</v>
      </c>
      <c r="G70" s="120">
        <f t="array" ref="G70">SUMPRODUCT(IF('A2 copy'!$A$2:$A$1000=A70,1,0),'A2 copy'!$F$2:$F$1000,IF('A2 copy'!$D$2:$D$1000=L70,1,0),IF('A2 copy'!$E$2:$E$1000=P70,1,0),IF('A2 copy'!$G$2:$G$1000=I70,1,0))</f>
        <v>165755</v>
      </c>
      <c r="H70" s="85" t="s">
        <v>589</v>
      </c>
      <c r="I70" s="123" t="s">
        <v>589</v>
      </c>
      <c r="J70" s="83" t="s">
        <v>1898</v>
      </c>
      <c r="K70" t="s">
        <v>1893</v>
      </c>
      <c r="L70" s="234">
        <v>2022</v>
      </c>
      <c r="M70">
        <v>2022</v>
      </c>
      <c r="N70" t="str">
        <f t="shared" si="6"/>
        <v>AIE: Eléctrica: Perdas Rede SEN: Portugal: 2022:: kWh</v>
      </c>
      <c r="O70" t="str">
        <f t="shared" si="10"/>
        <v>Eléctrica</v>
      </c>
      <c r="P70" t="s">
        <v>2956</v>
      </c>
      <c r="Q70" s="234" t="s">
        <v>3535</v>
      </c>
      <c r="R70" s="234" t="s">
        <v>3536</v>
      </c>
      <c r="S70" t="s">
        <v>42</v>
      </c>
    </row>
    <row r="71" spans="1:19" ht="15.75" thickBot="1" x14ac:dyDescent="0.3">
      <c r="A71" s="277" t="s">
        <v>4710</v>
      </c>
      <c r="B71" s="277" t="s">
        <v>4710</v>
      </c>
      <c r="C71" s="277" t="str">
        <f t="shared" si="9"/>
        <v>X</v>
      </c>
      <c r="D71" s="115" t="s">
        <v>588</v>
      </c>
      <c r="E71" s="83" t="s">
        <v>1859</v>
      </c>
      <c r="F71" s="83" t="s">
        <v>538</v>
      </c>
      <c r="G71" s="120">
        <f t="array" ref="G71">SUMPRODUCT(IF('A2 copy'!$A$2:$A$1000=A71,1,0),'A2 copy'!$F$2:$F$1000,IF('A2 copy'!$D$2:$D$1000=L71,1,0),IF('A2 copy'!$E$2:$E$1000=P71,1,0),IF('A2 copy'!$G$2:$G$1000=I71,1,0))</f>
        <v>33805</v>
      </c>
      <c r="H71" s="85" t="s">
        <v>589</v>
      </c>
      <c r="I71" s="123" t="s">
        <v>589</v>
      </c>
      <c r="J71" s="83" t="s">
        <v>1898</v>
      </c>
      <c r="K71" t="s">
        <v>1893</v>
      </c>
      <c r="L71" s="234">
        <v>2022</v>
      </c>
      <c r="M71">
        <v>2022</v>
      </c>
      <c r="N71" t="str">
        <f t="shared" si="6"/>
        <v>AIE: Eléctrica: Perdas Rede SEN: Portugal: 2022:: kWh</v>
      </c>
      <c r="O71" t="str">
        <f t="shared" si="10"/>
        <v>Eléctrica</v>
      </c>
      <c r="P71" t="str">
        <f t="shared" ref="P71:P81" si="11">F71</f>
        <v>GALP</v>
      </c>
      <c r="Q71" s="234" t="s">
        <v>3535</v>
      </c>
      <c r="R71" s="234" t="s">
        <v>3536</v>
      </c>
      <c r="S71" t="s">
        <v>42</v>
      </c>
    </row>
    <row r="72" spans="1:19" ht="15.75" thickBot="1" x14ac:dyDescent="0.3">
      <c r="A72" s="277" t="s">
        <v>4700</v>
      </c>
      <c r="B72" s="277" t="s">
        <v>4700</v>
      </c>
      <c r="C72" s="277" t="str">
        <f t="shared" si="9"/>
        <v>X</v>
      </c>
      <c r="D72" s="115" t="s">
        <v>588</v>
      </c>
      <c r="E72" s="83" t="s">
        <v>1859</v>
      </c>
      <c r="F72" s="83" t="s">
        <v>538</v>
      </c>
      <c r="G72" s="120">
        <f t="array" ref="G72">SUMPRODUCT(IF('A2 copy'!$A$2:$A$1000=A72,1,0),'A2 copy'!$F$2:$F$1000,IF('A2 copy'!$D$2:$D$1000=L72,1,0),IF('A2 copy'!$E$2:$E$1000=P72,1,0),IF('A2 copy'!$G$2:$G$1000=I72,1,0))</f>
        <v>7997</v>
      </c>
      <c r="H72" s="85" t="s">
        <v>589</v>
      </c>
      <c r="I72" s="123" t="s">
        <v>589</v>
      </c>
      <c r="J72" s="83" t="s">
        <v>1898</v>
      </c>
      <c r="K72" t="s">
        <v>1893</v>
      </c>
      <c r="L72" s="234">
        <v>2022</v>
      </c>
      <c r="M72">
        <v>2022</v>
      </c>
      <c r="N72" t="str">
        <f t="shared" si="6"/>
        <v>AIE: Eléctrica: Perdas Rede SEN: Portugal: 2022:: kWh</v>
      </c>
      <c r="O72" t="str">
        <f t="shared" si="10"/>
        <v>Eléctrica</v>
      </c>
      <c r="P72" t="str">
        <f t="shared" si="11"/>
        <v>GALP</v>
      </c>
      <c r="Q72" s="234" t="s">
        <v>3535</v>
      </c>
      <c r="R72" s="234" t="s">
        <v>3536</v>
      </c>
      <c r="S72" t="s">
        <v>42</v>
      </c>
    </row>
    <row r="73" spans="1:19" ht="15.75" thickBot="1" x14ac:dyDescent="0.3">
      <c r="A73" s="277" t="s">
        <v>4706</v>
      </c>
      <c r="B73" s="277" t="s">
        <v>4706</v>
      </c>
      <c r="C73" s="277" t="str">
        <f t="shared" si="9"/>
        <v>X</v>
      </c>
      <c r="D73" s="115" t="s">
        <v>588</v>
      </c>
      <c r="E73" s="83" t="s">
        <v>1859</v>
      </c>
      <c r="F73" s="83" t="s">
        <v>538</v>
      </c>
      <c r="G73" s="120">
        <f t="array" ref="G73">SUMPRODUCT(IF('A2 copy'!$A$2:$A$1000=A73,1,0),'A2 copy'!$F$2:$F$1000,IF('A2 copy'!$D$2:$D$1000=L73,1,0),IF('A2 copy'!$E$2:$E$1000=P73,1,0),IF('A2 copy'!$G$2:$G$1000=I73,1,0),IF('A2 copy'!$N$2:$N$1000=S73,1,0))</f>
        <v>1362266</v>
      </c>
      <c r="H73" s="85" t="s">
        <v>589</v>
      </c>
      <c r="I73" s="123" t="s">
        <v>589</v>
      </c>
      <c r="J73" s="83" t="s">
        <v>1898</v>
      </c>
      <c r="K73" t="s">
        <v>1893</v>
      </c>
      <c r="L73" s="234">
        <v>2022</v>
      </c>
      <c r="M73">
        <v>2022</v>
      </c>
      <c r="N73" t="str">
        <f t="shared" si="6"/>
        <v>AIE: Eléctrica: Perdas Rede SEN: Portugal: 2022:: kWh</v>
      </c>
      <c r="O73" t="str">
        <f t="shared" si="10"/>
        <v>Eléctrica</v>
      </c>
      <c r="P73" t="str">
        <f t="shared" si="11"/>
        <v>GALP</v>
      </c>
      <c r="Q73" s="234" t="s">
        <v>3535</v>
      </c>
      <c r="R73" s="234" t="s">
        <v>3536</v>
      </c>
      <c r="S73" t="s">
        <v>42</v>
      </c>
    </row>
    <row r="74" spans="1:19" ht="15.75" thickBot="1" x14ac:dyDescent="0.3">
      <c r="A74" s="277" t="s">
        <v>4706</v>
      </c>
      <c r="B74" s="277" t="s">
        <v>4706</v>
      </c>
      <c r="C74" s="277" t="str">
        <f>IF(A74=B74,"X",RIGHT(A74,LEN(A74)-LEN(B74)-3))</f>
        <v>X</v>
      </c>
      <c r="D74" s="115" t="s">
        <v>588</v>
      </c>
      <c r="E74" s="83" t="s">
        <v>1859</v>
      </c>
      <c r="F74" s="83" t="s">
        <v>538</v>
      </c>
      <c r="G74" s="120">
        <f t="array" ref="G74">SUMPRODUCT(IF('A2 copy'!$A$2:$A$1000=A74,1,0),'A2 copy'!$F$2:$F$1000,IF('A2 copy'!$D$2:$D$1000=L74,1,0),IF('A2 copy'!$E$2:$E$1000=P74,1,0),IF('A2 copy'!$G$2:$G$1000=I74,1,0),IF('A2 copy'!$N$2:$N$1000=S74,1,0))</f>
        <v>528645</v>
      </c>
      <c r="H74" s="85" t="s">
        <v>589</v>
      </c>
      <c r="I74" s="123" t="s">
        <v>589</v>
      </c>
      <c r="J74" s="83" t="s">
        <v>1898</v>
      </c>
      <c r="K74" t="s">
        <v>1893</v>
      </c>
      <c r="L74" s="234">
        <v>2022</v>
      </c>
      <c r="M74">
        <v>2022</v>
      </c>
      <c r="N74" t="str">
        <f>IF(J74="Eléctrica",K74&amp;": "&amp;J74&amp;": "&amp;E74&amp;": Portugal: "&amp;M74&amp;":: "&amp;I74,K74&amp;": "&amp;J74&amp;": "&amp;E74&amp;": "&amp;M74&amp;":: "&amp;I74)</f>
        <v>AIE: Eléctrica: Perdas Rede SEN: Portugal: 2022:: kWh</v>
      </c>
      <c r="O74" t="str">
        <f>J74</f>
        <v>Eléctrica</v>
      </c>
      <c r="P74" t="str">
        <f>F74</f>
        <v>GALP</v>
      </c>
      <c r="Q74" s="234" t="s">
        <v>3535</v>
      </c>
      <c r="R74" s="234" t="s">
        <v>3536</v>
      </c>
      <c r="S74" t="s">
        <v>34</v>
      </c>
    </row>
    <row r="75" spans="1:19" ht="15.75" thickBot="1" x14ac:dyDescent="0.3">
      <c r="A75" s="82" t="s">
        <v>4705</v>
      </c>
      <c r="B75" s="82" t="s">
        <v>4705</v>
      </c>
      <c r="C75" s="82" t="str">
        <f t="shared" si="9"/>
        <v>X</v>
      </c>
      <c r="D75" s="83" t="s">
        <v>588</v>
      </c>
      <c r="E75" s="83" t="s">
        <v>1859</v>
      </c>
      <c r="F75" t="s">
        <v>2960</v>
      </c>
      <c r="G75" s="120">
        <v>1433304</v>
      </c>
      <c r="H75" s="85" t="s">
        <v>589</v>
      </c>
      <c r="I75" s="123" t="s">
        <v>589</v>
      </c>
      <c r="J75" s="83" t="s">
        <v>1898</v>
      </c>
      <c r="K75" t="s">
        <v>1893</v>
      </c>
      <c r="L75" s="234">
        <v>2022</v>
      </c>
      <c r="M75">
        <v>2022</v>
      </c>
      <c r="N75" t="str">
        <f t="shared" si="6"/>
        <v>AIE: Eléctrica: Perdas Rede SEN: Portugal: 2022:: kWh</v>
      </c>
      <c r="O75" t="str">
        <f t="shared" si="10"/>
        <v>Eléctrica</v>
      </c>
      <c r="P75" t="str">
        <f t="shared" si="11"/>
        <v>EDP Empresas</v>
      </c>
      <c r="Q75" s="234" t="s">
        <v>3535</v>
      </c>
      <c r="R75" s="234" t="s">
        <v>3536</v>
      </c>
      <c r="S75" t="s">
        <v>42</v>
      </c>
    </row>
    <row r="76" spans="1:19" ht="15.75" thickBot="1" x14ac:dyDescent="0.3">
      <c r="A76" s="82" t="s">
        <v>4705</v>
      </c>
      <c r="B76" s="82" t="s">
        <v>4705</v>
      </c>
      <c r="C76" s="82" t="str">
        <f t="shared" si="9"/>
        <v>X</v>
      </c>
      <c r="D76" s="83" t="s">
        <v>588</v>
      </c>
      <c r="E76" s="83" t="s">
        <v>1859</v>
      </c>
      <c r="F76" t="s">
        <v>3532</v>
      </c>
      <c r="G76" s="120">
        <v>18697259.5</v>
      </c>
      <c r="H76" s="85" t="s">
        <v>589</v>
      </c>
      <c r="I76" s="123" t="s">
        <v>589</v>
      </c>
      <c r="J76" s="83" t="s">
        <v>1898</v>
      </c>
      <c r="K76" t="s">
        <v>1893</v>
      </c>
      <c r="L76" s="234">
        <v>2022</v>
      </c>
      <c r="M76">
        <v>2022</v>
      </c>
      <c r="N76" t="str">
        <f t="shared" si="6"/>
        <v>AIE: Eléctrica: Perdas Rede SEN: Portugal: 2022:: kWh</v>
      </c>
      <c r="O76" t="str">
        <f t="shared" si="10"/>
        <v>Eléctrica</v>
      </c>
      <c r="P76" t="str">
        <f t="shared" si="11"/>
        <v>Iberdrola Genérica</v>
      </c>
      <c r="Q76" s="234" t="s">
        <v>3535</v>
      </c>
      <c r="R76" s="234" t="s">
        <v>3536</v>
      </c>
      <c r="S76" t="s">
        <v>42</v>
      </c>
    </row>
    <row r="77" spans="1:19" ht="15.75" thickBot="1" x14ac:dyDescent="0.3">
      <c r="A77" s="82" t="s">
        <v>4705</v>
      </c>
      <c r="B77" s="82" t="s">
        <v>4705</v>
      </c>
      <c r="C77" s="82" t="str">
        <f t="shared" si="9"/>
        <v>X</v>
      </c>
      <c r="D77" s="83" t="s">
        <v>588</v>
      </c>
      <c r="E77" s="83" t="s">
        <v>1859</v>
      </c>
      <c r="F77" t="s">
        <v>3527</v>
      </c>
      <c r="G77" s="120">
        <v>15023170.75</v>
      </c>
      <c r="H77" s="85" t="s">
        <v>589</v>
      </c>
      <c r="I77" s="123" t="s">
        <v>589</v>
      </c>
      <c r="J77" s="83" t="s">
        <v>1898</v>
      </c>
      <c r="K77" t="s">
        <v>1893</v>
      </c>
      <c r="L77" s="234">
        <v>2022</v>
      </c>
      <c r="M77">
        <v>2022</v>
      </c>
      <c r="N77" t="str">
        <f t="shared" si="6"/>
        <v>AIE: Eléctrica: Perdas Rede SEN: Portugal: 2022:: kWh</v>
      </c>
      <c r="O77" t="str">
        <f t="shared" si="10"/>
        <v>Eléctrica</v>
      </c>
      <c r="P77" t="str">
        <f t="shared" si="11"/>
        <v>SU</v>
      </c>
      <c r="Q77" s="234" t="s">
        <v>3535</v>
      </c>
      <c r="R77" s="234" t="s">
        <v>3536</v>
      </c>
      <c r="S77" t="s">
        <v>42</v>
      </c>
    </row>
    <row r="78" spans="1:19" ht="15.75" thickBot="1" x14ac:dyDescent="0.3">
      <c r="A78" s="82" t="s">
        <v>4705</v>
      </c>
      <c r="B78" s="82" t="s">
        <v>4705</v>
      </c>
      <c r="C78" s="82" t="str">
        <f t="shared" si="9"/>
        <v>X</v>
      </c>
      <c r="D78" s="83" t="s">
        <v>588</v>
      </c>
      <c r="E78" s="83" t="s">
        <v>1859</v>
      </c>
      <c r="F78" t="s">
        <v>538</v>
      </c>
      <c r="G78" s="120">
        <v>8672060.25</v>
      </c>
      <c r="H78" s="85" t="s">
        <v>589</v>
      </c>
      <c r="I78" s="123" t="s">
        <v>589</v>
      </c>
      <c r="J78" s="83" t="s">
        <v>1898</v>
      </c>
      <c r="K78" t="s">
        <v>1893</v>
      </c>
      <c r="L78" s="234">
        <v>2022</v>
      </c>
      <c r="M78">
        <v>2022</v>
      </c>
      <c r="N78" t="str">
        <f t="shared" si="6"/>
        <v>AIE: Eléctrica: Perdas Rede SEN: Portugal: 2022:: kWh</v>
      </c>
      <c r="O78" t="str">
        <f t="shared" si="10"/>
        <v>Eléctrica</v>
      </c>
      <c r="P78" t="str">
        <f t="shared" si="11"/>
        <v>GALP</v>
      </c>
      <c r="Q78" s="234" t="s">
        <v>3535</v>
      </c>
      <c r="R78" s="234" t="s">
        <v>3536</v>
      </c>
      <c r="S78" t="s">
        <v>42</v>
      </c>
    </row>
    <row r="79" spans="1:19" ht="15.75" thickBot="1" x14ac:dyDescent="0.3">
      <c r="A79" s="82" t="s">
        <v>4705</v>
      </c>
      <c r="B79" s="82" t="s">
        <v>4705</v>
      </c>
      <c r="C79" s="82" t="str">
        <f t="shared" si="9"/>
        <v>X</v>
      </c>
      <c r="D79" s="83" t="s">
        <v>588</v>
      </c>
      <c r="E79" s="83" t="s">
        <v>1859</v>
      </c>
      <c r="F79" t="s">
        <v>3528</v>
      </c>
      <c r="G79" s="120">
        <v>9582024</v>
      </c>
      <c r="H79" s="85" t="s">
        <v>589</v>
      </c>
      <c r="I79" s="123" t="s">
        <v>589</v>
      </c>
      <c r="J79" s="83" t="s">
        <v>1898</v>
      </c>
      <c r="K79" t="s">
        <v>1893</v>
      </c>
      <c r="L79" s="234">
        <v>2022</v>
      </c>
      <c r="M79">
        <v>2022</v>
      </c>
      <c r="N79" t="str">
        <f t="shared" si="6"/>
        <v>AIE: Eléctrica: Perdas Rede SEN: Portugal: 2022:: kWh</v>
      </c>
      <c r="O79" t="str">
        <f t="shared" si="10"/>
        <v>Eléctrica</v>
      </c>
      <c r="P79" t="str">
        <f t="shared" si="11"/>
        <v>Endesa</v>
      </c>
      <c r="Q79" s="234" t="s">
        <v>3535</v>
      </c>
      <c r="R79" s="234" t="s">
        <v>3536</v>
      </c>
      <c r="S79" t="s">
        <v>42</v>
      </c>
    </row>
    <row r="80" spans="1:19" ht="15.75" thickBot="1" x14ac:dyDescent="0.3">
      <c r="A80" s="82" t="s">
        <v>4701</v>
      </c>
      <c r="B80" s="82" t="s">
        <v>4701</v>
      </c>
      <c r="C80" s="82" t="str">
        <f t="shared" si="9"/>
        <v>X</v>
      </c>
      <c r="D80" s="115" t="s">
        <v>1527</v>
      </c>
      <c r="E80" s="83" t="s">
        <v>1858</v>
      </c>
      <c r="G80" s="120">
        <v>1125970.7869999998</v>
      </c>
      <c r="H80" s="117" t="s">
        <v>630</v>
      </c>
      <c r="I80" s="123" t="s">
        <v>1861</v>
      </c>
      <c r="J80" s="115" t="s">
        <v>620</v>
      </c>
      <c r="K80" t="s">
        <v>1896</v>
      </c>
      <c r="L80" s="234">
        <v>2022</v>
      </c>
      <c r="M80">
        <v>2022</v>
      </c>
      <c r="N80" t="str">
        <f t="shared" ref="N80:N81" si="12">IF(J80="Eléctrica",K80&amp;": "&amp;J80&amp;": "&amp;E80&amp;": Portugal: "&amp;M80&amp;":: "&amp;I80,K80&amp;": "&amp;J80&amp;": "&amp;E80&amp;": "&amp;M80&amp;":: "&amp;I80)</f>
        <v>DEFRA: Gasóleo: WTT: 2022:: l</v>
      </c>
      <c r="O80" t="str">
        <f t="shared" si="10"/>
        <v>Gasóleo</v>
      </c>
      <c r="P80">
        <f t="shared" si="11"/>
        <v>0</v>
      </c>
      <c r="Q80" s="234" t="s">
        <v>3535</v>
      </c>
      <c r="R80" s="234" t="s">
        <v>3536</v>
      </c>
      <c r="S80" t="s">
        <v>42</v>
      </c>
    </row>
    <row r="81" spans="1:19" ht="15.75" thickBot="1" x14ac:dyDescent="0.3">
      <c r="A81" s="82" t="s">
        <v>3734</v>
      </c>
      <c r="B81" s="82" t="s">
        <v>3734</v>
      </c>
      <c r="C81" s="82" t="str">
        <f t="shared" si="9"/>
        <v>X</v>
      </c>
      <c r="D81" s="115" t="s">
        <v>1527</v>
      </c>
      <c r="E81" s="83" t="s">
        <v>1858</v>
      </c>
      <c r="G81" s="120">
        <v>203460.12000000002</v>
      </c>
      <c r="H81" s="117" t="s">
        <v>630</v>
      </c>
      <c r="I81" s="123" t="s">
        <v>1861</v>
      </c>
      <c r="J81" s="115" t="s">
        <v>620</v>
      </c>
      <c r="K81" t="s">
        <v>1896</v>
      </c>
      <c r="L81" s="234">
        <v>2022</v>
      </c>
      <c r="M81">
        <v>2022</v>
      </c>
      <c r="N81" t="str">
        <f t="shared" si="12"/>
        <v>DEFRA: Gasóleo: WTT: 2022:: l</v>
      </c>
      <c r="O81" t="str">
        <f t="shared" si="10"/>
        <v>Gasóleo</v>
      </c>
      <c r="P81">
        <f t="shared" si="11"/>
        <v>0</v>
      </c>
      <c r="Q81" s="234" t="s">
        <v>3535</v>
      </c>
      <c r="R81" s="234" t="s">
        <v>3536</v>
      </c>
      <c r="S81" t="s">
        <v>42</v>
      </c>
    </row>
    <row r="82" spans="1:19" ht="15.75" thickBot="1" x14ac:dyDescent="0.3">
      <c r="A82" s="82" t="s">
        <v>3735</v>
      </c>
      <c r="B82" s="82" t="s">
        <v>3735</v>
      </c>
      <c r="C82" s="82" t="str">
        <f t="shared" ref="C82" si="13">IF(A82=B82,"X",RIGHT(A82,LEN(A82)-LEN(B82)-3))</f>
        <v>X</v>
      </c>
      <c r="D82" s="115" t="s">
        <v>1527</v>
      </c>
      <c r="E82" s="83" t="s">
        <v>1858</v>
      </c>
      <c r="G82" s="410">
        <v>153673.73000000001</v>
      </c>
      <c r="H82" s="117" t="s">
        <v>630</v>
      </c>
      <c r="I82" s="123" t="s">
        <v>1861</v>
      </c>
      <c r="J82" s="115" t="s">
        <v>620</v>
      </c>
      <c r="K82" t="s">
        <v>1896</v>
      </c>
      <c r="L82" s="234">
        <v>2022</v>
      </c>
      <c r="M82">
        <v>2022</v>
      </c>
      <c r="N82" t="str">
        <f t="shared" ref="N82" si="14">IF(J82="Eléctrica",K82&amp;": "&amp;J82&amp;": "&amp;E82&amp;": Portugal: "&amp;M82&amp;":: "&amp;I82,K82&amp;": "&amp;J82&amp;": "&amp;E82&amp;": "&amp;M82&amp;":: "&amp;I82)</f>
        <v>DEFRA: Gasóleo: WTT: 2022:: l</v>
      </c>
      <c r="O82" t="str">
        <f t="shared" ref="O82" si="15">J82</f>
        <v>Gasóleo</v>
      </c>
      <c r="P82">
        <f t="shared" ref="P82" si="16">F82</f>
        <v>0</v>
      </c>
      <c r="Q82" s="234" t="s">
        <v>3535</v>
      </c>
      <c r="R82" s="234" t="s">
        <v>3536</v>
      </c>
      <c r="S82" t="s">
        <v>42</v>
      </c>
    </row>
    <row r="83" spans="1:19" ht="15.75" thickBot="1" x14ac:dyDescent="0.3">
      <c r="A83" s="82" t="s">
        <v>4701</v>
      </c>
      <c r="B83" s="82" t="s">
        <v>4701</v>
      </c>
      <c r="C83" s="82" t="str">
        <f t="shared" si="9"/>
        <v>X</v>
      </c>
      <c r="D83" s="83" t="s">
        <v>588</v>
      </c>
      <c r="E83" s="83" t="s">
        <v>1859</v>
      </c>
      <c r="F83" t="s">
        <v>538</v>
      </c>
      <c r="G83" s="172">
        <v>18052</v>
      </c>
      <c r="H83" s="85" t="s">
        <v>589</v>
      </c>
      <c r="I83" s="123" t="s">
        <v>589</v>
      </c>
      <c r="J83" s="83" t="s">
        <v>1898</v>
      </c>
      <c r="K83" t="s">
        <v>1893</v>
      </c>
      <c r="L83" s="234">
        <v>2022</v>
      </c>
      <c r="M83">
        <v>2022</v>
      </c>
      <c r="N83" t="str">
        <f t="shared" ref="N83:N87" si="17">IF(J83="Eléctrica",K83&amp;": "&amp;J83&amp;": "&amp;E83&amp;": Portugal: "&amp;M83&amp;":: "&amp;I83,K83&amp;": "&amp;J83&amp;": "&amp;E83&amp;": "&amp;M83&amp;":: "&amp;I83)</f>
        <v>AIE: Eléctrica: Perdas Rede SEN: Portugal: 2022:: kWh</v>
      </c>
      <c r="O83" t="str">
        <f t="shared" ref="O83:O87" si="18">J83</f>
        <v>Eléctrica</v>
      </c>
      <c r="P83" t="str">
        <f t="shared" ref="P83:P90" si="19">F83</f>
        <v>GALP</v>
      </c>
      <c r="Q83" s="234" t="s">
        <v>3535</v>
      </c>
      <c r="R83" s="234" t="s">
        <v>3536</v>
      </c>
      <c r="S83" t="s">
        <v>42</v>
      </c>
    </row>
    <row r="84" spans="1:19" ht="15.75" thickBot="1" x14ac:dyDescent="0.3">
      <c r="A84" s="82" t="s">
        <v>4793</v>
      </c>
      <c r="B84" s="82" t="s">
        <v>4793</v>
      </c>
      <c r="C84" s="82" t="str">
        <f t="shared" si="9"/>
        <v>X</v>
      </c>
      <c r="D84" s="83" t="s">
        <v>588</v>
      </c>
      <c r="E84" s="83" t="s">
        <v>1859</v>
      </c>
      <c r="F84" t="s">
        <v>538</v>
      </c>
      <c r="G84" s="172">
        <v>5856</v>
      </c>
      <c r="H84" s="85" t="s">
        <v>589</v>
      </c>
      <c r="I84" s="123" t="s">
        <v>589</v>
      </c>
      <c r="J84" s="83" t="s">
        <v>1898</v>
      </c>
      <c r="K84" t="s">
        <v>1893</v>
      </c>
      <c r="L84" s="234">
        <v>2022</v>
      </c>
      <c r="M84">
        <v>2022</v>
      </c>
      <c r="N84" t="str">
        <f t="shared" si="17"/>
        <v>AIE: Eléctrica: Perdas Rede SEN: Portugal: 2022:: kWh</v>
      </c>
      <c r="O84" t="str">
        <f t="shared" si="18"/>
        <v>Eléctrica</v>
      </c>
      <c r="P84" t="str">
        <f t="shared" si="19"/>
        <v>GALP</v>
      </c>
      <c r="Q84" s="234" t="s">
        <v>3535</v>
      </c>
      <c r="R84" s="234" t="s">
        <v>3536</v>
      </c>
      <c r="S84" t="s">
        <v>42</v>
      </c>
    </row>
    <row r="85" spans="1:19" ht="15.75" thickBot="1" x14ac:dyDescent="0.3">
      <c r="A85" s="82" t="s">
        <v>4792</v>
      </c>
      <c r="B85" s="82" t="s">
        <v>4792</v>
      </c>
      <c r="C85" s="82" t="str">
        <f t="shared" si="9"/>
        <v>X</v>
      </c>
      <c r="D85" s="83" t="s">
        <v>588</v>
      </c>
      <c r="E85" s="83" t="s">
        <v>1859</v>
      </c>
      <c r="F85" t="s">
        <v>538</v>
      </c>
      <c r="G85" s="172">
        <v>4980</v>
      </c>
      <c r="H85" s="85" t="s">
        <v>589</v>
      </c>
      <c r="I85" s="123" t="s">
        <v>589</v>
      </c>
      <c r="J85" s="83" t="s">
        <v>1898</v>
      </c>
      <c r="K85" t="s">
        <v>1893</v>
      </c>
      <c r="L85" s="234">
        <v>2022</v>
      </c>
      <c r="M85">
        <v>2022</v>
      </c>
      <c r="N85" t="str">
        <f t="shared" si="17"/>
        <v>AIE: Eléctrica: Perdas Rede SEN: Portugal: 2022:: kWh</v>
      </c>
      <c r="O85" t="str">
        <f t="shared" si="18"/>
        <v>Eléctrica</v>
      </c>
      <c r="P85" t="str">
        <f t="shared" si="19"/>
        <v>GALP</v>
      </c>
      <c r="Q85" s="234" t="s">
        <v>3535</v>
      </c>
      <c r="R85" s="234" t="s">
        <v>3536</v>
      </c>
      <c r="S85" t="s">
        <v>42</v>
      </c>
    </row>
    <row r="86" spans="1:19" ht="15.75" thickBot="1" x14ac:dyDescent="0.3">
      <c r="A86" t="s">
        <v>4704</v>
      </c>
      <c r="B86" t="s">
        <v>4704</v>
      </c>
      <c r="C86" s="82" t="str">
        <f t="shared" si="9"/>
        <v>X</v>
      </c>
      <c r="D86" s="115" t="s">
        <v>1527</v>
      </c>
      <c r="E86" s="83" t="s">
        <v>1858</v>
      </c>
      <c r="G86" s="89">
        <v>1456.61</v>
      </c>
      <c r="H86" s="117" t="s">
        <v>630</v>
      </c>
      <c r="I86" s="123" t="s">
        <v>1861</v>
      </c>
      <c r="J86" s="115" t="s">
        <v>620</v>
      </c>
      <c r="K86" t="s">
        <v>1896</v>
      </c>
      <c r="L86" s="234">
        <v>2022</v>
      </c>
      <c r="M86">
        <v>2022</v>
      </c>
      <c r="N86" t="str">
        <f t="shared" si="17"/>
        <v>DEFRA: Gasóleo: WTT: 2022:: l</v>
      </c>
      <c r="O86" t="str">
        <f t="shared" si="18"/>
        <v>Gasóleo</v>
      </c>
      <c r="P86">
        <f t="shared" si="19"/>
        <v>0</v>
      </c>
      <c r="Q86" s="234" t="s">
        <v>3535</v>
      </c>
      <c r="R86" s="234" t="s">
        <v>3536</v>
      </c>
      <c r="S86" t="s">
        <v>42</v>
      </c>
    </row>
    <row r="87" spans="1:19" ht="15.75" thickBot="1" x14ac:dyDescent="0.3">
      <c r="A87" t="s">
        <v>4704</v>
      </c>
      <c r="B87" t="s">
        <v>4704</v>
      </c>
      <c r="C87" s="82" t="str">
        <f t="shared" ref="C87:C88" si="20">IF(A87=B87,"X",RIGHT(A87,LEN(A87)-LEN(B87)-3))</f>
        <v>X</v>
      </c>
      <c r="D87" s="83" t="s">
        <v>588</v>
      </c>
      <c r="E87" s="83" t="s">
        <v>1859</v>
      </c>
      <c r="F87" s="299"/>
      <c r="G87" s="174">
        <v>21747248.66383943</v>
      </c>
      <c r="H87" s="85" t="s">
        <v>589</v>
      </c>
      <c r="I87" s="123" t="s">
        <v>589</v>
      </c>
      <c r="J87" s="83" t="s">
        <v>1898</v>
      </c>
      <c r="K87" t="s">
        <v>1893</v>
      </c>
      <c r="L87" s="234">
        <v>2022</v>
      </c>
      <c r="M87">
        <v>2022</v>
      </c>
      <c r="N87" t="str">
        <f t="shared" si="17"/>
        <v>AIE: Eléctrica: Perdas Rede SEN: Portugal: 2022:: kWh</v>
      </c>
      <c r="O87" t="str">
        <f t="shared" si="18"/>
        <v>Eléctrica</v>
      </c>
      <c r="P87" s="299">
        <f t="shared" si="19"/>
        <v>0</v>
      </c>
      <c r="Q87" s="234" t="s">
        <v>3535</v>
      </c>
      <c r="R87" s="234" t="s">
        <v>3536</v>
      </c>
      <c r="S87" t="s">
        <v>42</v>
      </c>
    </row>
    <row r="88" spans="1:19" ht="15.75" thickBot="1" x14ac:dyDescent="0.3">
      <c r="A88" t="s">
        <v>4703</v>
      </c>
      <c r="B88" t="s">
        <v>4703</v>
      </c>
      <c r="C88" s="82" t="str">
        <f t="shared" si="20"/>
        <v>X</v>
      </c>
      <c r="D88" s="115" t="s">
        <v>1527</v>
      </c>
      <c r="E88" s="83" t="s">
        <v>1858</v>
      </c>
      <c r="G88" s="434">
        <v>1409.4538461538461</v>
      </c>
      <c r="H88" s="117" t="s">
        <v>630</v>
      </c>
      <c r="I88" s="123" t="s">
        <v>1861</v>
      </c>
      <c r="J88" s="115" t="s">
        <v>620</v>
      </c>
      <c r="K88" t="s">
        <v>1896</v>
      </c>
      <c r="L88" s="234">
        <v>2022</v>
      </c>
      <c r="M88">
        <v>2022</v>
      </c>
      <c r="N88" t="str">
        <f t="shared" ref="N88:N90" si="21">IF(J88="Eléctrica",K88&amp;": "&amp;J88&amp;": "&amp;E88&amp;": Portugal: "&amp;M88&amp;":: "&amp;I88,K88&amp;": "&amp;J88&amp;": "&amp;E88&amp;": "&amp;M88&amp;":: "&amp;I88)</f>
        <v>DEFRA: Gasóleo: WTT: 2022:: l</v>
      </c>
      <c r="O88" t="str">
        <f t="shared" ref="O88:O90" si="22">J88</f>
        <v>Gasóleo</v>
      </c>
      <c r="P88">
        <f t="shared" si="19"/>
        <v>0</v>
      </c>
      <c r="Q88" s="234" t="s">
        <v>3535</v>
      </c>
      <c r="R88" s="234" t="s">
        <v>3536</v>
      </c>
      <c r="S88" t="s">
        <v>42</v>
      </c>
    </row>
    <row r="89" spans="1:19" ht="15.75" thickBot="1" x14ac:dyDescent="0.3">
      <c r="A89" t="s">
        <v>4703</v>
      </c>
      <c r="B89" t="s">
        <v>4703</v>
      </c>
      <c r="C89" s="82" t="str">
        <f t="shared" ref="C89" si="23">IF(A89=B89,"X",RIGHT(A89,LEN(A89)-LEN(B89)-3))</f>
        <v>X</v>
      </c>
      <c r="D89" s="83" t="s">
        <v>588</v>
      </c>
      <c r="E89" s="83" t="s">
        <v>1859</v>
      </c>
      <c r="F89" s="299"/>
      <c r="G89" s="120">
        <v>1249990</v>
      </c>
      <c r="H89" s="85" t="s">
        <v>589</v>
      </c>
      <c r="I89" s="123" t="s">
        <v>589</v>
      </c>
      <c r="J89" s="83" t="s">
        <v>1898</v>
      </c>
      <c r="K89" t="s">
        <v>1893</v>
      </c>
      <c r="L89" s="234">
        <v>2022</v>
      </c>
      <c r="M89">
        <v>2022</v>
      </c>
      <c r="N89" t="str">
        <f t="shared" si="21"/>
        <v>AIE: Eléctrica: Perdas Rede SEN: Portugal: 2022:: kWh</v>
      </c>
      <c r="O89" t="str">
        <f t="shared" si="22"/>
        <v>Eléctrica</v>
      </c>
      <c r="P89" s="299">
        <f t="shared" si="19"/>
        <v>0</v>
      </c>
      <c r="Q89" s="234" t="s">
        <v>3535</v>
      </c>
      <c r="R89" s="234" t="s">
        <v>3536</v>
      </c>
      <c r="S89" t="s">
        <v>42</v>
      </c>
    </row>
    <row r="90" spans="1:19" ht="15.75" thickBot="1" x14ac:dyDescent="0.3">
      <c r="A90" t="s">
        <v>4718</v>
      </c>
      <c r="B90" t="s">
        <v>4718</v>
      </c>
      <c r="C90" t="s">
        <v>1969</v>
      </c>
      <c r="D90" s="115" t="s">
        <v>1527</v>
      </c>
      <c r="E90" s="83" t="s">
        <v>1858</v>
      </c>
      <c r="G90" s="410">
        <v>8629.9500000000007</v>
      </c>
      <c r="H90" s="117" t="s">
        <v>630</v>
      </c>
      <c r="I90" s="123" t="s">
        <v>1861</v>
      </c>
      <c r="J90" s="115" t="s">
        <v>620</v>
      </c>
      <c r="K90" t="s">
        <v>1896</v>
      </c>
      <c r="L90" s="234">
        <v>2022</v>
      </c>
      <c r="M90">
        <v>2022</v>
      </c>
      <c r="N90" t="str">
        <f t="shared" si="21"/>
        <v>DEFRA: Gasóleo: WTT: 2022:: l</v>
      </c>
      <c r="O90" t="str">
        <f t="shared" si="22"/>
        <v>Gasóleo</v>
      </c>
      <c r="P90">
        <f t="shared" si="19"/>
        <v>0</v>
      </c>
      <c r="Q90" s="234" t="s">
        <v>3535</v>
      </c>
      <c r="R90" s="234" t="s">
        <v>3536</v>
      </c>
      <c r="S90" t="s">
        <v>42</v>
      </c>
    </row>
    <row r="91" spans="1:19" ht="15.75" thickBot="1" x14ac:dyDescent="0.3">
      <c r="A91" t="s">
        <v>4718</v>
      </c>
      <c r="B91" t="s">
        <v>4718</v>
      </c>
      <c r="C91" t="s">
        <v>1969</v>
      </c>
      <c r="D91" s="83" t="s">
        <v>588</v>
      </c>
      <c r="E91" s="83" t="s">
        <v>1859</v>
      </c>
      <c r="F91" t="s">
        <v>538</v>
      </c>
      <c r="G91" s="174">
        <v>349836</v>
      </c>
      <c r="H91" s="85" t="s">
        <v>589</v>
      </c>
      <c r="I91" s="123" t="s">
        <v>589</v>
      </c>
      <c r="J91" s="83" t="s">
        <v>1898</v>
      </c>
      <c r="K91" t="s">
        <v>1893</v>
      </c>
      <c r="L91" s="234">
        <v>2022</v>
      </c>
      <c r="M91">
        <v>2022</v>
      </c>
      <c r="N91" t="str">
        <f t="shared" ref="N91:N92" si="24">IF(J91="Eléctrica",K91&amp;": "&amp;J91&amp;": "&amp;E91&amp;": Portugal: "&amp;M91&amp;":: "&amp;I91,K91&amp;": "&amp;J91&amp;": "&amp;E91&amp;": "&amp;M91&amp;":: "&amp;I91)</f>
        <v>AIE: Eléctrica: Perdas Rede SEN: Portugal: 2022:: kWh</v>
      </c>
      <c r="O91" t="str">
        <f t="shared" ref="O91:O92" si="25">J91</f>
        <v>Eléctrica</v>
      </c>
      <c r="P91" s="299" t="str">
        <f t="shared" ref="P91:P92" si="26">F91</f>
        <v>GALP</v>
      </c>
      <c r="Q91" s="234" t="s">
        <v>3535</v>
      </c>
      <c r="R91" s="234" t="s">
        <v>3536</v>
      </c>
      <c r="S91" t="s">
        <v>42</v>
      </c>
    </row>
    <row r="92" spans="1:19" ht="15.75" thickBot="1" x14ac:dyDescent="0.3">
      <c r="A92" t="s">
        <v>4718</v>
      </c>
      <c r="B92" t="s">
        <v>4718</v>
      </c>
      <c r="C92" t="s">
        <v>1969</v>
      </c>
      <c r="D92" s="115" t="s">
        <v>1527</v>
      </c>
      <c r="E92" s="83" t="s">
        <v>1858</v>
      </c>
      <c r="G92" s="410">
        <v>4418.8500000000004</v>
      </c>
      <c r="H92" s="117" t="s">
        <v>630</v>
      </c>
      <c r="I92" s="123" t="s">
        <v>1861</v>
      </c>
      <c r="J92" s="115" t="s">
        <v>1952</v>
      </c>
      <c r="K92" t="s">
        <v>1896</v>
      </c>
      <c r="L92" s="234">
        <v>2022</v>
      </c>
      <c r="M92">
        <v>2022</v>
      </c>
      <c r="N92" t="str">
        <f t="shared" si="24"/>
        <v>DEFRA: Gasolina: WTT: 2022:: l</v>
      </c>
      <c r="O92" t="str">
        <f t="shared" si="25"/>
        <v>Gasolina</v>
      </c>
      <c r="P92">
        <f t="shared" si="26"/>
        <v>0</v>
      </c>
      <c r="Q92" s="234" t="s">
        <v>3535</v>
      </c>
      <c r="R92" s="234" t="s">
        <v>3536</v>
      </c>
      <c r="S92" t="s">
        <v>42</v>
      </c>
    </row>
    <row r="93" spans="1:19" x14ac:dyDescent="0.25">
      <c r="I93"/>
    </row>
    <row r="94" spans="1:19" x14ac:dyDescent="0.25">
      <c r="I94"/>
    </row>
    <row r="95" spans="1:19" x14ac:dyDescent="0.25">
      <c r="I95"/>
    </row>
    <row r="96" spans="1:19" x14ac:dyDescent="0.25">
      <c r="I96"/>
    </row>
    <row r="97" spans="9:9" x14ac:dyDescent="0.25">
      <c r="I97"/>
    </row>
    <row r="98" spans="9:9" x14ac:dyDescent="0.25">
      <c r="I98"/>
    </row>
    <row r="99" spans="9:9" x14ac:dyDescent="0.25">
      <c r="I99"/>
    </row>
    <row r="100" spans="9:9" x14ac:dyDescent="0.25">
      <c r="I100"/>
    </row>
    <row r="101" spans="9:9" x14ac:dyDescent="0.25">
      <c r="I101"/>
    </row>
    <row r="102" spans="9:9" x14ac:dyDescent="0.25">
      <c r="I102"/>
    </row>
    <row r="103" spans="9:9" x14ac:dyDescent="0.25">
      <c r="I103"/>
    </row>
    <row r="104" spans="9:9" x14ac:dyDescent="0.25">
      <c r="I104"/>
    </row>
    <row r="105" spans="9:9" x14ac:dyDescent="0.25">
      <c r="I105"/>
    </row>
    <row r="106" spans="9:9" x14ac:dyDescent="0.25">
      <c r="I106"/>
    </row>
    <row r="107" spans="9:9" x14ac:dyDescent="0.25">
      <c r="I107"/>
    </row>
    <row r="108" spans="9:9" x14ac:dyDescent="0.25">
      <c r="I108"/>
    </row>
    <row r="109" spans="9:9" x14ac:dyDescent="0.25">
      <c r="I109"/>
    </row>
    <row r="110" spans="9:9" x14ac:dyDescent="0.25">
      <c r="I110"/>
    </row>
    <row r="111" spans="9:9" x14ac:dyDescent="0.25">
      <c r="I111"/>
    </row>
    <row r="112" spans="9:9" x14ac:dyDescent="0.25">
      <c r="I112"/>
    </row>
    <row r="113" spans="9:9" x14ac:dyDescent="0.25">
      <c r="I113"/>
    </row>
    <row r="114" spans="9:9" x14ac:dyDescent="0.25">
      <c r="I114"/>
    </row>
    <row r="115" spans="9:9" x14ac:dyDescent="0.25">
      <c r="I115"/>
    </row>
    <row r="116" spans="9:9" x14ac:dyDescent="0.25">
      <c r="I116"/>
    </row>
    <row r="117" spans="9:9" x14ac:dyDescent="0.25">
      <c r="I117"/>
    </row>
    <row r="118" spans="9:9" x14ac:dyDescent="0.25">
      <c r="I118"/>
    </row>
    <row r="119" spans="9:9" x14ac:dyDescent="0.25">
      <c r="I119"/>
    </row>
    <row r="120" spans="9:9" x14ac:dyDescent="0.25">
      <c r="I120"/>
    </row>
    <row r="121" spans="9:9" x14ac:dyDescent="0.25">
      <c r="I121"/>
    </row>
    <row r="122" spans="9:9" x14ac:dyDescent="0.25">
      <c r="I122"/>
    </row>
    <row r="123" spans="9:9" x14ac:dyDescent="0.25">
      <c r="I123"/>
    </row>
    <row r="124" spans="9:9" x14ac:dyDescent="0.25">
      <c r="I124"/>
    </row>
    <row r="125" spans="9:9" x14ac:dyDescent="0.25">
      <c r="I125"/>
    </row>
    <row r="126" spans="9:9" x14ac:dyDescent="0.25">
      <c r="I126"/>
    </row>
    <row r="127" spans="9:9" x14ac:dyDescent="0.25">
      <c r="I127"/>
    </row>
    <row r="128" spans="9:9" x14ac:dyDescent="0.25">
      <c r="I128"/>
    </row>
    <row r="129" spans="9:9" x14ac:dyDescent="0.25">
      <c r="I129"/>
    </row>
    <row r="130" spans="9:9" x14ac:dyDescent="0.25">
      <c r="I130"/>
    </row>
    <row r="131" spans="9:9" x14ac:dyDescent="0.25">
      <c r="I131"/>
    </row>
    <row r="132" spans="9:9" x14ac:dyDescent="0.25">
      <c r="I132"/>
    </row>
    <row r="133" spans="9:9" x14ac:dyDescent="0.25">
      <c r="I133"/>
    </row>
    <row r="134" spans="9:9" x14ac:dyDescent="0.25">
      <c r="I134"/>
    </row>
    <row r="135" spans="9:9" x14ac:dyDescent="0.25">
      <c r="I135"/>
    </row>
    <row r="136" spans="9:9" x14ac:dyDescent="0.25">
      <c r="I136"/>
    </row>
    <row r="137" spans="9:9" x14ac:dyDescent="0.25">
      <c r="I137"/>
    </row>
    <row r="138" spans="9:9" x14ac:dyDescent="0.25">
      <c r="I138"/>
    </row>
    <row r="139" spans="9:9" x14ac:dyDescent="0.25">
      <c r="I139"/>
    </row>
    <row r="140" spans="9:9" x14ac:dyDescent="0.25">
      <c r="I140"/>
    </row>
    <row r="141" spans="9:9" x14ac:dyDescent="0.25">
      <c r="I141"/>
    </row>
    <row r="142" spans="9:9" x14ac:dyDescent="0.25">
      <c r="I142"/>
    </row>
    <row r="143" spans="9:9" x14ac:dyDescent="0.25">
      <c r="I143"/>
    </row>
  </sheetData>
  <autoFilter ref="A1:S79"/>
  <mergeCells count="18">
    <mergeCell ref="A1:A2"/>
    <mergeCell ref="C1:C2"/>
    <mergeCell ref="E1:E2"/>
    <mergeCell ref="I1:I2"/>
    <mergeCell ref="K1:K2"/>
    <mergeCell ref="B1:B2"/>
    <mergeCell ref="D1:D2"/>
    <mergeCell ref="G1:G2"/>
    <mergeCell ref="H1:H2"/>
    <mergeCell ref="J1:J2"/>
    <mergeCell ref="P1:P2"/>
    <mergeCell ref="L1:L2"/>
    <mergeCell ref="M1:M2"/>
    <mergeCell ref="N1:N2"/>
    <mergeCell ref="S1:S2"/>
    <mergeCell ref="Q1:Q2"/>
    <mergeCell ref="R1:R2"/>
    <mergeCell ref="O1:O2"/>
  </mergeCells>
  <dataValidations count="2">
    <dataValidation type="list" allowBlank="1" showInputMessage="1" showErrorMessage="1" sqref="H3:H92">
      <formula1>"kWh, l (litros), kg (quilos), Nm3 (metros cubicos norm.)"</formula1>
    </dataValidation>
    <dataValidation type="list" allowBlank="1" showInputMessage="1" showErrorMessage="1" sqref="D15 D3 D75:D79 D83:D85 D87 D89 D91">
      <formula1>"WTT (combustíveis), Perdas Rede (Eletricidade)"</formula1>
    </dataValidation>
  </dataValidations>
  <pageMargins left="0.7" right="0.7" top="0.75" bottom="0.75" header="0.3" footer="0.3"/>
  <customProperties>
    <customPr name="GUID" r:id="rId1"/>
  </customPropertie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7"/>
  <dimension ref="B6:W51"/>
  <sheetViews>
    <sheetView topLeftCell="A64" workbookViewId="0">
      <selection activeCell="E34" sqref="E34"/>
    </sheetView>
    <sheetView workbookViewId="1"/>
  </sheetViews>
  <sheetFormatPr defaultRowHeight="15" x14ac:dyDescent="0.25"/>
  <cols>
    <col min="2" max="2" width="43" customWidth="1"/>
    <col min="3" max="3" width="30" customWidth="1"/>
    <col min="4" max="5" width="24.42578125" customWidth="1"/>
    <col min="6" max="6" width="21.28515625" customWidth="1"/>
    <col min="7" max="7" width="41.7109375" customWidth="1"/>
    <col min="8" max="8" width="22.42578125" bestFit="1" customWidth="1"/>
  </cols>
  <sheetData>
    <row r="6" spans="2:21" ht="15.75" thickBot="1" x14ac:dyDescent="0.3"/>
    <row r="7" spans="2:21" x14ac:dyDescent="0.25">
      <c r="B7" s="78" t="s">
        <v>118</v>
      </c>
      <c r="C7" s="79"/>
    </row>
    <row r="9" spans="2:21" x14ac:dyDescent="0.25">
      <c r="B9" s="516" t="str">
        <f>"Grupo Barraqueiro: "&amp;'Folha de Rosto'!C6&amp;" "&amp;'Folha de Rosto'!I6&amp;" - Emissões de GEE de Âmbito 3"</f>
        <v>Grupo Barraqueiro: PEGADA DE CARBONO 2022 - Emissões de GEE de Âmbito 3</v>
      </c>
      <c r="C9" s="516"/>
      <c r="D9" s="516"/>
      <c r="E9" s="516"/>
      <c r="F9" s="516"/>
      <c r="G9" s="516"/>
      <c r="H9" s="516"/>
      <c r="I9" s="516"/>
      <c r="J9" s="516"/>
      <c r="K9" s="516"/>
      <c r="L9" s="516"/>
      <c r="M9" s="516"/>
      <c r="N9" s="516"/>
      <c r="O9" s="516"/>
      <c r="P9" s="516"/>
      <c r="Q9" s="516"/>
      <c r="R9" s="516"/>
      <c r="S9" s="516"/>
      <c r="T9" s="516"/>
      <c r="U9" s="516"/>
    </row>
    <row r="10" spans="2:21" ht="15.75" thickBot="1" x14ac:dyDescent="0.3"/>
    <row r="11" spans="2:21" ht="33.6" customHeight="1" thickBot="1" x14ac:dyDescent="0.3">
      <c r="B11" s="512" t="s">
        <v>119</v>
      </c>
      <c r="C11" s="512"/>
      <c r="D11" s="518" t="s">
        <v>522</v>
      </c>
      <c r="E11" s="518"/>
      <c r="F11" s="518"/>
      <c r="G11" s="519"/>
      <c r="H11" s="519"/>
      <c r="I11" s="519"/>
      <c r="J11" s="519"/>
      <c r="K11" s="519"/>
      <c r="L11" s="519"/>
      <c r="M11" s="519"/>
      <c r="N11" s="519"/>
      <c r="O11" s="519"/>
      <c r="P11" s="520"/>
    </row>
    <row r="12" spans="2:21" ht="60.95" customHeight="1" thickBot="1" x14ac:dyDescent="0.3">
      <c r="B12" s="512" t="s">
        <v>120</v>
      </c>
      <c r="C12" s="512"/>
      <c r="D12" s="521" t="s">
        <v>432</v>
      </c>
      <c r="E12" s="521"/>
      <c r="F12" s="521"/>
      <c r="G12" s="522"/>
      <c r="H12" s="522"/>
      <c r="I12" s="522"/>
      <c r="J12" s="522"/>
      <c r="K12" s="522"/>
      <c r="L12" s="522"/>
      <c r="M12" s="522"/>
      <c r="N12" s="522"/>
      <c r="O12" s="522"/>
      <c r="P12" s="523"/>
    </row>
    <row r="13" spans="2:21" ht="60.95" customHeight="1" thickBot="1" x14ac:dyDescent="0.3">
      <c r="B13" s="512" t="s">
        <v>121</v>
      </c>
      <c r="C13" s="512"/>
      <c r="D13" s="513" t="s">
        <v>1529</v>
      </c>
      <c r="E13" s="513"/>
      <c r="F13" s="513"/>
      <c r="G13" s="514"/>
      <c r="H13" s="514"/>
      <c r="I13" s="514"/>
      <c r="J13" s="514"/>
      <c r="K13" s="514"/>
      <c r="L13" s="514"/>
      <c r="M13" s="514"/>
      <c r="N13" s="514"/>
      <c r="O13" s="514"/>
      <c r="P13" s="515"/>
    </row>
    <row r="14" spans="2:21" ht="60.95" customHeight="1" thickBot="1" x14ac:dyDescent="0.3">
      <c r="B14" s="512" t="s">
        <v>122</v>
      </c>
      <c r="C14" s="512"/>
      <c r="D14" s="513" t="s">
        <v>123</v>
      </c>
      <c r="E14" s="513"/>
      <c r="F14" s="513"/>
      <c r="G14" s="514"/>
      <c r="H14" s="514"/>
      <c r="I14" s="514"/>
      <c r="J14" s="514"/>
      <c r="K14" s="514"/>
      <c r="L14" s="514"/>
      <c r="M14" s="514"/>
      <c r="N14" s="514"/>
      <c r="O14" s="514"/>
      <c r="P14" s="515"/>
    </row>
    <row r="15" spans="2:21" ht="60" customHeight="1" thickBot="1" x14ac:dyDescent="0.3">
      <c r="B15" s="512" t="s">
        <v>128</v>
      </c>
      <c r="C15" s="512"/>
      <c r="D15" s="547" t="s">
        <v>129</v>
      </c>
      <c r="E15" s="548"/>
      <c r="F15" s="548"/>
      <c r="G15" s="548"/>
      <c r="H15" s="548"/>
      <c r="I15" s="548"/>
      <c r="J15" s="548"/>
      <c r="K15" s="548"/>
      <c r="L15" s="548"/>
      <c r="M15" s="548"/>
      <c r="N15" s="548"/>
      <c r="O15" s="548"/>
      <c r="P15" s="513"/>
    </row>
    <row r="17" spans="2:23" x14ac:dyDescent="0.25">
      <c r="B17" s="516" t="s">
        <v>1827</v>
      </c>
      <c r="C17" s="516"/>
      <c r="D17" s="516"/>
      <c r="E17" s="516"/>
      <c r="F17" s="516"/>
      <c r="G17" s="516"/>
      <c r="H17" s="516"/>
      <c r="I17" s="516"/>
      <c r="J17" s="516"/>
      <c r="K17" s="516"/>
      <c r="L17" s="516"/>
      <c r="M17" s="516"/>
      <c r="N17" s="516"/>
      <c r="O17" s="516"/>
      <c r="P17" s="516"/>
      <c r="Q17" s="516"/>
      <c r="R17" s="516"/>
      <c r="S17" s="516"/>
      <c r="T17" s="516"/>
      <c r="U17" s="516"/>
      <c r="V17" s="516"/>
      <c r="W17" s="516"/>
    </row>
    <row r="18" spans="2:23" x14ac:dyDescent="0.25">
      <c r="B18" t="s">
        <v>130</v>
      </c>
    </row>
    <row r="20" spans="2:23" x14ac:dyDescent="0.25">
      <c r="B20" s="81" t="s">
        <v>135</v>
      </c>
    </row>
    <row r="21" spans="2:23" x14ac:dyDescent="0.25">
      <c r="B21" s="517"/>
      <c r="C21" s="517"/>
      <c r="D21" s="517"/>
      <c r="E21" s="517"/>
      <c r="F21" s="517"/>
      <c r="G21" s="517"/>
      <c r="H21" s="517"/>
      <c r="I21" s="517"/>
      <c r="J21" s="517"/>
      <c r="K21" s="517"/>
      <c r="L21" s="517"/>
      <c r="M21" s="517"/>
      <c r="N21" s="517"/>
      <c r="O21" s="517"/>
      <c r="P21" s="517"/>
      <c r="Q21" s="517"/>
      <c r="R21" s="517"/>
      <c r="S21" s="517"/>
      <c r="T21" s="517"/>
      <c r="U21" s="517"/>
    </row>
    <row r="22" spans="2:23" x14ac:dyDescent="0.25">
      <c r="B22" s="517"/>
      <c r="C22" s="517"/>
      <c r="D22" s="517"/>
      <c r="E22" s="517"/>
      <c r="F22" s="517"/>
      <c r="G22" s="517"/>
      <c r="H22" s="517"/>
      <c r="I22" s="517"/>
      <c r="J22" s="517"/>
      <c r="K22" s="517"/>
      <c r="L22" s="517"/>
      <c r="M22" s="517"/>
      <c r="N22" s="517"/>
      <c r="O22" s="517"/>
      <c r="P22" s="517"/>
      <c r="Q22" s="517"/>
      <c r="R22" s="517"/>
      <c r="S22" s="517"/>
      <c r="T22" s="517"/>
      <c r="U22" s="517"/>
    </row>
    <row r="24" spans="2:23" ht="15" customHeight="1" x14ac:dyDescent="0.25">
      <c r="B24" s="81" t="s">
        <v>136</v>
      </c>
    </row>
    <row r="25" spans="2:23" x14ac:dyDescent="0.25">
      <c r="B25" s="517"/>
      <c r="C25" s="517"/>
      <c r="D25" s="517"/>
      <c r="E25" s="517"/>
      <c r="F25" s="517"/>
      <c r="G25" s="517"/>
      <c r="H25" s="517"/>
      <c r="I25" s="517"/>
      <c r="J25" s="517"/>
      <c r="K25" s="517"/>
      <c r="L25" s="517"/>
      <c r="M25" s="517"/>
      <c r="N25" s="517"/>
      <c r="O25" s="517"/>
      <c r="P25" s="517"/>
      <c r="Q25" s="517"/>
      <c r="R25" s="517"/>
      <c r="S25" s="517"/>
      <c r="T25" s="517"/>
      <c r="U25" s="517"/>
    </row>
    <row r="26" spans="2:23" x14ac:dyDescent="0.25">
      <c r="B26" s="517"/>
      <c r="C26" s="517"/>
      <c r="D26" s="517"/>
      <c r="E26" s="517"/>
      <c r="F26" s="517"/>
      <c r="G26" s="517"/>
      <c r="H26" s="517"/>
      <c r="I26" s="517"/>
      <c r="J26" s="517"/>
      <c r="K26" s="517"/>
      <c r="L26" s="517"/>
      <c r="M26" s="517"/>
      <c r="N26" s="517"/>
      <c r="O26" s="517"/>
      <c r="P26" s="517"/>
      <c r="Q26" s="517"/>
      <c r="R26" s="517"/>
      <c r="S26" s="517"/>
      <c r="T26" s="517"/>
      <c r="U26" s="517"/>
    </row>
    <row r="27" spans="2:23" ht="15.75" thickBot="1" x14ac:dyDescent="0.3"/>
    <row r="28" spans="2:23" ht="15.75" thickBot="1" x14ac:dyDescent="0.3">
      <c r="B28" s="543" t="s">
        <v>131</v>
      </c>
      <c r="C28" s="510" t="s">
        <v>436</v>
      </c>
      <c r="D28" s="543" t="s">
        <v>435</v>
      </c>
      <c r="E28" s="508" t="s">
        <v>141</v>
      </c>
      <c r="F28" s="543" t="s">
        <v>434</v>
      </c>
      <c r="G28" s="508" t="s">
        <v>1644</v>
      </c>
      <c r="H28" s="508" t="s">
        <v>1847</v>
      </c>
    </row>
    <row r="29" spans="2:23" ht="15" customHeight="1" thickBot="1" x14ac:dyDescent="0.3">
      <c r="B29" s="544"/>
      <c r="C29" s="508"/>
      <c r="D29" s="544"/>
      <c r="E29" s="509"/>
      <c r="F29" s="544"/>
      <c r="G29" s="509"/>
      <c r="H29" s="509"/>
    </row>
    <row r="30" spans="2:23" ht="15" customHeight="1" thickBot="1" x14ac:dyDescent="0.3">
      <c r="B30" s="82" t="s">
        <v>534</v>
      </c>
      <c r="C30" s="83" t="s">
        <v>1650</v>
      </c>
      <c r="D30" s="83">
        <v>2</v>
      </c>
      <c r="E30" s="91" t="s">
        <v>141</v>
      </c>
      <c r="F30" s="91"/>
      <c r="G30" s="91"/>
      <c r="H30" s="91"/>
    </row>
    <row r="31" spans="2:23" ht="15.75" thickBot="1" x14ac:dyDescent="0.3">
      <c r="B31" s="82" t="s">
        <v>534</v>
      </c>
      <c r="C31" s="83" t="s">
        <v>1647</v>
      </c>
      <c r="D31" s="83">
        <f>D34</f>
        <v>110</v>
      </c>
      <c r="E31" s="91" t="s">
        <v>141</v>
      </c>
      <c r="F31" s="91"/>
      <c r="G31" s="91"/>
      <c r="H31" s="91"/>
    </row>
    <row r="32" spans="2:23" ht="15.75" thickBot="1" x14ac:dyDescent="0.3">
      <c r="B32" s="82" t="s">
        <v>534</v>
      </c>
      <c r="C32" s="83" t="s">
        <v>1648</v>
      </c>
      <c r="D32" s="83">
        <f>D35</f>
        <v>13</v>
      </c>
      <c r="E32" s="91" t="s">
        <v>141</v>
      </c>
      <c r="F32" s="91"/>
      <c r="G32" s="91"/>
      <c r="H32" s="91"/>
    </row>
    <row r="33" spans="2:8" ht="15.75" thickBot="1" x14ac:dyDescent="0.3">
      <c r="B33" s="82" t="s">
        <v>534</v>
      </c>
      <c r="C33" s="83" t="s">
        <v>1648</v>
      </c>
      <c r="D33" s="83">
        <f>D36</f>
        <v>4</v>
      </c>
      <c r="E33" s="91" t="s">
        <v>141</v>
      </c>
      <c r="F33" s="91"/>
      <c r="G33" s="91"/>
      <c r="H33" s="91"/>
    </row>
    <row r="34" spans="2:8" ht="15.75" thickBot="1" x14ac:dyDescent="0.3">
      <c r="B34" s="154" t="s">
        <v>544</v>
      </c>
      <c r="C34" s="155" t="s">
        <v>1647</v>
      </c>
      <c r="D34" s="155">
        <f>D39+D40+D41+D45+D46</f>
        <v>110</v>
      </c>
      <c r="E34" s="156" t="s">
        <v>141</v>
      </c>
      <c r="F34" s="156"/>
      <c r="G34" s="156"/>
      <c r="H34" s="156"/>
    </row>
    <row r="35" spans="2:8" ht="15.75" thickBot="1" x14ac:dyDescent="0.3">
      <c r="B35" s="154" t="s">
        <v>544</v>
      </c>
      <c r="C35" s="155" t="s">
        <v>1648</v>
      </c>
      <c r="D35" s="155">
        <f>D43+D44</f>
        <v>13</v>
      </c>
      <c r="E35" s="156" t="s">
        <v>141</v>
      </c>
      <c r="F35" s="156"/>
      <c r="G35" s="156"/>
      <c r="H35" s="156"/>
    </row>
    <row r="36" spans="2:8" ht="15.75" thickBot="1" x14ac:dyDescent="0.3">
      <c r="B36" s="154" t="s">
        <v>544</v>
      </c>
      <c r="C36" s="155" t="s">
        <v>1648</v>
      </c>
      <c r="D36" s="155">
        <f>D42</f>
        <v>4</v>
      </c>
      <c r="E36" s="156" t="s">
        <v>141</v>
      </c>
      <c r="F36" s="156"/>
      <c r="G36" s="156"/>
      <c r="H36" s="156"/>
    </row>
    <row r="37" spans="2:8" ht="15.75" thickBot="1" x14ac:dyDescent="0.3">
      <c r="B37" s="154" t="s">
        <v>545</v>
      </c>
      <c r="C37" s="155" t="s">
        <v>1650</v>
      </c>
      <c r="D37" s="155">
        <v>2</v>
      </c>
      <c r="E37" s="156" t="s">
        <v>141</v>
      </c>
      <c r="F37" s="156"/>
      <c r="G37" s="156"/>
      <c r="H37" s="156">
        <v>19000</v>
      </c>
    </row>
    <row r="38" spans="2:8" ht="15.75" thickBot="1" x14ac:dyDescent="0.3">
      <c r="B38" s="157" t="s">
        <v>545</v>
      </c>
      <c r="C38" s="158" t="s">
        <v>1651</v>
      </c>
      <c r="D38" s="158">
        <v>2</v>
      </c>
      <c r="E38" s="159" t="s">
        <v>141</v>
      </c>
      <c r="F38" s="159"/>
      <c r="G38" s="159" t="s">
        <v>1649</v>
      </c>
      <c r="H38" s="159">
        <v>19000</v>
      </c>
    </row>
    <row r="39" spans="2:8" ht="15.75" thickBot="1" x14ac:dyDescent="0.3">
      <c r="B39" s="114" t="s">
        <v>544</v>
      </c>
      <c r="C39" s="115" t="s">
        <v>1637</v>
      </c>
      <c r="D39" s="115">
        <f>13+2</f>
        <v>15</v>
      </c>
      <c r="E39" s="136" t="s">
        <v>141</v>
      </c>
      <c r="F39" s="136"/>
      <c r="G39" s="136" t="s">
        <v>1638</v>
      </c>
      <c r="H39" s="136">
        <v>19500</v>
      </c>
    </row>
    <row r="40" spans="2:8" ht="15.75" thickBot="1" x14ac:dyDescent="0.3">
      <c r="B40" s="114" t="s">
        <v>544</v>
      </c>
      <c r="C40" s="115" t="s">
        <v>1637</v>
      </c>
      <c r="D40" s="115">
        <v>16</v>
      </c>
      <c r="E40" s="136" t="s">
        <v>141</v>
      </c>
      <c r="F40" s="136"/>
      <c r="G40" s="136" t="s">
        <v>1639</v>
      </c>
      <c r="H40" s="136">
        <v>19500</v>
      </c>
    </row>
    <row r="41" spans="2:8" ht="15.75" thickBot="1" x14ac:dyDescent="0.3">
      <c r="B41" s="114" t="s">
        <v>544</v>
      </c>
      <c r="C41" s="115" t="s">
        <v>1637</v>
      </c>
      <c r="D41" s="115">
        <f>26+13</f>
        <v>39</v>
      </c>
      <c r="E41" s="136" t="s">
        <v>141</v>
      </c>
      <c r="F41" s="136"/>
      <c r="G41" s="136" t="s">
        <v>1640</v>
      </c>
      <c r="H41" s="136">
        <v>19500</v>
      </c>
    </row>
    <row r="42" spans="2:8" ht="15.75" thickBot="1" x14ac:dyDescent="0.3">
      <c r="B42" s="114" t="s">
        <v>544</v>
      </c>
      <c r="C42" s="115" t="s">
        <v>1642</v>
      </c>
      <c r="D42" s="115">
        <v>4</v>
      </c>
      <c r="E42" s="136" t="s">
        <v>141</v>
      </c>
      <c r="F42" s="136"/>
      <c r="G42" s="136" t="s">
        <v>1641</v>
      </c>
      <c r="H42" s="136">
        <v>5600</v>
      </c>
    </row>
    <row r="43" spans="2:8" ht="15.75" thickBot="1" x14ac:dyDescent="0.3">
      <c r="B43" s="114" t="s">
        <v>544</v>
      </c>
      <c r="C43" s="115" t="s">
        <v>1642</v>
      </c>
      <c r="D43" s="115">
        <v>10</v>
      </c>
      <c r="E43" s="136" t="s">
        <v>141</v>
      </c>
      <c r="F43" s="136"/>
      <c r="G43" s="136" t="s">
        <v>1643</v>
      </c>
      <c r="H43" s="136">
        <v>7200</v>
      </c>
    </row>
    <row r="44" spans="2:8" ht="15.75" thickBot="1" x14ac:dyDescent="0.3">
      <c r="B44" s="114" t="s">
        <v>544</v>
      </c>
      <c r="C44" s="115" t="s">
        <v>1642</v>
      </c>
      <c r="D44" s="115">
        <v>3</v>
      </c>
      <c r="E44" s="136" t="s">
        <v>141</v>
      </c>
      <c r="F44" s="136"/>
      <c r="G44" s="136" t="s">
        <v>1643</v>
      </c>
      <c r="H44" s="136">
        <v>7200</v>
      </c>
    </row>
    <row r="45" spans="2:8" ht="15.75" thickBot="1" x14ac:dyDescent="0.3">
      <c r="B45" s="114" t="s">
        <v>544</v>
      </c>
      <c r="C45" s="115" t="s">
        <v>1637</v>
      </c>
      <c r="D45" s="115">
        <v>10</v>
      </c>
      <c r="E45" s="136" t="s">
        <v>141</v>
      </c>
      <c r="F45" s="136"/>
      <c r="G45" s="136" t="s">
        <v>1645</v>
      </c>
      <c r="H45" s="136">
        <v>19500</v>
      </c>
    </row>
    <row r="46" spans="2:8" ht="15.75" thickBot="1" x14ac:dyDescent="0.3">
      <c r="B46" s="114" t="s">
        <v>544</v>
      </c>
      <c r="C46" s="115" t="s">
        <v>1637</v>
      </c>
      <c r="D46" s="115">
        <v>30</v>
      </c>
      <c r="E46" s="136" t="s">
        <v>141</v>
      </c>
      <c r="F46" s="136"/>
      <c r="G46" s="136" t="s">
        <v>1646</v>
      </c>
      <c r="H46" s="136">
        <v>19500</v>
      </c>
    </row>
    <row r="47" spans="2:8" ht="15.75" thickBot="1" x14ac:dyDescent="0.3">
      <c r="B47" s="82"/>
      <c r="C47" s="83"/>
      <c r="D47" s="83"/>
      <c r="E47" s="91"/>
      <c r="F47" s="91"/>
      <c r="G47" s="91"/>
      <c r="H47" s="91"/>
    </row>
    <row r="48" spans="2:8" ht="15.75" thickBot="1" x14ac:dyDescent="0.3">
      <c r="B48" s="82"/>
      <c r="C48" s="83"/>
      <c r="D48" s="83"/>
      <c r="E48" s="91"/>
      <c r="F48" s="91"/>
      <c r="G48" s="91"/>
      <c r="H48" s="91"/>
    </row>
    <row r="49" spans="2:8" ht="15.75" thickBot="1" x14ac:dyDescent="0.3">
      <c r="B49" s="82"/>
      <c r="C49" s="83"/>
      <c r="D49" s="83"/>
      <c r="E49" s="91"/>
      <c r="F49" s="91"/>
      <c r="G49" s="91"/>
      <c r="H49" s="91"/>
    </row>
    <row r="50" spans="2:8" ht="15.75" thickBot="1" x14ac:dyDescent="0.3">
      <c r="B50" s="82"/>
      <c r="C50" s="83"/>
      <c r="D50" s="83"/>
      <c r="E50" s="91"/>
      <c r="F50" s="91"/>
      <c r="G50" s="91"/>
      <c r="H50" s="91"/>
    </row>
    <row r="51" spans="2:8" ht="15.75" thickBot="1" x14ac:dyDescent="0.3">
      <c r="B51" s="82"/>
      <c r="C51" s="83"/>
      <c r="D51" s="83"/>
      <c r="E51" s="91"/>
      <c r="F51" s="91"/>
      <c r="G51" s="91"/>
      <c r="H51" s="91"/>
    </row>
  </sheetData>
  <mergeCells count="21">
    <mergeCell ref="B25:U26"/>
    <mergeCell ref="B28:B29"/>
    <mergeCell ref="C28:C29"/>
    <mergeCell ref="D28:D29"/>
    <mergeCell ref="F28:F29"/>
    <mergeCell ref="G28:G29"/>
    <mergeCell ref="E28:E29"/>
    <mergeCell ref="H28:H29"/>
    <mergeCell ref="B21:U22"/>
    <mergeCell ref="B9:U9"/>
    <mergeCell ref="B11:C11"/>
    <mergeCell ref="D11:P11"/>
    <mergeCell ref="B12:C12"/>
    <mergeCell ref="D12:P12"/>
    <mergeCell ref="B13:C13"/>
    <mergeCell ref="D13:P13"/>
    <mergeCell ref="B14:C14"/>
    <mergeCell ref="D14:P14"/>
    <mergeCell ref="B15:C15"/>
    <mergeCell ref="D15:P15"/>
    <mergeCell ref="B17:W17"/>
  </mergeCells>
  <pageMargins left="0.7" right="0.7" top="0.75" bottom="0.75" header="0.3" footer="0.3"/>
  <pageSetup paperSize="9" orientation="portrait" r:id="rId1"/>
  <customProperties>
    <customPr name="GUID" r:id="rId2"/>
  </customProperties>
  <drawing r:id="rId3"/>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8"/>
  <dimension ref="A1:O36"/>
  <sheetViews>
    <sheetView zoomScale="85" zoomScaleNormal="85" workbookViewId="0">
      <selection activeCell="A36" sqref="A36:B36"/>
    </sheetView>
    <sheetView workbookViewId="1">
      <selection activeCell="C40" sqref="A39:C40"/>
    </sheetView>
  </sheetViews>
  <sheetFormatPr defaultRowHeight="15" x14ac:dyDescent="0.25"/>
  <cols>
    <col min="1" max="1" width="48.28515625" customWidth="1"/>
    <col min="2" max="2" width="43" customWidth="1"/>
    <col min="3" max="5" width="30" customWidth="1"/>
    <col min="6" max="7" width="24.42578125" customWidth="1"/>
    <col min="8" max="9" width="21.28515625" customWidth="1"/>
    <col min="10" max="10" width="41.7109375" customWidth="1"/>
    <col min="11" max="11" width="27.85546875" bestFit="1" customWidth="1"/>
    <col min="12" max="12" width="18" style="89" customWidth="1"/>
    <col min="13" max="15" width="9.140625" style="89"/>
  </cols>
  <sheetData>
    <row r="1" spans="1:14" ht="15.75" customHeight="1" thickBot="1" x14ac:dyDescent="0.3">
      <c r="A1" s="543" t="s">
        <v>1851</v>
      </c>
      <c r="B1" s="508" t="s">
        <v>131</v>
      </c>
      <c r="C1" s="508" t="s">
        <v>1852</v>
      </c>
      <c r="D1" s="529" t="s">
        <v>168</v>
      </c>
      <c r="E1" s="212" t="s">
        <v>1903</v>
      </c>
      <c r="F1" s="543" t="s">
        <v>435</v>
      </c>
      <c r="G1" s="508" t="s">
        <v>141</v>
      </c>
      <c r="H1" s="543" t="s">
        <v>434</v>
      </c>
      <c r="I1" s="214" t="s">
        <v>1905</v>
      </c>
      <c r="J1" s="508" t="s">
        <v>1644</v>
      </c>
      <c r="K1" s="508" t="s">
        <v>1847</v>
      </c>
      <c r="L1" s="239" t="s">
        <v>1856</v>
      </c>
      <c r="M1" s="528" t="s">
        <v>2831</v>
      </c>
      <c r="N1" s="528" t="s">
        <v>3628</v>
      </c>
    </row>
    <row r="2" spans="1:14" ht="15" customHeight="1" thickBot="1" x14ac:dyDescent="0.3">
      <c r="A2" s="544"/>
      <c r="B2" s="509"/>
      <c r="C2" s="509"/>
      <c r="D2" s="530"/>
      <c r="E2" s="213"/>
      <c r="F2" s="544"/>
      <c r="G2" s="509"/>
      <c r="H2" s="544"/>
      <c r="I2" s="215"/>
      <c r="J2" s="509"/>
      <c r="K2" s="509"/>
      <c r="L2" s="240"/>
      <c r="M2" s="528"/>
      <c r="N2" s="528"/>
    </row>
    <row r="3" spans="1:14" ht="15" customHeight="1" thickBot="1" x14ac:dyDescent="0.3">
      <c r="A3" s="82" t="s">
        <v>45</v>
      </c>
      <c r="B3" s="82" t="str">
        <f>LEFT(A3,IFERROR(FIND(" - ",A3)-1,LEN(A3)))</f>
        <v>Barraqueiro Transportes, S.A.</v>
      </c>
      <c r="C3" s="82" t="str">
        <f>IF(A3=B3,"X",RIGHT(A3,LEN(A3)-LEN(B3)-3))</f>
        <v>X</v>
      </c>
      <c r="D3" s="83" t="s">
        <v>1907</v>
      </c>
      <c r="E3" s="83" t="s">
        <v>1904</v>
      </c>
      <c r="F3" s="83">
        <v>2</v>
      </c>
      <c r="G3" s="91" t="s">
        <v>141</v>
      </c>
      <c r="H3" s="91"/>
      <c r="I3" s="91" t="s">
        <v>1906</v>
      </c>
      <c r="J3" s="91"/>
      <c r="K3" s="91"/>
      <c r="L3" s="261">
        <v>2022</v>
      </c>
      <c r="M3" s="261" t="s">
        <v>3535</v>
      </c>
      <c r="N3" s="261" t="s">
        <v>3537</v>
      </c>
    </row>
    <row r="4" spans="1:14" ht="15.75" thickBot="1" x14ac:dyDescent="0.3">
      <c r="A4" s="82" t="s">
        <v>45</v>
      </c>
      <c r="B4" s="82" t="str">
        <f t="shared" ref="B4:B19" si="0">LEFT(A4,IFERROR(FIND(" - ",A4)-1,LEN(A4)))</f>
        <v>Barraqueiro Transportes, S.A.</v>
      </c>
      <c r="C4" s="82" t="str">
        <f t="shared" ref="C4:C34" si="1">IF(A4=B4,"X",RIGHT(A4,LEN(A4)-LEN(B4)-3))</f>
        <v>X</v>
      </c>
      <c r="D4" s="83" t="s">
        <v>1908</v>
      </c>
      <c r="E4" s="83" t="s">
        <v>1904</v>
      </c>
      <c r="F4" s="83">
        <f>F7</f>
        <v>110</v>
      </c>
      <c r="G4" s="91" t="s">
        <v>141</v>
      </c>
      <c r="H4" s="91"/>
      <c r="I4" s="91" t="s">
        <v>1906</v>
      </c>
      <c r="J4" s="91"/>
      <c r="K4" s="91"/>
      <c r="L4" s="261">
        <v>2022</v>
      </c>
      <c r="M4" s="261" t="s">
        <v>3535</v>
      </c>
      <c r="N4" s="261" t="s">
        <v>3537</v>
      </c>
    </row>
    <row r="5" spans="1:14" ht="15.75" thickBot="1" x14ac:dyDescent="0.3">
      <c r="A5" s="82" t="s">
        <v>45</v>
      </c>
      <c r="B5" s="82" t="str">
        <f t="shared" si="0"/>
        <v>Barraqueiro Transportes, S.A.</v>
      </c>
      <c r="C5" s="82" t="str">
        <f t="shared" si="1"/>
        <v>X</v>
      </c>
      <c r="D5" s="83" t="s">
        <v>1642</v>
      </c>
      <c r="E5" s="83" t="s">
        <v>1904</v>
      </c>
      <c r="F5" s="83">
        <f>F8</f>
        <v>13</v>
      </c>
      <c r="G5" s="91" t="s">
        <v>141</v>
      </c>
      <c r="H5" s="91"/>
      <c r="I5" s="91" t="s">
        <v>1906</v>
      </c>
      <c r="J5" s="91"/>
      <c r="K5" s="91"/>
      <c r="L5" s="261">
        <v>2022</v>
      </c>
      <c r="M5" s="261" t="s">
        <v>3535</v>
      </c>
      <c r="N5" s="261" t="s">
        <v>3537</v>
      </c>
    </row>
    <row r="6" spans="1:14" ht="15.75" thickBot="1" x14ac:dyDescent="0.3">
      <c r="A6" s="82" t="s">
        <v>45</v>
      </c>
      <c r="B6" s="82" t="str">
        <f t="shared" si="0"/>
        <v>Barraqueiro Transportes, S.A.</v>
      </c>
      <c r="C6" s="82" t="str">
        <f t="shared" si="1"/>
        <v>X</v>
      </c>
      <c r="D6" s="83" t="s">
        <v>1642</v>
      </c>
      <c r="E6" s="83" t="s">
        <v>1904</v>
      </c>
      <c r="F6" s="83">
        <f>F9</f>
        <v>4</v>
      </c>
      <c r="G6" s="91" t="s">
        <v>141</v>
      </c>
      <c r="H6" s="91"/>
      <c r="I6" s="91" t="s">
        <v>1906</v>
      </c>
      <c r="J6" s="91"/>
      <c r="K6" s="91"/>
      <c r="L6" s="261">
        <v>2022</v>
      </c>
      <c r="M6" s="261" t="s">
        <v>3535</v>
      </c>
      <c r="N6" s="261" t="s">
        <v>3537</v>
      </c>
    </row>
    <row r="7" spans="1:14" ht="15.75" thickBot="1" x14ac:dyDescent="0.3">
      <c r="A7" s="154" t="s">
        <v>3506</v>
      </c>
      <c r="B7" s="82" t="str">
        <f t="shared" si="0"/>
        <v>Barraqueiro Transportes, S.A.</v>
      </c>
      <c r="C7" s="82" t="str">
        <f t="shared" si="1"/>
        <v>Mafrense</v>
      </c>
      <c r="D7" s="155" t="s">
        <v>1908</v>
      </c>
      <c r="E7" s="155" t="s">
        <v>1904</v>
      </c>
      <c r="F7" s="155">
        <f>F12+F13+F14+F18+F19</f>
        <v>110</v>
      </c>
      <c r="G7" s="156" t="s">
        <v>141</v>
      </c>
      <c r="H7" s="156"/>
      <c r="I7" s="91" t="s">
        <v>1906</v>
      </c>
      <c r="J7" s="156"/>
      <c r="K7" s="156"/>
      <c r="L7" s="261">
        <v>2022</v>
      </c>
      <c r="M7" s="261" t="s">
        <v>3535</v>
      </c>
      <c r="N7" s="261" t="s">
        <v>3537</v>
      </c>
    </row>
    <row r="8" spans="1:14" ht="15.75" thickBot="1" x14ac:dyDescent="0.3">
      <c r="A8" s="154" t="s">
        <v>3506</v>
      </c>
      <c r="B8" s="82" t="str">
        <f t="shared" si="0"/>
        <v>Barraqueiro Transportes, S.A.</v>
      </c>
      <c r="C8" s="82" t="str">
        <f t="shared" si="1"/>
        <v>Mafrense</v>
      </c>
      <c r="D8" s="155" t="s">
        <v>1642</v>
      </c>
      <c r="E8" s="155" t="s">
        <v>1904</v>
      </c>
      <c r="F8" s="155">
        <f>F16+F17</f>
        <v>13</v>
      </c>
      <c r="G8" s="156" t="s">
        <v>141</v>
      </c>
      <c r="H8" s="156"/>
      <c r="I8" s="91" t="s">
        <v>1906</v>
      </c>
      <c r="J8" s="156"/>
      <c r="K8" s="156"/>
      <c r="L8" s="261">
        <v>2022</v>
      </c>
      <c r="M8" s="261" t="s">
        <v>3535</v>
      </c>
      <c r="N8" s="261" t="s">
        <v>3537</v>
      </c>
    </row>
    <row r="9" spans="1:14" ht="15.75" thickBot="1" x14ac:dyDescent="0.3">
      <c r="A9" s="154" t="s">
        <v>3506</v>
      </c>
      <c r="B9" s="82" t="str">
        <f t="shared" si="0"/>
        <v>Barraqueiro Transportes, S.A.</v>
      </c>
      <c r="C9" s="82" t="str">
        <f t="shared" si="1"/>
        <v>Mafrense</v>
      </c>
      <c r="D9" s="155" t="s">
        <v>1642</v>
      </c>
      <c r="E9" s="155" t="s">
        <v>1904</v>
      </c>
      <c r="F9" s="155">
        <f>F15</f>
        <v>4</v>
      </c>
      <c r="G9" s="156" t="s">
        <v>141</v>
      </c>
      <c r="H9" s="156"/>
      <c r="I9" s="91" t="s">
        <v>1906</v>
      </c>
      <c r="J9" s="156"/>
      <c r="K9" s="156"/>
      <c r="L9" s="261">
        <v>2022</v>
      </c>
      <c r="M9" s="261" t="s">
        <v>3535</v>
      </c>
      <c r="N9" s="261" t="s">
        <v>3537</v>
      </c>
    </row>
    <row r="10" spans="1:14" ht="15.75" thickBot="1" x14ac:dyDescent="0.3">
      <c r="A10" s="154" t="s">
        <v>3507</v>
      </c>
      <c r="B10" s="82" t="str">
        <f t="shared" si="0"/>
        <v>Barraqueiro Transportes, S.A.</v>
      </c>
      <c r="C10" s="82" t="str">
        <f t="shared" si="1"/>
        <v>Estremadura</v>
      </c>
      <c r="D10" s="155" t="s">
        <v>1907</v>
      </c>
      <c r="E10" s="155" t="s">
        <v>1904</v>
      </c>
      <c r="F10" s="155">
        <v>2</v>
      </c>
      <c r="G10" s="156" t="s">
        <v>141</v>
      </c>
      <c r="H10" s="156"/>
      <c r="I10" s="91" t="s">
        <v>1906</v>
      </c>
      <c r="J10" s="156"/>
      <c r="K10" s="156">
        <v>19000</v>
      </c>
      <c r="L10" s="261">
        <v>2022</v>
      </c>
      <c r="M10" s="261" t="s">
        <v>3535</v>
      </c>
      <c r="N10" s="261" t="s">
        <v>3537</v>
      </c>
    </row>
    <row r="11" spans="1:14" ht="15.75" thickBot="1" x14ac:dyDescent="0.3">
      <c r="A11" s="157" t="s">
        <v>3507</v>
      </c>
      <c r="B11" s="82" t="str">
        <f t="shared" si="0"/>
        <v>Barraqueiro Transportes, S.A.</v>
      </c>
      <c r="C11" s="82" t="str">
        <f t="shared" si="1"/>
        <v>Estremadura</v>
      </c>
      <c r="D11" s="158" t="s">
        <v>1907</v>
      </c>
      <c r="E11" s="158" t="s">
        <v>1904</v>
      </c>
      <c r="F11" s="158">
        <v>2</v>
      </c>
      <c r="G11" s="159" t="s">
        <v>141</v>
      </c>
      <c r="H11" s="159"/>
      <c r="I11" s="91" t="s">
        <v>1906</v>
      </c>
      <c r="J11" s="159" t="s">
        <v>1649</v>
      </c>
      <c r="K11" s="159">
        <v>19000</v>
      </c>
      <c r="L11" s="261">
        <v>2022</v>
      </c>
      <c r="M11" s="261" t="s">
        <v>3535</v>
      </c>
      <c r="N11" s="261" t="s">
        <v>3537</v>
      </c>
    </row>
    <row r="12" spans="1:14" ht="15.75" thickBot="1" x14ac:dyDescent="0.3">
      <c r="A12" s="114" t="s">
        <v>3506</v>
      </c>
      <c r="B12" s="82" t="str">
        <f t="shared" si="0"/>
        <v>Barraqueiro Transportes, S.A.</v>
      </c>
      <c r="C12" s="82" t="str">
        <f t="shared" si="1"/>
        <v>Mafrense</v>
      </c>
      <c r="D12" s="115" t="s">
        <v>1908</v>
      </c>
      <c r="E12" s="115" t="s">
        <v>1904</v>
      </c>
      <c r="F12" s="115">
        <f>13+2</f>
        <v>15</v>
      </c>
      <c r="G12" s="136" t="s">
        <v>141</v>
      </c>
      <c r="H12" s="136"/>
      <c r="I12" s="91" t="s">
        <v>1906</v>
      </c>
      <c r="J12" s="136" t="s">
        <v>1638</v>
      </c>
      <c r="K12" s="136">
        <v>19500</v>
      </c>
      <c r="L12" s="261">
        <v>2022</v>
      </c>
      <c r="M12" s="261" t="s">
        <v>3535</v>
      </c>
      <c r="N12" s="261" t="s">
        <v>3537</v>
      </c>
    </row>
    <row r="13" spans="1:14" ht="15.75" thickBot="1" x14ac:dyDescent="0.3">
      <c r="A13" s="114" t="s">
        <v>3506</v>
      </c>
      <c r="B13" s="82" t="str">
        <f t="shared" si="0"/>
        <v>Barraqueiro Transportes, S.A.</v>
      </c>
      <c r="C13" s="82" t="str">
        <f t="shared" si="1"/>
        <v>Mafrense</v>
      </c>
      <c r="D13" s="115" t="s">
        <v>1908</v>
      </c>
      <c r="E13" s="115" t="s">
        <v>1904</v>
      </c>
      <c r="F13" s="115">
        <v>16</v>
      </c>
      <c r="G13" s="136" t="s">
        <v>141</v>
      </c>
      <c r="H13" s="136"/>
      <c r="I13" s="91" t="s">
        <v>1906</v>
      </c>
      <c r="J13" s="136" t="s">
        <v>1639</v>
      </c>
      <c r="K13" s="136">
        <v>19500</v>
      </c>
      <c r="L13" s="261">
        <v>2022</v>
      </c>
      <c r="M13" s="261" t="s">
        <v>3535</v>
      </c>
      <c r="N13" s="261" t="s">
        <v>3537</v>
      </c>
    </row>
    <row r="14" spans="1:14" ht="15.75" thickBot="1" x14ac:dyDescent="0.3">
      <c r="A14" s="114" t="s">
        <v>3506</v>
      </c>
      <c r="B14" s="82" t="str">
        <f t="shared" si="0"/>
        <v>Barraqueiro Transportes, S.A.</v>
      </c>
      <c r="C14" s="82" t="str">
        <f t="shared" si="1"/>
        <v>Mafrense</v>
      </c>
      <c r="D14" s="115" t="s">
        <v>1908</v>
      </c>
      <c r="E14" s="115" t="s">
        <v>1904</v>
      </c>
      <c r="F14" s="115">
        <f>26+13</f>
        <v>39</v>
      </c>
      <c r="G14" s="136" t="s">
        <v>141</v>
      </c>
      <c r="H14" s="136"/>
      <c r="I14" s="91" t="s">
        <v>1906</v>
      </c>
      <c r="J14" s="136" t="s">
        <v>1640</v>
      </c>
      <c r="K14" s="136">
        <v>19500</v>
      </c>
      <c r="L14" s="261">
        <v>2022</v>
      </c>
      <c r="M14" s="261" t="s">
        <v>3535</v>
      </c>
      <c r="N14" s="261" t="s">
        <v>3537</v>
      </c>
    </row>
    <row r="15" spans="1:14" ht="15.75" thickBot="1" x14ac:dyDescent="0.3">
      <c r="A15" s="114" t="s">
        <v>3506</v>
      </c>
      <c r="B15" s="82" t="str">
        <f t="shared" si="0"/>
        <v>Barraqueiro Transportes, S.A.</v>
      </c>
      <c r="C15" s="82" t="str">
        <f t="shared" si="1"/>
        <v>Mafrense</v>
      </c>
      <c r="D15" s="115" t="s">
        <v>1642</v>
      </c>
      <c r="E15" s="115" t="s">
        <v>1904</v>
      </c>
      <c r="F15" s="115">
        <v>4</v>
      </c>
      <c r="G15" s="136" t="s">
        <v>141</v>
      </c>
      <c r="H15" s="136"/>
      <c r="I15" s="91" t="s">
        <v>1906</v>
      </c>
      <c r="J15" s="136" t="s">
        <v>1641</v>
      </c>
      <c r="K15" s="136">
        <v>5600</v>
      </c>
      <c r="L15" s="261">
        <v>2022</v>
      </c>
      <c r="M15" s="261" t="s">
        <v>3535</v>
      </c>
      <c r="N15" s="261" t="s">
        <v>3537</v>
      </c>
    </row>
    <row r="16" spans="1:14" ht="15.75" thickBot="1" x14ac:dyDescent="0.3">
      <c r="A16" s="114" t="s">
        <v>3506</v>
      </c>
      <c r="B16" s="82" t="str">
        <f t="shared" si="0"/>
        <v>Barraqueiro Transportes, S.A.</v>
      </c>
      <c r="C16" s="82" t="str">
        <f t="shared" si="1"/>
        <v>Mafrense</v>
      </c>
      <c r="D16" s="115" t="s">
        <v>1642</v>
      </c>
      <c r="E16" s="115" t="s">
        <v>1904</v>
      </c>
      <c r="F16" s="115">
        <v>10</v>
      </c>
      <c r="G16" s="136" t="s">
        <v>141</v>
      </c>
      <c r="H16" s="136"/>
      <c r="I16" s="91" t="s">
        <v>1906</v>
      </c>
      <c r="J16" s="136" t="s">
        <v>1643</v>
      </c>
      <c r="K16" s="136">
        <v>7200</v>
      </c>
      <c r="L16" s="261">
        <v>2022</v>
      </c>
      <c r="M16" s="261" t="s">
        <v>3535</v>
      </c>
      <c r="N16" s="261" t="s">
        <v>3537</v>
      </c>
    </row>
    <row r="17" spans="1:14" ht="15.75" thickBot="1" x14ac:dyDescent="0.3">
      <c r="A17" s="114" t="s">
        <v>3506</v>
      </c>
      <c r="B17" s="82" t="str">
        <f t="shared" si="0"/>
        <v>Barraqueiro Transportes, S.A.</v>
      </c>
      <c r="C17" s="82" t="str">
        <f t="shared" si="1"/>
        <v>Mafrense</v>
      </c>
      <c r="D17" s="115" t="s">
        <v>1642</v>
      </c>
      <c r="E17" s="115" t="s">
        <v>1904</v>
      </c>
      <c r="F17" s="115">
        <v>3</v>
      </c>
      <c r="G17" s="136" t="s">
        <v>141</v>
      </c>
      <c r="H17" s="136"/>
      <c r="I17" s="91" t="s">
        <v>1906</v>
      </c>
      <c r="J17" s="136" t="s">
        <v>1643</v>
      </c>
      <c r="K17" s="136">
        <v>7200</v>
      </c>
      <c r="L17" s="261">
        <v>2022</v>
      </c>
      <c r="M17" s="261" t="s">
        <v>3535</v>
      </c>
      <c r="N17" s="261" t="s">
        <v>3537</v>
      </c>
    </row>
    <row r="18" spans="1:14" ht="15.75" thickBot="1" x14ac:dyDescent="0.3">
      <c r="A18" s="114" t="s">
        <v>3506</v>
      </c>
      <c r="B18" s="82" t="str">
        <f t="shared" si="0"/>
        <v>Barraqueiro Transportes, S.A.</v>
      </c>
      <c r="C18" s="82" t="str">
        <f t="shared" si="1"/>
        <v>Mafrense</v>
      </c>
      <c r="D18" s="115" t="s">
        <v>1908</v>
      </c>
      <c r="E18" s="115" t="s">
        <v>1904</v>
      </c>
      <c r="F18" s="115">
        <v>10</v>
      </c>
      <c r="G18" s="136" t="s">
        <v>141</v>
      </c>
      <c r="H18" s="136"/>
      <c r="I18" s="91" t="s">
        <v>1906</v>
      </c>
      <c r="J18" s="136" t="s">
        <v>1645</v>
      </c>
      <c r="K18" s="136">
        <v>19500</v>
      </c>
      <c r="L18" s="261">
        <v>2022</v>
      </c>
      <c r="M18" s="261" t="s">
        <v>3535</v>
      </c>
      <c r="N18" s="261" t="s">
        <v>3537</v>
      </c>
    </row>
    <row r="19" spans="1:14" ht="15.75" thickBot="1" x14ac:dyDescent="0.3">
      <c r="A19" s="114" t="s">
        <v>3506</v>
      </c>
      <c r="B19" s="82" t="str">
        <f t="shared" si="0"/>
        <v>Barraqueiro Transportes, S.A.</v>
      </c>
      <c r="C19" s="82" t="str">
        <f t="shared" si="1"/>
        <v>Mafrense</v>
      </c>
      <c r="D19" s="115" t="s">
        <v>1908</v>
      </c>
      <c r="E19" s="115" t="s">
        <v>1904</v>
      </c>
      <c r="F19" s="115">
        <v>30</v>
      </c>
      <c r="G19" s="136" t="s">
        <v>141</v>
      </c>
      <c r="H19" s="136"/>
      <c r="I19" s="91" t="s">
        <v>1906</v>
      </c>
      <c r="J19" s="136" t="s">
        <v>1646</v>
      </c>
      <c r="K19" s="136">
        <v>19500</v>
      </c>
      <c r="L19" s="261">
        <v>2022</v>
      </c>
      <c r="M19" s="261" t="s">
        <v>3535</v>
      </c>
      <c r="N19" s="261" t="s">
        <v>3537</v>
      </c>
    </row>
    <row r="20" spans="1:14" ht="15.75" thickBot="1" x14ac:dyDescent="0.3">
      <c r="A20" t="s">
        <v>1929</v>
      </c>
      <c r="B20" t="s">
        <v>1929</v>
      </c>
      <c r="C20" s="82" t="str">
        <f t="shared" si="1"/>
        <v>X</v>
      </c>
      <c r="D20" s="280" t="s">
        <v>2984</v>
      </c>
      <c r="E20" s="280" t="s">
        <v>2985</v>
      </c>
      <c r="F20" s="280">
        <v>1</v>
      </c>
      <c r="G20" s="136" t="s">
        <v>141</v>
      </c>
      <c r="H20" s="281">
        <v>34998.370000000003</v>
      </c>
      <c r="I20" s="91" t="s">
        <v>1906</v>
      </c>
      <c r="J20" s="91" t="s">
        <v>2986</v>
      </c>
      <c r="K20" s="91" t="s">
        <v>2994</v>
      </c>
      <c r="L20" s="261">
        <v>2022</v>
      </c>
      <c r="M20" s="261" t="s">
        <v>3535</v>
      </c>
      <c r="N20" s="261" t="s">
        <v>3537</v>
      </c>
    </row>
    <row r="21" spans="1:14" ht="15.75" thickBot="1" x14ac:dyDescent="0.3">
      <c r="A21" t="s">
        <v>1935</v>
      </c>
      <c r="B21" t="s">
        <v>1935</v>
      </c>
      <c r="C21" s="82" t="str">
        <f t="shared" si="1"/>
        <v>X</v>
      </c>
      <c r="D21" s="115" t="s">
        <v>3000</v>
      </c>
      <c r="E21" s="115" t="s">
        <v>1904</v>
      </c>
      <c r="F21" s="280">
        <v>0</v>
      </c>
      <c r="G21" s="136" t="s">
        <v>141</v>
      </c>
      <c r="H21" s="91"/>
      <c r="I21" s="408" t="s">
        <v>1906</v>
      </c>
      <c r="J21" s="91" t="s">
        <v>2987</v>
      </c>
      <c r="K21" s="279" t="s">
        <v>2995</v>
      </c>
      <c r="L21" s="261">
        <v>2022</v>
      </c>
      <c r="M21" s="261" t="s">
        <v>3535</v>
      </c>
      <c r="N21" s="261" t="s">
        <v>3537</v>
      </c>
    </row>
    <row r="22" spans="1:14" ht="15.75" thickBot="1" x14ac:dyDescent="0.3">
      <c r="A22" t="s">
        <v>1935</v>
      </c>
      <c r="B22" t="s">
        <v>1935</v>
      </c>
      <c r="C22" s="82" t="str">
        <f t="shared" si="1"/>
        <v>X</v>
      </c>
      <c r="D22" s="115" t="s">
        <v>3000</v>
      </c>
      <c r="E22" s="115" t="s">
        <v>1904</v>
      </c>
      <c r="F22" s="280">
        <v>0</v>
      </c>
      <c r="G22" s="136" t="s">
        <v>141</v>
      </c>
      <c r="H22" s="91"/>
      <c r="I22" s="408" t="s">
        <v>1906</v>
      </c>
      <c r="J22" s="91" t="s">
        <v>2988</v>
      </c>
      <c r="K22" s="279" t="s">
        <v>2996</v>
      </c>
      <c r="L22" s="261">
        <v>2022</v>
      </c>
      <c r="M22" s="261" t="s">
        <v>3535</v>
      </c>
      <c r="N22" s="261" t="s">
        <v>3537</v>
      </c>
    </row>
    <row r="23" spans="1:14" ht="15.75" thickBot="1" x14ac:dyDescent="0.3">
      <c r="A23" t="s">
        <v>1935</v>
      </c>
      <c r="B23" t="s">
        <v>1935</v>
      </c>
      <c r="C23" s="82" t="str">
        <f t="shared" si="1"/>
        <v>X</v>
      </c>
      <c r="D23" s="115" t="s">
        <v>1908</v>
      </c>
      <c r="E23" s="115" t="s">
        <v>1904</v>
      </c>
      <c r="F23" s="83">
        <v>14</v>
      </c>
      <c r="G23" s="136" t="s">
        <v>141</v>
      </c>
      <c r="H23" s="91"/>
      <c r="I23" s="408" t="s">
        <v>1906</v>
      </c>
      <c r="J23" s="91" t="s">
        <v>2989</v>
      </c>
      <c r="K23" s="91"/>
      <c r="L23" s="261">
        <v>2022</v>
      </c>
      <c r="M23" s="261" t="s">
        <v>3535</v>
      </c>
      <c r="N23" s="261" t="s">
        <v>3537</v>
      </c>
    </row>
    <row r="24" spans="1:14" ht="15.75" thickBot="1" x14ac:dyDescent="0.3">
      <c r="A24" t="s">
        <v>4686</v>
      </c>
      <c r="B24" t="s">
        <v>4686</v>
      </c>
      <c r="C24" s="82" t="str">
        <f t="shared" si="1"/>
        <v>X</v>
      </c>
      <c r="D24" s="83" t="s">
        <v>3002</v>
      </c>
      <c r="E24" s="115" t="s">
        <v>3001</v>
      </c>
      <c r="F24" s="83">
        <v>5</v>
      </c>
      <c r="G24" s="136" t="s">
        <v>141</v>
      </c>
      <c r="H24" s="282">
        <v>1269776.7999999998</v>
      </c>
      <c r="I24" s="91" t="s">
        <v>1906</v>
      </c>
      <c r="J24" s="91" t="s">
        <v>2990</v>
      </c>
      <c r="K24" s="91" t="s">
        <v>2997</v>
      </c>
      <c r="L24" s="261">
        <v>2022</v>
      </c>
      <c r="M24" s="261" t="s">
        <v>3535</v>
      </c>
      <c r="N24" s="261" t="s">
        <v>3537</v>
      </c>
    </row>
    <row r="25" spans="1:14" ht="15.75" thickBot="1" x14ac:dyDescent="0.3">
      <c r="A25" s="359" t="s">
        <v>4688</v>
      </c>
      <c r="B25" s="359" t="s">
        <v>4688</v>
      </c>
      <c r="C25" s="82" t="str">
        <f t="shared" si="1"/>
        <v>X</v>
      </c>
      <c r="D25" s="83" t="s">
        <v>3002</v>
      </c>
      <c r="E25" s="115" t="s">
        <v>3001</v>
      </c>
      <c r="F25" s="83">
        <v>10</v>
      </c>
      <c r="G25" s="136" t="s">
        <v>141</v>
      </c>
      <c r="H25" s="282">
        <f>199955.4*10</f>
        <v>1999554</v>
      </c>
      <c r="I25" s="91" t="s">
        <v>1906</v>
      </c>
      <c r="J25" s="91" t="s">
        <v>2990</v>
      </c>
      <c r="K25" s="91" t="s">
        <v>2998</v>
      </c>
      <c r="L25" s="261">
        <v>2022</v>
      </c>
      <c r="M25" s="261" t="s">
        <v>3535</v>
      </c>
      <c r="N25" s="261" t="s">
        <v>3537</v>
      </c>
    </row>
    <row r="26" spans="1:14" ht="15.75" thickBot="1" x14ac:dyDescent="0.3">
      <c r="A26" t="s">
        <v>4687</v>
      </c>
      <c r="B26" t="s">
        <v>4687</v>
      </c>
      <c r="C26" s="82" t="str">
        <f t="shared" si="1"/>
        <v>X</v>
      </c>
      <c r="D26" s="280" t="s">
        <v>2984</v>
      </c>
      <c r="E26" s="115" t="s">
        <v>1904</v>
      </c>
      <c r="F26" s="83">
        <v>2</v>
      </c>
      <c r="G26" s="136" t="s">
        <v>141</v>
      </c>
      <c r="H26" s="283">
        <f>39628.87*2</f>
        <v>79257.740000000005</v>
      </c>
      <c r="I26" s="91" t="s">
        <v>1906</v>
      </c>
      <c r="J26" s="91" t="s">
        <v>2991</v>
      </c>
      <c r="K26" s="91"/>
      <c r="L26" s="261">
        <v>2022</v>
      </c>
      <c r="M26" s="261" t="s">
        <v>3535</v>
      </c>
      <c r="N26" s="261" t="s">
        <v>3537</v>
      </c>
    </row>
    <row r="27" spans="1:14" ht="15.75" thickBot="1" x14ac:dyDescent="0.3">
      <c r="A27" t="s">
        <v>4687</v>
      </c>
      <c r="B27" t="s">
        <v>4687</v>
      </c>
      <c r="C27" s="82" t="str">
        <f t="shared" si="1"/>
        <v>X</v>
      </c>
      <c r="D27" s="280" t="s">
        <v>2984</v>
      </c>
      <c r="E27" s="115" t="s">
        <v>1904</v>
      </c>
      <c r="F27" s="83">
        <v>1</v>
      </c>
      <c r="G27" s="136" t="s">
        <v>141</v>
      </c>
      <c r="H27" s="283">
        <v>27000</v>
      </c>
      <c r="I27" s="408" t="s">
        <v>1906</v>
      </c>
      <c r="J27" s="91" t="s">
        <v>2992</v>
      </c>
      <c r="K27" s="91" t="s">
        <v>2999</v>
      </c>
      <c r="L27" s="261">
        <v>2022</v>
      </c>
      <c r="M27" s="261" t="s">
        <v>3535</v>
      </c>
      <c r="N27" s="261" t="s">
        <v>3537</v>
      </c>
    </row>
    <row r="28" spans="1:14" ht="15.75" thickBot="1" x14ac:dyDescent="0.3">
      <c r="A28" t="s">
        <v>4686</v>
      </c>
      <c r="B28" t="s">
        <v>4686</v>
      </c>
      <c r="C28" s="82" t="str">
        <f t="shared" si="1"/>
        <v>X</v>
      </c>
      <c r="D28" s="280" t="s">
        <v>2984</v>
      </c>
      <c r="E28" s="115" t="s">
        <v>1904</v>
      </c>
      <c r="F28" s="83">
        <v>1</v>
      </c>
      <c r="G28" s="136" t="s">
        <v>141</v>
      </c>
      <c r="H28" s="283">
        <v>26000</v>
      </c>
      <c r="I28" s="408" t="s">
        <v>1906</v>
      </c>
      <c r="J28" s="91" t="s">
        <v>2992</v>
      </c>
      <c r="K28" s="91" t="s">
        <v>2999</v>
      </c>
      <c r="L28" s="261">
        <v>2022</v>
      </c>
      <c r="M28" s="261" t="s">
        <v>3535</v>
      </c>
      <c r="N28" s="261" t="s">
        <v>3537</v>
      </c>
    </row>
    <row r="29" spans="1:14" ht="15.75" thickBot="1" x14ac:dyDescent="0.3">
      <c r="A29" t="s">
        <v>2889</v>
      </c>
      <c r="B29" t="s">
        <v>2889</v>
      </c>
      <c r="C29" s="82" t="str">
        <f t="shared" si="1"/>
        <v>X</v>
      </c>
      <c r="D29" s="83" t="s">
        <v>1908</v>
      </c>
      <c r="E29" s="115" t="s">
        <v>1904</v>
      </c>
      <c r="F29" s="83">
        <v>41</v>
      </c>
      <c r="G29" s="136" t="s">
        <v>141</v>
      </c>
      <c r="H29" s="91"/>
      <c r="I29" s="408" t="s">
        <v>1906</v>
      </c>
      <c r="J29" s="91" t="s">
        <v>2993</v>
      </c>
      <c r="L29" s="261">
        <v>2022</v>
      </c>
      <c r="M29" s="261" t="s">
        <v>3535</v>
      </c>
      <c r="N29" s="261" t="s">
        <v>3537</v>
      </c>
    </row>
    <row r="30" spans="1:14" ht="15.75" thickBot="1" x14ac:dyDescent="0.3">
      <c r="A30" t="s">
        <v>4695</v>
      </c>
      <c r="B30" t="s">
        <v>4695</v>
      </c>
      <c r="C30" s="82" t="str">
        <f t="shared" si="1"/>
        <v>X</v>
      </c>
      <c r="D30" s="83" t="s">
        <v>3002</v>
      </c>
      <c r="E30" s="115" t="s">
        <v>1904</v>
      </c>
      <c r="F30" s="83">
        <v>1</v>
      </c>
      <c r="G30" s="136" t="s">
        <v>141</v>
      </c>
      <c r="H30" s="91"/>
      <c r="I30" s="408" t="s">
        <v>1906</v>
      </c>
      <c r="J30" s="91" t="s">
        <v>2993</v>
      </c>
      <c r="L30" s="261">
        <v>2022</v>
      </c>
      <c r="M30" s="261" t="s">
        <v>3535</v>
      </c>
      <c r="N30" s="261" t="s">
        <v>3537</v>
      </c>
    </row>
    <row r="31" spans="1:14" ht="15.75" thickBot="1" x14ac:dyDescent="0.3">
      <c r="A31" t="s">
        <v>4695</v>
      </c>
      <c r="B31" t="s">
        <v>4695</v>
      </c>
      <c r="C31" s="82" t="str">
        <f t="shared" si="1"/>
        <v>X</v>
      </c>
      <c r="D31" s="83" t="s">
        <v>1908</v>
      </c>
      <c r="E31" s="115" t="s">
        <v>1904</v>
      </c>
      <c r="F31" s="83">
        <v>9</v>
      </c>
      <c r="G31" s="136" t="s">
        <v>141</v>
      </c>
      <c r="H31" s="91"/>
      <c r="I31" s="408" t="s">
        <v>1906</v>
      </c>
      <c r="J31" s="91" t="s">
        <v>2993</v>
      </c>
      <c r="L31" s="261">
        <v>2022</v>
      </c>
      <c r="M31" s="261" t="s">
        <v>3535</v>
      </c>
      <c r="N31" s="261" t="s">
        <v>3537</v>
      </c>
    </row>
    <row r="32" spans="1:14" ht="15.75" thickBot="1" x14ac:dyDescent="0.3">
      <c r="A32" t="s">
        <v>4696</v>
      </c>
      <c r="B32" t="s">
        <v>4696</v>
      </c>
      <c r="C32" s="82" t="str">
        <f t="shared" si="1"/>
        <v>X</v>
      </c>
      <c r="D32" s="83" t="s">
        <v>3002</v>
      </c>
      <c r="E32" s="115" t="s">
        <v>1904</v>
      </c>
      <c r="F32" s="83">
        <v>2</v>
      </c>
      <c r="G32" s="136" t="s">
        <v>141</v>
      </c>
      <c r="H32" s="91"/>
      <c r="I32" s="408" t="s">
        <v>1906</v>
      </c>
      <c r="J32" s="91" t="s">
        <v>2993</v>
      </c>
      <c r="L32" s="261">
        <v>2022</v>
      </c>
      <c r="M32" s="261" t="s">
        <v>3535</v>
      </c>
      <c r="N32" s="261" t="s">
        <v>3537</v>
      </c>
    </row>
    <row r="33" spans="1:14" ht="15.75" thickBot="1" x14ac:dyDescent="0.3">
      <c r="A33" t="s">
        <v>4697</v>
      </c>
      <c r="B33" t="s">
        <v>4697</v>
      </c>
      <c r="C33" s="82" t="str">
        <f t="shared" si="1"/>
        <v>X</v>
      </c>
      <c r="D33" s="83" t="s">
        <v>1908</v>
      </c>
      <c r="E33" s="115" t="s">
        <v>1904</v>
      </c>
      <c r="F33" s="83">
        <v>6</v>
      </c>
      <c r="G33" s="136" t="s">
        <v>141</v>
      </c>
      <c r="H33" s="91"/>
      <c r="I33" s="408" t="s">
        <v>1906</v>
      </c>
      <c r="J33" s="91" t="s">
        <v>2993</v>
      </c>
      <c r="L33" s="261">
        <v>2022</v>
      </c>
      <c r="M33" s="261" t="s">
        <v>3535</v>
      </c>
      <c r="N33" s="261" t="s">
        <v>3537</v>
      </c>
    </row>
    <row r="34" spans="1:14" ht="15.75" thickBot="1" x14ac:dyDescent="0.3">
      <c r="A34" t="s">
        <v>4698</v>
      </c>
      <c r="B34" t="s">
        <v>4698</v>
      </c>
      <c r="C34" s="82" t="str">
        <f t="shared" si="1"/>
        <v>X</v>
      </c>
      <c r="D34" s="83" t="s">
        <v>1908</v>
      </c>
      <c r="E34" s="115" t="s">
        <v>1904</v>
      </c>
      <c r="F34" s="83">
        <v>7</v>
      </c>
      <c r="G34" s="136" t="s">
        <v>141</v>
      </c>
      <c r="H34" s="91"/>
      <c r="I34" s="408" t="s">
        <v>1906</v>
      </c>
      <c r="J34" s="91" t="s">
        <v>2993</v>
      </c>
      <c r="L34" s="261">
        <v>2022</v>
      </c>
      <c r="M34" s="261" t="s">
        <v>3535</v>
      </c>
      <c r="N34" s="261" t="s">
        <v>3537</v>
      </c>
    </row>
    <row r="35" spans="1:14" ht="15.75" thickBot="1" x14ac:dyDescent="0.3">
      <c r="A35" s="82" t="s">
        <v>4701</v>
      </c>
      <c r="B35" s="82" t="s">
        <v>4701</v>
      </c>
      <c r="C35" s="82" t="str">
        <f t="shared" ref="C35:C36" si="2">IF(A35=B35,"X",RIGHT(A35,LEN(A35)-LEN(B35)-3))</f>
        <v>X</v>
      </c>
      <c r="D35" s="83" t="s">
        <v>1908</v>
      </c>
      <c r="E35" s="115" t="s">
        <v>1904</v>
      </c>
      <c r="F35" s="303">
        <v>1</v>
      </c>
      <c r="G35" s="136" t="s">
        <v>141</v>
      </c>
      <c r="H35" s="409">
        <v>26829.27</v>
      </c>
      <c r="I35" s="408" t="s">
        <v>1906</v>
      </c>
      <c r="J35" s="91" t="s">
        <v>3898</v>
      </c>
      <c r="L35" s="261">
        <v>2022</v>
      </c>
      <c r="M35" s="261" t="s">
        <v>3535</v>
      </c>
      <c r="N35" s="261" t="s">
        <v>3537</v>
      </c>
    </row>
    <row r="36" spans="1:14" ht="30.75" thickBot="1" x14ac:dyDescent="0.3">
      <c r="A36" s="82" t="s">
        <v>4793</v>
      </c>
      <c r="B36" s="82" t="s">
        <v>4793</v>
      </c>
      <c r="C36" s="82" t="str">
        <f t="shared" si="2"/>
        <v>X</v>
      </c>
      <c r="D36" s="83" t="s">
        <v>1908</v>
      </c>
      <c r="E36" s="115" t="s">
        <v>1904</v>
      </c>
      <c r="F36" s="303">
        <v>1</v>
      </c>
      <c r="G36" s="136" t="s">
        <v>141</v>
      </c>
      <c r="H36" s="409">
        <v>94000</v>
      </c>
      <c r="I36" s="408" t="s">
        <v>1906</v>
      </c>
      <c r="J36" s="91" t="s">
        <v>3899</v>
      </c>
      <c r="L36" s="261">
        <v>2022</v>
      </c>
      <c r="M36" s="261" t="s">
        <v>3535</v>
      </c>
      <c r="N36" s="261" t="s">
        <v>3537</v>
      </c>
    </row>
  </sheetData>
  <mergeCells count="11">
    <mergeCell ref="M1:M2"/>
    <mergeCell ref="N1:N2"/>
    <mergeCell ref="G1:G2"/>
    <mergeCell ref="H1:H2"/>
    <mergeCell ref="J1:J2"/>
    <mergeCell ref="K1:K2"/>
    <mergeCell ref="A1:A2"/>
    <mergeCell ref="D1:D2"/>
    <mergeCell ref="B1:B2"/>
    <mergeCell ref="C1:C2"/>
    <mergeCell ref="F1:F2"/>
  </mergeCells>
  <pageMargins left="0.7" right="0.7" top="0.75" bottom="0.75" header="0.3" footer="0.3"/>
  <pageSetup paperSize="9" orientation="portrait" r:id="rId1"/>
  <customProperties>
    <customPr name="GU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9"/>
  <dimension ref="B6:W45"/>
  <sheetViews>
    <sheetView workbookViewId="0"/>
    <sheetView workbookViewId="1"/>
  </sheetViews>
  <sheetFormatPr defaultRowHeight="15" x14ac:dyDescent="0.25"/>
  <cols>
    <col min="2" max="2" width="43" customWidth="1"/>
    <col min="3" max="3" width="30" customWidth="1"/>
    <col min="4" max="4" width="25.140625" customWidth="1"/>
    <col min="5" max="5" width="105" bestFit="1" customWidth="1"/>
    <col min="6" max="6" width="21.28515625" customWidth="1"/>
    <col min="7" max="7" width="41.7109375" customWidth="1"/>
  </cols>
  <sheetData>
    <row r="6" spans="2:23" ht="15.75" thickBot="1" x14ac:dyDescent="0.3"/>
    <row r="7" spans="2:23" x14ac:dyDescent="0.25">
      <c r="B7" s="78" t="s">
        <v>118</v>
      </c>
      <c r="C7" s="79"/>
    </row>
    <row r="9" spans="2:23" x14ac:dyDescent="0.25">
      <c r="B9" s="516" t="str">
        <f>"Grupo Barraqueiro: "&amp;'Folha de Rosto'!C6&amp;" "&amp;'Folha de Rosto'!I6&amp;" - Emissões de GEE de Âmbito 3"</f>
        <v>Grupo Barraqueiro: PEGADA DE CARBONO 2022 - Emissões de GEE de Âmbito 3</v>
      </c>
      <c r="C9" s="516"/>
      <c r="D9" s="516"/>
      <c r="E9" s="516"/>
      <c r="F9" s="516"/>
      <c r="G9" s="516"/>
      <c r="H9" s="516"/>
      <c r="I9" s="516"/>
      <c r="J9" s="516"/>
      <c r="K9" s="516"/>
      <c r="L9" s="516"/>
      <c r="M9" s="516"/>
      <c r="N9" s="516"/>
      <c r="O9" s="516"/>
      <c r="P9" s="516"/>
      <c r="Q9" s="516"/>
      <c r="R9" s="516"/>
      <c r="S9" s="516"/>
      <c r="T9" s="516"/>
      <c r="U9" s="516"/>
      <c r="V9" s="516"/>
      <c r="W9" s="516"/>
    </row>
    <row r="10" spans="2:23" ht="15.75" thickBot="1" x14ac:dyDescent="0.3"/>
    <row r="11" spans="2:23" ht="33.6" customHeight="1" thickBot="1" x14ac:dyDescent="0.3">
      <c r="B11" s="512" t="s">
        <v>119</v>
      </c>
      <c r="C11" s="512"/>
      <c r="D11" s="518" t="s">
        <v>522</v>
      </c>
      <c r="E11" s="518"/>
      <c r="F11" s="518"/>
      <c r="G11" s="519"/>
      <c r="H11" s="519"/>
      <c r="I11" s="519"/>
      <c r="J11" s="519"/>
      <c r="K11" s="519"/>
      <c r="L11" s="519"/>
      <c r="M11" s="519"/>
      <c r="N11" s="519"/>
      <c r="O11" s="519"/>
      <c r="P11" s="520"/>
    </row>
    <row r="12" spans="2:23" ht="60.95" customHeight="1" thickBot="1" x14ac:dyDescent="0.3">
      <c r="B12" s="512" t="s">
        <v>120</v>
      </c>
      <c r="C12" s="512"/>
      <c r="D12" s="521" t="s">
        <v>438</v>
      </c>
      <c r="E12" s="521"/>
      <c r="F12" s="521"/>
      <c r="G12" s="522"/>
      <c r="H12" s="522"/>
      <c r="I12" s="522"/>
      <c r="J12" s="522"/>
      <c r="K12" s="522"/>
      <c r="L12" s="522"/>
      <c r="M12" s="522"/>
      <c r="N12" s="522"/>
      <c r="O12" s="522"/>
      <c r="P12" s="523"/>
    </row>
    <row r="13" spans="2:23" ht="60.95" customHeight="1" thickBot="1" x14ac:dyDescent="0.3">
      <c r="B13" s="512" t="s">
        <v>121</v>
      </c>
      <c r="C13" s="512"/>
      <c r="D13" s="513" t="s">
        <v>1529</v>
      </c>
      <c r="E13" s="513"/>
      <c r="F13" s="513"/>
      <c r="G13" s="514"/>
      <c r="H13" s="514"/>
      <c r="I13" s="514"/>
      <c r="J13" s="514"/>
      <c r="K13" s="514"/>
      <c r="L13" s="514"/>
      <c r="M13" s="514"/>
      <c r="N13" s="514"/>
      <c r="O13" s="514"/>
      <c r="P13" s="515"/>
    </row>
    <row r="14" spans="2:23" ht="60.95" customHeight="1" thickBot="1" x14ac:dyDescent="0.3">
      <c r="B14" s="512" t="s">
        <v>122</v>
      </c>
      <c r="C14" s="512"/>
      <c r="D14" s="513" t="s">
        <v>123</v>
      </c>
      <c r="E14" s="513"/>
      <c r="F14" s="513"/>
      <c r="G14" s="514"/>
      <c r="H14" s="514"/>
      <c r="I14" s="514"/>
      <c r="J14" s="514"/>
      <c r="K14" s="514"/>
      <c r="L14" s="514"/>
      <c r="M14" s="514"/>
      <c r="N14" s="514"/>
      <c r="O14" s="514"/>
      <c r="P14" s="515"/>
    </row>
    <row r="15" spans="2:23" ht="60" customHeight="1" thickBot="1" x14ac:dyDescent="0.3">
      <c r="B15" s="512" t="s">
        <v>128</v>
      </c>
      <c r="C15" s="512"/>
      <c r="D15" s="547" t="s">
        <v>129</v>
      </c>
      <c r="E15" s="548"/>
      <c r="F15" s="548"/>
      <c r="G15" s="548"/>
      <c r="H15" s="548"/>
      <c r="I15" s="548"/>
      <c r="J15" s="548"/>
      <c r="K15" s="548"/>
      <c r="L15" s="548"/>
      <c r="M15" s="548"/>
      <c r="N15" s="548"/>
      <c r="O15" s="548"/>
      <c r="P15" s="513"/>
    </row>
    <row r="17" spans="2:23" x14ac:dyDescent="0.25">
      <c r="B17" s="516" t="s">
        <v>1821</v>
      </c>
      <c r="C17" s="516"/>
      <c r="D17" s="516"/>
      <c r="E17" s="516"/>
      <c r="F17" s="516"/>
      <c r="G17" s="516"/>
      <c r="H17" s="516"/>
      <c r="I17" s="516"/>
      <c r="J17" s="516"/>
      <c r="K17" s="516"/>
      <c r="L17" s="516"/>
      <c r="M17" s="516"/>
      <c r="N17" s="516"/>
      <c r="O17" s="516"/>
      <c r="P17" s="516"/>
      <c r="Q17" s="516"/>
      <c r="R17" s="516"/>
      <c r="S17" s="516"/>
      <c r="T17" s="516"/>
      <c r="U17" s="516"/>
      <c r="V17" s="516"/>
      <c r="W17" s="516"/>
    </row>
    <row r="18" spans="2:23" x14ac:dyDescent="0.25">
      <c r="B18" t="s">
        <v>130</v>
      </c>
    </row>
    <row r="20" spans="2:23" x14ac:dyDescent="0.25">
      <c r="B20" s="81" t="s">
        <v>135</v>
      </c>
    </row>
    <row r="21" spans="2:23" x14ac:dyDescent="0.25">
      <c r="B21" s="517" t="s">
        <v>1824</v>
      </c>
      <c r="C21" s="517"/>
      <c r="D21" s="517"/>
      <c r="E21" s="517"/>
      <c r="F21" s="517"/>
      <c r="G21" s="517"/>
      <c r="H21" s="517"/>
      <c r="I21" s="517"/>
      <c r="J21" s="517"/>
      <c r="K21" s="517"/>
      <c r="L21" s="517"/>
      <c r="M21" s="517"/>
      <c r="N21" s="517"/>
      <c r="O21" s="517"/>
      <c r="P21" s="517"/>
      <c r="Q21" s="517"/>
      <c r="R21" s="517"/>
      <c r="S21" s="517"/>
      <c r="T21" s="517"/>
      <c r="U21" s="517"/>
    </row>
    <row r="22" spans="2:23" x14ac:dyDescent="0.25">
      <c r="B22" s="517"/>
      <c r="C22" s="517"/>
      <c r="D22" s="517"/>
      <c r="E22" s="517"/>
      <c r="F22" s="517"/>
      <c r="G22" s="517"/>
      <c r="H22" s="517"/>
      <c r="I22" s="517"/>
      <c r="J22" s="517"/>
      <c r="K22" s="517"/>
      <c r="L22" s="517"/>
      <c r="M22" s="517"/>
      <c r="N22" s="517"/>
      <c r="O22" s="517"/>
      <c r="P22" s="517"/>
      <c r="Q22" s="517"/>
      <c r="R22" s="517"/>
      <c r="S22" s="517"/>
      <c r="T22" s="517"/>
      <c r="U22" s="517"/>
    </row>
    <row r="24" spans="2:23" ht="15" customHeight="1" x14ac:dyDescent="0.25">
      <c r="B24" s="81" t="s">
        <v>136</v>
      </c>
    </row>
    <row r="25" spans="2:23" x14ac:dyDescent="0.25">
      <c r="B25" s="517" t="s">
        <v>1825</v>
      </c>
      <c r="C25" s="517"/>
      <c r="D25" s="517"/>
      <c r="E25" s="517"/>
      <c r="F25" s="517"/>
      <c r="G25" s="517"/>
      <c r="H25" s="517"/>
      <c r="I25" s="517"/>
      <c r="J25" s="517"/>
      <c r="K25" s="517"/>
      <c r="L25" s="517"/>
      <c r="M25" s="517"/>
      <c r="N25" s="517"/>
      <c r="O25" s="517"/>
      <c r="P25" s="517"/>
      <c r="Q25" s="517"/>
      <c r="R25" s="517"/>
      <c r="S25" s="517"/>
      <c r="T25" s="517"/>
      <c r="U25" s="517"/>
    </row>
    <row r="26" spans="2:23" x14ac:dyDescent="0.25">
      <c r="B26" s="517"/>
      <c r="C26" s="517"/>
      <c r="D26" s="517"/>
      <c r="E26" s="517"/>
      <c r="F26" s="517"/>
      <c r="G26" s="517"/>
      <c r="H26" s="517"/>
      <c r="I26" s="517"/>
      <c r="J26" s="517"/>
      <c r="K26" s="517"/>
      <c r="L26" s="517"/>
      <c r="M26" s="517"/>
      <c r="N26" s="517"/>
      <c r="O26" s="517"/>
      <c r="P26" s="517"/>
      <c r="Q26" s="517"/>
      <c r="R26" s="517"/>
      <c r="S26" s="517"/>
      <c r="T26" s="517"/>
      <c r="U26" s="517"/>
    </row>
    <row r="27" spans="2:23" ht="15.75" thickBot="1" x14ac:dyDescent="0.3"/>
    <row r="28" spans="2:23" ht="15.75" thickBot="1" x14ac:dyDescent="0.3">
      <c r="B28" s="543" t="s">
        <v>131</v>
      </c>
      <c r="C28" s="510" t="s">
        <v>439</v>
      </c>
      <c r="D28" s="543" t="s">
        <v>440</v>
      </c>
      <c r="E28" s="508" t="s">
        <v>134</v>
      </c>
    </row>
    <row r="29" spans="2:23" ht="15" customHeight="1" thickBot="1" x14ac:dyDescent="0.3">
      <c r="B29" s="544"/>
      <c r="C29" s="508"/>
      <c r="D29" s="544"/>
      <c r="E29" s="509"/>
    </row>
    <row r="30" spans="2:23" ht="15.75" thickBot="1" x14ac:dyDescent="0.3">
      <c r="B30" s="82" t="s">
        <v>534</v>
      </c>
      <c r="C30" s="123">
        <v>868</v>
      </c>
      <c r="D30" s="83"/>
      <c r="E30" s="83" t="s">
        <v>1823</v>
      </c>
    </row>
    <row r="31" spans="2:23" ht="15.75" thickBot="1" x14ac:dyDescent="0.3">
      <c r="B31" s="82" t="s">
        <v>535</v>
      </c>
      <c r="C31" s="123">
        <v>63</v>
      </c>
      <c r="D31" s="83"/>
      <c r="E31" s="83" t="s">
        <v>628</v>
      </c>
    </row>
    <row r="32" spans="2:23" ht="15.75" thickBot="1" x14ac:dyDescent="0.3">
      <c r="B32" s="82" t="s">
        <v>601</v>
      </c>
      <c r="C32" s="123">
        <v>96</v>
      </c>
      <c r="D32" s="83"/>
      <c r="E32" s="83" t="s">
        <v>1822</v>
      </c>
    </row>
    <row r="33" spans="2:5" ht="15.75" thickBot="1" x14ac:dyDescent="0.3">
      <c r="B33" s="82" t="s">
        <v>602</v>
      </c>
      <c r="C33" s="123">
        <v>42</v>
      </c>
      <c r="D33" s="83"/>
      <c r="E33" s="83" t="s">
        <v>1822</v>
      </c>
    </row>
    <row r="34" spans="2:5" ht="15.75" thickBot="1" x14ac:dyDescent="0.3">
      <c r="B34" s="82"/>
      <c r="C34" s="83"/>
      <c r="D34" s="83"/>
      <c r="E34" s="83"/>
    </row>
    <row r="35" spans="2:5" ht="15.75" thickBot="1" x14ac:dyDescent="0.3">
      <c r="B35" s="82"/>
      <c r="C35" s="83"/>
      <c r="D35" s="83"/>
      <c r="E35" s="83"/>
    </row>
    <row r="36" spans="2:5" ht="15.75" thickBot="1" x14ac:dyDescent="0.3">
      <c r="B36" s="82"/>
      <c r="C36" s="83"/>
      <c r="D36" s="83"/>
      <c r="E36" s="83"/>
    </row>
    <row r="37" spans="2:5" ht="15.75" thickBot="1" x14ac:dyDescent="0.3">
      <c r="B37" s="82"/>
      <c r="C37" s="83"/>
      <c r="D37" s="83"/>
      <c r="E37" s="83"/>
    </row>
    <row r="38" spans="2:5" ht="15.75" thickBot="1" x14ac:dyDescent="0.3">
      <c r="B38" s="82"/>
      <c r="C38" s="83"/>
      <c r="D38" s="83"/>
      <c r="E38" s="83"/>
    </row>
    <row r="39" spans="2:5" ht="15.75" thickBot="1" x14ac:dyDescent="0.3">
      <c r="B39" s="82"/>
      <c r="C39" s="83"/>
      <c r="D39" s="83"/>
      <c r="E39" s="83"/>
    </row>
    <row r="40" spans="2:5" ht="15.75" thickBot="1" x14ac:dyDescent="0.3">
      <c r="B40" s="82"/>
      <c r="C40" s="83"/>
      <c r="D40" s="83"/>
      <c r="E40" s="83"/>
    </row>
    <row r="41" spans="2:5" ht="15.75" thickBot="1" x14ac:dyDescent="0.3">
      <c r="B41" s="82"/>
      <c r="C41" s="83"/>
      <c r="D41" s="83"/>
      <c r="E41" s="83"/>
    </row>
    <row r="42" spans="2:5" ht="15.75" thickBot="1" x14ac:dyDescent="0.3">
      <c r="B42" s="82"/>
      <c r="C42" s="83"/>
      <c r="D42" s="83"/>
      <c r="E42" s="83"/>
    </row>
    <row r="43" spans="2:5" ht="15.75" thickBot="1" x14ac:dyDescent="0.3">
      <c r="B43" s="82"/>
      <c r="C43" s="83"/>
      <c r="D43" s="83"/>
      <c r="E43" s="83"/>
    </row>
    <row r="44" spans="2:5" ht="15.75" thickBot="1" x14ac:dyDescent="0.3">
      <c r="B44" s="82"/>
      <c r="C44" s="83"/>
      <c r="D44" s="83"/>
      <c r="E44" s="83"/>
    </row>
    <row r="45" spans="2:5" ht="15.75" thickBot="1" x14ac:dyDescent="0.3">
      <c r="B45" s="82"/>
      <c r="C45" s="83"/>
      <c r="D45" s="83"/>
      <c r="E45" s="83"/>
    </row>
  </sheetData>
  <mergeCells count="18">
    <mergeCell ref="B25:U26"/>
    <mergeCell ref="B28:B29"/>
    <mergeCell ref="C28:C29"/>
    <mergeCell ref="D28:D29"/>
    <mergeCell ref="E28:E29"/>
    <mergeCell ref="B9:W9"/>
    <mergeCell ref="B21:U22"/>
    <mergeCell ref="B11:C11"/>
    <mergeCell ref="D11:P11"/>
    <mergeCell ref="B12:C12"/>
    <mergeCell ref="D12:P12"/>
    <mergeCell ref="B13:C13"/>
    <mergeCell ref="D13:P13"/>
    <mergeCell ref="B14:C14"/>
    <mergeCell ref="D14:P14"/>
    <mergeCell ref="B15:C15"/>
    <mergeCell ref="D15:P15"/>
    <mergeCell ref="B17:W17"/>
  </mergeCells>
  <pageMargins left="0.7" right="0.7" top="0.75" bottom="0.75" header="0.3" footer="0.3"/>
  <customProperties>
    <customPr name="GUID" r:id="rId1"/>
  </customPropertie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0"/>
  <dimension ref="A1:K38"/>
  <sheetViews>
    <sheetView zoomScale="70" zoomScaleNormal="70" workbookViewId="0">
      <selection activeCell="B42" sqref="B42"/>
    </sheetView>
    <sheetView workbookViewId="1">
      <selection activeCell="F38" sqref="F38"/>
    </sheetView>
  </sheetViews>
  <sheetFormatPr defaultColWidth="50.140625" defaultRowHeight="15" x14ac:dyDescent="0.25"/>
  <cols>
    <col min="1" max="1" width="73" customWidth="1"/>
    <col min="3" max="3" width="9" customWidth="1"/>
    <col min="4" max="4" width="13.28515625" customWidth="1"/>
    <col min="5" max="5" width="23.140625" style="89" customWidth="1"/>
    <col min="6" max="6" width="22.5703125" style="89" customWidth="1"/>
    <col min="7" max="7" width="138" style="424" customWidth="1"/>
    <col min="8" max="8" width="38.5703125" customWidth="1"/>
    <col min="9" max="9" width="77.28515625" customWidth="1"/>
  </cols>
  <sheetData>
    <row r="1" spans="1:11" ht="15.75" thickBot="1" x14ac:dyDescent="0.3">
      <c r="A1" s="543" t="s">
        <v>1851</v>
      </c>
      <c r="B1" s="508" t="s">
        <v>131</v>
      </c>
      <c r="C1" s="508" t="s">
        <v>1852</v>
      </c>
      <c r="D1" s="202" t="s">
        <v>1899</v>
      </c>
      <c r="E1" s="528" t="s">
        <v>439</v>
      </c>
      <c r="F1" s="529" t="s">
        <v>440</v>
      </c>
      <c r="G1" s="508" t="s">
        <v>134</v>
      </c>
      <c r="H1" s="508" t="s">
        <v>1900</v>
      </c>
      <c r="I1" s="508" t="s">
        <v>1902</v>
      </c>
      <c r="J1" s="528" t="s">
        <v>2831</v>
      </c>
      <c r="K1" s="528" t="s">
        <v>3628</v>
      </c>
    </row>
    <row r="2" spans="1:11" ht="15.75" thickBot="1" x14ac:dyDescent="0.3">
      <c r="A2" s="544"/>
      <c r="B2" s="509"/>
      <c r="C2" s="509"/>
      <c r="D2" s="208"/>
      <c r="E2" s="529"/>
      <c r="F2" s="530"/>
      <c r="G2" s="509"/>
      <c r="H2" s="509"/>
      <c r="I2" s="509"/>
      <c r="J2" s="528"/>
      <c r="K2" s="528"/>
    </row>
    <row r="3" spans="1:11" ht="15.75" thickBot="1" x14ac:dyDescent="0.3">
      <c r="A3" s="82" t="s">
        <v>45</v>
      </c>
      <c r="B3" s="82" t="str">
        <f>LEFT(A3,IFERROR(FIND(" - ",A3)-1,LEN(A3)))</f>
        <v>Barraqueiro Transportes, S.A.</v>
      </c>
      <c r="C3" s="82" t="str">
        <f>IF(A3=B3,"X",RIGHT(A3,LEN(A3)-LEN(B3)-3))</f>
        <v>X</v>
      </c>
      <c r="D3" s="222">
        <v>2022</v>
      </c>
      <c r="E3" s="123">
        <v>868</v>
      </c>
      <c r="F3" s="123">
        <v>-1</v>
      </c>
      <c r="G3" s="119" t="s">
        <v>1823</v>
      </c>
      <c r="H3" s="1" t="s">
        <v>1901</v>
      </c>
      <c r="I3" t="str">
        <f>B3&amp; ": PC2021"</f>
        <v>Barraqueiro Transportes, S.A.: PC2021</v>
      </c>
      <c r="J3" s="261" t="s">
        <v>3535</v>
      </c>
      <c r="K3" s="261" t="s">
        <v>3538</v>
      </c>
    </row>
    <row r="4" spans="1:11" ht="30.75" thickBot="1" x14ac:dyDescent="0.3">
      <c r="A4" s="82" t="s">
        <v>4683</v>
      </c>
      <c r="B4" s="82" t="s">
        <v>4683</v>
      </c>
      <c r="C4" s="82" t="str">
        <f t="shared" ref="C4:C33" si="0">IF(A4=B4,"X",RIGHT(A4,LEN(A4)-LEN(B4)-3))</f>
        <v>X</v>
      </c>
      <c r="D4" s="222">
        <v>2022</v>
      </c>
      <c r="E4" s="123">
        <v>63</v>
      </c>
      <c r="F4" s="123">
        <v>-1</v>
      </c>
      <c r="G4" s="119" t="s">
        <v>628</v>
      </c>
      <c r="H4" s="1" t="s">
        <v>1901</v>
      </c>
      <c r="I4" t="str">
        <f>B4&amp; ": PC2021"</f>
        <v>Ribatejana Verde - Transportes Rodoviários de Passageiros, Unipessoal LDA.: PC2021</v>
      </c>
      <c r="J4" s="261" t="s">
        <v>3535</v>
      </c>
      <c r="K4" s="261" t="s">
        <v>3538</v>
      </c>
    </row>
    <row r="5" spans="1:11" ht="15.75" thickBot="1" x14ac:dyDescent="0.3">
      <c r="A5" s="82" t="s">
        <v>4684</v>
      </c>
      <c r="B5" s="82" t="s">
        <v>4684</v>
      </c>
      <c r="C5" s="82" t="str">
        <f t="shared" si="0"/>
        <v>X</v>
      </c>
      <c r="D5" s="222">
        <v>2022</v>
      </c>
      <c r="E5" s="123">
        <v>96</v>
      </c>
      <c r="F5" s="123">
        <v>-1</v>
      </c>
      <c r="G5" s="119" t="s">
        <v>1822</v>
      </c>
      <c r="H5" s="1" t="s">
        <v>1901</v>
      </c>
      <c r="I5" t="str">
        <f>B5&amp; ": PC2021"</f>
        <v>CITIRAMA - Viagens e Turismo,  S.A.: PC2021</v>
      </c>
      <c r="J5" s="261" t="s">
        <v>3535</v>
      </c>
      <c r="K5" s="261" t="s">
        <v>3538</v>
      </c>
    </row>
    <row r="6" spans="1:11" ht="15.75" thickBot="1" x14ac:dyDescent="0.3">
      <c r="A6" s="82" t="s">
        <v>4685</v>
      </c>
      <c r="B6" s="82" t="s">
        <v>4685</v>
      </c>
      <c r="C6" s="82" t="str">
        <f t="shared" si="0"/>
        <v>X</v>
      </c>
      <c r="D6" s="222">
        <v>2022</v>
      </c>
      <c r="E6" s="123">
        <v>42</v>
      </c>
      <c r="F6" s="123">
        <v>-1</v>
      </c>
      <c r="G6" s="119" t="s">
        <v>1822</v>
      </c>
      <c r="H6" s="1" t="s">
        <v>1901</v>
      </c>
      <c r="I6" t="str">
        <f>B6&amp; ": PC2021"</f>
        <v>DIANATOURS - Viagens e Turismo, LDA.: PC2021</v>
      </c>
      <c r="J6" s="261" t="s">
        <v>3535</v>
      </c>
      <c r="K6" s="261" t="s">
        <v>3538</v>
      </c>
    </row>
    <row r="7" spans="1:11" ht="15.75" thickBot="1" x14ac:dyDescent="0.3">
      <c r="A7" s="82" t="s">
        <v>1929</v>
      </c>
      <c r="B7" s="82" t="s">
        <v>1929</v>
      </c>
      <c r="C7" s="82" t="str">
        <f t="shared" si="0"/>
        <v>X</v>
      </c>
      <c r="D7" s="222">
        <v>2022</v>
      </c>
      <c r="E7" s="123">
        <v>730</v>
      </c>
      <c r="F7" s="123">
        <v>-1</v>
      </c>
      <c r="G7" s="119" t="s">
        <v>2968</v>
      </c>
      <c r="H7" s="1" t="s">
        <v>1901</v>
      </c>
      <c r="I7" s="2" t="s">
        <v>2979</v>
      </c>
      <c r="J7" s="261" t="s">
        <v>3535</v>
      </c>
      <c r="K7" s="261" t="s">
        <v>3538</v>
      </c>
    </row>
    <row r="8" spans="1:11" ht="15.75" thickBot="1" x14ac:dyDescent="0.3">
      <c r="A8" s="82" t="s">
        <v>1931</v>
      </c>
      <c r="B8" s="82" t="s">
        <v>1931</v>
      </c>
      <c r="C8" s="82" t="str">
        <f t="shared" si="0"/>
        <v>X</v>
      </c>
      <c r="D8" s="222">
        <v>2022</v>
      </c>
      <c r="E8" s="123">
        <v>70</v>
      </c>
      <c r="F8" s="123">
        <v>-1</v>
      </c>
      <c r="G8" s="119" t="s">
        <v>1824</v>
      </c>
      <c r="H8" s="1" t="s">
        <v>1901</v>
      </c>
      <c r="I8" s="2" t="s">
        <v>2979</v>
      </c>
      <c r="J8" s="261" t="s">
        <v>3535</v>
      </c>
      <c r="K8" s="261" t="s">
        <v>3538</v>
      </c>
    </row>
    <row r="9" spans="1:11" ht="15.75" thickBot="1" x14ac:dyDescent="0.3">
      <c r="A9" s="82" t="s">
        <v>1935</v>
      </c>
      <c r="B9" s="82" t="s">
        <v>1935</v>
      </c>
      <c r="C9" s="82" t="str">
        <f t="shared" si="0"/>
        <v>X</v>
      </c>
      <c r="D9" s="222">
        <v>2022</v>
      </c>
      <c r="E9" s="123">
        <v>226</v>
      </c>
      <c r="F9" s="123">
        <v>-1</v>
      </c>
      <c r="G9" s="119" t="s">
        <v>1824</v>
      </c>
      <c r="H9" s="1" t="s">
        <v>1901</v>
      </c>
      <c r="I9" s="2" t="s">
        <v>2979</v>
      </c>
      <c r="J9" s="261" t="s">
        <v>3535</v>
      </c>
      <c r="K9" s="261" t="s">
        <v>3538</v>
      </c>
    </row>
    <row r="10" spans="1:11" ht="15.75" thickBot="1" x14ac:dyDescent="0.3">
      <c r="A10" s="82" t="s">
        <v>2964</v>
      </c>
      <c r="B10" s="82" t="s">
        <v>2964</v>
      </c>
      <c r="C10" s="82" t="str">
        <f t="shared" si="0"/>
        <v>X</v>
      </c>
      <c r="D10" s="222">
        <v>2022</v>
      </c>
      <c r="E10" s="123">
        <v>57</v>
      </c>
      <c r="F10" s="123">
        <v>-1</v>
      </c>
      <c r="G10" s="119"/>
      <c r="H10" s="1" t="s">
        <v>1901</v>
      </c>
      <c r="I10" s="2" t="s">
        <v>2979</v>
      </c>
      <c r="J10" s="261" t="s">
        <v>3535</v>
      </c>
      <c r="K10" s="261" t="s">
        <v>3538</v>
      </c>
    </row>
    <row r="11" spans="1:11" ht="15.75" thickBot="1" x14ac:dyDescent="0.3">
      <c r="A11" s="82" t="s">
        <v>2965</v>
      </c>
      <c r="B11" s="82" t="s">
        <v>2965</v>
      </c>
      <c r="C11" s="82" t="str">
        <f t="shared" si="0"/>
        <v>X</v>
      </c>
      <c r="D11" s="222">
        <v>2022</v>
      </c>
      <c r="E11" s="123">
        <v>44</v>
      </c>
      <c r="F11" s="123">
        <v>-1</v>
      </c>
      <c r="G11" s="119"/>
      <c r="H11" s="1" t="s">
        <v>1901</v>
      </c>
      <c r="I11" s="2" t="s">
        <v>2979</v>
      </c>
      <c r="J11" s="261" t="s">
        <v>3535</v>
      </c>
      <c r="K11" s="261" t="s">
        <v>3538</v>
      </c>
    </row>
    <row r="12" spans="1:11" ht="15.75" thickBot="1" x14ac:dyDescent="0.3">
      <c r="A12" s="82" t="s">
        <v>2966</v>
      </c>
      <c r="B12" s="82" t="s">
        <v>2966</v>
      </c>
      <c r="C12" s="82" t="str">
        <f t="shared" si="0"/>
        <v>X</v>
      </c>
      <c r="D12" s="222">
        <v>2022</v>
      </c>
      <c r="E12" s="123">
        <v>60</v>
      </c>
      <c r="F12" s="123">
        <v>-1</v>
      </c>
      <c r="G12" s="119"/>
      <c r="H12" s="1" t="s">
        <v>1901</v>
      </c>
      <c r="I12" s="2" t="s">
        <v>2979</v>
      </c>
      <c r="J12" s="261" t="s">
        <v>3535</v>
      </c>
      <c r="K12" s="261" t="s">
        <v>3538</v>
      </c>
    </row>
    <row r="13" spans="1:11" ht="15.75" thickBot="1" x14ac:dyDescent="0.3">
      <c r="A13" s="82" t="s">
        <v>2967</v>
      </c>
      <c r="B13" s="82" t="s">
        <v>2967</v>
      </c>
      <c r="C13" s="82" t="str">
        <f t="shared" si="0"/>
        <v>X</v>
      </c>
      <c r="D13" s="222">
        <v>2022</v>
      </c>
      <c r="E13" s="123">
        <v>30</v>
      </c>
      <c r="F13" s="123">
        <v>-1</v>
      </c>
      <c r="G13" s="119"/>
      <c r="H13" s="1" t="s">
        <v>1901</v>
      </c>
      <c r="I13" s="2" t="s">
        <v>2979</v>
      </c>
      <c r="J13" s="261" t="s">
        <v>3535</v>
      </c>
      <c r="K13" s="261" t="s">
        <v>3538</v>
      </c>
    </row>
    <row r="14" spans="1:11" ht="15.75" thickBot="1" x14ac:dyDescent="0.3">
      <c r="A14" s="82" t="s">
        <v>4686</v>
      </c>
      <c r="B14" s="82" t="s">
        <v>4686</v>
      </c>
      <c r="C14" s="82" t="str">
        <f t="shared" si="0"/>
        <v>X</v>
      </c>
      <c r="D14" s="222">
        <v>2022</v>
      </c>
      <c r="E14" s="123">
        <v>251</v>
      </c>
      <c r="F14" s="123">
        <v>-1</v>
      </c>
      <c r="G14" s="119"/>
      <c r="H14" s="1" t="s">
        <v>1901</v>
      </c>
      <c r="I14" s="2" t="s">
        <v>2979</v>
      </c>
      <c r="J14" s="261" t="s">
        <v>3535</v>
      </c>
      <c r="K14" s="261" t="s">
        <v>3538</v>
      </c>
    </row>
    <row r="15" spans="1:11" ht="15.75" thickBot="1" x14ac:dyDescent="0.3">
      <c r="A15" s="82" t="s">
        <v>4687</v>
      </c>
      <c r="B15" s="82" t="s">
        <v>4687</v>
      </c>
      <c r="C15" s="82" t="str">
        <f t="shared" si="0"/>
        <v>X</v>
      </c>
      <c r="D15" s="222">
        <v>2022</v>
      </c>
      <c r="E15" s="123">
        <v>85</v>
      </c>
      <c r="F15" s="123">
        <v>-1</v>
      </c>
      <c r="G15" s="119"/>
      <c r="H15" s="1" t="s">
        <v>1901</v>
      </c>
      <c r="I15" s="2" t="s">
        <v>2979</v>
      </c>
      <c r="J15" s="261" t="s">
        <v>3535</v>
      </c>
      <c r="K15" s="261" t="s">
        <v>3538</v>
      </c>
    </row>
    <row r="16" spans="1:11" ht="15.75" thickBot="1" x14ac:dyDescent="0.3">
      <c r="A16" s="82" t="s">
        <v>3511</v>
      </c>
      <c r="B16" s="82" t="s">
        <v>3511</v>
      </c>
      <c r="C16" s="82" t="str">
        <f>IF(A16=B16,"X",RIGHT(A16,LEN(A16)-LEN(B16)-3))</f>
        <v>X</v>
      </c>
      <c r="D16" s="222">
        <v>2022</v>
      </c>
      <c r="E16" s="123">
        <v>43</v>
      </c>
      <c r="F16" s="123">
        <v>-1</v>
      </c>
      <c r="G16" s="119"/>
      <c r="H16" s="1" t="s">
        <v>1901</v>
      </c>
      <c r="I16" s="2" t="s">
        <v>2979</v>
      </c>
      <c r="J16" s="261" t="s">
        <v>3535</v>
      </c>
      <c r="K16" s="261" t="s">
        <v>3538</v>
      </c>
    </row>
    <row r="17" spans="1:11" ht="15.75" thickBot="1" x14ac:dyDescent="0.3">
      <c r="A17" s="82" t="s">
        <v>4688</v>
      </c>
      <c r="B17" s="82" t="s">
        <v>4688</v>
      </c>
      <c r="C17" s="82" t="str">
        <f t="shared" si="0"/>
        <v>X</v>
      </c>
      <c r="D17" s="222">
        <v>2022</v>
      </c>
      <c r="E17" s="123">
        <v>38</v>
      </c>
      <c r="F17" s="123">
        <v>-1</v>
      </c>
      <c r="G17" s="119"/>
      <c r="H17" s="1" t="s">
        <v>1901</v>
      </c>
      <c r="I17" s="2" t="s">
        <v>2979</v>
      </c>
      <c r="J17" s="261" t="s">
        <v>3535</v>
      </c>
      <c r="K17" s="261" t="s">
        <v>3538</v>
      </c>
    </row>
    <row r="18" spans="1:11" ht="15.75" thickBot="1" x14ac:dyDescent="0.3">
      <c r="A18" s="82" t="s">
        <v>4689</v>
      </c>
      <c r="B18" s="82" t="s">
        <v>4689</v>
      </c>
      <c r="C18" s="82" t="str">
        <f t="shared" si="0"/>
        <v>X</v>
      </c>
      <c r="D18" s="222">
        <v>2022</v>
      </c>
      <c r="E18" s="123">
        <v>51</v>
      </c>
      <c r="F18" s="123">
        <v>-1</v>
      </c>
      <c r="G18" s="119"/>
      <c r="H18" s="1" t="s">
        <v>1901</v>
      </c>
      <c r="I18" s="2" t="s">
        <v>2979</v>
      </c>
      <c r="J18" s="261" t="s">
        <v>3535</v>
      </c>
      <c r="K18" s="261" t="s">
        <v>3538</v>
      </c>
    </row>
    <row r="19" spans="1:11" ht="15.75" thickBot="1" x14ac:dyDescent="0.3">
      <c r="A19" s="290" t="s">
        <v>4690</v>
      </c>
      <c r="B19" s="290" t="s">
        <v>4690</v>
      </c>
      <c r="C19" s="82" t="str">
        <f t="shared" si="0"/>
        <v>X</v>
      </c>
      <c r="D19" s="222">
        <v>2022</v>
      </c>
      <c r="E19" s="123">
        <v>139</v>
      </c>
      <c r="F19" s="123">
        <v>-1</v>
      </c>
      <c r="G19" s="119"/>
      <c r="H19" s="1" t="s">
        <v>1901</v>
      </c>
      <c r="I19" s="2" t="s">
        <v>2979</v>
      </c>
      <c r="J19" s="261" t="s">
        <v>3535</v>
      </c>
      <c r="K19" s="261" t="s">
        <v>3538</v>
      </c>
    </row>
    <row r="20" spans="1:11" ht="15.75" thickBot="1" x14ac:dyDescent="0.3">
      <c r="A20" s="82" t="s">
        <v>4694</v>
      </c>
      <c r="B20" s="82" t="s">
        <v>4694</v>
      </c>
      <c r="C20" s="82" t="str">
        <f t="shared" si="0"/>
        <v>X</v>
      </c>
      <c r="D20" s="222">
        <v>2022</v>
      </c>
      <c r="E20" s="123">
        <v>124</v>
      </c>
      <c r="F20" s="123">
        <v>-1</v>
      </c>
      <c r="G20" s="119" t="s">
        <v>2969</v>
      </c>
      <c r="H20" s="1" t="s">
        <v>1901</v>
      </c>
      <c r="I20" s="2" t="s">
        <v>2979</v>
      </c>
      <c r="J20" s="261" t="s">
        <v>3535</v>
      </c>
      <c r="K20" s="261" t="s">
        <v>3538</v>
      </c>
    </row>
    <row r="21" spans="1:11" ht="15.75" thickBot="1" x14ac:dyDescent="0.3">
      <c r="A21" s="82" t="s">
        <v>4694</v>
      </c>
      <c r="B21" s="82" t="s">
        <v>4694</v>
      </c>
      <c r="C21" s="82" t="str">
        <f t="shared" si="0"/>
        <v>X</v>
      </c>
      <c r="D21" s="222">
        <v>2022</v>
      </c>
      <c r="E21" s="123">
        <v>5</v>
      </c>
      <c r="F21" s="123">
        <v>-1</v>
      </c>
      <c r="G21" s="119" t="s">
        <v>2970</v>
      </c>
      <c r="H21" s="1" t="s">
        <v>1901</v>
      </c>
      <c r="I21" s="2" t="s">
        <v>2979</v>
      </c>
      <c r="J21" s="261" t="s">
        <v>3535</v>
      </c>
      <c r="K21" s="261" t="s">
        <v>3538</v>
      </c>
    </row>
    <row r="22" spans="1:11" ht="15.75" thickBot="1" x14ac:dyDescent="0.3">
      <c r="A22" s="82" t="s">
        <v>4694</v>
      </c>
      <c r="B22" s="82" t="s">
        <v>4694</v>
      </c>
      <c r="C22" s="82" t="str">
        <f t="shared" si="0"/>
        <v>X</v>
      </c>
      <c r="D22" s="222">
        <v>2022</v>
      </c>
      <c r="E22" s="123">
        <v>3</v>
      </c>
      <c r="F22" s="123">
        <v>-1</v>
      </c>
      <c r="G22" s="119" t="s">
        <v>2971</v>
      </c>
      <c r="H22" s="1" t="s">
        <v>1901</v>
      </c>
      <c r="I22" s="2" t="s">
        <v>2979</v>
      </c>
      <c r="J22" s="261" t="s">
        <v>3535</v>
      </c>
      <c r="K22" s="261" t="s">
        <v>3538</v>
      </c>
    </row>
    <row r="23" spans="1:11" ht="15.75" thickBot="1" x14ac:dyDescent="0.3">
      <c r="A23" s="82" t="s">
        <v>4694</v>
      </c>
      <c r="B23" s="82" t="s">
        <v>4694</v>
      </c>
      <c r="C23" s="82" t="str">
        <f t="shared" si="0"/>
        <v>X</v>
      </c>
      <c r="D23" s="222">
        <v>2022</v>
      </c>
      <c r="E23" s="123">
        <v>14</v>
      </c>
      <c r="F23" s="123">
        <v>-1</v>
      </c>
      <c r="G23" s="119" t="s">
        <v>2972</v>
      </c>
      <c r="H23" s="1" t="s">
        <v>1901</v>
      </c>
      <c r="I23" s="2" t="s">
        <v>2979</v>
      </c>
      <c r="J23" s="261" t="s">
        <v>3535</v>
      </c>
      <c r="K23" s="261" t="s">
        <v>3538</v>
      </c>
    </row>
    <row r="24" spans="1:11" ht="15.75" thickBot="1" x14ac:dyDescent="0.3">
      <c r="A24" s="82" t="s">
        <v>4694</v>
      </c>
      <c r="B24" s="82" t="s">
        <v>4694</v>
      </c>
      <c r="C24" s="82" t="str">
        <f t="shared" si="0"/>
        <v>X</v>
      </c>
      <c r="D24" s="222">
        <v>2022</v>
      </c>
      <c r="E24" s="123">
        <v>8</v>
      </c>
      <c r="F24" s="123">
        <v>-1</v>
      </c>
      <c r="G24" s="119" t="s">
        <v>2973</v>
      </c>
      <c r="H24" s="1" t="s">
        <v>1901</v>
      </c>
      <c r="I24" s="2" t="s">
        <v>2979</v>
      </c>
      <c r="J24" s="261" t="s">
        <v>3535</v>
      </c>
      <c r="K24" s="261" t="s">
        <v>3538</v>
      </c>
    </row>
    <row r="25" spans="1:11" ht="30.75" thickBot="1" x14ac:dyDescent="0.3">
      <c r="A25" s="290" t="s">
        <v>4693</v>
      </c>
      <c r="B25" s="290" t="s">
        <v>4693</v>
      </c>
      <c r="C25" s="82" t="str">
        <f t="shared" si="0"/>
        <v>X</v>
      </c>
      <c r="D25" s="222">
        <v>2022</v>
      </c>
      <c r="E25" s="123">
        <v>504</v>
      </c>
      <c r="F25" s="123">
        <v>22.66</v>
      </c>
      <c r="G25" s="422" t="s">
        <v>2974</v>
      </c>
      <c r="H25" s="1" t="s">
        <v>1901</v>
      </c>
      <c r="I25" s="2" t="s">
        <v>2979</v>
      </c>
      <c r="J25" s="261" t="s">
        <v>3535</v>
      </c>
      <c r="K25" s="261" t="s">
        <v>3538</v>
      </c>
    </row>
    <row r="26" spans="1:11" ht="15.75" thickBot="1" x14ac:dyDescent="0.3">
      <c r="A26" s="82" t="s">
        <v>4709</v>
      </c>
      <c r="B26" s="82" t="s">
        <v>4709</v>
      </c>
      <c r="C26" s="82" t="str">
        <f t="shared" si="0"/>
        <v>X</v>
      </c>
      <c r="D26" s="222">
        <v>2022</v>
      </c>
      <c r="E26" s="123">
        <v>15</v>
      </c>
      <c r="F26" s="123">
        <v>-1</v>
      </c>
      <c r="G26" s="119" t="s">
        <v>2975</v>
      </c>
      <c r="H26" s="1" t="s">
        <v>1901</v>
      </c>
      <c r="I26" s="2" t="s">
        <v>2979</v>
      </c>
      <c r="J26" s="261" t="s">
        <v>3535</v>
      </c>
      <c r="K26" s="261" t="s">
        <v>3538</v>
      </c>
    </row>
    <row r="27" spans="1:11" ht="15.75" thickBot="1" x14ac:dyDescent="0.3">
      <c r="A27" s="289" t="s">
        <v>2836</v>
      </c>
      <c r="B27" s="289" t="s">
        <v>2836</v>
      </c>
      <c r="C27" s="82" t="str">
        <f t="shared" si="0"/>
        <v>X</v>
      </c>
      <c r="D27" s="222">
        <v>2022</v>
      </c>
      <c r="E27" s="123">
        <v>78</v>
      </c>
      <c r="F27" s="123">
        <v>-1</v>
      </c>
      <c r="G27" s="275" t="s">
        <v>2976</v>
      </c>
      <c r="H27" s="1" t="s">
        <v>1901</v>
      </c>
      <c r="I27" s="2" t="s">
        <v>2979</v>
      </c>
      <c r="J27" s="261" t="s">
        <v>3535</v>
      </c>
      <c r="K27" s="261" t="s">
        <v>3538</v>
      </c>
    </row>
    <row r="28" spans="1:11" ht="15.75" thickBot="1" x14ac:dyDescent="0.3">
      <c r="A28" s="82" t="s">
        <v>1936</v>
      </c>
      <c r="B28" s="82" t="s">
        <v>1936</v>
      </c>
      <c r="C28" s="82" t="str">
        <f t="shared" si="0"/>
        <v>X</v>
      </c>
      <c r="D28" s="222">
        <v>2022</v>
      </c>
      <c r="E28" s="123">
        <v>16</v>
      </c>
      <c r="F28" s="257">
        <v>10</v>
      </c>
      <c r="G28" s="119" t="s">
        <v>2977</v>
      </c>
      <c r="H28" s="1" t="s">
        <v>1901</v>
      </c>
      <c r="I28" s="2" t="s">
        <v>2979</v>
      </c>
      <c r="J28" s="261" t="s">
        <v>3535</v>
      </c>
      <c r="K28" s="261" t="s">
        <v>3538</v>
      </c>
    </row>
    <row r="29" spans="1:11" ht="30.75" thickBot="1" x14ac:dyDescent="0.3">
      <c r="A29" s="82" t="s">
        <v>2889</v>
      </c>
      <c r="B29" s="82" t="s">
        <v>2889</v>
      </c>
      <c r="C29" s="82" t="str">
        <f t="shared" si="0"/>
        <v>X</v>
      </c>
      <c r="D29" s="222">
        <v>2022</v>
      </c>
      <c r="E29" s="123">
        <v>31</v>
      </c>
      <c r="F29" s="123">
        <v>-1</v>
      </c>
      <c r="G29" s="422" t="s">
        <v>2978</v>
      </c>
      <c r="H29" s="1" t="s">
        <v>1901</v>
      </c>
      <c r="I29" s="2" t="s">
        <v>2979</v>
      </c>
      <c r="J29" s="261" t="s">
        <v>3535</v>
      </c>
      <c r="K29" s="261" t="s">
        <v>3538</v>
      </c>
    </row>
    <row r="30" spans="1:11" ht="30.75" thickBot="1" x14ac:dyDescent="0.3">
      <c r="A30" s="82" t="s">
        <v>4695</v>
      </c>
      <c r="B30" s="82" t="s">
        <v>4695</v>
      </c>
      <c r="C30" s="82" t="str">
        <f t="shared" si="0"/>
        <v>X</v>
      </c>
      <c r="D30" s="222">
        <v>2022</v>
      </c>
      <c r="E30" s="123">
        <v>183</v>
      </c>
      <c r="F30" s="123">
        <v>-1</v>
      </c>
      <c r="G30" s="422" t="s">
        <v>2978</v>
      </c>
      <c r="H30" s="1" t="s">
        <v>1901</v>
      </c>
      <c r="I30" s="2" t="s">
        <v>2979</v>
      </c>
      <c r="J30" s="261" t="s">
        <v>3535</v>
      </c>
      <c r="K30" s="261" t="s">
        <v>3538</v>
      </c>
    </row>
    <row r="31" spans="1:11" ht="30.75" thickBot="1" x14ac:dyDescent="0.3">
      <c r="A31" s="82" t="s">
        <v>4696</v>
      </c>
      <c r="B31" s="82" t="s">
        <v>4696</v>
      </c>
      <c r="C31" s="82" t="str">
        <f t="shared" si="0"/>
        <v>X</v>
      </c>
      <c r="D31" s="222">
        <v>2022</v>
      </c>
      <c r="E31" s="123">
        <v>183</v>
      </c>
      <c r="F31" s="123">
        <v>-1</v>
      </c>
      <c r="G31" s="422" t="s">
        <v>2978</v>
      </c>
      <c r="H31" s="1" t="s">
        <v>1901</v>
      </c>
      <c r="I31" s="2" t="s">
        <v>2979</v>
      </c>
      <c r="J31" s="261" t="s">
        <v>3535</v>
      </c>
      <c r="K31" s="261" t="s">
        <v>3538</v>
      </c>
    </row>
    <row r="32" spans="1:11" ht="30.75" thickBot="1" x14ac:dyDescent="0.3">
      <c r="A32" s="82" t="s">
        <v>4697</v>
      </c>
      <c r="B32" s="82" t="s">
        <v>4697</v>
      </c>
      <c r="C32" s="82" t="str">
        <f t="shared" si="0"/>
        <v>X</v>
      </c>
      <c r="D32" s="222">
        <v>2022</v>
      </c>
      <c r="E32" s="123">
        <v>125</v>
      </c>
      <c r="F32" s="123">
        <v>-1</v>
      </c>
      <c r="G32" s="422" t="s">
        <v>2978</v>
      </c>
      <c r="H32" s="1" t="s">
        <v>1901</v>
      </c>
      <c r="I32" s="2" t="s">
        <v>2979</v>
      </c>
      <c r="J32" s="261" t="s">
        <v>3535</v>
      </c>
      <c r="K32" s="261" t="s">
        <v>3538</v>
      </c>
    </row>
    <row r="33" spans="1:11" ht="30.75" thickBot="1" x14ac:dyDescent="0.3">
      <c r="A33" s="82" t="s">
        <v>4698</v>
      </c>
      <c r="B33" s="82" t="s">
        <v>4698</v>
      </c>
      <c r="C33" s="82" t="str">
        <f t="shared" si="0"/>
        <v>X</v>
      </c>
      <c r="D33" s="222">
        <v>2022</v>
      </c>
      <c r="E33" s="123">
        <v>144</v>
      </c>
      <c r="F33" s="123">
        <v>-1</v>
      </c>
      <c r="G33" s="422" t="s">
        <v>2978</v>
      </c>
      <c r="H33" s="1" t="s">
        <v>1901</v>
      </c>
      <c r="I33" s="2" t="s">
        <v>2979</v>
      </c>
      <c r="J33" s="261" t="s">
        <v>3535</v>
      </c>
      <c r="K33" s="261" t="s">
        <v>3538</v>
      </c>
    </row>
    <row r="34" spans="1:11" ht="30.75" thickBot="1" x14ac:dyDescent="0.3">
      <c r="A34" s="82" t="s">
        <v>4705</v>
      </c>
      <c r="B34" s="82" t="s">
        <v>4705</v>
      </c>
      <c r="C34" s="82" t="str">
        <f>IF(A34=B34,"X",RIGHT(A34,LEN(A34)-LEN(B34)-3))</f>
        <v>X</v>
      </c>
      <c r="D34" s="222">
        <v>2022</v>
      </c>
      <c r="E34" s="123">
        <v>341</v>
      </c>
      <c r="F34" s="123">
        <v>-1</v>
      </c>
      <c r="G34" s="422" t="s">
        <v>2978</v>
      </c>
      <c r="H34" s="1" t="s">
        <v>1901</v>
      </c>
      <c r="I34" s="2" t="s">
        <v>2979</v>
      </c>
      <c r="J34" s="261" t="s">
        <v>3535</v>
      </c>
      <c r="K34" s="261" t="s">
        <v>3538</v>
      </c>
    </row>
    <row r="35" spans="1:11" ht="15.75" thickBot="1" x14ac:dyDescent="0.3">
      <c r="A35" s="82" t="s">
        <v>4701</v>
      </c>
      <c r="B35" s="82" t="s">
        <v>4701</v>
      </c>
      <c r="C35" s="82" t="str">
        <f>IF(A35=B35,"X",RIGHT(A35,LEN(A35)-LEN(B35)-3))</f>
        <v>X</v>
      </c>
      <c r="D35" s="222">
        <v>2022</v>
      </c>
      <c r="E35" s="123">
        <v>156</v>
      </c>
      <c r="F35" s="123">
        <v>-1</v>
      </c>
      <c r="G35" s="423" t="s">
        <v>3900</v>
      </c>
      <c r="H35" s="1" t="s">
        <v>1901</v>
      </c>
      <c r="I35" s="2" t="s">
        <v>2979</v>
      </c>
      <c r="J35" s="261" t="s">
        <v>3535</v>
      </c>
      <c r="K35" s="261" t="s">
        <v>3538</v>
      </c>
    </row>
    <row r="36" spans="1:11" ht="15.75" thickBot="1" x14ac:dyDescent="0.3">
      <c r="A36" t="s">
        <v>4704</v>
      </c>
      <c r="B36" t="s">
        <v>4704</v>
      </c>
      <c r="C36" s="82" t="str">
        <f>IF(A36=B36,"X",RIGHT(A36,LEN(A36)-LEN(B36)-3))</f>
        <v>X</v>
      </c>
      <c r="D36" s="222">
        <v>2022</v>
      </c>
      <c r="E36" s="123">
        <v>170</v>
      </c>
      <c r="F36" s="123">
        <v>-1</v>
      </c>
      <c r="G36" s="119"/>
      <c r="H36" s="1" t="s">
        <v>1901</v>
      </c>
      <c r="I36" s="2" t="s">
        <v>2979</v>
      </c>
      <c r="J36" s="261" t="s">
        <v>3535</v>
      </c>
      <c r="K36" s="261" t="s">
        <v>3538</v>
      </c>
    </row>
    <row r="37" spans="1:11" ht="15.75" thickBot="1" x14ac:dyDescent="0.3">
      <c r="A37" t="s">
        <v>4703</v>
      </c>
      <c r="B37" t="s">
        <v>4703</v>
      </c>
      <c r="C37" s="82" t="str">
        <f t="shared" ref="C37" si="1">IF(A37=B37,"X",RIGHT(A37,LEN(A37)-LEN(B37)-3))</f>
        <v>X</v>
      </c>
      <c r="D37" s="222">
        <v>2022</v>
      </c>
      <c r="E37" s="123">
        <v>131</v>
      </c>
      <c r="F37" s="123">
        <v>-1</v>
      </c>
      <c r="G37" s="119"/>
      <c r="H37" s="1" t="s">
        <v>1901</v>
      </c>
      <c r="I37" s="2" t="s">
        <v>2979</v>
      </c>
      <c r="J37" s="261" t="s">
        <v>3535</v>
      </c>
      <c r="K37" s="261" t="s">
        <v>3538</v>
      </c>
    </row>
    <row r="38" spans="1:11" x14ac:dyDescent="0.25">
      <c r="A38" t="s">
        <v>4718</v>
      </c>
      <c r="B38" t="s">
        <v>4718</v>
      </c>
      <c r="C38" t="s">
        <v>1969</v>
      </c>
      <c r="D38" s="431">
        <v>2022</v>
      </c>
      <c r="E38" s="89">
        <v>83</v>
      </c>
      <c r="F38" s="89">
        <v>-1</v>
      </c>
      <c r="H38" s="1" t="s">
        <v>1901</v>
      </c>
      <c r="I38" s="2" t="s">
        <v>2979</v>
      </c>
      <c r="J38" s="261" t="s">
        <v>3535</v>
      </c>
      <c r="K38" s="261" t="s">
        <v>3538</v>
      </c>
    </row>
  </sheetData>
  <mergeCells count="10">
    <mergeCell ref="J1:J2"/>
    <mergeCell ref="K1:K2"/>
    <mergeCell ref="A1:A2"/>
    <mergeCell ref="C1:C2"/>
    <mergeCell ref="H1:H2"/>
    <mergeCell ref="I1:I2"/>
    <mergeCell ref="B1:B2"/>
    <mergeCell ref="E1:E2"/>
    <mergeCell ref="F1:F2"/>
    <mergeCell ref="G1:G2"/>
  </mergeCells>
  <pageMargins left="0.7" right="0.7" top="0.75" bottom="0.75" header="0.3" footer="0.3"/>
  <pageSetup paperSize="9" orientation="portrait" r:id="rId1"/>
  <customProperties>
    <customPr name="GUID" r:id="rId2"/>
  </customPropertie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1"/>
  <dimension ref="B6:W172"/>
  <sheetViews>
    <sheetView topLeftCell="A142" workbookViewId="0"/>
    <sheetView workbookViewId="1"/>
  </sheetViews>
  <sheetFormatPr defaultRowHeight="15" x14ac:dyDescent="0.25"/>
  <cols>
    <col min="2" max="2" width="50" customWidth="1"/>
    <col min="3" max="3" width="35.7109375" customWidth="1"/>
    <col min="4" max="8" width="25.7109375" customWidth="1"/>
    <col min="9" max="9" width="28.7109375" customWidth="1"/>
  </cols>
  <sheetData>
    <row r="6" spans="2:23" ht="15.75" thickBot="1" x14ac:dyDescent="0.3"/>
    <row r="7" spans="2:23" x14ac:dyDescent="0.25">
      <c r="B7" s="78" t="s">
        <v>118</v>
      </c>
      <c r="C7" s="79"/>
    </row>
    <row r="9" spans="2:23" x14ac:dyDescent="0.25">
      <c r="B9" s="516" t="str">
        <f>"Grupo Barraqueiro: "&amp;'Folha de Rosto'!C6&amp;" "&amp;'Folha de Rosto'!I6&amp;" - Emissões de GEE de Âmbito 3"</f>
        <v>Grupo Barraqueiro: PEGADA DE CARBONO 2022 - Emissões de GEE de Âmbito 3</v>
      </c>
      <c r="C9" s="516"/>
      <c r="D9" s="516"/>
      <c r="E9" s="516"/>
      <c r="F9" s="516"/>
      <c r="G9" s="516"/>
      <c r="H9" s="516"/>
      <c r="I9" s="516"/>
      <c r="J9" s="516"/>
      <c r="K9" s="516"/>
      <c r="L9" s="516"/>
      <c r="M9" s="516"/>
      <c r="N9" s="516"/>
      <c r="O9" s="516"/>
      <c r="P9" s="516"/>
      <c r="Q9" s="516"/>
      <c r="R9" s="516"/>
      <c r="S9" s="516"/>
      <c r="T9" s="516"/>
      <c r="U9" s="516"/>
      <c r="V9" s="516"/>
      <c r="W9" s="516"/>
    </row>
    <row r="10" spans="2:23" ht="15.75" thickBot="1" x14ac:dyDescent="0.3"/>
    <row r="11" spans="2:23" ht="33.6" customHeight="1" thickBot="1" x14ac:dyDescent="0.3">
      <c r="B11" s="549" t="s">
        <v>119</v>
      </c>
      <c r="C11" s="550"/>
      <c r="D11" s="551" t="s">
        <v>522</v>
      </c>
      <c r="E11" s="552"/>
      <c r="F11" s="552"/>
      <c r="G11" s="552"/>
      <c r="H11" s="552"/>
      <c r="I11" s="552"/>
      <c r="J11" s="552"/>
      <c r="K11" s="552"/>
      <c r="L11" s="552"/>
      <c r="M11" s="552"/>
      <c r="N11" s="552"/>
      <c r="O11" s="552"/>
      <c r="P11" s="553"/>
    </row>
    <row r="12" spans="2:23" ht="60.95" customHeight="1" thickBot="1" x14ac:dyDescent="0.3">
      <c r="B12" s="549" t="s">
        <v>120</v>
      </c>
      <c r="C12" s="550"/>
      <c r="D12" s="554" t="s">
        <v>441</v>
      </c>
      <c r="E12" s="555"/>
      <c r="F12" s="555"/>
      <c r="G12" s="555"/>
      <c r="H12" s="555"/>
      <c r="I12" s="555"/>
      <c r="J12" s="555"/>
      <c r="K12" s="555"/>
      <c r="L12" s="555"/>
      <c r="M12" s="555"/>
      <c r="N12" s="555"/>
      <c r="O12" s="555"/>
      <c r="P12" s="556"/>
    </row>
    <row r="13" spans="2:23" ht="60.95" customHeight="1" thickBot="1" x14ac:dyDescent="0.3">
      <c r="B13" s="549" t="s">
        <v>121</v>
      </c>
      <c r="C13" s="550"/>
      <c r="D13" s="547" t="s">
        <v>1529</v>
      </c>
      <c r="E13" s="548"/>
      <c r="F13" s="548"/>
      <c r="G13" s="548"/>
      <c r="H13" s="548"/>
      <c r="I13" s="548"/>
      <c r="J13" s="548"/>
      <c r="K13" s="548"/>
      <c r="L13" s="548"/>
      <c r="M13" s="548"/>
      <c r="N13" s="548"/>
      <c r="O13" s="548"/>
      <c r="P13" s="557"/>
    </row>
    <row r="14" spans="2:23" ht="60.95" customHeight="1" thickBot="1" x14ac:dyDescent="0.3">
      <c r="B14" s="549" t="s">
        <v>122</v>
      </c>
      <c r="C14" s="550"/>
      <c r="D14" s="547" t="s">
        <v>123</v>
      </c>
      <c r="E14" s="548"/>
      <c r="F14" s="548"/>
      <c r="G14" s="548"/>
      <c r="H14" s="548"/>
      <c r="I14" s="548"/>
      <c r="J14" s="548"/>
      <c r="K14" s="548"/>
      <c r="L14" s="548"/>
      <c r="M14" s="548"/>
      <c r="N14" s="548"/>
      <c r="O14" s="548"/>
      <c r="P14" s="557"/>
    </row>
    <row r="15" spans="2:23" ht="60" customHeight="1" thickBot="1" x14ac:dyDescent="0.3">
      <c r="B15" s="549" t="s">
        <v>128</v>
      </c>
      <c r="C15" s="550"/>
      <c r="D15" s="547" t="s">
        <v>129</v>
      </c>
      <c r="E15" s="548"/>
      <c r="F15" s="548"/>
      <c r="G15" s="548"/>
      <c r="H15" s="548"/>
      <c r="I15" s="548"/>
      <c r="J15" s="548"/>
      <c r="K15" s="548"/>
      <c r="L15" s="548"/>
      <c r="M15" s="548"/>
      <c r="N15" s="548"/>
      <c r="O15" s="548"/>
      <c r="P15" s="513"/>
    </row>
    <row r="17" spans="2:23" x14ac:dyDescent="0.25">
      <c r="B17" s="516" t="s">
        <v>1820</v>
      </c>
      <c r="C17" s="516"/>
      <c r="D17" s="516"/>
      <c r="E17" s="516"/>
      <c r="F17" s="516"/>
      <c r="G17" s="516"/>
      <c r="H17" s="516"/>
      <c r="I17" s="516"/>
      <c r="J17" s="516"/>
      <c r="K17" s="516"/>
      <c r="L17" s="516"/>
      <c r="M17" s="516"/>
      <c r="N17" s="516"/>
      <c r="O17" s="516"/>
      <c r="P17" s="516"/>
      <c r="Q17" s="516"/>
      <c r="R17" s="516"/>
      <c r="S17" s="516"/>
      <c r="T17" s="516"/>
      <c r="U17" s="516"/>
      <c r="V17" s="516"/>
      <c r="W17" s="516"/>
    </row>
    <row r="18" spans="2:23" x14ac:dyDescent="0.25">
      <c r="B18" t="s">
        <v>130</v>
      </c>
    </row>
    <row r="20" spans="2:23" x14ac:dyDescent="0.25">
      <c r="B20" s="81" t="s">
        <v>135</v>
      </c>
    </row>
    <row r="21" spans="2:23" x14ac:dyDescent="0.25">
      <c r="B21" s="517"/>
      <c r="C21" s="517"/>
      <c r="D21" s="517"/>
      <c r="E21" s="517"/>
      <c r="F21" s="517"/>
      <c r="G21" s="517"/>
      <c r="H21" s="517"/>
      <c r="I21" s="517"/>
      <c r="J21" s="517"/>
      <c r="K21" s="517"/>
      <c r="L21" s="517"/>
      <c r="M21" s="517"/>
      <c r="N21" s="517"/>
      <c r="O21" s="517"/>
      <c r="P21" s="517"/>
      <c r="Q21" s="517"/>
      <c r="R21" s="517"/>
      <c r="S21" s="517"/>
      <c r="T21" s="517"/>
      <c r="U21" s="517"/>
    </row>
    <row r="22" spans="2:23" x14ac:dyDescent="0.25">
      <c r="B22" s="517"/>
      <c r="C22" s="517"/>
      <c r="D22" s="517"/>
      <c r="E22" s="517"/>
      <c r="F22" s="517"/>
      <c r="G22" s="517"/>
      <c r="H22" s="517"/>
      <c r="I22" s="517"/>
      <c r="J22" s="517"/>
      <c r="K22" s="517"/>
      <c r="L22" s="517"/>
      <c r="M22" s="517"/>
      <c r="N22" s="517"/>
      <c r="O22" s="517"/>
      <c r="P22" s="517"/>
      <c r="Q22" s="517"/>
      <c r="R22" s="517"/>
      <c r="S22" s="517"/>
      <c r="T22" s="517"/>
      <c r="U22" s="517"/>
    </row>
    <row r="24" spans="2:23" ht="15" customHeight="1" x14ac:dyDescent="0.25">
      <c r="B24" s="81" t="s">
        <v>136</v>
      </c>
    </row>
    <row r="25" spans="2:23" x14ac:dyDescent="0.25">
      <c r="B25" s="517"/>
      <c r="C25" s="517"/>
      <c r="D25" s="517"/>
      <c r="E25" s="517"/>
      <c r="F25" s="517"/>
      <c r="G25" s="517"/>
      <c r="H25" s="517"/>
      <c r="I25" s="517"/>
      <c r="J25" s="517"/>
      <c r="K25" s="517"/>
      <c r="L25" s="517"/>
      <c r="M25" s="517"/>
      <c r="N25" s="517"/>
      <c r="O25" s="517"/>
      <c r="P25" s="517"/>
      <c r="Q25" s="517"/>
      <c r="R25" s="517"/>
      <c r="S25" s="517"/>
      <c r="T25" s="517"/>
      <c r="U25" s="517"/>
    </row>
    <row r="26" spans="2:23" x14ac:dyDescent="0.25">
      <c r="B26" s="517"/>
      <c r="C26" s="517"/>
      <c r="D26" s="517"/>
      <c r="E26" s="517"/>
      <c r="F26" s="517"/>
      <c r="G26" s="517"/>
      <c r="H26" s="517"/>
      <c r="I26" s="517"/>
      <c r="J26" s="517"/>
      <c r="K26" s="517"/>
      <c r="L26" s="517"/>
      <c r="M26" s="517"/>
      <c r="N26" s="517"/>
      <c r="O26" s="517"/>
      <c r="P26" s="517"/>
      <c r="Q26" s="517"/>
      <c r="R26" s="517"/>
      <c r="S26" s="517"/>
      <c r="T26" s="517"/>
      <c r="U26" s="517"/>
    </row>
    <row r="27" spans="2:23" ht="15.75" thickBot="1" x14ac:dyDescent="0.3"/>
    <row r="28" spans="2:23" ht="15.75" thickBot="1" x14ac:dyDescent="0.3">
      <c r="B28" s="508" t="s">
        <v>131</v>
      </c>
      <c r="C28" s="510" t="s">
        <v>442</v>
      </c>
      <c r="D28" s="543" t="s">
        <v>435</v>
      </c>
      <c r="E28" s="508" t="s">
        <v>141</v>
      </c>
      <c r="F28" s="543" t="s">
        <v>444</v>
      </c>
      <c r="G28" s="529" t="s">
        <v>434</v>
      </c>
      <c r="H28" s="545" t="s">
        <v>443</v>
      </c>
      <c r="I28" s="510" t="s">
        <v>134</v>
      </c>
    </row>
    <row r="29" spans="2:23" ht="15" customHeight="1" thickBot="1" x14ac:dyDescent="0.3">
      <c r="B29" s="509"/>
      <c r="C29" s="508"/>
      <c r="D29" s="544"/>
      <c r="E29" s="558"/>
      <c r="F29" s="544"/>
      <c r="G29" s="559"/>
      <c r="H29" s="543"/>
      <c r="I29" s="510"/>
    </row>
    <row r="30" spans="2:23" ht="15" customHeight="1" thickBot="1" x14ac:dyDescent="0.3">
      <c r="B30" s="82" t="s">
        <v>1652</v>
      </c>
      <c r="C30" s="83" t="s">
        <v>1662</v>
      </c>
      <c r="D30" s="83"/>
      <c r="E30" s="85"/>
      <c r="F30" s="82"/>
      <c r="G30" s="165">
        <f>SUM(G31:G42)</f>
        <v>4526505.3899999997</v>
      </c>
      <c r="H30" s="83"/>
      <c r="I30" s="83"/>
    </row>
    <row r="31" spans="2:23" ht="15.75" thickBot="1" x14ac:dyDescent="0.3">
      <c r="B31" s="82" t="s">
        <v>1652</v>
      </c>
      <c r="C31" s="83" t="s">
        <v>1660</v>
      </c>
      <c r="D31" s="83">
        <f>D44+D57+D70+D83</f>
        <v>1366</v>
      </c>
      <c r="E31" s="85"/>
      <c r="F31" s="82"/>
      <c r="G31" s="165">
        <f>G44+G57+G70+G83+G84+G97+G110</f>
        <v>643875.37</v>
      </c>
      <c r="H31" s="83"/>
      <c r="I31" s="83"/>
    </row>
    <row r="32" spans="2:23" ht="15.75" thickBot="1" x14ac:dyDescent="0.3">
      <c r="B32" s="82" t="s">
        <v>1652</v>
      </c>
      <c r="C32" s="83" t="s">
        <v>1661</v>
      </c>
      <c r="D32" s="83"/>
      <c r="E32" s="85"/>
      <c r="F32" s="82"/>
      <c r="G32" s="165">
        <f>G45+G58+G71+G85+G98+G111+G170</f>
        <v>107829.60999999999</v>
      </c>
      <c r="H32" s="83"/>
      <c r="I32" s="83"/>
    </row>
    <row r="33" spans="2:9" ht="15.75" thickBot="1" x14ac:dyDescent="0.3">
      <c r="B33" s="82" t="s">
        <v>1652</v>
      </c>
      <c r="C33" s="83" t="s">
        <v>1653</v>
      </c>
      <c r="D33" s="83">
        <f>D46+D59+D72+D162</f>
        <v>418</v>
      </c>
      <c r="E33" s="85"/>
      <c r="F33" s="82"/>
      <c r="G33" s="165">
        <f>G46+G59+G72+G86+G162</f>
        <v>77171.989999999991</v>
      </c>
      <c r="H33" s="83"/>
      <c r="I33" s="83"/>
    </row>
    <row r="34" spans="2:9" ht="15.75" thickBot="1" x14ac:dyDescent="0.3">
      <c r="B34" s="82" t="s">
        <v>1652</v>
      </c>
      <c r="C34" s="83" t="s">
        <v>1654</v>
      </c>
      <c r="D34" s="83"/>
      <c r="E34" s="85"/>
      <c r="F34" s="82"/>
      <c r="G34" s="165">
        <f>G47+G60+G73+G87+G165</f>
        <v>5725.5300000000007</v>
      </c>
      <c r="H34" s="83"/>
      <c r="I34" s="83"/>
    </row>
    <row r="35" spans="2:9" ht="15.75" thickBot="1" x14ac:dyDescent="0.3">
      <c r="B35" s="82" t="s">
        <v>1652</v>
      </c>
      <c r="C35" s="83" t="s">
        <v>1655</v>
      </c>
      <c r="D35" s="83"/>
      <c r="E35" s="85"/>
      <c r="F35" s="82"/>
      <c r="G35" s="165">
        <f>G48+G61+G74+G88+G164</f>
        <v>207482.33</v>
      </c>
      <c r="H35" s="83"/>
      <c r="I35" s="83"/>
    </row>
    <row r="36" spans="2:9" ht="15.75" thickBot="1" x14ac:dyDescent="0.3">
      <c r="B36" s="82" t="s">
        <v>1652</v>
      </c>
      <c r="C36" s="83" t="s">
        <v>1656</v>
      </c>
      <c r="D36" s="83"/>
      <c r="E36" s="85"/>
      <c r="F36" s="82"/>
      <c r="G36" s="165">
        <f>G49+G62+G75+G89+G163</f>
        <v>2257.1999999999998</v>
      </c>
      <c r="H36" s="83"/>
      <c r="I36" s="83"/>
    </row>
    <row r="37" spans="2:9" ht="15.75" thickBot="1" x14ac:dyDescent="0.3">
      <c r="B37" s="82" t="s">
        <v>1652</v>
      </c>
      <c r="C37" s="83" t="s">
        <v>1657</v>
      </c>
      <c r="D37" s="83"/>
      <c r="E37" s="85"/>
      <c r="F37" s="82"/>
      <c r="G37" s="165">
        <f>G50+G63+G76+G90+G166</f>
        <v>406851.52</v>
      </c>
      <c r="H37" s="83"/>
      <c r="I37" s="83"/>
    </row>
    <row r="38" spans="2:9" ht="15.75" thickBot="1" x14ac:dyDescent="0.3">
      <c r="B38" s="82" t="s">
        <v>1652</v>
      </c>
      <c r="C38" s="83" t="s">
        <v>1670</v>
      </c>
      <c r="D38" s="83"/>
      <c r="E38" s="85"/>
      <c r="F38" s="82"/>
      <c r="G38" s="165">
        <f>G51+G64+G77+G91+G167</f>
        <v>3634.21</v>
      </c>
      <c r="H38" s="83"/>
      <c r="I38" s="83"/>
    </row>
    <row r="39" spans="2:9" ht="15.75" thickBot="1" x14ac:dyDescent="0.3">
      <c r="B39" s="82" t="s">
        <v>1652</v>
      </c>
      <c r="C39" s="83" t="s">
        <v>1672</v>
      </c>
      <c r="D39" s="83"/>
      <c r="E39" s="85"/>
      <c r="F39" s="82"/>
      <c r="G39" s="165">
        <f>G52+G65+G78+G92+G169+G105+G118</f>
        <v>1000994.39</v>
      </c>
      <c r="H39" s="83"/>
      <c r="I39" s="83"/>
    </row>
    <row r="40" spans="2:9" ht="15.75" thickBot="1" x14ac:dyDescent="0.3">
      <c r="B40" s="82" t="s">
        <v>1652</v>
      </c>
      <c r="C40" s="83" t="s">
        <v>1658</v>
      </c>
      <c r="D40" s="83"/>
      <c r="E40" s="85"/>
      <c r="F40" s="82"/>
      <c r="G40" s="165">
        <f>G53+G66+G79+G93+G168</f>
        <v>8868.0499999999993</v>
      </c>
      <c r="H40" s="83"/>
      <c r="I40" s="83"/>
    </row>
    <row r="41" spans="2:9" ht="15.75" thickBot="1" x14ac:dyDescent="0.3">
      <c r="B41" s="82" t="s">
        <v>1652</v>
      </c>
      <c r="C41" s="83" t="s">
        <v>1675</v>
      </c>
      <c r="D41" s="83"/>
      <c r="E41" s="85"/>
      <c r="F41" s="82"/>
      <c r="G41" s="165">
        <f>G54+G67+G80+G94+G171</f>
        <v>153612.06</v>
      </c>
      <c r="H41" s="83"/>
      <c r="I41" s="83"/>
    </row>
    <row r="42" spans="2:9" ht="15.75" thickBot="1" x14ac:dyDescent="0.3">
      <c r="B42" s="82" t="s">
        <v>1652</v>
      </c>
      <c r="C42" s="83" t="s">
        <v>1659</v>
      </c>
      <c r="D42" s="83"/>
      <c r="E42" s="85"/>
      <c r="F42" s="82"/>
      <c r="G42" s="165">
        <f>G55+G68+G81+G95+G172+G121+G108</f>
        <v>1908203.1300000001</v>
      </c>
      <c r="H42" s="83"/>
      <c r="I42" s="83"/>
    </row>
    <row r="43" spans="2:9" ht="15.75" thickBot="1" x14ac:dyDescent="0.3">
      <c r="B43" s="161" t="s">
        <v>545</v>
      </c>
      <c r="C43" s="162" t="s">
        <v>1662</v>
      </c>
      <c r="D43" s="162"/>
      <c r="E43" s="163"/>
      <c r="F43" s="161"/>
      <c r="G43" s="164">
        <f>SUM(G44:G55)</f>
        <v>974216.1399999999</v>
      </c>
      <c r="H43" s="162"/>
      <c r="I43" s="162"/>
    </row>
    <row r="44" spans="2:9" ht="15.75" thickBot="1" x14ac:dyDescent="0.3">
      <c r="B44" s="161" t="s">
        <v>545</v>
      </c>
      <c r="C44" s="162" t="s">
        <v>1681</v>
      </c>
      <c r="D44" s="162">
        <v>620</v>
      </c>
      <c r="E44" s="163" t="s">
        <v>586</v>
      </c>
      <c r="F44" s="161"/>
      <c r="G44" s="164">
        <v>222705.59</v>
      </c>
      <c r="H44" s="162"/>
      <c r="I44" s="162" t="s">
        <v>1663</v>
      </c>
    </row>
    <row r="45" spans="2:9" ht="15.75" thickBot="1" x14ac:dyDescent="0.3">
      <c r="B45" s="161" t="s">
        <v>545</v>
      </c>
      <c r="C45" s="162" t="s">
        <v>1661</v>
      </c>
      <c r="D45" s="162"/>
      <c r="E45" s="163"/>
      <c r="F45" s="161"/>
      <c r="G45" s="164">
        <v>13402.37</v>
      </c>
      <c r="H45" s="162"/>
      <c r="I45" s="162" t="s">
        <v>1669</v>
      </c>
    </row>
    <row r="46" spans="2:9" ht="15.75" thickBot="1" x14ac:dyDescent="0.3">
      <c r="B46" s="161" t="s">
        <v>545</v>
      </c>
      <c r="C46" s="162" t="s">
        <v>1653</v>
      </c>
      <c r="D46" s="162">
        <f>23*2+15</f>
        <v>61</v>
      </c>
      <c r="E46" s="163" t="s">
        <v>586</v>
      </c>
      <c r="F46" s="161"/>
      <c r="G46" s="164">
        <v>9563.4</v>
      </c>
      <c r="H46" s="162"/>
      <c r="I46" s="162" t="s">
        <v>1664</v>
      </c>
    </row>
    <row r="47" spans="2:9" ht="15.75" thickBot="1" x14ac:dyDescent="0.3">
      <c r="B47" s="161" t="s">
        <v>545</v>
      </c>
      <c r="C47" s="162" t="s">
        <v>1654</v>
      </c>
      <c r="D47" s="162"/>
      <c r="E47" s="163"/>
      <c r="F47" s="161"/>
      <c r="G47" s="164">
        <v>896.12</v>
      </c>
      <c r="H47" s="162"/>
      <c r="I47" s="162" t="s">
        <v>1668</v>
      </c>
    </row>
    <row r="48" spans="2:9" ht="15.75" thickBot="1" x14ac:dyDescent="0.3">
      <c r="B48" s="161" t="s">
        <v>545</v>
      </c>
      <c r="C48" s="162" t="s">
        <v>1655</v>
      </c>
      <c r="D48" s="162"/>
      <c r="E48" s="163"/>
      <c r="F48" s="161"/>
      <c r="G48" s="164">
        <v>42831.1</v>
      </c>
      <c r="H48" s="162"/>
      <c r="I48" s="162" t="s">
        <v>1666</v>
      </c>
    </row>
    <row r="49" spans="2:9" ht="15.75" thickBot="1" x14ac:dyDescent="0.3">
      <c r="B49" s="161" t="s">
        <v>545</v>
      </c>
      <c r="C49" s="162" t="s">
        <v>1656</v>
      </c>
      <c r="D49" s="162"/>
      <c r="E49" s="163"/>
      <c r="F49" s="161"/>
      <c r="G49" s="164">
        <v>414.27</v>
      </c>
      <c r="H49" s="162"/>
      <c r="I49" s="162" t="s">
        <v>1667</v>
      </c>
    </row>
    <row r="50" spans="2:9" ht="15.75" thickBot="1" x14ac:dyDescent="0.3">
      <c r="B50" s="161" t="s">
        <v>545</v>
      </c>
      <c r="C50" s="162" t="s">
        <v>1657</v>
      </c>
      <c r="D50" s="162"/>
      <c r="E50" s="163"/>
      <c r="F50" s="161"/>
      <c r="G50" s="164">
        <v>78254.350000000006</v>
      </c>
      <c r="H50" s="162"/>
      <c r="I50" s="162" t="s">
        <v>1665</v>
      </c>
    </row>
    <row r="51" spans="2:9" ht="15.75" thickBot="1" x14ac:dyDescent="0.3">
      <c r="B51" s="161" t="s">
        <v>545</v>
      </c>
      <c r="C51" s="162" t="s">
        <v>1670</v>
      </c>
      <c r="D51" s="162"/>
      <c r="E51" s="163"/>
      <c r="F51" s="161"/>
      <c r="G51" s="164">
        <v>963.61</v>
      </c>
      <c r="H51" s="162"/>
      <c r="I51" s="162" t="s">
        <v>1671</v>
      </c>
    </row>
    <row r="52" spans="2:9" ht="15.75" thickBot="1" x14ac:dyDescent="0.3">
      <c r="B52" s="161" t="s">
        <v>545</v>
      </c>
      <c r="C52" s="162" t="s">
        <v>1672</v>
      </c>
      <c r="D52" s="162"/>
      <c r="E52" s="163"/>
      <c r="F52" s="161"/>
      <c r="G52" s="164">
        <v>178731.83</v>
      </c>
      <c r="H52" s="162"/>
      <c r="I52" s="162" t="s">
        <v>1673</v>
      </c>
    </row>
    <row r="53" spans="2:9" ht="15.75" thickBot="1" x14ac:dyDescent="0.3">
      <c r="B53" s="161" t="s">
        <v>545</v>
      </c>
      <c r="C53" s="162" t="s">
        <v>1658</v>
      </c>
      <c r="D53" s="162"/>
      <c r="E53" s="163"/>
      <c r="F53" s="161"/>
      <c r="G53" s="164">
        <v>715.6</v>
      </c>
      <c r="H53" s="162"/>
      <c r="I53" s="162" t="s">
        <v>1674</v>
      </c>
    </row>
    <row r="54" spans="2:9" ht="15.75" thickBot="1" x14ac:dyDescent="0.3">
      <c r="B54" s="161" t="s">
        <v>545</v>
      </c>
      <c r="C54" s="162" t="s">
        <v>1675</v>
      </c>
      <c r="D54" s="162"/>
      <c r="E54" s="163"/>
      <c r="F54" s="161"/>
      <c r="G54" s="164">
        <v>37012.400000000001</v>
      </c>
      <c r="H54" s="162"/>
      <c r="I54" s="162" t="s">
        <v>1676</v>
      </c>
    </row>
    <row r="55" spans="2:9" ht="15.75" thickBot="1" x14ac:dyDescent="0.3">
      <c r="B55" s="161" t="s">
        <v>545</v>
      </c>
      <c r="C55" s="162" t="s">
        <v>1659</v>
      </c>
      <c r="D55" s="162"/>
      <c r="E55" s="163"/>
      <c r="F55" s="161"/>
      <c r="G55" s="164">
        <v>388725.5</v>
      </c>
      <c r="H55" s="162"/>
      <c r="I55" s="162" t="s">
        <v>1677</v>
      </c>
    </row>
    <row r="56" spans="2:9" ht="15.75" thickBot="1" x14ac:dyDescent="0.3">
      <c r="B56" s="161" t="s">
        <v>542</v>
      </c>
      <c r="C56" s="162" t="s">
        <v>1662</v>
      </c>
      <c r="D56" s="162"/>
      <c r="E56" s="163"/>
      <c r="F56" s="161"/>
      <c r="G56" s="164">
        <f>SUM(G57:G68)</f>
        <v>739688.59</v>
      </c>
      <c r="H56" s="162"/>
      <c r="I56" s="162"/>
    </row>
    <row r="57" spans="2:9" ht="15.75" thickBot="1" x14ac:dyDescent="0.3">
      <c r="B57" s="161" t="s">
        <v>542</v>
      </c>
      <c r="C57" s="162" t="s">
        <v>1681</v>
      </c>
      <c r="D57" s="162">
        <v>175</v>
      </c>
      <c r="E57" s="163" t="s">
        <v>586</v>
      </c>
      <c r="F57" s="161"/>
      <c r="G57" s="164">
        <v>118140.86</v>
      </c>
      <c r="H57" s="162"/>
      <c r="I57" s="162" t="s">
        <v>1678</v>
      </c>
    </row>
    <row r="58" spans="2:9" ht="15.75" thickBot="1" x14ac:dyDescent="0.3">
      <c r="B58" s="161" t="s">
        <v>542</v>
      </c>
      <c r="C58" s="162" t="s">
        <v>1661</v>
      </c>
      <c r="D58" s="162"/>
      <c r="E58" s="163"/>
      <c r="F58" s="161"/>
      <c r="G58" s="164">
        <v>11554.62</v>
      </c>
      <c r="H58" s="162"/>
      <c r="I58" s="162" t="s">
        <v>1723</v>
      </c>
    </row>
    <row r="59" spans="2:9" ht="15.75" thickBot="1" x14ac:dyDescent="0.3">
      <c r="B59" s="161" t="s">
        <v>542</v>
      </c>
      <c r="C59" s="162" t="s">
        <v>1653</v>
      </c>
      <c r="D59" s="162">
        <v>48</v>
      </c>
      <c r="E59" s="163" t="s">
        <v>141</v>
      </c>
      <c r="F59" s="161"/>
      <c r="G59" s="164">
        <v>14696.69</v>
      </c>
      <c r="H59" s="162"/>
      <c r="I59" s="162" t="s">
        <v>1724</v>
      </c>
    </row>
    <row r="60" spans="2:9" ht="15.75" thickBot="1" x14ac:dyDescent="0.3">
      <c r="B60" s="161" t="s">
        <v>542</v>
      </c>
      <c r="C60" s="162" t="s">
        <v>1654</v>
      </c>
      <c r="D60" s="162"/>
      <c r="E60" s="163"/>
      <c r="F60" s="161"/>
      <c r="G60" s="164">
        <v>770.77</v>
      </c>
      <c r="H60" s="162"/>
      <c r="I60" s="162" t="s">
        <v>1702</v>
      </c>
    </row>
    <row r="61" spans="2:9" ht="15.75" thickBot="1" x14ac:dyDescent="0.3">
      <c r="B61" s="161" t="s">
        <v>542</v>
      </c>
      <c r="C61" s="162" t="s">
        <v>1655</v>
      </c>
      <c r="D61" s="162"/>
      <c r="E61" s="163"/>
      <c r="F61" s="161"/>
      <c r="G61" s="164">
        <v>24873.52</v>
      </c>
      <c r="H61" s="162"/>
      <c r="I61" s="162" t="s">
        <v>1671</v>
      </c>
    </row>
    <row r="62" spans="2:9" ht="15.75" thickBot="1" x14ac:dyDescent="0.3">
      <c r="B62" s="161" t="s">
        <v>542</v>
      </c>
      <c r="C62" s="162" t="s">
        <v>1656</v>
      </c>
      <c r="D62" s="162"/>
      <c r="E62" s="163"/>
      <c r="F62" s="161"/>
      <c r="G62" s="164">
        <v>0</v>
      </c>
      <c r="H62" s="162"/>
      <c r="I62" s="162"/>
    </row>
    <row r="63" spans="2:9" ht="15.75" thickBot="1" x14ac:dyDescent="0.3">
      <c r="B63" s="161" t="s">
        <v>542</v>
      </c>
      <c r="C63" s="162" t="s">
        <v>1657</v>
      </c>
      <c r="D63" s="162"/>
      <c r="E63" s="163"/>
      <c r="F63" s="161"/>
      <c r="G63" s="164">
        <v>52288.92</v>
      </c>
      <c r="H63" s="162"/>
      <c r="I63" s="162" t="s">
        <v>1704</v>
      </c>
    </row>
    <row r="64" spans="2:9" ht="15.75" thickBot="1" x14ac:dyDescent="0.3">
      <c r="B64" s="161" t="s">
        <v>542</v>
      </c>
      <c r="C64" s="162" t="s">
        <v>1670</v>
      </c>
      <c r="D64" s="162"/>
      <c r="E64" s="163"/>
      <c r="F64" s="161"/>
      <c r="G64" s="164">
        <v>164.02</v>
      </c>
      <c r="H64" s="162"/>
      <c r="I64" s="162" t="s">
        <v>1699</v>
      </c>
    </row>
    <row r="65" spans="2:9" ht="15.75" thickBot="1" x14ac:dyDescent="0.3">
      <c r="B65" s="161" t="s">
        <v>542</v>
      </c>
      <c r="C65" s="162" t="s">
        <v>1672</v>
      </c>
      <c r="D65" s="162"/>
      <c r="E65" s="163"/>
      <c r="F65" s="161"/>
      <c r="G65" s="164">
        <v>170614.91</v>
      </c>
      <c r="H65" s="162"/>
      <c r="I65" s="162" t="s">
        <v>1722</v>
      </c>
    </row>
    <row r="66" spans="2:9" ht="15.75" thickBot="1" x14ac:dyDescent="0.3">
      <c r="B66" s="161" t="s">
        <v>542</v>
      </c>
      <c r="C66" s="162" t="s">
        <v>1658</v>
      </c>
      <c r="D66" s="162"/>
      <c r="E66" s="163"/>
      <c r="F66" s="161"/>
      <c r="G66" s="164">
        <v>1397.65</v>
      </c>
      <c r="H66" s="162"/>
      <c r="I66" s="162" t="s">
        <v>1713</v>
      </c>
    </row>
    <row r="67" spans="2:9" ht="15.75" thickBot="1" x14ac:dyDescent="0.3">
      <c r="B67" s="161" t="s">
        <v>542</v>
      </c>
      <c r="C67" s="162" t="s">
        <v>1675</v>
      </c>
      <c r="D67" s="162"/>
      <c r="E67" s="163"/>
      <c r="F67" s="161"/>
      <c r="G67" s="164">
        <v>33247.49</v>
      </c>
      <c r="H67" s="162"/>
      <c r="I67" s="162" t="s">
        <v>1732</v>
      </c>
    </row>
    <row r="68" spans="2:9" ht="15.75" thickBot="1" x14ac:dyDescent="0.3">
      <c r="B68" s="161" t="s">
        <v>542</v>
      </c>
      <c r="C68" s="162" t="s">
        <v>1659</v>
      </c>
      <c r="D68" s="162"/>
      <c r="E68" s="163"/>
      <c r="F68" s="161"/>
      <c r="G68" s="164">
        <v>311939.14</v>
      </c>
      <c r="H68" s="162"/>
      <c r="I68" s="162" t="s">
        <v>1741</v>
      </c>
    </row>
    <row r="69" spans="2:9" ht="15.75" thickBot="1" x14ac:dyDescent="0.3">
      <c r="B69" s="161" t="s">
        <v>543</v>
      </c>
      <c r="C69" s="162" t="s">
        <v>1662</v>
      </c>
      <c r="D69" s="162"/>
      <c r="E69" s="163"/>
      <c r="F69" s="161"/>
      <c r="G69" s="164">
        <f>SUM(G70:G81)</f>
        <v>712551.72</v>
      </c>
      <c r="H69" s="162"/>
      <c r="I69" s="162"/>
    </row>
    <row r="70" spans="2:9" ht="15.75" thickBot="1" x14ac:dyDescent="0.3">
      <c r="B70" s="161" t="s">
        <v>543</v>
      </c>
      <c r="C70" s="162" t="s">
        <v>1681</v>
      </c>
      <c r="D70" s="162">
        <v>366</v>
      </c>
      <c r="E70" s="163" t="s">
        <v>586</v>
      </c>
      <c r="F70" s="161"/>
      <c r="G70" s="164">
        <v>96102.19</v>
      </c>
      <c r="H70" s="162"/>
      <c r="I70" s="162" t="s">
        <v>1683</v>
      </c>
    </row>
    <row r="71" spans="2:9" ht="15.75" thickBot="1" x14ac:dyDescent="0.3">
      <c r="B71" s="161" t="s">
        <v>543</v>
      </c>
      <c r="C71" s="162" t="s">
        <v>1661</v>
      </c>
      <c r="D71" s="162"/>
      <c r="E71" s="163"/>
      <c r="F71" s="161"/>
      <c r="G71" s="164">
        <v>15065.84</v>
      </c>
      <c r="H71" s="162"/>
      <c r="I71" s="162" t="s">
        <v>1725</v>
      </c>
    </row>
    <row r="72" spans="2:9" ht="15.75" thickBot="1" x14ac:dyDescent="0.3">
      <c r="B72" s="161" t="s">
        <v>543</v>
      </c>
      <c r="C72" s="162" t="s">
        <v>1653</v>
      </c>
      <c r="D72" s="162">
        <v>85</v>
      </c>
      <c r="E72" s="163" t="s">
        <v>141</v>
      </c>
      <c r="F72" s="161"/>
      <c r="G72" s="164">
        <v>13905.81</v>
      </c>
      <c r="H72" s="162"/>
      <c r="I72" s="162" t="s">
        <v>1668</v>
      </c>
    </row>
    <row r="73" spans="2:9" ht="15.75" thickBot="1" x14ac:dyDescent="0.3">
      <c r="B73" s="161" t="s">
        <v>543</v>
      </c>
      <c r="C73" s="162" t="s">
        <v>1654</v>
      </c>
      <c r="D73" s="162"/>
      <c r="E73" s="163"/>
      <c r="F73" s="161"/>
      <c r="G73" s="164">
        <v>1049.3599999999999</v>
      </c>
      <c r="H73" s="162"/>
      <c r="I73" s="162" t="s">
        <v>1702</v>
      </c>
    </row>
    <row r="74" spans="2:9" ht="15.75" thickBot="1" x14ac:dyDescent="0.3">
      <c r="B74" s="161" t="s">
        <v>543</v>
      </c>
      <c r="C74" s="162" t="s">
        <v>1655</v>
      </c>
      <c r="D74" s="162"/>
      <c r="E74" s="163"/>
      <c r="F74" s="161"/>
      <c r="G74" s="164">
        <v>17414.009999999998</v>
      </c>
      <c r="H74" s="162"/>
      <c r="I74" s="162" t="s">
        <v>1697</v>
      </c>
    </row>
    <row r="75" spans="2:9" ht="15.75" thickBot="1" x14ac:dyDescent="0.3">
      <c r="B75" s="161" t="s">
        <v>543</v>
      </c>
      <c r="C75" s="162" t="s">
        <v>1656</v>
      </c>
      <c r="D75" s="162"/>
      <c r="E75" s="163"/>
      <c r="F75" s="161"/>
      <c r="G75" s="164">
        <v>0</v>
      </c>
      <c r="H75" s="162"/>
      <c r="I75" s="162"/>
    </row>
    <row r="76" spans="2:9" ht="15.75" thickBot="1" x14ac:dyDescent="0.3">
      <c r="B76" s="161" t="s">
        <v>543</v>
      </c>
      <c r="C76" s="162" t="s">
        <v>1657</v>
      </c>
      <c r="D76" s="162"/>
      <c r="E76" s="163"/>
      <c r="F76" s="161"/>
      <c r="G76" s="164">
        <v>40896.019999999997</v>
      </c>
      <c r="H76" s="162"/>
      <c r="I76" s="162" t="s">
        <v>1705</v>
      </c>
    </row>
    <row r="77" spans="2:9" ht="15.75" thickBot="1" x14ac:dyDescent="0.3">
      <c r="B77" s="161" t="s">
        <v>543</v>
      </c>
      <c r="C77" s="162" t="s">
        <v>1670</v>
      </c>
      <c r="D77" s="162"/>
      <c r="E77" s="163"/>
      <c r="F77" s="161"/>
      <c r="G77" s="164">
        <v>294.57</v>
      </c>
      <c r="H77" s="162"/>
      <c r="I77" s="162" t="s">
        <v>1712</v>
      </c>
    </row>
    <row r="78" spans="2:9" ht="15.75" thickBot="1" x14ac:dyDescent="0.3">
      <c r="B78" s="161" t="s">
        <v>543</v>
      </c>
      <c r="C78" s="162" t="s">
        <v>1672</v>
      </c>
      <c r="D78" s="162"/>
      <c r="E78" s="163"/>
      <c r="F78" s="161"/>
      <c r="G78" s="164">
        <v>196353.5</v>
      </c>
      <c r="H78" s="162"/>
      <c r="I78" s="162" t="s">
        <v>1721</v>
      </c>
    </row>
    <row r="79" spans="2:9" ht="15.75" thickBot="1" x14ac:dyDescent="0.3">
      <c r="B79" s="161" t="s">
        <v>543</v>
      </c>
      <c r="C79" s="162" t="s">
        <v>1658</v>
      </c>
      <c r="D79" s="162"/>
      <c r="E79" s="163"/>
      <c r="F79" s="161"/>
      <c r="G79" s="164">
        <v>834.57</v>
      </c>
      <c r="H79" s="162"/>
      <c r="I79" s="162" t="s">
        <v>1714</v>
      </c>
    </row>
    <row r="80" spans="2:9" ht="15.75" thickBot="1" x14ac:dyDescent="0.3">
      <c r="B80" s="161" t="s">
        <v>543</v>
      </c>
      <c r="C80" s="162" t="s">
        <v>1675</v>
      </c>
      <c r="D80" s="162"/>
      <c r="E80" s="163"/>
      <c r="F80" s="161"/>
      <c r="G80" s="164">
        <v>6997.38</v>
      </c>
      <c r="H80" s="162"/>
      <c r="I80" s="162" t="s">
        <v>1733</v>
      </c>
    </row>
    <row r="81" spans="2:9" ht="15.75" thickBot="1" x14ac:dyDescent="0.3">
      <c r="B81" s="161" t="s">
        <v>543</v>
      </c>
      <c r="C81" s="162" t="s">
        <v>1659</v>
      </c>
      <c r="D81" s="162"/>
      <c r="E81" s="163"/>
      <c r="F81" s="161"/>
      <c r="G81" s="164">
        <v>323638.46999999997</v>
      </c>
      <c r="H81" s="162"/>
      <c r="I81" s="162" t="s">
        <v>1740</v>
      </c>
    </row>
    <row r="82" spans="2:9" ht="15.75" thickBot="1" x14ac:dyDescent="0.3">
      <c r="B82" s="161" t="s">
        <v>544</v>
      </c>
      <c r="C82" s="162" t="s">
        <v>1662</v>
      </c>
      <c r="D82" s="162"/>
      <c r="E82" s="163"/>
      <c r="F82" s="161"/>
      <c r="G82" s="164">
        <f>SUM(G83:G95)</f>
        <v>270082.64999999997</v>
      </c>
      <c r="H82" s="162"/>
      <c r="I82" s="162"/>
    </row>
    <row r="83" spans="2:9" ht="15.75" thickBot="1" x14ac:dyDescent="0.3">
      <c r="B83" s="161" t="s">
        <v>544</v>
      </c>
      <c r="C83" s="162" t="s">
        <v>1681</v>
      </c>
      <c r="D83" s="162">
        <v>205</v>
      </c>
      <c r="E83" s="163" t="s">
        <v>586</v>
      </c>
      <c r="F83" s="161"/>
      <c r="G83" s="164">
        <v>52161.14</v>
      </c>
      <c r="H83" s="162"/>
      <c r="I83" s="162" t="s">
        <v>1679</v>
      </c>
    </row>
    <row r="84" spans="2:9" ht="15.75" thickBot="1" x14ac:dyDescent="0.3">
      <c r="B84" s="161" t="s">
        <v>544</v>
      </c>
      <c r="C84" s="162" t="s">
        <v>1680</v>
      </c>
      <c r="D84" s="162"/>
      <c r="E84" s="163"/>
      <c r="F84" s="161"/>
      <c r="G84" s="164">
        <v>702.01</v>
      </c>
      <c r="H84" s="162"/>
      <c r="I84" s="162" t="s">
        <v>1682</v>
      </c>
    </row>
    <row r="85" spans="2:9" ht="15.75" thickBot="1" x14ac:dyDescent="0.3">
      <c r="B85" s="161" t="s">
        <v>544</v>
      </c>
      <c r="C85" s="162" t="s">
        <v>1661</v>
      </c>
      <c r="D85" s="162"/>
      <c r="E85" s="163"/>
      <c r="F85" s="161"/>
      <c r="G85" s="164">
        <v>10255.56</v>
      </c>
      <c r="H85" s="162"/>
      <c r="I85" s="162" t="s">
        <v>1726</v>
      </c>
    </row>
    <row r="86" spans="2:9" ht="15.75" thickBot="1" x14ac:dyDescent="0.3">
      <c r="B86" s="161" t="s">
        <v>544</v>
      </c>
      <c r="C86" s="162" t="s">
        <v>1653</v>
      </c>
      <c r="D86" s="162">
        <v>18</v>
      </c>
      <c r="E86" s="163" t="s">
        <v>586</v>
      </c>
      <c r="F86" s="161"/>
      <c r="G86" s="164">
        <v>2792</v>
      </c>
      <c r="H86" s="162"/>
      <c r="I86" s="162" t="s">
        <v>1690</v>
      </c>
    </row>
    <row r="87" spans="2:9" ht="15.75" thickBot="1" x14ac:dyDescent="0.3">
      <c r="B87" s="161" t="s">
        <v>544</v>
      </c>
      <c r="C87" s="162" t="s">
        <v>1654</v>
      </c>
      <c r="D87" s="162"/>
      <c r="E87" s="163"/>
      <c r="F87" s="161"/>
      <c r="G87" s="164">
        <v>80.510000000000005</v>
      </c>
      <c r="H87" s="162"/>
      <c r="I87" s="162" t="s">
        <v>1701</v>
      </c>
    </row>
    <row r="88" spans="2:9" ht="15.75" thickBot="1" x14ac:dyDescent="0.3">
      <c r="B88" s="161" t="s">
        <v>544</v>
      </c>
      <c r="C88" s="162" t="s">
        <v>1655</v>
      </c>
      <c r="D88" s="162"/>
      <c r="E88" s="163"/>
      <c r="F88" s="161"/>
      <c r="G88" s="164">
        <v>2371.6999999999998</v>
      </c>
      <c r="H88" s="162"/>
      <c r="I88" s="162" t="s">
        <v>1698</v>
      </c>
    </row>
    <row r="89" spans="2:9" ht="15.75" thickBot="1" x14ac:dyDescent="0.3">
      <c r="B89" s="161" t="s">
        <v>544</v>
      </c>
      <c r="C89" s="162" t="s">
        <v>1656</v>
      </c>
      <c r="D89" s="162"/>
      <c r="E89" s="163"/>
      <c r="F89" s="161"/>
      <c r="G89" s="164">
        <v>557.09</v>
      </c>
      <c r="H89" s="162"/>
      <c r="I89" s="162" t="s">
        <v>1694</v>
      </c>
    </row>
    <row r="90" spans="2:9" ht="15.75" thickBot="1" x14ac:dyDescent="0.3">
      <c r="B90" s="161" t="s">
        <v>544</v>
      </c>
      <c r="C90" s="162" t="s">
        <v>1657</v>
      </c>
      <c r="D90" s="162"/>
      <c r="E90" s="163"/>
      <c r="F90" s="161"/>
      <c r="G90" s="164">
        <v>28791.22</v>
      </c>
      <c r="H90" s="162"/>
      <c r="I90" s="162" t="s">
        <v>1706</v>
      </c>
    </row>
    <row r="91" spans="2:9" ht="15.75" thickBot="1" x14ac:dyDescent="0.3">
      <c r="B91" s="161" t="s">
        <v>544</v>
      </c>
      <c r="C91" s="162" t="s">
        <v>1670</v>
      </c>
      <c r="D91" s="162"/>
      <c r="E91" s="163"/>
      <c r="F91" s="161"/>
      <c r="G91" s="164">
        <v>28.96</v>
      </c>
      <c r="H91" s="162"/>
      <c r="I91" s="162" t="s">
        <v>1667</v>
      </c>
    </row>
    <row r="92" spans="2:9" ht="15.75" thickBot="1" x14ac:dyDescent="0.3">
      <c r="B92" s="161" t="s">
        <v>544</v>
      </c>
      <c r="C92" s="162" t="s">
        <v>1672</v>
      </c>
      <c r="D92" s="162"/>
      <c r="E92" s="163"/>
      <c r="F92" s="161"/>
      <c r="G92" s="164">
        <v>42379.47</v>
      </c>
      <c r="H92" s="162"/>
      <c r="I92" s="162" t="s">
        <v>1720</v>
      </c>
    </row>
    <row r="93" spans="2:9" ht="15.75" thickBot="1" x14ac:dyDescent="0.3">
      <c r="B93" s="161" t="s">
        <v>544</v>
      </c>
      <c r="C93" s="162" t="s">
        <v>1658</v>
      </c>
      <c r="D93" s="162"/>
      <c r="E93" s="163"/>
      <c r="F93" s="161"/>
      <c r="G93" s="164">
        <v>1049.1500000000001</v>
      </c>
      <c r="H93" s="162"/>
      <c r="I93" s="162" t="s">
        <v>1715</v>
      </c>
    </row>
    <row r="94" spans="2:9" ht="15.75" thickBot="1" x14ac:dyDescent="0.3">
      <c r="B94" s="161" t="s">
        <v>544</v>
      </c>
      <c r="C94" s="162" t="s">
        <v>1675</v>
      </c>
      <c r="D94" s="162"/>
      <c r="E94" s="163"/>
      <c r="F94" s="161"/>
      <c r="G94" s="164">
        <v>7817.49</v>
      </c>
      <c r="H94" s="162"/>
      <c r="I94" s="162" t="s">
        <v>1734</v>
      </c>
    </row>
    <row r="95" spans="2:9" ht="15.75" thickBot="1" x14ac:dyDescent="0.3">
      <c r="B95" s="161" t="s">
        <v>544</v>
      </c>
      <c r="C95" s="162" t="s">
        <v>1659</v>
      </c>
      <c r="D95" s="162"/>
      <c r="E95" s="163"/>
      <c r="F95" s="161"/>
      <c r="G95" s="164">
        <v>121096.35</v>
      </c>
      <c r="H95" s="162"/>
      <c r="I95" s="162">
        <v>1051</v>
      </c>
    </row>
    <row r="96" spans="2:9" ht="15.75" thickBot="1" x14ac:dyDescent="0.3">
      <c r="B96" s="161" t="s">
        <v>541</v>
      </c>
      <c r="C96" s="162" t="s">
        <v>1662</v>
      </c>
      <c r="D96" s="162"/>
      <c r="E96" s="163"/>
      <c r="F96" s="161"/>
      <c r="G96" s="164">
        <f>SUM(G97:G108)</f>
        <v>118064.24</v>
      </c>
      <c r="H96" s="162"/>
      <c r="I96" s="162"/>
    </row>
    <row r="97" spans="2:9" ht="15.75" thickBot="1" x14ac:dyDescent="0.3">
      <c r="B97" s="161" t="s">
        <v>541</v>
      </c>
      <c r="C97" s="162" t="s">
        <v>1680</v>
      </c>
      <c r="D97" s="162"/>
      <c r="E97" s="163"/>
      <c r="F97" s="161"/>
      <c r="G97" s="164">
        <v>88524.24</v>
      </c>
      <c r="H97" s="162"/>
      <c r="I97" s="162" t="s">
        <v>1684</v>
      </c>
    </row>
    <row r="98" spans="2:9" ht="15.75" thickBot="1" x14ac:dyDescent="0.3">
      <c r="B98" s="161" t="s">
        <v>541</v>
      </c>
      <c r="C98" s="162" t="s">
        <v>1661</v>
      </c>
      <c r="D98" s="162"/>
      <c r="E98" s="163"/>
      <c r="F98" s="161"/>
      <c r="G98" s="164">
        <v>8316.84</v>
      </c>
      <c r="H98" s="162"/>
      <c r="I98" s="162" t="s">
        <v>1691</v>
      </c>
    </row>
    <row r="99" spans="2:9" ht="15.75" thickBot="1" x14ac:dyDescent="0.3">
      <c r="B99" s="161" t="s">
        <v>541</v>
      </c>
      <c r="C99" s="162" t="s">
        <v>1653</v>
      </c>
      <c r="D99" s="162"/>
      <c r="E99" s="163"/>
      <c r="F99" s="161"/>
      <c r="G99" s="164"/>
      <c r="H99" s="162"/>
      <c r="I99" s="162" t="s">
        <v>1693</v>
      </c>
    </row>
    <row r="100" spans="2:9" ht="15.75" thickBot="1" x14ac:dyDescent="0.3">
      <c r="B100" s="161" t="s">
        <v>541</v>
      </c>
      <c r="C100" s="162" t="s">
        <v>1654</v>
      </c>
      <c r="D100" s="162"/>
      <c r="E100" s="163"/>
      <c r="F100" s="161"/>
      <c r="G100" s="164"/>
      <c r="H100" s="162"/>
      <c r="I100" s="162" t="s">
        <v>1693</v>
      </c>
    </row>
    <row r="101" spans="2:9" ht="15.75" thickBot="1" x14ac:dyDescent="0.3">
      <c r="B101" s="161" t="s">
        <v>541</v>
      </c>
      <c r="C101" s="162" t="s">
        <v>1655</v>
      </c>
      <c r="D101" s="162"/>
      <c r="E101" s="163"/>
      <c r="F101" s="161"/>
      <c r="G101" s="164"/>
      <c r="H101" s="162"/>
      <c r="I101" s="162" t="s">
        <v>1693</v>
      </c>
    </row>
    <row r="102" spans="2:9" ht="15.75" thickBot="1" x14ac:dyDescent="0.3">
      <c r="B102" s="161" t="s">
        <v>541</v>
      </c>
      <c r="C102" s="162" t="s">
        <v>1656</v>
      </c>
      <c r="D102" s="162"/>
      <c r="E102" s="163"/>
      <c r="F102" s="161"/>
      <c r="G102" s="164"/>
      <c r="H102" s="162"/>
      <c r="I102" s="162" t="s">
        <v>1693</v>
      </c>
    </row>
    <row r="103" spans="2:9" ht="15.75" thickBot="1" x14ac:dyDescent="0.3">
      <c r="B103" s="161" t="s">
        <v>541</v>
      </c>
      <c r="C103" s="162" t="s">
        <v>1657</v>
      </c>
      <c r="D103" s="162"/>
      <c r="E103" s="163"/>
      <c r="F103" s="161"/>
      <c r="G103" s="164"/>
      <c r="H103" s="162"/>
      <c r="I103" s="162" t="s">
        <v>1693</v>
      </c>
    </row>
    <row r="104" spans="2:9" ht="15.75" thickBot="1" x14ac:dyDescent="0.3">
      <c r="B104" s="161" t="s">
        <v>541</v>
      </c>
      <c r="C104" s="162" t="s">
        <v>1670</v>
      </c>
      <c r="D104" s="162"/>
      <c r="E104" s="163"/>
      <c r="F104" s="161"/>
      <c r="G104" s="164"/>
      <c r="H104" s="162"/>
      <c r="I104" s="162" t="s">
        <v>1693</v>
      </c>
    </row>
    <row r="105" spans="2:9" ht="15.75" thickBot="1" x14ac:dyDescent="0.3">
      <c r="B105" s="161" t="s">
        <v>541</v>
      </c>
      <c r="C105" s="162" t="s">
        <v>1672</v>
      </c>
      <c r="D105" s="162"/>
      <c r="E105" s="163"/>
      <c r="F105" s="161"/>
      <c r="G105" s="164">
        <v>1549.05</v>
      </c>
      <c r="H105" s="162"/>
      <c r="I105" s="162" t="s">
        <v>1712</v>
      </c>
    </row>
    <row r="106" spans="2:9" ht="15.75" thickBot="1" x14ac:dyDescent="0.3">
      <c r="B106" s="161" t="s">
        <v>541</v>
      </c>
      <c r="C106" s="162" t="s">
        <v>1658</v>
      </c>
      <c r="D106" s="162"/>
      <c r="E106" s="163"/>
      <c r="F106" s="161"/>
      <c r="G106" s="164"/>
      <c r="H106" s="162"/>
      <c r="I106" s="162" t="s">
        <v>1693</v>
      </c>
    </row>
    <row r="107" spans="2:9" ht="15.75" thickBot="1" x14ac:dyDescent="0.3">
      <c r="B107" s="161" t="s">
        <v>541</v>
      </c>
      <c r="C107" s="162" t="s">
        <v>1675</v>
      </c>
      <c r="D107" s="162"/>
      <c r="E107" s="163"/>
      <c r="F107" s="161"/>
      <c r="G107" s="164"/>
      <c r="H107" s="162"/>
      <c r="I107" s="162" t="s">
        <v>1693</v>
      </c>
    </row>
    <row r="108" spans="2:9" ht="15.75" thickBot="1" x14ac:dyDescent="0.3">
      <c r="B108" s="161" t="s">
        <v>541</v>
      </c>
      <c r="C108" s="162" t="s">
        <v>1659</v>
      </c>
      <c r="D108" s="162"/>
      <c r="E108" s="163"/>
      <c r="F108" s="161"/>
      <c r="G108" s="164">
        <v>19674.11</v>
      </c>
      <c r="H108" s="162"/>
      <c r="I108" s="162" t="s">
        <v>1702</v>
      </c>
    </row>
    <row r="109" spans="2:9" ht="15.75" thickBot="1" x14ac:dyDescent="0.3">
      <c r="B109" s="161" t="s">
        <v>1072</v>
      </c>
      <c r="C109" s="162" t="s">
        <v>1662</v>
      </c>
      <c r="D109" s="162"/>
      <c r="E109" s="163"/>
      <c r="F109" s="161"/>
      <c r="G109" s="164">
        <f>SUM(G110:G121)</f>
        <v>83378.689999999988</v>
      </c>
      <c r="H109" s="162"/>
      <c r="I109" s="162"/>
    </row>
    <row r="110" spans="2:9" ht="15.75" thickBot="1" x14ac:dyDescent="0.3">
      <c r="B110" s="161" t="s">
        <v>1072</v>
      </c>
      <c r="C110" s="162" t="s">
        <v>1680</v>
      </c>
      <c r="D110" s="162"/>
      <c r="E110" s="163"/>
      <c r="F110" s="161"/>
      <c r="G110" s="164">
        <v>65539.34</v>
      </c>
      <c r="H110" s="162"/>
      <c r="I110" s="162" t="s">
        <v>1685</v>
      </c>
    </row>
    <row r="111" spans="2:9" ht="15.75" thickBot="1" x14ac:dyDescent="0.3">
      <c r="B111" s="161" t="s">
        <v>1072</v>
      </c>
      <c r="C111" s="162" t="s">
        <v>1661</v>
      </c>
      <c r="D111" s="162"/>
      <c r="E111" s="163"/>
      <c r="F111" s="161"/>
      <c r="G111" s="164">
        <v>8836.8700000000008</v>
      </c>
      <c r="H111" s="162"/>
      <c r="I111" s="162" t="s">
        <v>1727</v>
      </c>
    </row>
    <row r="112" spans="2:9" ht="15.75" thickBot="1" x14ac:dyDescent="0.3">
      <c r="B112" s="161" t="s">
        <v>1072</v>
      </c>
      <c r="C112" s="162" t="s">
        <v>1653</v>
      </c>
      <c r="D112" s="162"/>
      <c r="E112" s="163"/>
      <c r="F112" s="161"/>
      <c r="G112" s="164"/>
      <c r="H112" s="162"/>
      <c r="I112" s="162" t="s">
        <v>1693</v>
      </c>
    </row>
    <row r="113" spans="2:9" ht="15.75" thickBot="1" x14ac:dyDescent="0.3">
      <c r="B113" s="161" t="s">
        <v>1072</v>
      </c>
      <c r="C113" s="162" t="s">
        <v>1654</v>
      </c>
      <c r="D113" s="162"/>
      <c r="E113" s="163"/>
      <c r="F113" s="161"/>
      <c r="G113" s="164"/>
      <c r="H113" s="162"/>
      <c r="I113" s="162" t="s">
        <v>1693</v>
      </c>
    </row>
    <row r="114" spans="2:9" ht="15.75" thickBot="1" x14ac:dyDescent="0.3">
      <c r="B114" s="161" t="s">
        <v>1072</v>
      </c>
      <c r="C114" s="162" t="s">
        <v>1655</v>
      </c>
      <c r="D114" s="162"/>
      <c r="E114" s="163"/>
      <c r="F114" s="161"/>
      <c r="G114" s="164"/>
      <c r="H114" s="162"/>
      <c r="I114" s="162" t="s">
        <v>1693</v>
      </c>
    </row>
    <row r="115" spans="2:9" ht="15.75" thickBot="1" x14ac:dyDescent="0.3">
      <c r="B115" s="161" t="s">
        <v>1072</v>
      </c>
      <c r="C115" s="162" t="s">
        <v>1656</v>
      </c>
      <c r="D115" s="162"/>
      <c r="E115" s="163"/>
      <c r="F115" s="161"/>
      <c r="G115" s="164"/>
      <c r="H115" s="162"/>
      <c r="I115" s="162" t="s">
        <v>1693</v>
      </c>
    </row>
    <row r="116" spans="2:9" ht="15.75" thickBot="1" x14ac:dyDescent="0.3">
      <c r="B116" s="161" t="s">
        <v>1072</v>
      </c>
      <c r="C116" s="162" t="s">
        <v>1657</v>
      </c>
      <c r="D116" s="162"/>
      <c r="E116" s="163"/>
      <c r="F116" s="161"/>
      <c r="G116" s="164"/>
      <c r="H116" s="162"/>
      <c r="I116" s="162" t="s">
        <v>1693</v>
      </c>
    </row>
    <row r="117" spans="2:9" ht="15.75" thickBot="1" x14ac:dyDescent="0.3">
      <c r="B117" s="161" t="s">
        <v>1072</v>
      </c>
      <c r="C117" s="162" t="s">
        <v>1670</v>
      </c>
      <c r="D117" s="162"/>
      <c r="E117" s="163"/>
      <c r="F117" s="161"/>
      <c r="G117" s="164"/>
      <c r="H117" s="162"/>
      <c r="I117" s="162" t="s">
        <v>1693</v>
      </c>
    </row>
    <row r="118" spans="2:9" ht="15.75" thickBot="1" x14ac:dyDescent="0.3">
      <c r="B118" s="161" t="s">
        <v>1072</v>
      </c>
      <c r="C118" s="162" t="s">
        <v>1672</v>
      </c>
      <c r="D118" s="162"/>
      <c r="E118" s="163"/>
      <c r="F118" s="161"/>
      <c r="G118" s="164">
        <v>556.62</v>
      </c>
      <c r="H118" s="162"/>
      <c r="I118" s="162" t="s">
        <v>1690</v>
      </c>
    </row>
    <row r="119" spans="2:9" ht="15.75" thickBot="1" x14ac:dyDescent="0.3">
      <c r="B119" s="161" t="s">
        <v>1072</v>
      </c>
      <c r="C119" s="162" t="s">
        <v>1658</v>
      </c>
      <c r="D119" s="162"/>
      <c r="E119" s="163"/>
      <c r="F119" s="161"/>
      <c r="G119" s="164"/>
      <c r="H119" s="162"/>
      <c r="I119" s="162" t="s">
        <v>1693</v>
      </c>
    </row>
    <row r="120" spans="2:9" ht="15.75" thickBot="1" x14ac:dyDescent="0.3">
      <c r="B120" s="161" t="s">
        <v>1072</v>
      </c>
      <c r="C120" s="162" t="s">
        <v>1675</v>
      </c>
      <c r="D120" s="162"/>
      <c r="E120" s="163"/>
      <c r="F120" s="161"/>
      <c r="G120" s="164"/>
      <c r="H120" s="162"/>
      <c r="I120" s="162" t="s">
        <v>1693</v>
      </c>
    </row>
    <row r="121" spans="2:9" ht="15.75" thickBot="1" x14ac:dyDescent="0.3">
      <c r="B121" s="161" t="s">
        <v>1072</v>
      </c>
      <c r="C121" s="162" t="s">
        <v>1659</v>
      </c>
      <c r="D121" s="162"/>
      <c r="E121" s="163"/>
      <c r="F121" s="161"/>
      <c r="G121" s="164">
        <v>8445.86</v>
      </c>
      <c r="H121" s="162"/>
      <c r="I121" s="162" t="s">
        <v>1739</v>
      </c>
    </row>
    <row r="122" spans="2:9" ht="15.75" thickBot="1" x14ac:dyDescent="0.3">
      <c r="B122" s="82" t="s">
        <v>536</v>
      </c>
      <c r="C122" s="83" t="s">
        <v>1662</v>
      </c>
      <c r="D122" s="83"/>
      <c r="E122" s="85"/>
      <c r="F122" s="82"/>
      <c r="G122" s="160">
        <f>SUM(G123:G134)</f>
        <v>29860.92</v>
      </c>
      <c r="H122" s="83"/>
      <c r="I122" s="83"/>
    </row>
    <row r="123" spans="2:9" ht="15.75" thickBot="1" x14ac:dyDescent="0.3">
      <c r="B123" s="82" t="s">
        <v>536</v>
      </c>
      <c r="C123" s="83" t="s">
        <v>1680</v>
      </c>
      <c r="D123" s="83"/>
      <c r="E123" s="85"/>
      <c r="F123" s="82"/>
      <c r="G123" s="160">
        <v>13564.95</v>
      </c>
      <c r="H123" s="83"/>
      <c r="I123" s="83" t="s">
        <v>1686</v>
      </c>
    </row>
    <row r="124" spans="2:9" ht="15.75" thickBot="1" x14ac:dyDescent="0.3">
      <c r="B124" s="82" t="s">
        <v>536</v>
      </c>
      <c r="C124" s="83" t="s">
        <v>1661</v>
      </c>
      <c r="D124" s="83"/>
      <c r="E124" s="85"/>
      <c r="F124" s="82"/>
      <c r="G124" s="160">
        <v>338.63</v>
      </c>
      <c r="H124" s="83"/>
      <c r="I124" s="83" t="s">
        <v>1728</v>
      </c>
    </row>
    <row r="125" spans="2:9" ht="15.75" thickBot="1" x14ac:dyDescent="0.3">
      <c r="B125" s="82" t="s">
        <v>536</v>
      </c>
      <c r="C125" s="83" t="s">
        <v>1653</v>
      </c>
      <c r="D125" s="83"/>
      <c r="E125" s="85"/>
      <c r="F125" s="82"/>
      <c r="G125" s="160"/>
      <c r="H125" s="83"/>
      <c r="I125" s="83" t="s">
        <v>1693</v>
      </c>
    </row>
    <row r="126" spans="2:9" ht="15.75" thickBot="1" x14ac:dyDescent="0.3">
      <c r="B126" s="82" t="s">
        <v>536</v>
      </c>
      <c r="C126" s="83" t="s">
        <v>1654</v>
      </c>
      <c r="D126" s="83"/>
      <c r="E126" s="85"/>
      <c r="F126" s="82"/>
      <c r="G126" s="160"/>
      <c r="H126" s="83"/>
      <c r="I126" s="83" t="s">
        <v>1693</v>
      </c>
    </row>
    <row r="127" spans="2:9" ht="15.75" thickBot="1" x14ac:dyDescent="0.3">
      <c r="B127" s="82" t="s">
        <v>536</v>
      </c>
      <c r="C127" s="83" t="s">
        <v>1655</v>
      </c>
      <c r="D127" s="83"/>
      <c r="E127" s="85"/>
      <c r="F127" s="82"/>
      <c r="G127" s="160"/>
      <c r="H127" s="83"/>
      <c r="I127" s="83" t="s">
        <v>1693</v>
      </c>
    </row>
    <row r="128" spans="2:9" ht="15.75" thickBot="1" x14ac:dyDescent="0.3">
      <c r="B128" s="82" t="s">
        <v>536</v>
      </c>
      <c r="C128" s="83" t="s">
        <v>1656</v>
      </c>
      <c r="D128" s="83"/>
      <c r="E128" s="85"/>
      <c r="F128" s="82"/>
      <c r="G128" s="160"/>
      <c r="H128" s="83"/>
      <c r="I128" s="83" t="s">
        <v>1693</v>
      </c>
    </row>
    <row r="129" spans="2:9" ht="15.75" thickBot="1" x14ac:dyDescent="0.3">
      <c r="B129" s="82" t="s">
        <v>536</v>
      </c>
      <c r="C129" s="83" t="s">
        <v>1657</v>
      </c>
      <c r="D129" s="83"/>
      <c r="E129" s="85"/>
      <c r="F129" s="82"/>
      <c r="G129" s="160">
        <v>15633.34</v>
      </c>
      <c r="H129" s="83"/>
      <c r="I129" s="83" t="s">
        <v>1708</v>
      </c>
    </row>
    <row r="130" spans="2:9" ht="15.75" thickBot="1" x14ac:dyDescent="0.3">
      <c r="B130" s="82" t="s">
        <v>536</v>
      </c>
      <c r="C130" s="83" t="s">
        <v>1670</v>
      </c>
      <c r="D130" s="83"/>
      <c r="E130" s="85"/>
      <c r="F130" s="82"/>
      <c r="G130" s="160"/>
      <c r="H130" s="83"/>
      <c r="I130" s="83" t="s">
        <v>1693</v>
      </c>
    </row>
    <row r="131" spans="2:9" ht="15.75" thickBot="1" x14ac:dyDescent="0.3">
      <c r="B131" s="82" t="s">
        <v>536</v>
      </c>
      <c r="C131" s="83" t="s">
        <v>1672</v>
      </c>
      <c r="D131" s="83"/>
      <c r="E131" s="85"/>
      <c r="F131" s="82"/>
      <c r="G131" s="160"/>
      <c r="H131" s="83"/>
      <c r="I131" s="83" t="s">
        <v>1693</v>
      </c>
    </row>
    <row r="132" spans="2:9" ht="15.75" thickBot="1" x14ac:dyDescent="0.3">
      <c r="B132" s="82" t="s">
        <v>536</v>
      </c>
      <c r="C132" s="83" t="s">
        <v>1658</v>
      </c>
      <c r="D132" s="83"/>
      <c r="E132" s="85"/>
      <c r="F132" s="82"/>
      <c r="G132" s="160"/>
      <c r="H132" s="83"/>
      <c r="I132" s="83" t="s">
        <v>1693</v>
      </c>
    </row>
    <row r="133" spans="2:9" ht="15.75" thickBot="1" x14ac:dyDescent="0.3">
      <c r="B133" s="82" t="s">
        <v>536</v>
      </c>
      <c r="C133" s="83" t="s">
        <v>1675</v>
      </c>
      <c r="D133" s="83"/>
      <c r="E133" s="85"/>
      <c r="F133" s="82"/>
      <c r="G133" s="160"/>
      <c r="H133" s="83"/>
      <c r="I133" s="83" t="s">
        <v>1693</v>
      </c>
    </row>
    <row r="134" spans="2:9" ht="15.75" thickBot="1" x14ac:dyDescent="0.3">
      <c r="B134" s="82" t="s">
        <v>536</v>
      </c>
      <c r="C134" s="83" t="s">
        <v>1659</v>
      </c>
      <c r="D134" s="83"/>
      <c r="E134" s="85"/>
      <c r="F134" s="82"/>
      <c r="G134" s="160">
        <v>324</v>
      </c>
      <c r="H134" s="83"/>
      <c r="I134" s="83" t="s">
        <v>1701</v>
      </c>
    </row>
    <row r="135" spans="2:9" ht="15.75" thickBot="1" x14ac:dyDescent="0.3">
      <c r="B135" s="82" t="s">
        <v>602</v>
      </c>
      <c r="C135" s="83" t="s">
        <v>1662</v>
      </c>
      <c r="D135" s="83"/>
      <c r="E135" s="85"/>
      <c r="F135" s="82"/>
      <c r="G135" s="160">
        <f>SUM(G136:G147)</f>
        <v>21876.85</v>
      </c>
      <c r="H135" s="83"/>
      <c r="I135" s="83"/>
    </row>
    <row r="136" spans="2:9" ht="15.75" thickBot="1" x14ac:dyDescent="0.3">
      <c r="B136" s="82" t="s">
        <v>602</v>
      </c>
      <c r="C136" s="83" t="s">
        <v>1680</v>
      </c>
      <c r="D136" s="83"/>
      <c r="E136" s="85"/>
      <c r="F136" s="82"/>
      <c r="G136" s="160">
        <v>3029.7</v>
      </c>
      <c r="H136" s="83"/>
      <c r="I136" s="83" t="s">
        <v>1687</v>
      </c>
    </row>
    <row r="137" spans="2:9" ht="15.75" thickBot="1" x14ac:dyDescent="0.3">
      <c r="B137" s="82" t="s">
        <v>602</v>
      </c>
      <c r="C137" s="83" t="s">
        <v>1661</v>
      </c>
      <c r="D137" s="83"/>
      <c r="E137" s="85"/>
      <c r="F137" s="82"/>
      <c r="G137" s="160">
        <v>541.69000000000005</v>
      </c>
      <c r="H137" s="83"/>
      <c r="I137" s="83" t="s">
        <v>1729</v>
      </c>
    </row>
    <row r="138" spans="2:9" ht="15.75" thickBot="1" x14ac:dyDescent="0.3">
      <c r="B138" s="82" t="s">
        <v>602</v>
      </c>
      <c r="C138" s="83" t="s">
        <v>1653</v>
      </c>
      <c r="D138" s="83"/>
      <c r="E138" s="85"/>
      <c r="F138" s="82"/>
      <c r="G138" s="160"/>
      <c r="H138" s="83"/>
      <c r="I138" s="83" t="s">
        <v>1693</v>
      </c>
    </row>
    <row r="139" spans="2:9" ht="15.75" thickBot="1" x14ac:dyDescent="0.3">
      <c r="B139" s="82" t="s">
        <v>602</v>
      </c>
      <c r="C139" s="83" t="s">
        <v>1654</v>
      </c>
      <c r="D139" s="83"/>
      <c r="E139" s="85"/>
      <c r="F139" s="82"/>
      <c r="G139" s="160"/>
      <c r="H139" s="83"/>
      <c r="I139" s="83" t="s">
        <v>1693</v>
      </c>
    </row>
    <row r="140" spans="2:9" ht="15.75" thickBot="1" x14ac:dyDescent="0.3">
      <c r="B140" s="82" t="s">
        <v>602</v>
      </c>
      <c r="C140" s="83" t="s">
        <v>1655</v>
      </c>
      <c r="D140" s="83"/>
      <c r="E140" s="85"/>
      <c r="F140" s="82"/>
      <c r="G140" s="160"/>
      <c r="H140" s="83"/>
      <c r="I140" s="83" t="s">
        <v>1693</v>
      </c>
    </row>
    <row r="141" spans="2:9" ht="15.75" thickBot="1" x14ac:dyDescent="0.3">
      <c r="B141" s="82" t="s">
        <v>602</v>
      </c>
      <c r="C141" s="83" t="s">
        <v>1656</v>
      </c>
      <c r="D141" s="83"/>
      <c r="E141" s="85"/>
      <c r="F141" s="82"/>
      <c r="G141" s="160"/>
      <c r="H141" s="83"/>
      <c r="I141" s="83" t="s">
        <v>1693</v>
      </c>
    </row>
    <row r="142" spans="2:9" ht="15.75" thickBot="1" x14ac:dyDescent="0.3">
      <c r="B142" s="82" t="s">
        <v>602</v>
      </c>
      <c r="C142" s="83" t="s">
        <v>1657</v>
      </c>
      <c r="D142" s="83"/>
      <c r="E142" s="85"/>
      <c r="F142" s="82"/>
      <c r="G142" s="160">
        <v>209.52</v>
      </c>
      <c r="H142" s="83"/>
      <c r="I142" s="83" t="s">
        <v>1689</v>
      </c>
    </row>
    <row r="143" spans="2:9" ht="15.75" thickBot="1" x14ac:dyDescent="0.3">
      <c r="B143" s="82" t="s">
        <v>602</v>
      </c>
      <c r="C143" s="83" t="s">
        <v>1670</v>
      </c>
      <c r="D143" s="83"/>
      <c r="E143" s="85"/>
      <c r="F143" s="82"/>
      <c r="G143" s="160"/>
      <c r="H143" s="83"/>
      <c r="I143" s="83" t="s">
        <v>1693</v>
      </c>
    </row>
    <row r="144" spans="2:9" ht="15.75" thickBot="1" x14ac:dyDescent="0.3">
      <c r="B144" s="82" t="s">
        <v>602</v>
      </c>
      <c r="C144" s="83" t="s">
        <v>1672</v>
      </c>
      <c r="D144" s="83"/>
      <c r="E144" s="85"/>
      <c r="F144" s="82"/>
      <c r="G144" s="160">
        <v>525.41</v>
      </c>
      <c r="H144" s="83"/>
      <c r="I144" s="83" t="s">
        <v>1694</v>
      </c>
    </row>
    <row r="145" spans="2:9" ht="15.75" thickBot="1" x14ac:dyDescent="0.3">
      <c r="B145" s="82" t="s">
        <v>602</v>
      </c>
      <c r="C145" s="83" t="s">
        <v>1658</v>
      </c>
      <c r="D145" s="83"/>
      <c r="E145" s="85"/>
      <c r="F145" s="82"/>
      <c r="G145" s="160"/>
      <c r="H145" s="83"/>
      <c r="I145" s="83" t="s">
        <v>1693</v>
      </c>
    </row>
    <row r="146" spans="2:9" ht="15.75" thickBot="1" x14ac:dyDescent="0.3">
      <c r="B146" s="82" t="s">
        <v>602</v>
      </c>
      <c r="C146" s="83" t="s">
        <v>1675</v>
      </c>
      <c r="D146" s="83"/>
      <c r="E146" s="85"/>
      <c r="F146" s="82"/>
      <c r="G146" s="160"/>
      <c r="H146" s="83"/>
      <c r="I146" s="83" t="s">
        <v>1693</v>
      </c>
    </row>
    <row r="147" spans="2:9" ht="15.75" thickBot="1" x14ac:dyDescent="0.3">
      <c r="B147" s="82" t="s">
        <v>602</v>
      </c>
      <c r="C147" s="83" t="s">
        <v>1659</v>
      </c>
      <c r="D147" s="83"/>
      <c r="E147" s="85"/>
      <c r="F147" s="82"/>
      <c r="G147" s="160">
        <v>17570.53</v>
      </c>
      <c r="H147" s="83"/>
      <c r="I147" s="83" t="s">
        <v>1723</v>
      </c>
    </row>
    <row r="148" spans="2:9" ht="15.75" thickBot="1" x14ac:dyDescent="0.3">
      <c r="B148" s="82" t="s">
        <v>535</v>
      </c>
      <c r="C148" s="83" t="s">
        <v>1662</v>
      </c>
      <c r="D148" s="83"/>
      <c r="E148" s="85"/>
      <c r="F148" s="82"/>
      <c r="G148" s="160">
        <f>SUM(G149:G160)</f>
        <v>250969.11000000002</v>
      </c>
      <c r="H148" s="83"/>
      <c r="I148" s="83"/>
    </row>
    <row r="149" spans="2:9" ht="15.75" thickBot="1" x14ac:dyDescent="0.3">
      <c r="B149" s="82" t="s">
        <v>535</v>
      </c>
      <c r="C149" s="83" t="s">
        <v>1681</v>
      </c>
      <c r="D149" s="83">
        <v>123</v>
      </c>
      <c r="E149" s="85" t="s">
        <v>586</v>
      </c>
      <c r="F149" s="82"/>
      <c r="G149" s="160">
        <v>33147.879999999997</v>
      </c>
      <c r="H149" s="83"/>
      <c r="I149" s="83" t="s">
        <v>1688</v>
      </c>
    </row>
    <row r="150" spans="2:9" ht="15.75" thickBot="1" x14ac:dyDescent="0.3">
      <c r="B150" s="82" t="s">
        <v>535</v>
      </c>
      <c r="C150" s="83" t="s">
        <v>1661</v>
      </c>
      <c r="D150" s="83"/>
      <c r="E150" s="85"/>
      <c r="F150" s="82"/>
      <c r="G150" s="160">
        <v>5710.42</v>
      </c>
      <c r="H150" s="83"/>
      <c r="I150" s="83" t="s">
        <v>1730</v>
      </c>
    </row>
    <row r="151" spans="2:9" ht="15.75" thickBot="1" x14ac:dyDescent="0.3">
      <c r="B151" s="82" t="s">
        <v>535</v>
      </c>
      <c r="C151" s="83" t="s">
        <v>1653</v>
      </c>
      <c r="D151" s="83">
        <v>45</v>
      </c>
      <c r="E151" s="85" t="s">
        <v>586</v>
      </c>
      <c r="F151" s="82"/>
      <c r="G151" s="160">
        <v>7860.51</v>
      </c>
      <c r="H151" s="83"/>
      <c r="I151" s="83" t="s">
        <v>1689</v>
      </c>
    </row>
    <row r="152" spans="2:9" ht="15.75" thickBot="1" x14ac:dyDescent="0.3">
      <c r="B152" s="82" t="s">
        <v>535</v>
      </c>
      <c r="C152" s="83" t="s">
        <v>1654</v>
      </c>
      <c r="D152" s="83"/>
      <c r="E152" s="85"/>
      <c r="F152" s="82"/>
      <c r="G152" s="160">
        <v>352.84</v>
      </c>
      <c r="H152" s="83"/>
      <c r="I152" s="83" t="s">
        <v>1700</v>
      </c>
    </row>
    <row r="153" spans="2:9" ht="15.75" thickBot="1" x14ac:dyDescent="0.3">
      <c r="B153" s="82" t="s">
        <v>535</v>
      </c>
      <c r="C153" s="83" t="s">
        <v>1655</v>
      </c>
      <c r="D153" s="83"/>
      <c r="E153" s="85"/>
      <c r="F153" s="82"/>
      <c r="G153" s="160">
        <v>6562.42</v>
      </c>
      <c r="H153" s="83"/>
      <c r="I153" s="83" t="s">
        <v>1699</v>
      </c>
    </row>
    <row r="154" spans="2:9" ht="15.75" thickBot="1" x14ac:dyDescent="0.3">
      <c r="B154" s="82" t="s">
        <v>535</v>
      </c>
      <c r="C154" s="83" t="s">
        <v>1656</v>
      </c>
      <c r="D154" s="83"/>
      <c r="E154" s="85"/>
      <c r="F154" s="82"/>
      <c r="G154" s="160">
        <v>0</v>
      </c>
      <c r="H154" s="83"/>
      <c r="I154" s="83"/>
    </row>
    <row r="155" spans="2:9" ht="15.75" thickBot="1" x14ac:dyDescent="0.3">
      <c r="B155" s="82" t="s">
        <v>535</v>
      </c>
      <c r="C155" s="83" t="s">
        <v>1657</v>
      </c>
      <c r="D155" s="83"/>
      <c r="E155" s="85"/>
      <c r="F155" s="82"/>
      <c r="G155" s="160">
        <v>15825.47</v>
      </c>
      <c r="H155" s="83"/>
      <c r="I155" s="83" t="s">
        <v>1707</v>
      </c>
    </row>
    <row r="156" spans="2:9" ht="15.75" thickBot="1" x14ac:dyDescent="0.3">
      <c r="B156" s="82" t="s">
        <v>535</v>
      </c>
      <c r="C156" s="83" t="s">
        <v>1670</v>
      </c>
      <c r="D156" s="83"/>
      <c r="E156" s="85"/>
      <c r="F156" s="82"/>
      <c r="G156" s="160">
        <v>290.3</v>
      </c>
      <c r="H156" s="83"/>
      <c r="I156" s="83" t="s">
        <v>1711</v>
      </c>
    </row>
    <row r="157" spans="2:9" ht="15.75" thickBot="1" x14ac:dyDescent="0.3">
      <c r="B157" s="82" t="s">
        <v>535</v>
      </c>
      <c r="C157" s="83" t="s">
        <v>1672</v>
      </c>
      <c r="D157" s="83"/>
      <c r="E157" s="85"/>
      <c r="F157" s="82"/>
      <c r="G157" s="160">
        <v>51720.63</v>
      </c>
      <c r="H157" s="83"/>
      <c r="I157" s="83" t="s">
        <v>1719</v>
      </c>
    </row>
    <row r="158" spans="2:9" ht="15.75" thickBot="1" x14ac:dyDescent="0.3">
      <c r="B158" s="82" t="s">
        <v>535</v>
      </c>
      <c r="C158" s="83" t="s">
        <v>1658</v>
      </c>
      <c r="D158" s="83"/>
      <c r="E158" s="85"/>
      <c r="F158" s="82"/>
      <c r="G158" s="160">
        <v>454.33</v>
      </c>
      <c r="H158" s="83"/>
      <c r="I158" s="83" t="s">
        <v>1716</v>
      </c>
    </row>
    <row r="159" spans="2:9" ht="15.75" thickBot="1" x14ac:dyDescent="0.3">
      <c r="B159" s="82" t="s">
        <v>535</v>
      </c>
      <c r="C159" s="83" t="s">
        <v>1675</v>
      </c>
      <c r="D159" s="83"/>
      <c r="E159" s="85"/>
      <c r="F159" s="82"/>
      <c r="G159" s="160">
        <v>4108.93</v>
      </c>
      <c r="H159" s="83"/>
      <c r="I159" s="83" t="s">
        <v>1735</v>
      </c>
    </row>
    <row r="160" spans="2:9" ht="15.75" thickBot="1" x14ac:dyDescent="0.3">
      <c r="B160" s="82" t="s">
        <v>535</v>
      </c>
      <c r="C160" s="83" t="s">
        <v>1659</v>
      </c>
      <c r="D160" s="83"/>
      <c r="E160" s="85"/>
      <c r="F160" s="82"/>
      <c r="G160" s="160">
        <v>124935.38</v>
      </c>
      <c r="H160" s="83"/>
      <c r="I160" s="83" t="s">
        <v>1738</v>
      </c>
    </row>
    <row r="161" spans="2:9" ht="15.75" thickBot="1" x14ac:dyDescent="0.3">
      <c r="B161" s="161" t="s">
        <v>547</v>
      </c>
      <c r="C161" s="162" t="s">
        <v>1662</v>
      </c>
      <c r="D161" s="162"/>
      <c r="E161" s="163"/>
      <c r="F161" s="161"/>
      <c r="G161" s="164">
        <f>SUM(G162:G172)</f>
        <v>1628523.3599999999</v>
      </c>
      <c r="H161" s="162"/>
      <c r="I161" s="162"/>
    </row>
    <row r="162" spans="2:9" ht="15.75" thickBot="1" x14ac:dyDescent="0.3">
      <c r="B162" s="161" t="s">
        <v>547</v>
      </c>
      <c r="C162" s="162" t="s">
        <v>1653</v>
      </c>
      <c r="D162" s="162">
        <f>95*2+36-2</f>
        <v>224</v>
      </c>
      <c r="E162" s="163" t="s">
        <v>586</v>
      </c>
      <c r="F162" s="161"/>
      <c r="G162" s="164">
        <v>36214.089999999997</v>
      </c>
      <c r="H162" s="162"/>
      <c r="I162" s="162" t="s">
        <v>1692</v>
      </c>
    </row>
    <row r="163" spans="2:9" ht="15.75" thickBot="1" x14ac:dyDescent="0.3">
      <c r="B163" s="161" t="s">
        <v>547</v>
      </c>
      <c r="C163" s="162" t="s">
        <v>1656</v>
      </c>
      <c r="D163" s="162"/>
      <c r="E163" s="163"/>
      <c r="F163" s="161"/>
      <c r="G163" s="164">
        <v>1285.8399999999999</v>
      </c>
      <c r="H163" s="162"/>
      <c r="I163" s="162" t="s">
        <v>1695</v>
      </c>
    </row>
    <row r="164" spans="2:9" ht="15.75" thickBot="1" x14ac:dyDescent="0.3">
      <c r="B164" s="161" t="s">
        <v>547</v>
      </c>
      <c r="C164" s="162" t="s">
        <v>1655</v>
      </c>
      <c r="D164" s="162"/>
      <c r="E164" s="163"/>
      <c r="F164" s="161"/>
      <c r="G164" s="164">
        <v>119992</v>
      </c>
      <c r="H164" s="162"/>
      <c r="I164" s="162" t="s">
        <v>1696</v>
      </c>
    </row>
    <row r="165" spans="2:9" ht="15.75" thickBot="1" x14ac:dyDescent="0.3">
      <c r="B165" s="161" t="s">
        <v>547</v>
      </c>
      <c r="C165" s="162" t="s">
        <v>1654</v>
      </c>
      <c r="D165" s="162"/>
      <c r="E165" s="163"/>
      <c r="F165" s="161"/>
      <c r="G165" s="164">
        <v>2928.77</v>
      </c>
      <c r="H165" s="162"/>
      <c r="I165" s="162" t="s">
        <v>1703</v>
      </c>
    </row>
    <row r="166" spans="2:9" ht="15.75" thickBot="1" x14ac:dyDescent="0.3">
      <c r="B166" s="161" t="s">
        <v>547</v>
      </c>
      <c r="C166" s="162" t="s">
        <v>1657</v>
      </c>
      <c r="D166" s="162"/>
      <c r="E166" s="163"/>
      <c r="F166" s="161"/>
      <c r="G166" s="164">
        <v>206621.01</v>
      </c>
      <c r="H166" s="162"/>
      <c r="I166" s="162" t="s">
        <v>1709</v>
      </c>
    </row>
    <row r="167" spans="2:9" ht="15.75" thickBot="1" x14ac:dyDescent="0.3">
      <c r="B167" s="161" t="s">
        <v>547</v>
      </c>
      <c r="C167" s="162" t="s">
        <v>1670</v>
      </c>
      <c r="D167" s="162"/>
      <c r="E167" s="163"/>
      <c r="F167" s="161"/>
      <c r="G167" s="164">
        <v>2183.0500000000002</v>
      </c>
      <c r="H167" s="162"/>
      <c r="I167" s="162" t="s">
        <v>1710</v>
      </c>
    </row>
    <row r="168" spans="2:9" ht="15.75" thickBot="1" x14ac:dyDescent="0.3">
      <c r="B168" s="161" t="s">
        <v>547</v>
      </c>
      <c r="C168" s="162" t="s">
        <v>1658</v>
      </c>
      <c r="D168" s="162"/>
      <c r="E168" s="163"/>
      <c r="F168" s="161"/>
      <c r="G168" s="164">
        <v>4871.08</v>
      </c>
      <c r="H168" s="162"/>
      <c r="I168" s="162" t="s">
        <v>1717</v>
      </c>
    </row>
    <row r="169" spans="2:9" ht="15.75" thickBot="1" x14ac:dyDescent="0.3">
      <c r="B169" s="161" t="s">
        <v>547</v>
      </c>
      <c r="C169" s="162" t="s">
        <v>1672</v>
      </c>
      <c r="D169" s="162"/>
      <c r="E169" s="163"/>
      <c r="F169" s="161"/>
      <c r="G169" s="164">
        <v>410809.01</v>
      </c>
      <c r="H169" s="162"/>
      <c r="I169" s="162" t="s">
        <v>1718</v>
      </c>
    </row>
    <row r="170" spans="2:9" ht="15.75" thickBot="1" x14ac:dyDescent="0.3">
      <c r="B170" s="161" t="s">
        <v>547</v>
      </c>
      <c r="C170" s="162" t="s">
        <v>1661</v>
      </c>
      <c r="D170" s="162"/>
      <c r="E170" s="163"/>
      <c r="F170" s="161"/>
      <c r="G170" s="164">
        <v>40397.51</v>
      </c>
      <c r="H170" s="162"/>
      <c r="I170" s="162" t="s">
        <v>1731</v>
      </c>
    </row>
    <row r="171" spans="2:9" ht="15.75" thickBot="1" x14ac:dyDescent="0.3">
      <c r="B171" s="161" t="s">
        <v>547</v>
      </c>
      <c r="C171" s="162" t="s">
        <v>1675</v>
      </c>
      <c r="D171" s="162"/>
      <c r="E171" s="163"/>
      <c r="F171" s="161"/>
      <c r="G171" s="164">
        <v>68537.3</v>
      </c>
      <c r="H171" s="162"/>
      <c r="I171" s="162" t="s">
        <v>1736</v>
      </c>
    </row>
    <row r="172" spans="2:9" ht="15.75" thickBot="1" x14ac:dyDescent="0.3">
      <c r="B172" s="161" t="s">
        <v>547</v>
      </c>
      <c r="C172" s="162" t="s">
        <v>1659</v>
      </c>
      <c r="D172" s="162"/>
      <c r="E172" s="163"/>
      <c r="F172" s="161"/>
      <c r="G172" s="164">
        <v>734683.7</v>
      </c>
      <c r="H172" s="162"/>
      <c r="I172" s="162" t="s">
        <v>1737</v>
      </c>
    </row>
  </sheetData>
  <mergeCells count="22">
    <mergeCell ref="B25:U26"/>
    <mergeCell ref="B28:B29"/>
    <mergeCell ref="C28:C29"/>
    <mergeCell ref="D28:D29"/>
    <mergeCell ref="E28:E29"/>
    <mergeCell ref="F28:F29"/>
    <mergeCell ref="G28:G29"/>
    <mergeCell ref="H28:H29"/>
    <mergeCell ref="I28:I29"/>
    <mergeCell ref="B9:W9"/>
    <mergeCell ref="B21:U22"/>
    <mergeCell ref="B11:C11"/>
    <mergeCell ref="D11:P11"/>
    <mergeCell ref="B12:C12"/>
    <mergeCell ref="D12:P12"/>
    <mergeCell ref="B13:C13"/>
    <mergeCell ref="D13:P13"/>
    <mergeCell ref="B14:C14"/>
    <mergeCell ref="D14:P14"/>
    <mergeCell ref="B15:C15"/>
    <mergeCell ref="D15:P15"/>
    <mergeCell ref="B17:W17"/>
  </mergeCells>
  <dataValidations disablePrompts="1" count="3">
    <dataValidation type="list" allowBlank="1" showInputMessage="1" showErrorMessage="1" sqref="E30:E55">
      <formula1>"unidades, paletes, contentores, kWh, l (litros), kg (quilos), ton (toneladas), Nm3 (metros cubicos norm.), Outro/NA"</formula1>
    </dataValidation>
    <dataValidation type="list" allowBlank="1" showInputMessage="1" showErrorMessage="1" sqref="C172">
      <formula1>"Serviço Manutenção, Outros Serviços, Pneus, Componentes/Peças, Vidros, Baterias, Metais, Plásticos, Borrachas, Papel, Contrato Pneus, Outros"</formula1>
    </dataValidation>
    <dataValidation type="list" allowBlank="1" showInputMessage="1" showErrorMessage="1" sqref="C30:C171">
      <formula1>"Serviço Manutenção, Outros Serviços, Pneus, Componentes/Peças, Vidros, Baterias, Metais, Plásticos, Borrachas, Papel, Contrato Pneus, Outros, Total"</formula1>
    </dataValidation>
  </dataValidations>
  <pageMargins left="0.7" right="0.7" top="0.75" bottom="0.75" header="0.3" footer="0.3"/>
  <customProperties>
    <customPr name="GUID" r:id="rId1"/>
  </customPropertie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dimension ref="B1:L25"/>
  <sheetViews>
    <sheetView workbookViewId="0"/>
    <sheetView workbookViewId="1"/>
  </sheetViews>
  <sheetFormatPr defaultRowHeight="15" x14ac:dyDescent="0.25"/>
  <cols>
    <col min="2" max="2" width="29.7109375" bestFit="1" customWidth="1"/>
    <col min="3" max="3" width="24" bestFit="1" customWidth="1"/>
    <col min="4" max="4" width="36.85546875" bestFit="1" customWidth="1"/>
    <col min="5" max="5" width="44.85546875" style="2" customWidth="1"/>
    <col min="6" max="6" width="15.42578125" style="2" customWidth="1"/>
  </cols>
  <sheetData>
    <row r="1" spans="2:12" ht="15.75" thickBot="1" x14ac:dyDescent="0.3"/>
    <row r="2" spans="2:12" x14ac:dyDescent="0.25">
      <c r="B2" s="459" t="s">
        <v>29</v>
      </c>
      <c r="C2" s="460"/>
      <c r="D2" s="463" t="s">
        <v>92</v>
      </c>
      <c r="E2" s="465" t="s">
        <v>27</v>
      </c>
      <c r="F2" s="468"/>
    </row>
    <row r="3" spans="2:12" x14ac:dyDescent="0.25">
      <c r="B3" s="461"/>
      <c r="C3" s="462"/>
      <c r="D3" s="464"/>
      <c r="E3" s="466"/>
      <c r="F3" s="469"/>
    </row>
    <row r="4" spans="2:12" ht="15.75" x14ac:dyDescent="0.25">
      <c r="B4" s="471" t="s">
        <v>46</v>
      </c>
      <c r="C4" s="472"/>
      <c r="D4" s="98" t="s">
        <v>93</v>
      </c>
      <c r="E4" s="466"/>
      <c r="F4" s="469"/>
    </row>
    <row r="5" spans="2:12" ht="16.5" thickBot="1" x14ac:dyDescent="0.3">
      <c r="B5" s="473" t="s">
        <v>90</v>
      </c>
      <c r="C5" s="474"/>
      <c r="D5" s="99" t="s">
        <v>89</v>
      </c>
      <c r="E5" s="467"/>
      <c r="F5" s="470"/>
    </row>
    <row r="6" spans="2:12" ht="16.5" thickBot="1" x14ac:dyDescent="0.3">
      <c r="B6" s="183"/>
      <c r="C6" s="184"/>
      <c r="D6" s="185"/>
      <c r="E6" s="186"/>
      <c r="F6" s="187"/>
    </row>
    <row r="7" spans="2:12" ht="7.5" customHeight="1" x14ac:dyDescent="0.25">
      <c r="B7" s="179"/>
      <c r="C7" s="180"/>
      <c r="D7" s="180"/>
      <c r="E7" s="197"/>
      <c r="F7" s="198"/>
    </row>
    <row r="8" spans="2:12" s="178" customFormat="1" ht="33.75" customHeight="1" x14ac:dyDescent="0.2">
      <c r="B8" s="456" t="s">
        <v>1802</v>
      </c>
      <c r="C8" s="457"/>
      <c r="D8" s="458"/>
      <c r="E8" s="452" t="s">
        <v>1832</v>
      </c>
      <c r="F8" s="453"/>
    </row>
    <row r="9" spans="2:12" s="178" customFormat="1" ht="33.75" customHeight="1" x14ac:dyDescent="0.2">
      <c r="B9" s="439" t="s">
        <v>1801</v>
      </c>
      <c r="C9" s="440"/>
      <c r="D9" s="441"/>
      <c r="E9" s="450"/>
      <c r="F9" s="451"/>
    </row>
    <row r="10" spans="2:12" s="178" customFormat="1" ht="33.75" customHeight="1" x14ac:dyDescent="0.2">
      <c r="B10" s="442" t="s">
        <v>1806</v>
      </c>
      <c r="C10" s="443"/>
      <c r="D10" s="444"/>
      <c r="E10" s="454" t="s">
        <v>1800</v>
      </c>
      <c r="F10" s="455"/>
      <c r="K10" s="196"/>
    </row>
    <row r="11" spans="2:12" s="178" customFormat="1" ht="33.75" customHeight="1" x14ac:dyDescent="0.2">
      <c r="B11" s="439" t="s">
        <v>1803</v>
      </c>
      <c r="C11" s="440"/>
      <c r="D11" s="441"/>
      <c r="E11" s="454" t="s">
        <v>1807</v>
      </c>
      <c r="F11" s="455"/>
      <c r="K11" s="196"/>
    </row>
    <row r="12" spans="2:12" s="178" customFormat="1" ht="33.75" customHeight="1" x14ac:dyDescent="0.2">
      <c r="B12" s="439" t="s">
        <v>1804</v>
      </c>
      <c r="C12" s="445"/>
      <c r="D12" s="446"/>
      <c r="E12" s="435" t="s">
        <v>1834</v>
      </c>
      <c r="F12" s="436"/>
      <c r="G12" s="237">
        <f>61098*1000</f>
        <v>61098000</v>
      </c>
      <c r="H12" s="237">
        <v>3598</v>
      </c>
      <c r="I12" s="237">
        <v>8133</v>
      </c>
      <c r="J12" s="237">
        <v>3243</v>
      </c>
      <c r="L12" s="196"/>
    </row>
    <row r="13" spans="2:12" s="178" customFormat="1" ht="33.75" customHeight="1" x14ac:dyDescent="0.2">
      <c r="B13" s="439" t="s">
        <v>1805</v>
      </c>
      <c r="C13" s="440"/>
      <c r="D13" s="441"/>
      <c r="E13" s="450" t="s">
        <v>1831</v>
      </c>
      <c r="F13" s="451"/>
      <c r="G13" s="237">
        <f>37006*1000</f>
        <v>37006000</v>
      </c>
      <c r="H13" s="237">
        <v>2170</v>
      </c>
      <c r="I13" s="237">
        <v>1200</v>
      </c>
      <c r="J13" s="237">
        <v>857</v>
      </c>
      <c r="L13" s="196"/>
    </row>
    <row r="14" spans="2:12" s="178" customFormat="1" ht="33.75" customHeight="1" x14ac:dyDescent="0.2">
      <c r="B14" s="442" t="s">
        <v>1808</v>
      </c>
      <c r="C14" s="443"/>
      <c r="D14" s="444"/>
      <c r="E14" s="435" t="s">
        <v>1833</v>
      </c>
      <c r="F14" s="436"/>
      <c r="G14" s="237">
        <f>G12/G13</f>
        <v>1.6510295627736042</v>
      </c>
      <c r="H14" s="237">
        <f>H12/H13</f>
        <v>1.6580645161290322</v>
      </c>
      <c r="I14" s="237">
        <f>I12/I13</f>
        <v>6.7774999999999999</v>
      </c>
      <c r="J14" s="237">
        <f>J12/J13</f>
        <v>3.7841306884480748</v>
      </c>
    </row>
    <row r="15" spans="2:12" s="178" customFormat="1" ht="33.75" customHeight="1" x14ac:dyDescent="0.2">
      <c r="B15" s="442" t="s">
        <v>1809</v>
      </c>
      <c r="C15" s="445"/>
      <c r="D15" s="446"/>
      <c r="E15" s="435"/>
      <c r="F15" s="436"/>
    </row>
    <row r="16" spans="2:12" s="178" customFormat="1" ht="33.75" customHeight="1" x14ac:dyDescent="0.2">
      <c r="B16" s="447" t="s">
        <v>1810</v>
      </c>
      <c r="C16" s="448"/>
      <c r="D16" s="449"/>
      <c r="E16" s="437"/>
      <c r="F16" s="438"/>
    </row>
    <row r="17" spans="2:8" ht="7.5" customHeight="1" thickBot="1" x14ac:dyDescent="0.3">
      <c r="B17" s="181"/>
      <c r="C17" s="182"/>
      <c r="D17" s="182"/>
      <c r="E17" s="199"/>
      <c r="F17" s="200"/>
    </row>
    <row r="22" spans="2:8" x14ac:dyDescent="0.25">
      <c r="H22" s="195"/>
    </row>
    <row r="23" spans="2:8" x14ac:dyDescent="0.25">
      <c r="H23" s="195"/>
    </row>
    <row r="24" spans="2:8" x14ac:dyDescent="0.25">
      <c r="H24" s="195"/>
    </row>
    <row r="25" spans="2:8" x14ac:dyDescent="0.25">
      <c r="H25" s="195"/>
    </row>
  </sheetData>
  <mergeCells count="24">
    <mergeCell ref="B2:C3"/>
    <mergeCell ref="D2:D3"/>
    <mergeCell ref="E2:E5"/>
    <mergeCell ref="F2:F5"/>
    <mergeCell ref="B4:C4"/>
    <mergeCell ref="B5:C5"/>
    <mergeCell ref="B8:D8"/>
    <mergeCell ref="B9:D9"/>
    <mergeCell ref="B10:D10"/>
    <mergeCell ref="B11:D11"/>
    <mergeCell ref="B12:D12"/>
    <mergeCell ref="E9:F9"/>
    <mergeCell ref="E8:F8"/>
    <mergeCell ref="E11:F11"/>
    <mergeCell ref="E12:F12"/>
    <mergeCell ref="E13:F13"/>
    <mergeCell ref="E10:F10"/>
    <mergeCell ref="E15:F15"/>
    <mergeCell ref="E16:F16"/>
    <mergeCell ref="B13:D13"/>
    <mergeCell ref="B14:D14"/>
    <mergeCell ref="B15:D15"/>
    <mergeCell ref="B16:D16"/>
    <mergeCell ref="E14:F14"/>
  </mergeCells>
  <hyperlinks>
    <hyperlink ref="E10:F10" location="A1.1.1!A1" display="Folhas A1.1.1 e A1.1.2"/>
    <hyperlink ref="E11:F11" location="A3.3!A1" display="Folha A3.3"/>
  </hyperlinks>
  <pageMargins left="0.7" right="0.7" top="0.75" bottom="0.75" header="0.3" footer="0.3"/>
  <pageSetup paperSize="9" orientation="portrait" r:id="rId1"/>
  <customProperties>
    <customPr name="GUID" r:id="rId2"/>
  </customPropertie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2"/>
  <dimension ref="A1:Q476"/>
  <sheetViews>
    <sheetView topLeftCell="A431" zoomScale="70" zoomScaleNormal="70" workbookViewId="0">
      <selection activeCell="B463" sqref="A463:B465"/>
    </sheetView>
    <sheetView workbookViewId="1">
      <selection sqref="A1:A2"/>
    </sheetView>
  </sheetViews>
  <sheetFormatPr defaultRowHeight="15" x14ac:dyDescent="0.25"/>
  <cols>
    <col min="1" max="2" width="76" bestFit="1" customWidth="1"/>
    <col min="3" max="3" width="31.28515625" customWidth="1"/>
    <col min="4" max="4" width="118.85546875" bestFit="1" customWidth="1"/>
    <col min="5" max="8" width="25.7109375" customWidth="1"/>
    <col min="9" max="9" width="25.7109375" style="364" customWidth="1"/>
    <col min="10" max="10" width="255.7109375" bestFit="1" customWidth="1"/>
    <col min="11" max="11" width="38.5703125" customWidth="1"/>
    <col min="12" max="12" width="28.7109375" customWidth="1"/>
    <col min="13" max="13" width="35" bestFit="1" customWidth="1"/>
    <col min="14" max="14" width="26.7109375" customWidth="1"/>
    <col min="15" max="15" width="23.140625" customWidth="1"/>
    <col min="17" max="17" width="15.85546875" customWidth="1"/>
  </cols>
  <sheetData>
    <row r="1" spans="1:17" ht="15.75" thickBot="1" x14ac:dyDescent="0.3">
      <c r="A1" s="508" t="s">
        <v>1851</v>
      </c>
      <c r="B1" s="508" t="s">
        <v>131</v>
      </c>
      <c r="C1" s="508" t="s">
        <v>1852</v>
      </c>
      <c r="D1" s="510" t="s">
        <v>442</v>
      </c>
      <c r="E1" s="543" t="s">
        <v>435</v>
      </c>
      <c r="F1" s="508" t="s">
        <v>141</v>
      </c>
      <c r="G1" s="543" t="s">
        <v>444</v>
      </c>
      <c r="H1" s="209" t="s">
        <v>1889</v>
      </c>
      <c r="I1" s="560" t="s">
        <v>434</v>
      </c>
      <c r="J1" s="545" t="s">
        <v>443</v>
      </c>
      <c r="K1" s="510" t="s">
        <v>134</v>
      </c>
      <c r="L1" s="227" t="s">
        <v>1856</v>
      </c>
      <c r="M1" s="545" t="s">
        <v>1887</v>
      </c>
      <c r="N1" s="545" t="s">
        <v>1902</v>
      </c>
      <c r="O1" s="545" t="s">
        <v>1912</v>
      </c>
      <c r="P1" s="528" t="s">
        <v>2831</v>
      </c>
      <c r="Q1" s="528" t="s">
        <v>3628</v>
      </c>
    </row>
    <row r="2" spans="1:17" ht="15.75" thickBot="1" x14ac:dyDescent="0.3">
      <c r="A2" s="509"/>
      <c r="B2" s="509"/>
      <c r="C2" s="509"/>
      <c r="D2" s="508"/>
      <c r="E2" s="544"/>
      <c r="F2" s="558"/>
      <c r="G2" s="544"/>
      <c r="H2" s="216"/>
      <c r="I2" s="561"/>
      <c r="J2" s="543"/>
      <c r="K2" s="510"/>
      <c r="L2" s="225"/>
      <c r="M2" s="543"/>
      <c r="N2" s="543"/>
      <c r="O2" s="543"/>
      <c r="P2" s="528"/>
      <c r="Q2" s="528"/>
    </row>
    <row r="3" spans="1:17" ht="15.75" thickBot="1" x14ac:dyDescent="0.3">
      <c r="A3" s="82" t="s">
        <v>45</v>
      </c>
      <c r="B3" s="82" t="str">
        <f>LEFT(A3,IFERROR(FIND(" - ",A3)-1,LEN(A3)))</f>
        <v>Barraqueiro Transportes, S.A.</v>
      </c>
      <c r="C3" s="82" t="str">
        <f>IF(A3=B3,"X",RIGHT(A3,LEN(A3)-LEN(B3)-3))</f>
        <v>X</v>
      </c>
      <c r="D3" s="83" t="s">
        <v>1662</v>
      </c>
      <c r="E3" s="83"/>
      <c r="F3" s="85" t="s">
        <v>557</v>
      </c>
      <c r="G3" s="82">
        <v>2</v>
      </c>
      <c r="H3" s="82" t="str">
        <f>IFERROR(LEFT(F3,FIND(" ",F3)-1),"")</f>
        <v>kg</v>
      </c>
      <c r="I3" s="361">
        <f>SUM(I4:I15)</f>
        <v>4526505.3899999997</v>
      </c>
      <c r="J3" s="83"/>
      <c r="K3" s="83"/>
      <c r="L3" s="284">
        <v>2022</v>
      </c>
      <c r="M3" s="234" t="s">
        <v>1909</v>
      </c>
      <c r="N3" s="234" t="s">
        <v>1910</v>
      </c>
      <c r="O3" s="234" t="s">
        <v>1911</v>
      </c>
      <c r="P3" s="261" t="s">
        <v>3535</v>
      </c>
      <c r="Q3" s="261" t="s">
        <v>3539</v>
      </c>
    </row>
    <row r="4" spans="1:17" ht="15.75" thickBot="1" x14ac:dyDescent="0.3">
      <c r="A4" s="82" t="s">
        <v>45</v>
      </c>
      <c r="B4" s="82" t="str">
        <f t="shared" ref="B4:B67" si="0">LEFT(A4,IFERROR(FIND(" - ",A4)-1,LEN(A4)))</f>
        <v>Barraqueiro Transportes, S.A.</v>
      </c>
      <c r="C4" s="82" t="str">
        <f t="shared" ref="C4:C67" si="1">IF(A4=B4,"X",RIGHT(A4,LEN(A4)-LEN(B4)-3))</f>
        <v>X</v>
      </c>
      <c r="D4" s="83" t="s">
        <v>1681</v>
      </c>
      <c r="E4" s="83">
        <f>E17+E30+E43+E56</f>
        <v>1366</v>
      </c>
      <c r="F4" s="85"/>
      <c r="G4" s="82"/>
      <c r="H4" s="82" t="str">
        <f t="shared" ref="H4:H67" si="2">IFERROR(LEFT(F4,FIND(" ",F4)-1),"")</f>
        <v/>
      </c>
      <c r="I4" s="361">
        <f>I17+I30+I43+I56+I57+I70+I83</f>
        <v>643875.37</v>
      </c>
      <c r="J4" s="83"/>
      <c r="K4" s="83"/>
      <c r="L4" s="284">
        <v>2022</v>
      </c>
      <c r="M4" s="234" t="s">
        <v>1909</v>
      </c>
      <c r="N4" s="234" t="s">
        <v>1910</v>
      </c>
      <c r="O4" s="234" t="s">
        <v>1911</v>
      </c>
      <c r="P4" s="261" t="s">
        <v>3535</v>
      </c>
      <c r="Q4" s="261" t="s">
        <v>3539</v>
      </c>
    </row>
    <row r="5" spans="1:17" ht="15.75" thickBot="1" x14ac:dyDescent="0.3">
      <c r="A5" s="82" t="s">
        <v>45</v>
      </c>
      <c r="B5" s="82" t="str">
        <f t="shared" si="0"/>
        <v>Barraqueiro Transportes, S.A.</v>
      </c>
      <c r="C5" s="82" t="str">
        <f t="shared" si="1"/>
        <v>X</v>
      </c>
      <c r="D5" s="83" t="s">
        <v>1661</v>
      </c>
      <c r="E5" s="83"/>
      <c r="F5" s="85"/>
      <c r="G5" s="82"/>
      <c r="H5" s="82" t="str">
        <f t="shared" si="2"/>
        <v/>
      </c>
      <c r="I5" s="361">
        <f>I18+I31+I44+I58+I71+I84+I143</f>
        <v>107829.60999999999</v>
      </c>
      <c r="J5" s="83"/>
      <c r="K5" s="83"/>
      <c r="L5" s="284">
        <v>2022</v>
      </c>
      <c r="M5" s="234" t="s">
        <v>1909</v>
      </c>
      <c r="N5" s="234" t="s">
        <v>1910</v>
      </c>
      <c r="O5" s="234" t="s">
        <v>1911</v>
      </c>
      <c r="P5" s="261" t="s">
        <v>3535</v>
      </c>
      <c r="Q5" s="261" t="s">
        <v>3539</v>
      </c>
    </row>
    <row r="6" spans="1:17" ht="15.75" thickBot="1" x14ac:dyDescent="0.3">
      <c r="A6" s="82" t="s">
        <v>45</v>
      </c>
      <c r="B6" s="82" t="str">
        <f t="shared" si="0"/>
        <v>Barraqueiro Transportes, S.A.</v>
      </c>
      <c r="C6" s="82" t="str">
        <f t="shared" si="1"/>
        <v>X</v>
      </c>
      <c r="D6" s="83" t="s">
        <v>1653</v>
      </c>
      <c r="E6" s="83">
        <f>E19+E32+E45+E135</f>
        <v>418</v>
      </c>
      <c r="F6" s="83" t="s">
        <v>586</v>
      </c>
      <c r="G6" s="82"/>
      <c r="H6" s="82" t="str">
        <f t="shared" si="2"/>
        <v/>
      </c>
      <c r="I6" s="361">
        <f>I19+I32+I45+I59+I135</f>
        <v>77171.989999999991</v>
      </c>
      <c r="J6" s="83"/>
      <c r="K6" s="83"/>
      <c r="L6" s="284">
        <v>2022</v>
      </c>
      <c r="M6" s="234" t="s">
        <v>1909</v>
      </c>
      <c r="N6" s="234" t="s">
        <v>1910</v>
      </c>
      <c r="O6" s="234" t="s">
        <v>1911</v>
      </c>
      <c r="P6" s="261" t="s">
        <v>3535</v>
      </c>
      <c r="Q6" s="261" t="s">
        <v>3539</v>
      </c>
    </row>
    <row r="7" spans="1:17" ht="15.75" thickBot="1" x14ac:dyDescent="0.3">
      <c r="A7" s="82" t="s">
        <v>45</v>
      </c>
      <c r="B7" s="82" t="str">
        <f t="shared" si="0"/>
        <v>Barraqueiro Transportes, S.A.</v>
      </c>
      <c r="C7" s="82" t="str">
        <f t="shared" si="1"/>
        <v>X</v>
      </c>
      <c r="D7" s="83" t="s">
        <v>1654</v>
      </c>
      <c r="E7" s="83"/>
      <c r="F7" s="85"/>
      <c r="G7" s="82"/>
      <c r="H7" s="82" t="str">
        <f t="shared" si="2"/>
        <v/>
      </c>
      <c r="I7" s="361">
        <f>I20+I33+I46+I60+I138</f>
        <v>5725.5300000000007</v>
      </c>
      <c r="J7" s="83"/>
      <c r="K7" s="83"/>
      <c r="L7" s="284">
        <v>2022</v>
      </c>
      <c r="M7" s="234" t="s">
        <v>1909</v>
      </c>
      <c r="N7" s="234" t="s">
        <v>1910</v>
      </c>
      <c r="O7" s="234" t="s">
        <v>1911</v>
      </c>
      <c r="P7" s="261" t="s">
        <v>3535</v>
      </c>
      <c r="Q7" s="261" t="s">
        <v>3539</v>
      </c>
    </row>
    <row r="8" spans="1:17" ht="15.75" thickBot="1" x14ac:dyDescent="0.3">
      <c r="A8" s="82" t="s">
        <v>45</v>
      </c>
      <c r="B8" s="82" t="str">
        <f t="shared" si="0"/>
        <v>Barraqueiro Transportes, S.A.</v>
      </c>
      <c r="C8" s="82" t="str">
        <f t="shared" si="1"/>
        <v>X</v>
      </c>
      <c r="D8" s="83" t="s">
        <v>1655</v>
      </c>
      <c r="E8" s="83"/>
      <c r="F8" s="85"/>
      <c r="G8" s="82"/>
      <c r="H8" s="82" t="str">
        <f t="shared" si="2"/>
        <v/>
      </c>
      <c r="I8" s="361">
        <f>I21+I34+I47+I61+I137</f>
        <v>207482.33</v>
      </c>
      <c r="J8" s="83"/>
      <c r="K8" s="83"/>
      <c r="L8" s="284">
        <v>2022</v>
      </c>
      <c r="M8" s="234" t="s">
        <v>1909</v>
      </c>
      <c r="N8" s="234" t="s">
        <v>1910</v>
      </c>
      <c r="O8" s="234" t="s">
        <v>1911</v>
      </c>
      <c r="P8" s="261" t="s">
        <v>3535</v>
      </c>
      <c r="Q8" s="261" t="s">
        <v>3539</v>
      </c>
    </row>
    <row r="9" spans="1:17" ht="15.75" thickBot="1" x14ac:dyDescent="0.3">
      <c r="A9" s="82" t="s">
        <v>45</v>
      </c>
      <c r="B9" s="82" t="str">
        <f t="shared" si="0"/>
        <v>Barraqueiro Transportes, S.A.</v>
      </c>
      <c r="C9" s="82" t="str">
        <f t="shared" si="1"/>
        <v>X</v>
      </c>
      <c r="D9" s="83" t="s">
        <v>1656</v>
      </c>
      <c r="E9" s="83"/>
      <c r="F9" s="85"/>
      <c r="G9" s="82"/>
      <c r="H9" s="82" t="str">
        <f t="shared" si="2"/>
        <v/>
      </c>
      <c r="I9" s="361">
        <f>I22+I35+I48+I62+I136</f>
        <v>2257.1999999999998</v>
      </c>
      <c r="J9" s="83"/>
      <c r="K9" s="83"/>
      <c r="L9" s="284">
        <v>2022</v>
      </c>
      <c r="M9" s="234" t="s">
        <v>1909</v>
      </c>
      <c r="N9" s="234" t="s">
        <v>1910</v>
      </c>
      <c r="O9" s="234" t="s">
        <v>1911</v>
      </c>
      <c r="P9" s="261" t="s">
        <v>3535</v>
      </c>
      <c r="Q9" s="261" t="s">
        <v>3539</v>
      </c>
    </row>
    <row r="10" spans="1:17" ht="15.75" thickBot="1" x14ac:dyDescent="0.3">
      <c r="A10" s="82" t="s">
        <v>45</v>
      </c>
      <c r="B10" s="82" t="str">
        <f t="shared" si="0"/>
        <v>Barraqueiro Transportes, S.A.</v>
      </c>
      <c r="C10" s="82" t="str">
        <f t="shared" si="1"/>
        <v>X</v>
      </c>
      <c r="D10" s="83" t="s">
        <v>1657</v>
      </c>
      <c r="E10" s="83"/>
      <c r="F10" s="85"/>
      <c r="G10" s="82"/>
      <c r="H10" s="82" t="str">
        <f t="shared" si="2"/>
        <v/>
      </c>
      <c r="I10" s="361">
        <f>I23+I36+I49+I63+I139</f>
        <v>406851.52</v>
      </c>
      <c r="J10" s="83"/>
      <c r="K10" s="83"/>
      <c r="L10" s="284">
        <v>2022</v>
      </c>
      <c r="M10" s="234" t="s">
        <v>1909</v>
      </c>
      <c r="N10" s="234" t="s">
        <v>1910</v>
      </c>
      <c r="O10" s="234" t="s">
        <v>1911</v>
      </c>
      <c r="P10" s="261" t="s">
        <v>3535</v>
      </c>
      <c r="Q10" s="261" t="s">
        <v>3539</v>
      </c>
    </row>
    <row r="11" spans="1:17" ht="15.75" thickBot="1" x14ac:dyDescent="0.3">
      <c r="A11" s="82" t="s">
        <v>45</v>
      </c>
      <c r="B11" s="82" t="str">
        <f t="shared" si="0"/>
        <v>Barraqueiro Transportes, S.A.</v>
      </c>
      <c r="C11" s="82" t="str">
        <f t="shared" si="1"/>
        <v>X</v>
      </c>
      <c r="D11" s="83" t="s">
        <v>1670</v>
      </c>
      <c r="E11" s="83"/>
      <c r="F11" s="85"/>
      <c r="G11" s="82"/>
      <c r="H11" s="82" t="str">
        <f t="shared" si="2"/>
        <v/>
      </c>
      <c r="I11" s="361">
        <f>I24+I37+I50+I64+I140</f>
        <v>3634.21</v>
      </c>
      <c r="J11" s="83"/>
      <c r="K11" s="83"/>
      <c r="L11" s="284">
        <v>2022</v>
      </c>
      <c r="M11" s="234" t="s">
        <v>1909</v>
      </c>
      <c r="N11" s="234" t="s">
        <v>1910</v>
      </c>
      <c r="O11" s="234" t="s">
        <v>1911</v>
      </c>
      <c r="P11" s="261" t="s">
        <v>3535</v>
      </c>
      <c r="Q11" s="261" t="s">
        <v>3539</v>
      </c>
    </row>
    <row r="12" spans="1:17" ht="15.75" thickBot="1" x14ac:dyDescent="0.3">
      <c r="A12" s="82" t="s">
        <v>45</v>
      </c>
      <c r="B12" s="82" t="str">
        <f t="shared" si="0"/>
        <v>Barraqueiro Transportes, S.A.</v>
      </c>
      <c r="C12" s="82" t="str">
        <f t="shared" si="1"/>
        <v>X</v>
      </c>
      <c r="D12" s="83" t="s">
        <v>3003</v>
      </c>
      <c r="E12" s="83"/>
      <c r="F12" s="85"/>
      <c r="G12" s="82"/>
      <c r="H12" s="82" t="str">
        <f t="shared" si="2"/>
        <v/>
      </c>
      <c r="I12" s="361">
        <f>I25+I38+I51+I65+I142+I78+I91</f>
        <v>1000994.39</v>
      </c>
      <c r="J12" s="83"/>
      <c r="K12" s="83"/>
      <c r="L12" s="284">
        <v>2022</v>
      </c>
      <c r="M12" s="234" t="s">
        <v>1909</v>
      </c>
      <c r="N12" s="234" t="s">
        <v>1910</v>
      </c>
      <c r="O12" s="234" t="s">
        <v>1911</v>
      </c>
      <c r="P12" s="261" t="s">
        <v>3535</v>
      </c>
      <c r="Q12" s="261" t="s">
        <v>3539</v>
      </c>
    </row>
    <row r="13" spans="1:17" ht="15.75" thickBot="1" x14ac:dyDescent="0.3">
      <c r="A13" s="82" t="s">
        <v>45</v>
      </c>
      <c r="B13" s="82" t="str">
        <f t="shared" si="0"/>
        <v>Barraqueiro Transportes, S.A.</v>
      </c>
      <c r="C13" s="82" t="str">
        <f t="shared" si="1"/>
        <v>X</v>
      </c>
      <c r="D13" s="83" t="s">
        <v>1658</v>
      </c>
      <c r="E13" s="83"/>
      <c r="F13" s="85"/>
      <c r="G13" s="82"/>
      <c r="H13" s="82" t="str">
        <f t="shared" si="2"/>
        <v/>
      </c>
      <c r="I13" s="361">
        <f>I26+I39+I52+I66+I141</f>
        <v>8868.0499999999993</v>
      </c>
      <c r="J13" s="83"/>
      <c r="K13" s="83"/>
      <c r="L13" s="284">
        <v>2022</v>
      </c>
      <c r="M13" s="234" t="s">
        <v>1909</v>
      </c>
      <c r="N13" s="234" t="s">
        <v>1910</v>
      </c>
      <c r="O13" s="234" t="s">
        <v>1911</v>
      </c>
      <c r="P13" s="261" t="s">
        <v>3535</v>
      </c>
      <c r="Q13" s="261" t="s">
        <v>3539</v>
      </c>
    </row>
    <row r="14" spans="1:17" ht="15.75" thickBot="1" x14ac:dyDescent="0.3">
      <c r="A14" s="82" t="s">
        <v>45</v>
      </c>
      <c r="B14" s="82" t="str">
        <f t="shared" si="0"/>
        <v>Barraqueiro Transportes, S.A.</v>
      </c>
      <c r="C14" s="82" t="str">
        <f t="shared" si="1"/>
        <v>X</v>
      </c>
      <c r="D14" s="83" t="s">
        <v>1675</v>
      </c>
      <c r="E14" s="83"/>
      <c r="F14" s="85"/>
      <c r="G14" s="82"/>
      <c r="H14" s="82" t="str">
        <f t="shared" si="2"/>
        <v/>
      </c>
      <c r="I14" s="361">
        <f>I27+I40+I53+I67+I144</f>
        <v>153612.06</v>
      </c>
      <c r="J14" s="83"/>
      <c r="K14" s="83"/>
      <c r="L14" s="284">
        <v>2022</v>
      </c>
      <c r="M14" s="234" t="s">
        <v>1909</v>
      </c>
      <c r="N14" s="234" t="s">
        <v>1910</v>
      </c>
      <c r="O14" s="234" t="s">
        <v>1911</v>
      </c>
      <c r="P14" s="261" t="s">
        <v>3535</v>
      </c>
      <c r="Q14" s="261" t="s">
        <v>3539</v>
      </c>
    </row>
    <row r="15" spans="1:17" ht="15.75" thickBot="1" x14ac:dyDescent="0.3">
      <c r="A15" s="82" t="s">
        <v>45</v>
      </c>
      <c r="B15" s="82" t="str">
        <f t="shared" si="0"/>
        <v>Barraqueiro Transportes, S.A.</v>
      </c>
      <c r="C15" s="82" t="str">
        <f t="shared" si="1"/>
        <v>X</v>
      </c>
      <c r="D15" s="83" t="s">
        <v>1659</v>
      </c>
      <c r="E15" s="83"/>
      <c r="F15" s="85"/>
      <c r="G15" s="82"/>
      <c r="H15" s="82" t="str">
        <f t="shared" si="2"/>
        <v/>
      </c>
      <c r="I15" s="361">
        <f>I28+I41+I54+I68+I145+I94+I81</f>
        <v>1908203.1300000001</v>
      </c>
      <c r="J15" s="83"/>
      <c r="K15" s="83"/>
      <c r="L15" s="284">
        <v>2022</v>
      </c>
      <c r="M15" s="234" t="s">
        <v>1909</v>
      </c>
      <c r="N15" s="234" t="s">
        <v>1910</v>
      </c>
      <c r="O15" s="234" t="s">
        <v>1911</v>
      </c>
      <c r="P15" s="261" t="s">
        <v>3535</v>
      </c>
      <c r="Q15" s="261" t="s">
        <v>3539</v>
      </c>
    </row>
    <row r="16" spans="1:17" ht="15.75" thickBot="1" x14ac:dyDescent="0.3">
      <c r="A16" s="161" t="s">
        <v>3507</v>
      </c>
      <c r="B16" s="82" t="str">
        <f t="shared" si="0"/>
        <v>Barraqueiro Transportes, S.A.</v>
      </c>
      <c r="C16" s="82" t="str">
        <f t="shared" si="1"/>
        <v>Estremadura</v>
      </c>
      <c r="D16" s="162" t="s">
        <v>1662</v>
      </c>
      <c r="E16" s="162"/>
      <c r="F16" s="163"/>
      <c r="G16" s="161"/>
      <c r="H16" s="82" t="str">
        <f t="shared" si="2"/>
        <v/>
      </c>
      <c r="I16" s="362">
        <f>SUM(I17:I28)</f>
        <v>974216.1399999999</v>
      </c>
      <c r="J16" s="162"/>
      <c r="K16" s="162"/>
      <c r="L16" s="284">
        <v>2022</v>
      </c>
      <c r="M16" s="234" t="s">
        <v>1909</v>
      </c>
      <c r="N16" s="234" t="s">
        <v>1910</v>
      </c>
      <c r="O16" s="234" t="s">
        <v>1911</v>
      </c>
      <c r="P16" s="261" t="s">
        <v>3535</v>
      </c>
      <c r="Q16" s="261" t="s">
        <v>3539</v>
      </c>
    </row>
    <row r="17" spans="1:17" ht="15.75" thickBot="1" x14ac:dyDescent="0.3">
      <c r="A17" s="161" t="s">
        <v>3507</v>
      </c>
      <c r="B17" s="82" t="str">
        <f t="shared" si="0"/>
        <v>Barraqueiro Transportes, S.A.</v>
      </c>
      <c r="C17" s="82" t="str">
        <f t="shared" si="1"/>
        <v>Estremadura</v>
      </c>
      <c r="D17" s="162" t="s">
        <v>1681</v>
      </c>
      <c r="E17" s="162">
        <v>620</v>
      </c>
      <c r="F17" s="163" t="s">
        <v>586</v>
      </c>
      <c r="G17" s="161"/>
      <c r="H17" s="82" t="str">
        <f t="shared" si="2"/>
        <v/>
      </c>
      <c r="I17" s="362">
        <v>222705.59</v>
      </c>
      <c r="J17" s="162"/>
      <c r="K17" s="162" t="s">
        <v>1663</v>
      </c>
      <c r="L17" s="284">
        <v>2022</v>
      </c>
      <c r="M17" s="234" t="s">
        <v>1909</v>
      </c>
      <c r="N17" s="234" t="s">
        <v>1910</v>
      </c>
      <c r="O17" s="234" t="s">
        <v>1911</v>
      </c>
      <c r="P17" s="261" t="s">
        <v>3535</v>
      </c>
      <c r="Q17" s="261" t="s">
        <v>3539</v>
      </c>
    </row>
    <row r="18" spans="1:17" ht="15.75" thickBot="1" x14ac:dyDescent="0.3">
      <c r="A18" s="161" t="s">
        <v>3507</v>
      </c>
      <c r="B18" s="82" t="str">
        <f t="shared" si="0"/>
        <v>Barraqueiro Transportes, S.A.</v>
      </c>
      <c r="C18" s="82" t="str">
        <f t="shared" si="1"/>
        <v>Estremadura</v>
      </c>
      <c r="D18" s="162" t="s">
        <v>1661</v>
      </c>
      <c r="E18" s="162"/>
      <c r="F18" s="163"/>
      <c r="G18" s="161"/>
      <c r="H18" s="82" t="str">
        <f t="shared" si="2"/>
        <v/>
      </c>
      <c r="I18" s="362">
        <v>13402.37</v>
      </c>
      <c r="J18" s="162"/>
      <c r="K18" s="162" t="s">
        <v>1669</v>
      </c>
      <c r="L18" s="284">
        <v>2022</v>
      </c>
      <c r="M18" s="234" t="s">
        <v>1909</v>
      </c>
      <c r="N18" s="234" t="s">
        <v>1910</v>
      </c>
      <c r="O18" s="234" t="s">
        <v>1911</v>
      </c>
      <c r="P18" s="261" t="s">
        <v>3535</v>
      </c>
      <c r="Q18" s="261" t="s">
        <v>3539</v>
      </c>
    </row>
    <row r="19" spans="1:17" ht="15.75" thickBot="1" x14ac:dyDescent="0.3">
      <c r="A19" s="161" t="s">
        <v>3507</v>
      </c>
      <c r="B19" s="82" t="str">
        <f t="shared" si="0"/>
        <v>Barraqueiro Transportes, S.A.</v>
      </c>
      <c r="C19" s="82" t="str">
        <f t="shared" si="1"/>
        <v>Estremadura</v>
      </c>
      <c r="D19" s="162" t="s">
        <v>1653</v>
      </c>
      <c r="E19" s="162">
        <f>23*2+15</f>
        <v>61</v>
      </c>
      <c r="F19" s="163" t="s">
        <v>586</v>
      </c>
      <c r="G19" s="161"/>
      <c r="H19" s="82" t="str">
        <f t="shared" si="2"/>
        <v/>
      </c>
      <c r="I19" s="362">
        <v>9563.4</v>
      </c>
      <c r="J19" s="162"/>
      <c r="K19" s="162" t="s">
        <v>1664</v>
      </c>
      <c r="L19" s="284">
        <v>2022</v>
      </c>
      <c r="M19" s="234" t="s">
        <v>1909</v>
      </c>
      <c r="N19" s="234" t="s">
        <v>1910</v>
      </c>
      <c r="O19" s="234" t="s">
        <v>1911</v>
      </c>
      <c r="P19" s="261" t="s">
        <v>3535</v>
      </c>
      <c r="Q19" s="261" t="s">
        <v>3539</v>
      </c>
    </row>
    <row r="20" spans="1:17" ht="15.75" thickBot="1" x14ac:dyDescent="0.3">
      <c r="A20" s="161" t="s">
        <v>3507</v>
      </c>
      <c r="B20" s="82" t="str">
        <f t="shared" si="0"/>
        <v>Barraqueiro Transportes, S.A.</v>
      </c>
      <c r="C20" s="82" t="str">
        <f t="shared" si="1"/>
        <v>Estremadura</v>
      </c>
      <c r="D20" s="162" t="s">
        <v>1654</v>
      </c>
      <c r="E20" s="162"/>
      <c r="F20" s="163"/>
      <c r="G20" s="161"/>
      <c r="H20" s="82" t="str">
        <f t="shared" si="2"/>
        <v/>
      </c>
      <c r="I20" s="362">
        <v>896.12</v>
      </c>
      <c r="J20" s="162"/>
      <c r="K20" s="162" t="s">
        <v>1668</v>
      </c>
      <c r="L20" s="284">
        <v>2022</v>
      </c>
      <c r="M20" s="234" t="s">
        <v>1909</v>
      </c>
      <c r="N20" s="234" t="s">
        <v>1910</v>
      </c>
      <c r="O20" s="234" t="s">
        <v>1911</v>
      </c>
      <c r="P20" s="261" t="s">
        <v>3535</v>
      </c>
      <c r="Q20" s="261" t="s">
        <v>3539</v>
      </c>
    </row>
    <row r="21" spans="1:17" ht="15.75" thickBot="1" x14ac:dyDescent="0.3">
      <c r="A21" s="161" t="s">
        <v>3507</v>
      </c>
      <c r="B21" s="82" t="str">
        <f t="shared" si="0"/>
        <v>Barraqueiro Transportes, S.A.</v>
      </c>
      <c r="C21" s="82" t="str">
        <f t="shared" si="1"/>
        <v>Estremadura</v>
      </c>
      <c r="D21" s="162" t="s">
        <v>1655</v>
      </c>
      <c r="E21" s="162"/>
      <c r="F21" s="163"/>
      <c r="G21" s="161"/>
      <c r="H21" s="82" t="str">
        <f t="shared" si="2"/>
        <v/>
      </c>
      <c r="I21" s="362">
        <v>42831.1</v>
      </c>
      <c r="J21" s="162"/>
      <c r="K21" s="162" t="s">
        <v>1666</v>
      </c>
      <c r="L21" s="284">
        <v>2022</v>
      </c>
      <c r="M21" s="234" t="s">
        <v>1909</v>
      </c>
      <c r="N21" s="234" t="s">
        <v>1910</v>
      </c>
      <c r="O21" s="234" t="s">
        <v>1911</v>
      </c>
      <c r="P21" s="261" t="s">
        <v>3535</v>
      </c>
      <c r="Q21" s="261" t="s">
        <v>3539</v>
      </c>
    </row>
    <row r="22" spans="1:17" ht="15.75" thickBot="1" x14ac:dyDescent="0.3">
      <c r="A22" s="161" t="s">
        <v>3507</v>
      </c>
      <c r="B22" s="82" t="str">
        <f t="shared" si="0"/>
        <v>Barraqueiro Transportes, S.A.</v>
      </c>
      <c r="C22" s="82" t="str">
        <f t="shared" si="1"/>
        <v>Estremadura</v>
      </c>
      <c r="D22" s="162" t="s">
        <v>1656</v>
      </c>
      <c r="E22" s="162"/>
      <c r="F22" s="163"/>
      <c r="G22" s="161"/>
      <c r="H22" s="82" t="str">
        <f t="shared" si="2"/>
        <v/>
      </c>
      <c r="I22" s="362">
        <v>414.27</v>
      </c>
      <c r="J22" s="162"/>
      <c r="K22" s="162" t="s">
        <v>1667</v>
      </c>
      <c r="L22" s="284">
        <v>2022</v>
      </c>
      <c r="M22" s="234" t="s">
        <v>1909</v>
      </c>
      <c r="N22" s="234" t="s">
        <v>1910</v>
      </c>
      <c r="O22" s="234" t="s">
        <v>1911</v>
      </c>
      <c r="P22" s="261" t="s">
        <v>3535</v>
      </c>
      <c r="Q22" s="261" t="s">
        <v>3539</v>
      </c>
    </row>
    <row r="23" spans="1:17" ht="15.75" thickBot="1" x14ac:dyDescent="0.3">
      <c r="A23" s="161" t="s">
        <v>3507</v>
      </c>
      <c r="B23" s="82" t="str">
        <f t="shared" si="0"/>
        <v>Barraqueiro Transportes, S.A.</v>
      </c>
      <c r="C23" s="82" t="str">
        <f t="shared" si="1"/>
        <v>Estremadura</v>
      </c>
      <c r="D23" s="162" t="s">
        <v>1657</v>
      </c>
      <c r="E23" s="162"/>
      <c r="F23" s="163"/>
      <c r="G23" s="161"/>
      <c r="H23" s="82" t="str">
        <f t="shared" si="2"/>
        <v/>
      </c>
      <c r="I23" s="362">
        <v>78254.350000000006</v>
      </c>
      <c r="J23" s="162"/>
      <c r="K23" s="162" t="s">
        <v>1665</v>
      </c>
      <c r="L23" s="284">
        <v>2022</v>
      </c>
      <c r="M23" s="234" t="s">
        <v>1909</v>
      </c>
      <c r="N23" s="234" t="s">
        <v>1910</v>
      </c>
      <c r="O23" s="234" t="s">
        <v>1911</v>
      </c>
      <c r="P23" s="261" t="s">
        <v>3535</v>
      </c>
      <c r="Q23" s="261" t="s">
        <v>3539</v>
      </c>
    </row>
    <row r="24" spans="1:17" ht="15.75" thickBot="1" x14ac:dyDescent="0.3">
      <c r="A24" s="161" t="s">
        <v>3507</v>
      </c>
      <c r="B24" s="82" t="str">
        <f t="shared" si="0"/>
        <v>Barraqueiro Transportes, S.A.</v>
      </c>
      <c r="C24" s="82" t="str">
        <f t="shared" si="1"/>
        <v>Estremadura</v>
      </c>
      <c r="D24" s="162" t="s">
        <v>1670</v>
      </c>
      <c r="E24" s="162"/>
      <c r="F24" s="163"/>
      <c r="G24" s="161"/>
      <c r="H24" s="82" t="str">
        <f t="shared" si="2"/>
        <v/>
      </c>
      <c r="I24" s="362">
        <v>963.61</v>
      </c>
      <c r="J24" s="162"/>
      <c r="K24" s="162" t="s">
        <v>1671</v>
      </c>
      <c r="L24" s="284">
        <v>2022</v>
      </c>
      <c r="M24" s="234" t="s">
        <v>1909</v>
      </c>
      <c r="N24" s="234" t="s">
        <v>1910</v>
      </c>
      <c r="O24" s="234" t="s">
        <v>1911</v>
      </c>
      <c r="P24" s="261" t="s">
        <v>3535</v>
      </c>
      <c r="Q24" s="261" t="s">
        <v>3539</v>
      </c>
    </row>
    <row r="25" spans="1:17" ht="15.75" thickBot="1" x14ac:dyDescent="0.3">
      <c r="A25" s="161" t="s">
        <v>3507</v>
      </c>
      <c r="B25" s="82" t="str">
        <f t="shared" si="0"/>
        <v>Barraqueiro Transportes, S.A.</v>
      </c>
      <c r="C25" s="82" t="str">
        <f t="shared" si="1"/>
        <v>Estremadura</v>
      </c>
      <c r="D25" s="83" t="s">
        <v>3003</v>
      </c>
      <c r="E25" s="162"/>
      <c r="F25" s="163"/>
      <c r="G25" s="161"/>
      <c r="H25" s="82" t="str">
        <f t="shared" si="2"/>
        <v/>
      </c>
      <c r="I25" s="362">
        <v>178731.83</v>
      </c>
      <c r="J25" s="162"/>
      <c r="K25" s="162" t="s">
        <v>1673</v>
      </c>
      <c r="L25" s="284">
        <v>2022</v>
      </c>
      <c r="M25" s="234" t="s">
        <v>1909</v>
      </c>
      <c r="N25" s="234" t="s">
        <v>1910</v>
      </c>
      <c r="O25" s="234" t="s">
        <v>1911</v>
      </c>
      <c r="P25" s="261" t="s">
        <v>3535</v>
      </c>
      <c r="Q25" s="261" t="s">
        <v>3539</v>
      </c>
    </row>
    <row r="26" spans="1:17" ht="15.75" thickBot="1" x14ac:dyDescent="0.3">
      <c r="A26" s="161" t="s">
        <v>3507</v>
      </c>
      <c r="B26" s="82" t="str">
        <f t="shared" si="0"/>
        <v>Barraqueiro Transportes, S.A.</v>
      </c>
      <c r="C26" s="82" t="str">
        <f t="shared" si="1"/>
        <v>Estremadura</v>
      </c>
      <c r="D26" s="162" t="s">
        <v>1658</v>
      </c>
      <c r="E26" s="162"/>
      <c r="F26" s="163"/>
      <c r="G26" s="161"/>
      <c r="H26" s="82" t="str">
        <f t="shared" si="2"/>
        <v/>
      </c>
      <c r="I26" s="362">
        <v>715.6</v>
      </c>
      <c r="J26" s="162"/>
      <c r="K26" s="162" t="s">
        <v>1674</v>
      </c>
      <c r="L26" s="284">
        <v>2022</v>
      </c>
      <c r="M26" s="234" t="s">
        <v>1909</v>
      </c>
      <c r="N26" s="234" t="s">
        <v>1910</v>
      </c>
      <c r="O26" s="234" t="s">
        <v>1911</v>
      </c>
      <c r="P26" s="261" t="s">
        <v>3535</v>
      </c>
      <c r="Q26" s="261" t="s">
        <v>3539</v>
      </c>
    </row>
    <row r="27" spans="1:17" ht="15.75" thickBot="1" x14ac:dyDescent="0.3">
      <c r="A27" s="161" t="s">
        <v>3507</v>
      </c>
      <c r="B27" s="82" t="str">
        <f t="shared" si="0"/>
        <v>Barraqueiro Transportes, S.A.</v>
      </c>
      <c r="C27" s="82" t="str">
        <f t="shared" si="1"/>
        <v>Estremadura</v>
      </c>
      <c r="D27" s="162" t="s">
        <v>1675</v>
      </c>
      <c r="E27" s="162"/>
      <c r="F27" s="163"/>
      <c r="G27" s="161"/>
      <c r="H27" s="82" t="str">
        <f t="shared" si="2"/>
        <v/>
      </c>
      <c r="I27" s="362">
        <v>37012.400000000001</v>
      </c>
      <c r="J27" s="162"/>
      <c r="K27" s="162" t="s">
        <v>1676</v>
      </c>
      <c r="L27" s="284">
        <v>2022</v>
      </c>
      <c r="M27" s="234" t="s">
        <v>1909</v>
      </c>
      <c r="N27" s="234" t="s">
        <v>1910</v>
      </c>
      <c r="O27" s="234" t="s">
        <v>1911</v>
      </c>
      <c r="P27" s="261" t="s">
        <v>3535</v>
      </c>
      <c r="Q27" s="261" t="s">
        <v>3539</v>
      </c>
    </row>
    <row r="28" spans="1:17" ht="15.75" thickBot="1" x14ac:dyDescent="0.3">
      <c r="A28" s="161" t="s">
        <v>3507</v>
      </c>
      <c r="B28" s="82" t="str">
        <f t="shared" si="0"/>
        <v>Barraqueiro Transportes, S.A.</v>
      </c>
      <c r="C28" s="82" t="str">
        <f t="shared" si="1"/>
        <v>Estremadura</v>
      </c>
      <c r="D28" s="162" t="s">
        <v>1659</v>
      </c>
      <c r="E28" s="162"/>
      <c r="F28" s="163"/>
      <c r="G28" s="161"/>
      <c r="H28" s="82" t="str">
        <f t="shared" si="2"/>
        <v/>
      </c>
      <c r="I28" s="362">
        <v>388725.5</v>
      </c>
      <c r="J28" s="162"/>
      <c r="K28" s="162" t="s">
        <v>1677</v>
      </c>
      <c r="L28" s="284">
        <v>2022</v>
      </c>
      <c r="M28" s="234" t="s">
        <v>1909</v>
      </c>
      <c r="N28" s="234" t="s">
        <v>1910</v>
      </c>
      <c r="O28" s="234" t="s">
        <v>1911</v>
      </c>
      <c r="P28" s="261" t="s">
        <v>3535</v>
      </c>
      <c r="Q28" s="261" t="s">
        <v>3539</v>
      </c>
    </row>
    <row r="29" spans="1:17" ht="15.75" thickBot="1" x14ac:dyDescent="0.3">
      <c r="A29" s="161" t="s">
        <v>3509</v>
      </c>
      <c r="B29" s="82" t="str">
        <f t="shared" si="0"/>
        <v>Barraqueiro Transportes, S.A.</v>
      </c>
      <c r="C29" s="82" t="str">
        <f t="shared" si="1"/>
        <v>Barraqueiro Oeste</v>
      </c>
      <c r="D29" s="162" t="s">
        <v>1662</v>
      </c>
      <c r="E29" s="162"/>
      <c r="F29" s="163"/>
      <c r="G29" s="161"/>
      <c r="H29" s="82" t="str">
        <f t="shared" si="2"/>
        <v/>
      </c>
      <c r="I29" s="362">
        <f>SUM(I30:I41)</f>
        <v>739688.59</v>
      </c>
      <c r="J29" s="162"/>
      <c r="K29" s="162"/>
      <c r="L29" s="284">
        <v>2022</v>
      </c>
      <c r="M29" s="234" t="s">
        <v>1909</v>
      </c>
      <c r="N29" s="234" t="s">
        <v>1910</v>
      </c>
      <c r="O29" s="234" t="s">
        <v>1911</v>
      </c>
      <c r="P29" s="261" t="s">
        <v>3535</v>
      </c>
      <c r="Q29" s="261" t="s">
        <v>3539</v>
      </c>
    </row>
    <row r="30" spans="1:17" ht="15.75" thickBot="1" x14ac:dyDescent="0.3">
      <c r="A30" s="161" t="s">
        <v>3509</v>
      </c>
      <c r="B30" s="82" t="str">
        <f t="shared" si="0"/>
        <v>Barraqueiro Transportes, S.A.</v>
      </c>
      <c r="C30" s="82" t="str">
        <f t="shared" si="1"/>
        <v>Barraqueiro Oeste</v>
      </c>
      <c r="D30" s="162" t="s">
        <v>1681</v>
      </c>
      <c r="E30" s="162">
        <v>175</v>
      </c>
      <c r="F30" s="163" t="s">
        <v>586</v>
      </c>
      <c r="G30" s="161"/>
      <c r="H30" s="82" t="str">
        <f t="shared" si="2"/>
        <v/>
      </c>
      <c r="I30" s="362">
        <v>118140.86</v>
      </c>
      <c r="J30" s="162"/>
      <c r="K30" s="162" t="s">
        <v>1678</v>
      </c>
      <c r="L30" s="284">
        <v>2022</v>
      </c>
      <c r="M30" s="234" t="s">
        <v>1909</v>
      </c>
      <c r="N30" s="234" t="s">
        <v>1910</v>
      </c>
      <c r="O30" s="234" t="s">
        <v>1911</v>
      </c>
      <c r="P30" s="261" t="s">
        <v>3535</v>
      </c>
      <c r="Q30" s="261" t="s">
        <v>3539</v>
      </c>
    </row>
    <row r="31" spans="1:17" ht="15.75" thickBot="1" x14ac:dyDescent="0.3">
      <c r="A31" s="161" t="s">
        <v>3509</v>
      </c>
      <c r="B31" s="82" t="str">
        <f t="shared" si="0"/>
        <v>Barraqueiro Transportes, S.A.</v>
      </c>
      <c r="C31" s="82" t="str">
        <f t="shared" si="1"/>
        <v>Barraqueiro Oeste</v>
      </c>
      <c r="D31" s="162" t="s">
        <v>1661</v>
      </c>
      <c r="E31" s="162"/>
      <c r="F31" s="163"/>
      <c r="G31" s="161"/>
      <c r="H31" s="82" t="str">
        <f t="shared" si="2"/>
        <v/>
      </c>
      <c r="I31" s="362">
        <v>11554.62</v>
      </c>
      <c r="J31" s="162"/>
      <c r="K31" s="162" t="s">
        <v>1723</v>
      </c>
      <c r="L31" s="284">
        <v>2022</v>
      </c>
      <c r="M31" s="234" t="s">
        <v>1909</v>
      </c>
      <c r="N31" s="234" t="s">
        <v>1910</v>
      </c>
      <c r="O31" s="234" t="s">
        <v>1911</v>
      </c>
      <c r="P31" s="261" t="s">
        <v>3535</v>
      </c>
      <c r="Q31" s="261" t="s">
        <v>3539</v>
      </c>
    </row>
    <row r="32" spans="1:17" ht="15.75" thickBot="1" x14ac:dyDescent="0.3">
      <c r="A32" s="161" t="s">
        <v>3509</v>
      </c>
      <c r="B32" s="82" t="str">
        <f t="shared" si="0"/>
        <v>Barraqueiro Transportes, S.A.</v>
      </c>
      <c r="C32" s="82" t="str">
        <f t="shared" si="1"/>
        <v>Barraqueiro Oeste</v>
      </c>
      <c r="D32" s="162" t="s">
        <v>1653</v>
      </c>
      <c r="E32" s="162">
        <v>48</v>
      </c>
      <c r="F32" s="163" t="s">
        <v>141</v>
      </c>
      <c r="G32" s="161"/>
      <c r="H32" s="82" t="str">
        <f t="shared" si="2"/>
        <v/>
      </c>
      <c r="I32" s="362">
        <v>14696.69</v>
      </c>
      <c r="J32" s="162"/>
      <c r="K32" s="162" t="s">
        <v>1724</v>
      </c>
      <c r="L32" s="284">
        <v>2022</v>
      </c>
      <c r="M32" s="234" t="s">
        <v>1909</v>
      </c>
      <c r="N32" s="234" t="s">
        <v>1910</v>
      </c>
      <c r="O32" s="234" t="s">
        <v>1911</v>
      </c>
      <c r="P32" s="261" t="s">
        <v>3535</v>
      </c>
      <c r="Q32" s="261" t="s">
        <v>3539</v>
      </c>
    </row>
    <row r="33" spans="1:17" ht="15.75" thickBot="1" x14ac:dyDescent="0.3">
      <c r="A33" s="161" t="s">
        <v>3509</v>
      </c>
      <c r="B33" s="82" t="str">
        <f t="shared" si="0"/>
        <v>Barraqueiro Transportes, S.A.</v>
      </c>
      <c r="C33" s="82" t="str">
        <f t="shared" si="1"/>
        <v>Barraqueiro Oeste</v>
      </c>
      <c r="D33" s="162" t="s">
        <v>1654</v>
      </c>
      <c r="E33" s="162"/>
      <c r="F33" s="163"/>
      <c r="G33" s="161"/>
      <c r="H33" s="82" t="str">
        <f t="shared" si="2"/>
        <v/>
      </c>
      <c r="I33" s="362">
        <v>770.77</v>
      </c>
      <c r="J33" s="162"/>
      <c r="K33" s="162" t="s">
        <v>1702</v>
      </c>
      <c r="L33" s="284">
        <v>2022</v>
      </c>
      <c r="M33" s="234" t="s">
        <v>1909</v>
      </c>
      <c r="N33" s="234" t="s">
        <v>1910</v>
      </c>
      <c r="O33" s="234" t="s">
        <v>1911</v>
      </c>
      <c r="P33" s="261" t="s">
        <v>3535</v>
      </c>
      <c r="Q33" s="261" t="s">
        <v>3539</v>
      </c>
    </row>
    <row r="34" spans="1:17" ht="15.75" thickBot="1" x14ac:dyDescent="0.3">
      <c r="A34" s="161" t="s">
        <v>3509</v>
      </c>
      <c r="B34" s="82" t="str">
        <f t="shared" si="0"/>
        <v>Barraqueiro Transportes, S.A.</v>
      </c>
      <c r="C34" s="82" t="str">
        <f t="shared" si="1"/>
        <v>Barraqueiro Oeste</v>
      </c>
      <c r="D34" s="162" t="s">
        <v>1655</v>
      </c>
      <c r="E34" s="162"/>
      <c r="F34" s="163"/>
      <c r="G34" s="161"/>
      <c r="H34" s="82" t="str">
        <f t="shared" si="2"/>
        <v/>
      </c>
      <c r="I34" s="362">
        <v>24873.52</v>
      </c>
      <c r="J34" s="162"/>
      <c r="K34" s="162" t="s">
        <v>1671</v>
      </c>
      <c r="L34" s="284">
        <v>2022</v>
      </c>
      <c r="M34" s="234" t="s">
        <v>1909</v>
      </c>
      <c r="N34" s="234" t="s">
        <v>1910</v>
      </c>
      <c r="O34" s="234" t="s">
        <v>1911</v>
      </c>
      <c r="P34" s="261" t="s">
        <v>3535</v>
      </c>
      <c r="Q34" s="261" t="s">
        <v>3539</v>
      </c>
    </row>
    <row r="35" spans="1:17" ht="15.75" thickBot="1" x14ac:dyDescent="0.3">
      <c r="A35" s="161" t="s">
        <v>3509</v>
      </c>
      <c r="B35" s="82" t="str">
        <f t="shared" si="0"/>
        <v>Barraqueiro Transportes, S.A.</v>
      </c>
      <c r="C35" s="82" t="str">
        <f t="shared" si="1"/>
        <v>Barraqueiro Oeste</v>
      </c>
      <c r="D35" s="162" t="s">
        <v>1656</v>
      </c>
      <c r="E35" s="162"/>
      <c r="F35" s="163"/>
      <c r="G35" s="161"/>
      <c r="H35" s="82" t="str">
        <f t="shared" si="2"/>
        <v/>
      </c>
      <c r="I35" s="362">
        <v>0</v>
      </c>
      <c r="J35" s="162"/>
      <c r="K35" s="162"/>
      <c r="L35" s="284">
        <v>2022</v>
      </c>
      <c r="M35" s="234" t="s">
        <v>1909</v>
      </c>
      <c r="N35" s="234" t="s">
        <v>1910</v>
      </c>
      <c r="O35" s="234" t="s">
        <v>1911</v>
      </c>
      <c r="P35" s="261" t="s">
        <v>3535</v>
      </c>
      <c r="Q35" s="261" t="s">
        <v>3539</v>
      </c>
    </row>
    <row r="36" spans="1:17" ht="15.75" thickBot="1" x14ac:dyDescent="0.3">
      <c r="A36" s="161" t="s">
        <v>3509</v>
      </c>
      <c r="B36" s="82" t="str">
        <f t="shared" si="0"/>
        <v>Barraqueiro Transportes, S.A.</v>
      </c>
      <c r="C36" s="82" t="str">
        <f t="shared" si="1"/>
        <v>Barraqueiro Oeste</v>
      </c>
      <c r="D36" s="162" t="s">
        <v>1657</v>
      </c>
      <c r="E36" s="162"/>
      <c r="F36" s="163"/>
      <c r="G36" s="161"/>
      <c r="H36" s="82" t="str">
        <f t="shared" si="2"/>
        <v/>
      </c>
      <c r="I36" s="362">
        <v>52288.92</v>
      </c>
      <c r="J36" s="162"/>
      <c r="K36" s="162" t="s">
        <v>1704</v>
      </c>
      <c r="L36" s="284">
        <v>2022</v>
      </c>
      <c r="M36" s="234" t="s">
        <v>1909</v>
      </c>
      <c r="N36" s="234" t="s">
        <v>1910</v>
      </c>
      <c r="O36" s="234" t="s">
        <v>1911</v>
      </c>
      <c r="P36" s="261" t="s">
        <v>3535</v>
      </c>
      <c r="Q36" s="261" t="s">
        <v>3539</v>
      </c>
    </row>
    <row r="37" spans="1:17" ht="15.75" thickBot="1" x14ac:dyDescent="0.3">
      <c r="A37" s="161" t="s">
        <v>3509</v>
      </c>
      <c r="B37" s="82" t="str">
        <f t="shared" si="0"/>
        <v>Barraqueiro Transportes, S.A.</v>
      </c>
      <c r="C37" s="82" t="str">
        <f t="shared" si="1"/>
        <v>Barraqueiro Oeste</v>
      </c>
      <c r="D37" s="162" t="s">
        <v>1670</v>
      </c>
      <c r="E37" s="162"/>
      <c r="F37" s="163"/>
      <c r="G37" s="161"/>
      <c r="H37" s="82" t="str">
        <f t="shared" si="2"/>
        <v/>
      </c>
      <c r="I37" s="362">
        <v>164.02</v>
      </c>
      <c r="J37" s="162"/>
      <c r="K37" s="162" t="s">
        <v>1699</v>
      </c>
      <c r="L37" s="284">
        <v>2022</v>
      </c>
      <c r="M37" s="234" t="s">
        <v>1909</v>
      </c>
      <c r="N37" s="234" t="s">
        <v>1910</v>
      </c>
      <c r="O37" s="234" t="s">
        <v>1911</v>
      </c>
      <c r="P37" s="261" t="s">
        <v>3535</v>
      </c>
      <c r="Q37" s="261" t="s">
        <v>3539</v>
      </c>
    </row>
    <row r="38" spans="1:17" ht="15.75" thickBot="1" x14ac:dyDescent="0.3">
      <c r="A38" s="161" t="s">
        <v>3509</v>
      </c>
      <c r="B38" s="82" t="str">
        <f t="shared" si="0"/>
        <v>Barraqueiro Transportes, S.A.</v>
      </c>
      <c r="C38" s="82" t="str">
        <f t="shared" si="1"/>
        <v>Barraqueiro Oeste</v>
      </c>
      <c r="D38" s="83" t="s">
        <v>3003</v>
      </c>
      <c r="E38" s="162"/>
      <c r="F38" s="163"/>
      <c r="G38" s="161"/>
      <c r="H38" s="82" t="str">
        <f t="shared" si="2"/>
        <v/>
      </c>
      <c r="I38" s="362">
        <v>170614.91</v>
      </c>
      <c r="J38" s="162"/>
      <c r="K38" s="162" t="s">
        <v>1722</v>
      </c>
      <c r="L38" s="284">
        <v>2022</v>
      </c>
      <c r="M38" s="234" t="s">
        <v>1909</v>
      </c>
      <c r="N38" s="234" t="s">
        <v>1910</v>
      </c>
      <c r="O38" s="234" t="s">
        <v>1911</v>
      </c>
      <c r="P38" s="261" t="s">
        <v>3535</v>
      </c>
      <c r="Q38" s="261" t="s">
        <v>3539</v>
      </c>
    </row>
    <row r="39" spans="1:17" ht="15.75" thickBot="1" x14ac:dyDescent="0.3">
      <c r="A39" s="161" t="s">
        <v>3509</v>
      </c>
      <c r="B39" s="82" t="str">
        <f t="shared" si="0"/>
        <v>Barraqueiro Transportes, S.A.</v>
      </c>
      <c r="C39" s="82" t="str">
        <f t="shared" si="1"/>
        <v>Barraqueiro Oeste</v>
      </c>
      <c r="D39" s="162" t="s">
        <v>1658</v>
      </c>
      <c r="E39" s="162"/>
      <c r="F39" s="163"/>
      <c r="G39" s="161"/>
      <c r="H39" s="82" t="str">
        <f t="shared" si="2"/>
        <v/>
      </c>
      <c r="I39" s="362">
        <v>1397.65</v>
      </c>
      <c r="J39" s="162"/>
      <c r="K39" s="162" t="s">
        <v>1713</v>
      </c>
      <c r="L39" s="284">
        <v>2022</v>
      </c>
      <c r="M39" s="234" t="s">
        <v>1909</v>
      </c>
      <c r="N39" s="234" t="s">
        <v>1910</v>
      </c>
      <c r="O39" s="234" t="s">
        <v>1911</v>
      </c>
      <c r="P39" s="261" t="s">
        <v>3535</v>
      </c>
      <c r="Q39" s="261" t="s">
        <v>3539</v>
      </c>
    </row>
    <row r="40" spans="1:17" ht="15.75" thickBot="1" x14ac:dyDescent="0.3">
      <c r="A40" s="161" t="s">
        <v>3509</v>
      </c>
      <c r="B40" s="82" t="str">
        <f t="shared" si="0"/>
        <v>Barraqueiro Transportes, S.A.</v>
      </c>
      <c r="C40" s="82" t="str">
        <f t="shared" si="1"/>
        <v>Barraqueiro Oeste</v>
      </c>
      <c r="D40" s="162" t="s">
        <v>1675</v>
      </c>
      <c r="E40" s="162"/>
      <c r="F40" s="163"/>
      <c r="G40" s="161"/>
      <c r="H40" s="82" t="str">
        <f t="shared" si="2"/>
        <v/>
      </c>
      <c r="I40" s="362">
        <v>33247.49</v>
      </c>
      <c r="J40" s="162"/>
      <c r="K40" s="162" t="s">
        <v>1732</v>
      </c>
      <c r="L40" s="284">
        <v>2022</v>
      </c>
      <c r="M40" s="234" t="s">
        <v>1909</v>
      </c>
      <c r="N40" s="234" t="s">
        <v>1910</v>
      </c>
      <c r="O40" s="234" t="s">
        <v>1911</v>
      </c>
      <c r="P40" s="261" t="s">
        <v>3535</v>
      </c>
      <c r="Q40" s="261" t="s">
        <v>3539</v>
      </c>
    </row>
    <row r="41" spans="1:17" ht="15.75" thickBot="1" x14ac:dyDescent="0.3">
      <c r="A41" s="161" t="s">
        <v>3509</v>
      </c>
      <c r="B41" s="82" t="str">
        <f t="shared" si="0"/>
        <v>Barraqueiro Transportes, S.A.</v>
      </c>
      <c r="C41" s="82" t="str">
        <f t="shared" si="1"/>
        <v>Barraqueiro Oeste</v>
      </c>
      <c r="D41" s="162" t="s">
        <v>1659</v>
      </c>
      <c r="E41" s="162"/>
      <c r="F41" s="163"/>
      <c r="G41" s="161"/>
      <c r="H41" s="82" t="str">
        <f t="shared" si="2"/>
        <v/>
      </c>
      <c r="I41" s="362">
        <v>311939.14</v>
      </c>
      <c r="J41" s="162"/>
      <c r="K41" s="162" t="s">
        <v>1741</v>
      </c>
      <c r="L41" s="284">
        <v>2022</v>
      </c>
      <c r="M41" s="234" t="s">
        <v>1909</v>
      </c>
      <c r="N41" s="234" t="s">
        <v>1910</v>
      </c>
      <c r="O41" s="234" t="s">
        <v>1911</v>
      </c>
      <c r="P41" s="261" t="s">
        <v>3535</v>
      </c>
      <c r="Q41" s="261" t="s">
        <v>3539</v>
      </c>
    </row>
    <row r="42" spans="1:17" ht="15.75" thickBot="1" x14ac:dyDescent="0.3">
      <c r="A42" s="161" t="s">
        <v>3510</v>
      </c>
      <c r="B42" s="82" t="str">
        <f t="shared" si="0"/>
        <v>Barraqueiro Transportes, S.A.</v>
      </c>
      <c r="C42" s="82" t="str">
        <f t="shared" si="1"/>
        <v>Boa Viagem</v>
      </c>
      <c r="D42" s="162" t="s">
        <v>1662</v>
      </c>
      <c r="E42" s="162"/>
      <c r="F42" s="163"/>
      <c r="G42" s="161"/>
      <c r="H42" s="82" t="str">
        <f t="shared" si="2"/>
        <v/>
      </c>
      <c r="I42" s="362">
        <f>SUM(I43:I54)</f>
        <v>712551.72</v>
      </c>
      <c r="J42" s="162"/>
      <c r="K42" s="162"/>
      <c r="L42" s="284">
        <v>2022</v>
      </c>
      <c r="M42" s="234" t="s">
        <v>1909</v>
      </c>
      <c r="N42" s="234" t="s">
        <v>1910</v>
      </c>
      <c r="O42" s="234" t="s">
        <v>1911</v>
      </c>
      <c r="P42" s="261" t="s">
        <v>3535</v>
      </c>
      <c r="Q42" s="261" t="s">
        <v>3539</v>
      </c>
    </row>
    <row r="43" spans="1:17" ht="15.75" thickBot="1" x14ac:dyDescent="0.3">
      <c r="A43" s="161" t="s">
        <v>3510</v>
      </c>
      <c r="B43" s="82" t="str">
        <f t="shared" si="0"/>
        <v>Barraqueiro Transportes, S.A.</v>
      </c>
      <c r="C43" s="82" t="str">
        <f t="shared" si="1"/>
        <v>Boa Viagem</v>
      </c>
      <c r="D43" s="162" t="s">
        <v>1681</v>
      </c>
      <c r="E43" s="162">
        <v>366</v>
      </c>
      <c r="F43" s="163" t="s">
        <v>586</v>
      </c>
      <c r="G43" s="161"/>
      <c r="H43" s="82" t="str">
        <f t="shared" si="2"/>
        <v/>
      </c>
      <c r="I43" s="362">
        <v>96102.19</v>
      </c>
      <c r="J43" s="162"/>
      <c r="K43" s="162" t="s">
        <v>1683</v>
      </c>
      <c r="L43" s="284">
        <v>2022</v>
      </c>
      <c r="M43" s="234" t="s">
        <v>1909</v>
      </c>
      <c r="N43" s="234" t="s">
        <v>1910</v>
      </c>
      <c r="O43" s="234" t="s">
        <v>1911</v>
      </c>
      <c r="P43" s="261" t="s">
        <v>3535</v>
      </c>
      <c r="Q43" s="261" t="s">
        <v>3539</v>
      </c>
    </row>
    <row r="44" spans="1:17" ht="15.75" thickBot="1" x14ac:dyDescent="0.3">
      <c r="A44" s="161" t="s">
        <v>3510</v>
      </c>
      <c r="B44" s="82" t="str">
        <f t="shared" si="0"/>
        <v>Barraqueiro Transportes, S.A.</v>
      </c>
      <c r="C44" s="82" t="str">
        <f t="shared" si="1"/>
        <v>Boa Viagem</v>
      </c>
      <c r="D44" s="162" t="s">
        <v>1661</v>
      </c>
      <c r="E44" s="162"/>
      <c r="F44" s="163"/>
      <c r="G44" s="161"/>
      <c r="H44" s="82" t="str">
        <f t="shared" si="2"/>
        <v/>
      </c>
      <c r="I44" s="362">
        <v>15065.84</v>
      </c>
      <c r="J44" s="162"/>
      <c r="K44" s="162" t="s">
        <v>1725</v>
      </c>
      <c r="L44" s="284">
        <v>2022</v>
      </c>
      <c r="M44" s="234" t="s">
        <v>1909</v>
      </c>
      <c r="N44" s="234" t="s">
        <v>1910</v>
      </c>
      <c r="O44" s="234" t="s">
        <v>1911</v>
      </c>
      <c r="P44" s="261" t="s">
        <v>3535</v>
      </c>
      <c r="Q44" s="261" t="s">
        <v>3539</v>
      </c>
    </row>
    <row r="45" spans="1:17" ht="15.75" thickBot="1" x14ac:dyDescent="0.3">
      <c r="A45" s="161" t="s">
        <v>3510</v>
      </c>
      <c r="B45" s="82" t="str">
        <f t="shared" si="0"/>
        <v>Barraqueiro Transportes, S.A.</v>
      </c>
      <c r="C45" s="82" t="str">
        <f t="shared" si="1"/>
        <v>Boa Viagem</v>
      </c>
      <c r="D45" s="162" t="s">
        <v>1653</v>
      </c>
      <c r="E45" s="162">
        <v>85</v>
      </c>
      <c r="F45" s="163" t="s">
        <v>141</v>
      </c>
      <c r="G45" s="161"/>
      <c r="H45" s="82" t="str">
        <f t="shared" si="2"/>
        <v/>
      </c>
      <c r="I45" s="362">
        <v>13905.81</v>
      </c>
      <c r="J45" s="162"/>
      <c r="K45" s="162" t="s">
        <v>1668</v>
      </c>
      <c r="L45" s="284">
        <v>2022</v>
      </c>
      <c r="M45" s="234" t="s">
        <v>1909</v>
      </c>
      <c r="N45" s="234" t="s">
        <v>1910</v>
      </c>
      <c r="O45" s="234" t="s">
        <v>1911</v>
      </c>
      <c r="P45" s="261" t="s">
        <v>3535</v>
      </c>
      <c r="Q45" s="261" t="s">
        <v>3539</v>
      </c>
    </row>
    <row r="46" spans="1:17" ht="15.75" thickBot="1" x14ac:dyDescent="0.3">
      <c r="A46" s="161" t="s">
        <v>3510</v>
      </c>
      <c r="B46" s="82" t="str">
        <f t="shared" si="0"/>
        <v>Barraqueiro Transportes, S.A.</v>
      </c>
      <c r="C46" s="82" t="str">
        <f t="shared" si="1"/>
        <v>Boa Viagem</v>
      </c>
      <c r="D46" s="162" t="s">
        <v>1654</v>
      </c>
      <c r="E46" s="162"/>
      <c r="F46" s="163"/>
      <c r="G46" s="161"/>
      <c r="H46" s="82" t="str">
        <f t="shared" si="2"/>
        <v/>
      </c>
      <c r="I46" s="362">
        <v>1049.3599999999999</v>
      </c>
      <c r="J46" s="162"/>
      <c r="K46" s="162" t="s">
        <v>1702</v>
      </c>
      <c r="L46" s="284">
        <v>2022</v>
      </c>
      <c r="M46" s="234" t="s">
        <v>1909</v>
      </c>
      <c r="N46" s="234" t="s">
        <v>1910</v>
      </c>
      <c r="O46" s="234" t="s">
        <v>1911</v>
      </c>
      <c r="P46" s="261" t="s">
        <v>3535</v>
      </c>
      <c r="Q46" s="261" t="s">
        <v>3539</v>
      </c>
    </row>
    <row r="47" spans="1:17" ht="15.75" thickBot="1" x14ac:dyDescent="0.3">
      <c r="A47" s="161" t="s">
        <v>3510</v>
      </c>
      <c r="B47" s="82" t="str">
        <f t="shared" si="0"/>
        <v>Barraqueiro Transportes, S.A.</v>
      </c>
      <c r="C47" s="82" t="str">
        <f t="shared" si="1"/>
        <v>Boa Viagem</v>
      </c>
      <c r="D47" s="162" t="s">
        <v>1655</v>
      </c>
      <c r="E47" s="162"/>
      <c r="F47" s="163"/>
      <c r="G47" s="161"/>
      <c r="H47" s="82" t="str">
        <f t="shared" si="2"/>
        <v/>
      </c>
      <c r="I47" s="362">
        <v>17414.009999999998</v>
      </c>
      <c r="J47" s="162"/>
      <c r="K47" s="162" t="s">
        <v>1697</v>
      </c>
      <c r="L47" s="284">
        <v>2022</v>
      </c>
      <c r="M47" s="234" t="s">
        <v>1909</v>
      </c>
      <c r="N47" s="234" t="s">
        <v>1910</v>
      </c>
      <c r="O47" s="234" t="s">
        <v>1911</v>
      </c>
      <c r="P47" s="261" t="s">
        <v>3535</v>
      </c>
      <c r="Q47" s="261" t="s">
        <v>3539</v>
      </c>
    </row>
    <row r="48" spans="1:17" ht="15.75" thickBot="1" x14ac:dyDescent="0.3">
      <c r="A48" s="161" t="s">
        <v>3510</v>
      </c>
      <c r="B48" s="82" t="str">
        <f t="shared" si="0"/>
        <v>Barraqueiro Transportes, S.A.</v>
      </c>
      <c r="C48" s="82" t="str">
        <f t="shared" si="1"/>
        <v>Boa Viagem</v>
      </c>
      <c r="D48" s="162" t="s">
        <v>1656</v>
      </c>
      <c r="E48" s="162"/>
      <c r="F48" s="163"/>
      <c r="G48" s="161"/>
      <c r="H48" s="82" t="str">
        <f t="shared" si="2"/>
        <v/>
      </c>
      <c r="I48" s="362">
        <v>0</v>
      </c>
      <c r="J48" s="162"/>
      <c r="K48" s="162"/>
      <c r="L48" s="284">
        <v>2022</v>
      </c>
      <c r="M48" s="234" t="s">
        <v>1909</v>
      </c>
      <c r="N48" s="234" t="s">
        <v>1910</v>
      </c>
      <c r="O48" s="234" t="s">
        <v>1911</v>
      </c>
      <c r="P48" s="261" t="s">
        <v>3535</v>
      </c>
      <c r="Q48" s="261" t="s">
        <v>3539</v>
      </c>
    </row>
    <row r="49" spans="1:17" ht="15.75" thickBot="1" x14ac:dyDescent="0.3">
      <c r="A49" s="161" t="s">
        <v>3510</v>
      </c>
      <c r="B49" s="82" t="str">
        <f t="shared" si="0"/>
        <v>Barraqueiro Transportes, S.A.</v>
      </c>
      <c r="C49" s="82" t="str">
        <f t="shared" si="1"/>
        <v>Boa Viagem</v>
      </c>
      <c r="D49" s="162" t="s">
        <v>1657</v>
      </c>
      <c r="E49" s="162"/>
      <c r="F49" s="163"/>
      <c r="G49" s="161"/>
      <c r="H49" s="82" t="str">
        <f t="shared" si="2"/>
        <v/>
      </c>
      <c r="I49" s="362">
        <v>40896.019999999997</v>
      </c>
      <c r="J49" s="162"/>
      <c r="K49" s="162" t="s">
        <v>1705</v>
      </c>
      <c r="L49" s="284">
        <v>2022</v>
      </c>
      <c r="M49" s="234" t="s">
        <v>1909</v>
      </c>
      <c r="N49" s="234" t="s">
        <v>1910</v>
      </c>
      <c r="O49" s="234" t="s">
        <v>1911</v>
      </c>
      <c r="P49" s="261" t="s">
        <v>3535</v>
      </c>
      <c r="Q49" s="261" t="s">
        <v>3539</v>
      </c>
    </row>
    <row r="50" spans="1:17" ht="15.75" thickBot="1" x14ac:dyDescent="0.3">
      <c r="A50" s="161" t="s">
        <v>3510</v>
      </c>
      <c r="B50" s="82" t="str">
        <f t="shared" si="0"/>
        <v>Barraqueiro Transportes, S.A.</v>
      </c>
      <c r="C50" s="82" t="str">
        <f t="shared" si="1"/>
        <v>Boa Viagem</v>
      </c>
      <c r="D50" s="162" t="s">
        <v>1670</v>
      </c>
      <c r="E50" s="162"/>
      <c r="F50" s="163"/>
      <c r="G50" s="161"/>
      <c r="H50" s="82" t="str">
        <f t="shared" si="2"/>
        <v/>
      </c>
      <c r="I50" s="362">
        <v>294.57</v>
      </c>
      <c r="J50" s="162"/>
      <c r="K50" s="162" t="s">
        <v>1712</v>
      </c>
      <c r="L50" s="284">
        <v>2022</v>
      </c>
      <c r="M50" s="234" t="s">
        <v>1909</v>
      </c>
      <c r="N50" s="234" t="s">
        <v>1910</v>
      </c>
      <c r="O50" s="234" t="s">
        <v>1911</v>
      </c>
      <c r="P50" s="261" t="s">
        <v>3535</v>
      </c>
      <c r="Q50" s="261" t="s">
        <v>3539</v>
      </c>
    </row>
    <row r="51" spans="1:17" ht="15.75" thickBot="1" x14ac:dyDescent="0.3">
      <c r="A51" s="161" t="s">
        <v>3510</v>
      </c>
      <c r="B51" s="82" t="str">
        <f t="shared" si="0"/>
        <v>Barraqueiro Transportes, S.A.</v>
      </c>
      <c r="C51" s="82" t="str">
        <f t="shared" si="1"/>
        <v>Boa Viagem</v>
      </c>
      <c r="D51" s="83" t="s">
        <v>3003</v>
      </c>
      <c r="E51" s="162"/>
      <c r="F51" s="163"/>
      <c r="G51" s="161"/>
      <c r="H51" s="82" t="str">
        <f t="shared" si="2"/>
        <v/>
      </c>
      <c r="I51" s="362">
        <v>196353.5</v>
      </c>
      <c r="J51" s="162"/>
      <c r="K51" s="162" t="s">
        <v>1721</v>
      </c>
      <c r="L51" s="284">
        <v>2022</v>
      </c>
      <c r="M51" s="234" t="s">
        <v>1909</v>
      </c>
      <c r="N51" s="234" t="s">
        <v>1910</v>
      </c>
      <c r="O51" s="234" t="s">
        <v>1911</v>
      </c>
      <c r="P51" s="261" t="s">
        <v>3535</v>
      </c>
      <c r="Q51" s="261" t="s">
        <v>3539</v>
      </c>
    </row>
    <row r="52" spans="1:17" ht="15.75" thickBot="1" x14ac:dyDescent="0.3">
      <c r="A52" s="161" t="s">
        <v>3510</v>
      </c>
      <c r="B52" s="82" t="str">
        <f t="shared" si="0"/>
        <v>Barraqueiro Transportes, S.A.</v>
      </c>
      <c r="C52" s="82" t="str">
        <f t="shared" si="1"/>
        <v>Boa Viagem</v>
      </c>
      <c r="D52" s="162" t="s">
        <v>1658</v>
      </c>
      <c r="E52" s="162"/>
      <c r="F52" s="163"/>
      <c r="G52" s="161"/>
      <c r="H52" s="82" t="str">
        <f t="shared" si="2"/>
        <v/>
      </c>
      <c r="I52" s="362">
        <v>834.57</v>
      </c>
      <c r="J52" s="162"/>
      <c r="K52" s="162" t="s">
        <v>1714</v>
      </c>
      <c r="L52" s="284">
        <v>2022</v>
      </c>
      <c r="M52" s="234" t="s">
        <v>1909</v>
      </c>
      <c r="N52" s="234" t="s">
        <v>1910</v>
      </c>
      <c r="O52" s="234" t="s">
        <v>1911</v>
      </c>
      <c r="P52" s="261" t="s">
        <v>3535</v>
      </c>
      <c r="Q52" s="261" t="s">
        <v>3539</v>
      </c>
    </row>
    <row r="53" spans="1:17" ht="15.75" thickBot="1" x14ac:dyDescent="0.3">
      <c r="A53" s="161" t="s">
        <v>3510</v>
      </c>
      <c r="B53" s="82" t="str">
        <f t="shared" si="0"/>
        <v>Barraqueiro Transportes, S.A.</v>
      </c>
      <c r="C53" s="82" t="str">
        <f t="shared" si="1"/>
        <v>Boa Viagem</v>
      </c>
      <c r="D53" s="162" t="s">
        <v>1675</v>
      </c>
      <c r="E53" s="162"/>
      <c r="F53" s="163"/>
      <c r="G53" s="161"/>
      <c r="H53" s="82" t="str">
        <f t="shared" si="2"/>
        <v/>
      </c>
      <c r="I53" s="362">
        <v>6997.38</v>
      </c>
      <c r="J53" s="162"/>
      <c r="K53" s="162" t="s">
        <v>1733</v>
      </c>
      <c r="L53" s="284">
        <v>2022</v>
      </c>
      <c r="M53" s="234" t="s">
        <v>1909</v>
      </c>
      <c r="N53" s="234" t="s">
        <v>1910</v>
      </c>
      <c r="O53" s="234" t="s">
        <v>1911</v>
      </c>
      <c r="P53" s="261" t="s">
        <v>3535</v>
      </c>
      <c r="Q53" s="261" t="s">
        <v>3539</v>
      </c>
    </row>
    <row r="54" spans="1:17" ht="15.75" thickBot="1" x14ac:dyDescent="0.3">
      <c r="A54" s="161" t="s">
        <v>3510</v>
      </c>
      <c r="B54" s="82" t="str">
        <f t="shared" si="0"/>
        <v>Barraqueiro Transportes, S.A.</v>
      </c>
      <c r="C54" s="82" t="str">
        <f t="shared" si="1"/>
        <v>Boa Viagem</v>
      </c>
      <c r="D54" s="162" t="s">
        <v>1659</v>
      </c>
      <c r="E54" s="162"/>
      <c r="F54" s="163"/>
      <c r="G54" s="161"/>
      <c r="H54" s="82" t="str">
        <f t="shared" si="2"/>
        <v/>
      </c>
      <c r="I54" s="362">
        <v>323638.46999999997</v>
      </c>
      <c r="J54" s="162"/>
      <c r="K54" s="162" t="s">
        <v>1740</v>
      </c>
      <c r="L54" s="284">
        <v>2022</v>
      </c>
      <c r="M54" s="234" t="s">
        <v>1909</v>
      </c>
      <c r="N54" s="234" t="s">
        <v>1910</v>
      </c>
      <c r="O54" s="234" t="s">
        <v>1911</v>
      </c>
      <c r="P54" s="261" t="s">
        <v>3535</v>
      </c>
      <c r="Q54" s="261" t="s">
        <v>3539</v>
      </c>
    </row>
    <row r="55" spans="1:17" ht="15.75" thickBot="1" x14ac:dyDescent="0.3">
      <c r="A55" s="161" t="s">
        <v>3506</v>
      </c>
      <c r="B55" s="82" t="str">
        <f t="shared" si="0"/>
        <v>Barraqueiro Transportes, S.A.</v>
      </c>
      <c r="C55" s="82" t="str">
        <f t="shared" si="1"/>
        <v>Mafrense</v>
      </c>
      <c r="D55" s="162" t="s">
        <v>1662</v>
      </c>
      <c r="E55" s="162"/>
      <c r="F55" s="163"/>
      <c r="G55" s="161"/>
      <c r="H55" s="82" t="str">
        <f t="shared" si="2"/>
        <v/>
      </c>
      <c r="I55" s="362">
        <f>SUM(I56:I68)</f>
        <v>270082.64999999997</v>
      </c>
      <c r="J55" s="162"/>
      <c r="K55" s="162"/>
      <c r="L55" s="284">
        <v>2022</v>
      </c>
      <c r="M55" s="234" t="s">
        <v>1909</v>
      </c>
      <c r="N55" s="234" t="s">
        <v>1910</v>
      </c>
      <c r="O55" s="234" t="s">
        <v>1911</v>
      </c>
      <c r="P55" s="261" t="s">
        <v>3535</v>
      </c>
      <c r="Q55" s="261" t="s">
        <v>3539</v>
      </c>
    </row>
    <row r="56" spans="1:17" ht="15.75" thickBot="1" x14ac:dyDescent="0.3">
      <c r="A56" s="161" t="s">
        <v>3506</v>
      </c>
      <c r="B56" s="82" t="str">
        <f t="shared" si="0"/>
        <v>Barraqueiro Transportes, S.A.</v>
      </c>
      <c r="C56" s="82" t="str">
        <f t="shared" si="1"/>
        <v>Mafrense</v>
      </c>
      <c r="D56" s="162" t="s">
        <v>1681</v>
      </c>
      <c r="E56" s="162">
        <v>205</v>
      </c>
      <c r="F56" s="163" t="s">
        <v>586</v>
      </c>
      <c r="G56" s="161"/>
      <c r="H56" s="82" t="str">
        <f t="shared" si="2"/>
        <v/>
      </c>
      <c r="I56" s="362">
        <v>52161.14</v>
      </c>
      <c r="J56" s="162"/>
      <c r="K56" s="162" t="s">
        <v>1679</v>
      </c>
      <c r="L56" s="284">
        <v>2022</v>
      </c>
      <c r="M56" s="234" t="s">
        <v>1909</v>
      </c>
      <c r="N56" s="234" t="s">
        <v>1910</v>
      </c>
      <c r="O56" s="234" t="s">
        <v>1911</v>
      </c>
      <c r="P56" s="261" t="s">
        <v>3535</v>
      </c>
      <c r="Q56" s="261" t="s">
        <v>3539</v>
      </c>
    </row>
    <row r="57" spans="1:17" ht="15.75" thickBot="1" x14ac:dyDescent="0.3">
      <c r="A57" s="161" t="s">
        <v>3506</v>
      </c>
      <c r="B57" s="82" t="str">
        <f t="shared" si="0"/>
        <v>Barraqueiro Transportes, S.A.</v>
      </c>
      <c r="C57" s="82" t="str">
        <f t="shared" si="1"/>
        <v>Mafrense</v>
      </c>
      <c r="D57" s="162" t="s">
        <v>1680</v>
      </c>
      <c r="E57" s="162"/>
      <c r="F57" s="163"/>
      <c r="G57" s="161"/>
      <c r="H57" s="82" t="str">
        <f t="shared" si="2"/>
        <v/>
      </c>
      <c r="I57" s="362">
        <v>702.01</v>
      </c>
      <c r="J57" s="162"/>
      <c r="K57" s="162" t="s">
        <v>1682</v>
      </c>
      <c r="L57" s="284">
        <v>2022</v>
      </c>
      <c r="M57" s="234" t="s">
        <v>1909</v>
      </c>
      <c r="N57" s="234" t="s">
        <v>1910</v>
      </c>
      <c r="O57" s="234" t="s">
        <v>1911</v>
      </c>
      <c r="P57" s="261" t="s">
        <v>3535</v>
      </c>
      <c r="Q57" s="261" t="s">
        <v>3539</v>
      </c>
    </row>
    <row r="58" spans="1:17" ht="15.75" thickBot="1" x14ac:dyDescent="0.3">
      <c r="A58" s="161" t="s">
        <v>3506</v>
      </c>
      <c r="B58" s="82" t="str">
        <f t="shared" si="0"/>
        <v>Barraqueiro Transportes, S.A.</v>
      </c>
      <c r="C58" s="82" t="str">
        <f t="shared" si="1"/>
        <v>Mafrense</v>
      </c>
      <c r="D58" s="162" t="s">
        <v>1661</v>
      </c>
      <c r="E58" s="162"/>
      <c r="F58" s="163"/>
      <c r="G58" s="161"/>
      <c r="H58" s="82" t="str">
        <f t="shared" si="2"/>
        <v/>
      </c>
      <c r="I58" s="362">
        <v>10255.56</v>
      </c>
      <c r="J58" s="162"/>
      <c r="K58" s="162" t="s">
        <v>1726</v>
      </c>
      <c r="L58" s="284">
        <v>2022</v>
      </c>
      <c r="M58" s="234" t="s">
        <v>1909</v>
      </c>
      <c r="N58" s="234" t="s">
        <v>1910</v>
      </c>
      <c r="O58" s="234" t="s">
        <v>1911</v>
      </c>
      <c r="P58" s="261" t="s">
        <v>3535</v>
      </c>
      <c r="Q58" s="261" t="s">
        <v>3539</v>
      </c>
    </row>
    <row r="59" spans="1:17" ht="15.75" thickBot="1" x14ac:dyDescent="0.3">
      <c r="A59" s="161" t="s">
        <v>3506</v>
      </c>
      <c r="B59" s="82" t="str">
        <f t="shared" si="0"/>
        <v>Barraqueiro Transportes, S.A.</v>
      </c>
      <c r="C59" s="82" t="str">
        <f t="shared" si="1"/>
        <v>Mafrense</v>
      </c>
      <c r="D59" s="162" t="s">
        <v>1653</v>
      </c>
      <c r="E59" s="162">
        <v>18</v>
      </c>
      <c r="F59" s="163" t="s">
        <v>586</v>
      </c>
      <c r="G59" s="161"/>
      <c r="H59" s="82" t="str">
        <f t="shared" si="2"/>
        <v/>
      </c>
      <c r="I59" s="362">
        <v>2792</v>
      </c>
      <c r="J59" s="162"/>
      <c r="K59" s="162" t="s">
        <v>1690</v>
      </c>
      <c r="L59" s="284">
        <v>2022</v>
      </c>
      <c r="M59" s="234" t="s">
        <v>1909</v>
      </c>
      <c r="N59" s="234" t="s">
        <v>1910</v>
      </c>
      <c r="O59" s="234" t="s">
        <v>1911</v>
      </c>
      <c r="P59" s="261" t="s">
        <v>3535</v>
      </c>
      <c r="Q59" s="261" t="s">
        <v>3539</v>
      </c>
    </row>
    <row r="60" spans="1:17" ht="15.75" thickBot="1" x14ac:dyDescent="0.3">
      <c r="A60" s="161" t="s">
        <v>3506</v>
      </c>
      <c r="B60" s="82" t="str">
        <f t="shared" si="0"/>
        <v>Barraqueiro Transportes, S.A.</v>
      </c>
      <c r="C60" s="82" t="str">
        <f t="shared" si="1"/>
        <v>Mafrense</v>
      </c>
      <c r="D60" s="162" t="s">
        <v>1654</v>
      </c>
      <c r="E60" s="162"/>
      <c r="F60" s="163"/>
      <c r="G60" s="161"/>
      <c r="H60" s="82" t="str">
        <f t="shared" si="2"/>
        <v/>
      </c>
      <c r="I60" s="362">
        <v>80.510000000000005</v>
      </c>
      <c r="J60" s="162"/>
      <c r="K60" s="162" t="s">
        <v>1701</v>
      </c>
      <c r="L60" s="284">
        <v>2022</v>
      </c>
      <c r="M60" s="234" t="s">
        <v>1909</v>
      </c>
      <c r="N60" s="234" t="s">
        <v>1910</v>
      </c>
      <c r="O60" s="234" t="s">
        <v>1911</v>
      </c>
      <c r="P60" s="261" t="s">
        <v>3535</v>
      </c>
      <c r="Q60" s="261" t="s">
        <v>3539</v>
      </c>
    </row>
    <row r="61" spans="1:17" ht="15.75" thickBot="1" x14ac:dyDescent="0.3">
      <c r="A61" s="161" t="s">
        <v>3506</v>
      </c>
      <c r="B61" s="82" t="str">
        <f t="shared" si="0"/>
        <v>Barraqueiro Transportes, S.A.</v>
      </c>
      <c r="C61" s="82" t="str">
        <f t="shared" si="1"/>
        <v>Mafrense</v>
      </c>
      <c r="D61" s="162" t="s">
        <v>1655</v>
      </c>
      <c r="E61" s="162"/>
      <c r="F61" s="163"/>
      <c r="G61" s="161"/>
      <c r="H61" s="82" t="str">
        <f t="shared" si="2"/>
        <v/>
      </c>
      <c r="I61" s="362">
        <v>2371.6999999999998</v>
      </c>
      <c r="J61" s="162"/>
      <c r="K61" s="162" t="s">
        <v>1698</v>
      </c>
      <c r="L61" s="284">
        <v>2022</v>
      </c>
      <c r="M61" s="234" t="s">
        <v>1909</v>
      </c>
      <c r="N61" s="234" t="s">
        <v>1910</v>
      </c>
      <c r="O61" s="234" t="s">
        <v>1911</v>
      </c>
      <c r="P61" s="261" t="s">
        <v>3535</v>
      </c>
      <c r="Q61" s="261" t="s">
        <v>3539</v>
      </c>
    </row>
    <row r="62" spans="1:17" ht="15.75" thickBot="1" x14ac:dyDescent="0.3">
      <c r="A62" s="161" t="s">
        <v>3506</v>
      </c>
      <c r="B62" s="82" t="str">
        <f t="shared" si="0"/>
        <v>Barraqueiro Transportes, S.A.</v>
      </c>
      <c r="C62" s="82" t="str">
        <f t="shared" si="1"/>
        <v>Mafrense</v>
      </c>
      <c r="D62" s="162" t="s">
        <v>1656</v>
      </c>
      <c r="E62" s="162"/>
      <c r="F62" s="163"/>
      <c r="G62" s="161"/>
      <c r="H62" s="82" t="str">
        <f t="shared" si="2"/>
        <v/>
      </c>
      <c r="I62" s="362">
        <v>557.09</v>
      </c>
      <c r="J62" s="162"/>
      <c r="K62" s="162" t="s">
        <v>1694</v>
      </c>
      <c r="L62" s="284">
        <v>2022</v>
      </c>
      <c r="M62" s="234" t="s">
        <v>1909</v>
      </c>
      <c r="N62" s="234" t="s">
        <v>1910</v>
      </c>
      <c r="O62" s="234" t="s">
        <v>1911</v>
      </c>
      <c r="P62" s="261" t="s">
        <v>3535</v>
      </c>
      <c r="Q62" s="261" t="s">
        <v>3539</v>
      </c>
    </row>
    <row r="63" spans="1:17" ht="15.75" thickBot="1" x14ac:dyDescent="0.3">
      <c r="A63" s="161" t="s">
        <v>3506</v>
      </c>
      <c r="B63" s="82" t="str">
        <f t="shared" si="0"/>
        <v>Barraqueiro Transportes, S.A.</v>
      </c>
      <c r="C63" s="82" t="str">
        <f t="shared" si="1"/>
        <v>Mafrense</v>
      </c>
      <c r="D63" s="162" t="s">
        <v>1657</v>
      </c>
      <c r="E63" s="162"/>
      <c r="F63" s="163"/>
      <c r="G63" s="161"/>
      <c r="H63" s="82" t="str">
        <f t="shared" si="2"/>
        <v/>
      </c>
      <c r="I63" s="362">
        <v>28791.22</v>
      </c>
      <c r="J63" s="162"/>
      <c r="K63" s="162" t="s">
        <v>1706</v>
      </c>
      <c r="L63" s="284">
        <v>2022</v>
      </c>
      <c r="M63" s="234" t="s">
        <v>1909</v>
      </c>
      <c r="N63" s="234" t="s">
        <v>1910</v>
      </c>
      <c r="O63" s="234" t="s">
        <v>1911</v>
      </c>
      <c r="P63" s="261" t="s">
        <v>3535</v>
      </c>
      <c r="Q63" s="261" t="s">
        <v>3539</v>
      </c>
    </row>
    <row r="64" spans="1:17" ht="15.75" thickBot="1" x14ac:dyDescent="0.3">
      <c r="A64" s="161" t="s">
        <v>3506</v>
      </c>
      <c r="B64" s="82" t="str">
        <f t="shared" si="0"/>
        <v>Barraqueiro Transportes, S.A.</v>
      </c>
      <c r="C64" s="82" t="str">
        <f t="shared" si="1"/>
        <v>Mafrense</v>
      </c>
      <c r="D64" s="162" t="s">
        <v>1670</v>
      </c>
      <c r="E64" s="162"/>
      <c r="F64" s="163"/>
      <c r="G64" s="161"/>
      <c r="H64" s="82" t="str">
        <f t="shared" si="2"/>
        <v/>
      </c>
      <c r="I64" s="362">
        <v>28.96</v>
      </c>
      <c r="J64" s="162"/>
      <c r="K64" s="162" t="s">
        <v>1667</v>
      </c>
      <c r="L64" s="284">
        <v>2022</v>
      </c>
      <c r="M64" s="234" t="s">
        <v>1909</v>
      </c>
      <c r="N64" s="234" t="s">
        <v>1910</v>
      </c>
      <c r="O64" s="234" t="s">
        <v>1911</v>
      </c>
      <c r="P64" s="261" t="s">
        <v>3535</v>
      </c>
      <c r="Q64" s="261" t="s">
        <v>3539</v>
      </c>
    </row>
    <row r="65" spans="1:17" ht="15.75" thickBot="1" x14ac:dyDescent="0.3">
      <c r="A65" s="161" t="s">
        <v>3506</v>
      </c>
      <c r="B65" s="82" t="str">
        <f t="shared" si="0"/>
        <v>Barraqueiro Transportes, S.A.</v>
      </c>
      <c r="C65" s="82" t="str">
        <f t="shared" si="1"/>
        <v>Mafrense</v>
      </c>
      <c r="D65" s="83" t="s">
        <v>3003</v>
      </c>
      <c r="E65" s="162"/>
      <c r="F65" s="163"/>
      <c r="G65" s="161"/>
      <c r="H65" s="82" t="str">
        <f t="shared" si="2"/>
        <v/>
      </c>
      <c r="I65" s="362">
        <v>42379.47</v>
      </c>
      <c r="J65" s="162"/>
      <c r="K65" s="162" t="s">
        <v>1720</v>
      </c>
      <c r="L65" s="284">
        <v>2022</v>
      </c>
      <c r="M65" s="234" t="s">
        <v>1909</v>
      </c>
      <c r="N65" s="234" t="s">
        <v>1910</v>
      </c>
      <c r="O65" s="234" t="s">
        <v>1911</v>
      </c>
      <c r="P65" s="261" t="s">
        <v>3535</v>
      </c>
      <c r="Q65" s="261" t="s">
        <v>3539</v>
      </c>
    </row>
    <row r="66" spans="1:17" ht="15.75" thickBot="1" x14ac:dyDescent="0.3">
      <c r="A66" s="161" t="s">
        <v>3506</v>
      </c>
      <c r="B66" s="82" t="str">
        <f t="shared" si="0"/>
        <v>Barraqueiro Transportes, S.A.</v>
      </c>
      <c r="C66" s="82" t="str">
        <f t="shared" si="1"/>
        <v>Mafrense</v>
      </c>
      <c r="D66" s="162" t="s">
        <v>1658</v>
      </c>
      <c r="E66" s="162"/>
      <c r="F66" s="163"/>
      <c r="G66" s="161"/>
      <c r="H66" s="82" t="str">
        <f t="shared" si="2"/>
        <v/>
      </c>
      <c r="I66" s="362">
        <v>1049.1500000000001</v>
      </c>
      <c r="J66" s="162"/>
      <c r="K66" s="162" t="s">
        <v>1715</v>
      </c>
      <c r="L66" s="284">
        <v>2022</v>
      </c>
      <c r="M66" s="234" t="s">
        <v>1909</v>
      </c>
      <c r="N66" s="234" t="s">
        <v>1910</v>
      </c>
      <c r="O66" s="234" t="s">
        <v>1911</v>
      </c>
      <c r="P66" s="261" t="s">
        <v>3535</v>
      </c>
      <c r="Q66" s="261" t="s">
        <v>3539</v>
      </c>
    </row>
    <row r="67" spans="1:17" ht="15.75" thickBot="1" x14ac:dyDescent="0.3">
      <c r="A67" s="161" t="s">
        <v>3506</v>
      </c>
      <c r="B67" s="82" t="str">
        <f t="shared" si="0"/>
        <v>Barraqueiro Transportes, S.A.</v>
      </c>
      <c r="C67" s="82" t="str">
        <f t="shared" si="1"/>
        <v>Mafrense</v>
      </c>
      <c r="D67" s="162" t="s">
        <v>1675</v>
      </c>
      <c r="E67" s="162"/>
      <c r="F67" s="163"/>
      <c r="G67" s="161"/>
      <c r="H67" s="82" t="str">
        <f t="shared" si="2"/>
        <v/>
      </c>
      <c r="I67" s="362">
        <v>7817.49</v>
      </c>
      <c r="J67" s="162"/>
      <c r="K67" s="162" t="s">
        <v>1734</v>
      </c>
      <c r="L67" s="284">
        <v>2022</v>
      </c>
      <c r="M67" s="234" t="s">
        <v>1909</v>
      </c>
      <c r="N67" s="234" t="s">
        <v>1910</v>
      </c>
      <c r="O67" s="234" t="s">
        <v>1911</v>
      </c>
      <c r="P67" s="261" t="s">
        <v>3535</v>
      </c>
      <c r="Q67" s="261" t="s">
        <v>3539</v>
      </c>
    </row>
    <row r="68" spans="1:17" ht="15.75" thickBot="1" x14ac:dyDescent="0.3">
      <c r="A68" s="161" t="s">
        <v>3506</v>
      </c>
      <c r="B68" s="82" t="str">
        <f t="shared" ref="B68:B94" si="3">LEFT(A68,IFERROR(FIND(" - ",A68)-1,LEN(A68)))</f>
        <v>Barraqueiro Transportes, S.A.</v>
      </c>
      <c r="C68" s="82" t="str">
        <f t="shared" ref="C68:C131" si="4">IF(A68=B68,"X",RIGHT(A68,LEN(A68)-LEN(B68)-3))</f>
        <v>Mafrense</v>
      </c>
      <c r="D68" s="162" t="s">
        <v>1659</v>
      </c>
      <c r="E68" s="162"/>
      <c r="F68" s="163"/>
      <c r="G68" s="161"/>
      <c r="H68" s="82" t="str">
        <f t="shared" ref="H68:H131" si="5">IFERROR(LEFT(F68,FIND(" ",F68)-1),"")</f>
        <v/>
      </c>
      <c r="I68" s="362">
        <v>121096.35</v>
      </c>
      <c r="J68" s="162"/>
      <c r="K68" s="162">
        <v>1051</v>
      </c>
      <c r="L68" s="284">
        <v>2022</v>
      </c>
      <c r="M68" s="234" t="s">
        <v>1909</v>
      </c>
      <c r="N68" s="234" t="s">
        <v>1910</v>
      </c>
      <c r="O68" s="234" t="s">
        <v>1911</v>
      </c>
      <c r="P68" s="261" t="s">
        <v>3535</v>
      </c>
      <c r="Q68" s="261" t="s">
        <v>3539</v>
      </c>
    </row>
    <row r="69" spans="1:17" ht="15.75" thickBot="1" x14ac:dyDescent="0.3">
      <c r="A69" s="161" t="s">
        <v>3314</v>
      </c>
      <c r="B69" s="82" t="str">
        <f t="shared" si="3"/>
        <v>Barraqueiro Transportes, S.A.</v>
      </c>
      <c r="C69" s="82" t="str">
        <f t="shared" si="4"/>
        <v>Barraqueiro Alugueres</v>
      </c>
      <c r="D69" s="162" t="s">
        <v>1662</v>
      </c>
      <c r="E69" s="162"/>
      <c r="F69" s="163"/>
      <c r="G69" s="161"/>
      <c r="H69" s="82" t="str">
        <f t="shared" si="5"/>
        <v/>
      </c>
      <c r="I69" s="362">
        <f>SUM(I70:I81)</f>
        <v>118064.24</v>
      </c>
      <c r="J69" s="162"/>
      <c r="K69" s="162"/>
      <c r="L69" s="284">
        <v>2022</v>
      </c>
      <c r="M69" s="234" t="s">
        <v>1909</v>
      </c>
      <c r="N69" s="234" t="s">
        <v>1910</v>
      </c>
      <c r="O69" s="234" t="s">
        <v>1911</v>
      </c>
      <c r="P69" s="261" t="s">
        <v>3535</v>
      </c>
      <c r="Q69" s="261" t="s">
        <v>3539</v>
      </c>
    </row>
    <row r="70" spans="1:17" ht="15.75" thickBot="1" x14ac:dyDescent="0.3">
      <c r="A70" s="161" t="s">
        <v>3314</v>
      </c>
      <c r="B70" s="82" t="str">
        <f t="shared" si="3"/>
        <v>Barraqueiro Transportes, S.A.</v>
      </c>
      <c r="C70" s="82" t="str">
        <f t="shared" si="4"/>
        <v>Barraqueiro Alugueres</v>
      </c>
      <c r="D70" s="162" t="s">
        <v>1680</v>
      </c>
      <c r="E70" s="162"/>
      <c r="F70" s="163"/>
      <c r="G70" s="161"/>
      <c r="H70" s="82" t="str">
        <f t="shared" si="5"/>
        <v/>
      </c>
      <c r="I70" s="362">
        <v>88524.24</v>
      </c>
      <c r="J70" s="162"/>
      <c r="K70" s="162" t="s">
        <v>1684</v>
      </c>
      <c r="L70" s="284">
        <v>2022</v>
      </c>
      <c r="M70" s="234" t="s">
        <v>1909</v>
      </c>
      <c r="N70" s="234" t="s">
        <v>1910</v>
      </c>
      <c r="O70" s="234" t="s">
        <v>1911</v>
      </c>
      <c r="P70" s="261" t="s">
        <v>3535</v>
      </c>
      <c r="Q70" s="261" t="s">
        <v>3539</v>
      </c>
    </row>
    <row r="71" spans="1:17" ht="15.75" thickBot="1" x14ac:dyDescent="0.3">
      <c r="A71" s="161" t="s">
        <v>3314</v>
      </c>
      <c r="B71" s="82" t="str">
        <f t="shared" si="3"/>
        <v>Barraqueiro Transportes, S.A.</v>
      </c>
      <c r="C71" s="82" t="str">
        <f t="shared" si="4"/>
        <v>Barraqueiro Alugueres</v>
      </c>
      <c r="D71" s="162" t="s">
        <v>1661</v>
      </c>
      <c r="E71" s="162"/>
      <c r="F71" s="163"/>
      <c r="G71" s="161"/>
      <c r="H71" s="82" t="str">
        <f t="shared" si="5"/>
        <v/>
      </c>
      <c r="I71" s="362">
        <v>8316.84</v>
      </c>
      <c r="J71" s="162"/>
      <c r="K71" s="162" t="s">
        <v>1691</v>
      </c>
      <c r="L71" s="284">
        <v>2022</v>
      </c>
      <c r="M71" s="234" t="s">
        <v>1909</v>
      </c>
      <c r="N71" s="234" t="s">
        <v>1910</v>
      </c>
      <c r="O71" s="234" t="s">
        <v>1911</v>
      </c>
      <c r="P71" s="261" t="s">
        <v>3535</v>
      </c>
      <c r="Q71" s="261" t="s">
        <v>3539</v>
      </c>
    </row>
    <row r="72" spans="1:17" ht="15.75" thickBot="1" x14ac:dyDescent="0.3">
      <c r="A72" s="161" t="s">
        <v>3314</v>
      </c>
      <c r="B72" s="82" t="str">
        <f t="shared" si="3"/>
        <v>Barraqueiro Transportes, S.A.</v>
      </c>
      <c r="C72" s="82" t="str">
        <f t="shared" si="4"/>
        <v>Barraqueiro Alugueres</v>
      </c>
      <c r="D72" s="162" t="s">
        <v>1653</v>
      </c>
      <c r="E72" s="162"/>
      <c r="F72" s="163"/>
      <c r="G72" s="161"/>
      <c r="H72" s="82" t="str">
        <f t="shared" si="5"/>
        <v/>
      </c>
      <c r="I72" s="362"/>
      <c r="J72" s="162"/>
      <c r="K72" s="162" t="s">
        <v>1693</v>
      </c>
      <c r="L72" s="284">
        <v>2022</v>
      </c>
      <c r="M72" s="234" t="s">
        <v>1909</v>
      </c>
      <c r="N72" s="234" t="s">
        <v>1910</v>
      </c>
      <c r="O72" s="234" t="s">
        <v>1911</v>
      </c>
      <c r="P72" s="261" t="s">
        <v>3535</v>
      </c>
      <c r="Q72" s="261" t="s">
        <v>3539</v>
      </c>
    </row>
    <row r="73" spans="1:17" ht="15.75" thickBot="1" x14ac:dyDescent="0.3">
      <c r="A73" s="161" t="s">
        <v>3314</v>
      </c>
      <c r="B73" s="82" t="str">
        <f t="shared" si="3"/>
        <v>Barraqueiro Transportes, S.A.</v>
      </c>
      <c r="C73" s="82" t="str">
        <f t="shared" si="4"/>
        <v>Barraqueiro Alugueres</v>
      </c>
      <c r="D73" s="162" t="s">
        <v>1654</v>
      </c>
      <c r="E73" s="162"/>
      <c r="F73" s="163"/>
      <c r="G73" s="161"/>
      <c r="H73" s="82" t="str">
        <f t="shared" si="5"/>
        <v/>
      </c>
      <c r="I73" s="362"/>
      <c r="J73" s="162"/>
      <c r="K73" s="162" t="s">
        <v>1693</v>
      </c>
      <c r="L73" s="284">
        <v>2022</v>
      </c>
      <c r="M73" s="234" t="s">
        <v>1909</v>
      </c>
      <c r="N73" s="234" t="s">
        <v>1910</v>
      </c>
      <c r="O73" s="234" t="s">
        <v>1911</v>
      </c>
      <c r="P73" s="261" t="s">
        <v>3535</v>
      </c>
      <c r="Q73" s="261" t="s">
        <v>3539</v>
      </c>
    </row>
    <row r="74" spans="1:17" ht="15.75" thickBot="1" x14ac:dyDescent="0.3">
      <c r="A74" s="161" t="s">
        <v>3314</v>
      </c>
      <c r="B74" s="82" t="str">
        <f t="shared" si="3"/>
        <v>Barraqueiro Transportes, S.A.</v>
      </c>
      <c r="C74" s="82" t="str">
        <f t="shared" si="4"/>
        <v>Barraqueiro Alugueres</v>
      </c>
      <c r="D74" s="162" t="s">
        <v>1655</v>
      </c>
      <c r="E74" s="162"/>
      <c r="F74" s="163"/>
      <c r="G74" s="161"/>
      <c r="H74" s="82" t="str">
        <f t="shared" si="5"/>
        <v/>
      </c>
      <c r="I74" s="362"/>
      <c r="J74" s="162"/>
      <c r="K74" s="162" t="s">
        <v>1693</v>
      </c>
      <c r="L74" s="284">
        <v>2022</v>
      </c>
      <c r="M74" s="234" t="s">
        <v>1909</v>
      </c>
      <c r="N74" s="234" t="s">
        <v>1910</v>
      </c>
      <c r="O74" s="234" t="s">
        <v>1911</v>
      </c>
      <c r="P74" s="261" t="s">
        <v>3535</v>
      </c>
      <c r="Q74" s="261" t="s">
        <v>3539</v>
      </c>
    </row>
    <row r="75" spans="1:17" ht="15.75" thickBot="1" x14ac:dyDescent="0.3">
      <c r="A75" s="161" t="s">
        <v>3314</v>
      </c>
      <c r="B75" s="82" t="str">
        <f t="shared" si="3"/>
        <v>Barraqueiro Transportes, S.A.</v>
      </c>
      <c r="C75" s="82" t="str">
        <f t="shared" si="4"/>
        <v>Barraqueiro Alugueres</v>
      </c>
      <c r="D75" s="162" t="s">
        <v>1656</v>
      </c>
      <c r="E75" s="162"/>
      <c r="F75" s="163"/>
      <c r="G75" s="161"/>
      <c r="H75" s="82" t="str">
        <f t="shared" si="5"/>
        <v/>
      </c>
      <c r="I75" s="362"/>
      <c r="J75" s="162"/>
      <c r="K75" s="162" t="s">
        <v>1693</v>
      </c>
      <c r="L75" s="284">
        <v>2022</v>
      </c>
      <c r="M75" s="234" t="s">
        <v>1909</v>
      </c>
      <c r="N75" s="234" t="s">
        <v>1910</v>
      </c>
      <c r="O75" s="234" t="s">
        <v>1911</v>
      </c>
      <c r="P75" s="261" t="s">
        <v>3535</v>
      </c>
      <c r="Q75" s="261" t="s">
        <v>3539</v>
      </c>
    </row>
    <row r="76" spans="1:17" ht="15.75" thickBot="1" x14ac:dyDescent="0.3">
      <c r="A76" s="161" t="s">
        <v>3314</v>
      </c>
      <c r="B76" s="82" t="str">
        <f t="shared" si="3"/>
        <v>Barraqueiro Transportes, S.A.</v>
      </c>
      <c r="C76" s="82" t="str">
        <f t="shared" si="4"/>
        <v>Barraqueiro Alugueres</v>
      </c>
      <c r="D76" s="162" t="s">
        <v>1657</v>
      </c>
      <c r="E76" s="162"/>
      <c r="F76" s="163"/>
      <c r="G76" s="161"/>
      <c r="H76" s="82" t="str">
        <f t="shared" si="5"/>
        <v/>
      </c>
      <c r="I76" s="362"/>
      <c r="J76" s="162"/>
      <c r="K76" s="162" t="s">
        <v>1693</v>
      </c>
      <c r="L76" s="284">
        <v>2022</v>
      </c>
      <c r="M76" s="234" t="s">
        <v>1909</v>
      </c>
      <c r="N76" s="234" t="s">
        <v>1910</v>
      </c>
      <c r="O76" s="234" t="s">
        <v>1911</v>
      </c>
      <c r="P76" s="261" t="s">
        <v>3535</v>
      </c>
      <c r="Q76" s="261" t="s">
        <v>3539</v>
      </c>
    </row>
    <row r="77" spans="1:17" ht="15.75" thickBot="1" x14ac:dyDescent="0.3">
      <c r="A77" s="161" t="s">
        <v>3314</v>
      </c>
      <c r="B77" s="82" t="str">
        <f t="shared" si="3"/>
        <v>Barraqueiro Transportes, S.A.</v>
      </c>
      <c r="C77" s="82" t="str">
        <f t="shared" si="4"/>
        <v>Barraqueiro Alugueres</v>
      </c>
      <c r="D77" s="162" t="s">
        <v>1670</v>
      </c>
      <c r="E77" s="162"/>
      <c r="F77" s="163"/>
      <c r="G77" s="161"/>
      <c r="H77" s="82" t="str">
        <f t="shared" si="5"/>
        <v/>
      </c>
      <c r="I77" s="362"/>
      <c r="J77" s="162"/>
      <c r="K77" s="162" t="s">
        <v>1693</v>
      </c>
      <c r="L77" s="284">
        <v>2022</v>
      </c>
      <c r="M77" s="234" t="s">
        <v>1909</v>
      </c>
      <c r="N77" s="234" t="s">
        <v>1910</v>
      </c>
      <c r="O77" s="234" t="s">
        <v>1911</v>
      </c>
      <c r="P77" s="261" t="s">
        <v>3535</v>
      </c>
      <c r="Q77" s="261" t="s">
        <v>3539</v>
      </c>
    </row>
    <row r="78" spans="1:17" ht="15.75" thickBot="1" x14ac:dyDescent="0.3">
      <c r="A78" s="161" t="s">
        <v>3314</v>
      </c>
      <c r="B78" s="82" t="str">
        <f t="shared" si="3"/>
        <v>Barraqueiro Transportes, S.A.</v>
      </c>
      <c r="C78" s="82" t="str">
        <f t="shared" si="4"/>
        <v>Barraqueiro Alugueres</v>
      </c>
      <c r="D78" s="83" t="s">
        <v>3003</v>
      </c>
      <c r="E78" s="162"/>
      <c r="F78" s="163"/>
      <c r="G78" s="161"/>
      <c r="H78" s="82" t="str">
        <f t="shared" si="5"/>
        <v/>
      </c>
      <c r="I78" s="362">
        <v>1549.05</v>
      </c>
      <c r="J78" s="162"/>
      <c r="K78" s="162" t="s">
        <v>1712</v>
      </c>
      <c r="L78" s="284">
        <v>2022</v>
      </c>
      <c r="M78" s="234" t="s">
        <v>1909</v>
      </c>
      <c r="N78" s="234" t="s">
        <v>1910</v>
      </c>
      <c r="O78" s="234" t="s">
        <v>1911</v>
      </c>
      <c r="P78" s="261" t="s">
        <v>3535</v>
      </c>
      <c r="Q78" s="261" t="s">
        <v>3539</v>
      </c>
    </row>
    <row r="79" spans="1:17" ht="15.75" thickBot="1" x14ac:dyDescent="0.3">
      <c r="A79" s="161" t="s">
        <v>3314</v>
      </c>
      <c r="B79" s="82" t="str">
        <f t="shared" si="3"/>
        <v>Barraqueiro Transportes, S.A.</v>
      </c>
      <c r="C79" s="82" t="str">
        <f t="shared" si="4"/>
        <v>Barraqueiro Alugueres</v>
      </c>
      <c r="D79" s="162" t="s">
        <v>1658</v>
      </c>
      <c r="E79" s="162"/>
      <c r="F79" s="163"/>
      <c r="G79" s="161"/>
      <c r="H79" s="82" t="str">
        <f t="shared" si="5"/>
        <v/>
      </c>
      <c r="I79" s="362"/>
      <c r="J79" s="162"/>
      <c r="K79" s="162" t="s">
        <v>1693</v>
      </c>
      <c r="L79" s="284">
        <v>2022</v>
      </c>
      <c r="M79" s="234" t="s">
        <v>1909</v>
      </c>
      <c r="N79" s="234" t="s">
        <v>1910</v>
      </c>
      <c r="O79" s="234" t="s">
        <v>1911</v>
      </c>
      <c r="P79" s="261" t="s">
        <v>3535</v>
      </c>
      <c r="Q79" s="261" t="s">
        <v>3539</v>
      </c>
    </row>
    <row r="80" spans="1:17" ht="15.75" thickBot="1" x14ac:dyDescent="0.3">
      <c r="A80" s="161" t="s">
        <v>3314</v>
      </c>
      <c r="B80" s="82" t="str">
        <f t="shared" si="3"/>
        <v>Barraqueiro Transportes, S.A.</v>
      </c>
      <c r="C80" s="82" t="str">
        <f t="shared" si="4"/>
        <v>Barraqueiro Alugueres</v>
      </c>
      <c r="D80" s="162" t="s">
        <v>1675</v>
      </c>
      <c r="E80" s="162"/>
      <c r="F80" s="163"/>
      <c r="G80" s="161"/>
      <c r="H80" s="82" t="str">
        <f t="shared" si="5"/>
        <v/>
      </c>
      <c r="I80" s="362"/>
      <c r="J80" s="162"/>
      <c r="K80" s="162" t="s">
        <v>1693</v>
      </c>
      <c r="L80" s="284">
        <v>2022</v>
      </c>
      <c r="M80" s="234" t="s">
        <v>1909</v>
      </c>
      <c r="N80" s="234" t="s">
        <v>1910</v>
      </c>
      <c r="O80" s="234" t="s">
        <v>1911</v>
      </c>
      <c r="P80" s="261" t="s">
        <v>3535</v>
      </c>
      <c r="Q80" s="261" t="s">
        <v>3539</v>
      </c>
    </row>
    <row r="81" spans="1:17" ht="15.75" thickBot="1" x14ac:dyDescent="0.3">
      <c r="A81" s="161" t="s">
        <v>3314</v>
      </c>
      <c r="B81" s="82" t="str">
        <f t="shared" si="3"/>
        <v>Barraqueiro Transportes, S.A.</v>
      </c>
      <c r="C81" s="82" t="str">
        <f t="shared" si="4"/>
        <v>Barraqueiro Alugueres</v>
      </c>
      <c r="D81" s="162" t="s">
        <v>1659</v>
      </c>
      <c r="E81" s="162"/>
      <c r="F81" s="163"/>
      <c r="G81" s="161"/>
      <c r="H81" s="82" t="str">
        <f t="shared" si="5"/>
        <v/>
      </c>
      <c r="I81" s="362">
        <v>19674.11</v>
      </c>
      <c r="J81" s="162"/>
      <c r="K81" s="162" t="s">
        <v>1702</v>
      </c>
      <c r="L81" s="284">
        <v>2022</v>
      </c>
      <c r="M81" s="234" t="s">
        <v>1909</v>
      </c>
      <c r="N81" s="234" t="s">
        <v>1910</v>
      </c>
      <c r="O81" s="234" t="s">
        <v>1911</v>
      </c>
      <c r="P81" s="261" t="s">
        <v>3535</v>
      </c>
      <c r="Q81" s="261" t="s">
        <v>3539</v>
      </c>
    </row>
    <row r="82" spans="1:17" ht="15.75" thickBot="1" x14ac:dyDescent="0.3">
      <c r="A82" s="161" t="s">
        <v>3508</v>
      </c>
      <c r="B82" s="82" t="str">
        <f t="shared" si="3"/>
        <v>Barraqueiro Transportes, S.A.</v>
      </c>
      <c r="C82" s="82" t="str">
        <f t="shared" si="4"/>
        <v>Frota Azul</v>
      </c>
      <c r="D82" s="162" t="s">
        <v>1662</v>
      </c>
      <c r="E82" s="162"/>
      <c r="F82" s="163"/>
      <c r="G82" s="161"/>
      <c r="H82" s="82" t="str">
        <f t="shared" si="5"/>
        <v/>
      </c>
      <c r="I82" s="362">
        <f>SUM(I83:I94)</f>
        <v>83378.689999999988</v>
      </c>
      <c r="J82" s="162"/>
      <c r="K82" s="162"/>
      <c r="L82" s="284">
        <v>2022</v>
      </c>
      <c r="M82" s="234" t="s">
        <v>1909</v>
      </c>
      <c r="N82" s="234" t="s">
        <v>1910</v>
      </c>
      <c r="O82" s="234" t="s">
        <v>1911</v>
      </c>
      <c r="P82" s="261" t="s">
        <v>3535</v>
      </c>
      <c r="Q82" s="261" t="s">
        <v>3539</v>
      </c>
    </row>
    <row r="83" spans="1:17" ht="15.75" thickBot="1" x14ac:dyDescent="0.3">
      <c r="A83" s="161" t="s">
        <v>3508</v>
      </c>
      <c r="B83" s="82" t="str">
        <f t="shared" si="3"/>
        <v>Barraqueiro Transportes, S.A.</v>
      </c>
      <c r="C83" s="82" t="str">
        <f t="shared" si="4"/>
        <v>Frota Azul</v>
      </c>
      <c r="D83" s="162" t="s">
        <v>1680</v>
      </c>
      <c r="E83" s="162"/>
      <c r="F83" s="163"/>
      <c r="G83" s="161"/>
      <c r="H83" s="82" t="str">
        <f t="shared" si="5"/>
        <v/>
      </c>
      <c r="I83" s="362">
        <v>65539.34</v>
      </c>
      <c r="J83" s="162"/>
      <c r="K83" s="162" t="s">
        <v>1685</v>
      </c>
      <c r="L83" s="284">
        <v>2022</v>
      </c>
      <c r="M83" s="234" t="s">
        <v>1909</v>
      </c>
      <c r="N83" s="234" t="s">
        <v>1910</v>
      </c>
      <c r="O83" s="234" t="s">
        <v>1911</v>
      </c>
      <c r="P83" s="261" t="s">
        <v>3535</v>
      </c>
      <c r="Q83" s="261" t="s">
        <v>3539</v>
      </c>
    </row>
    <row r="84" spans="1:17" ht="15.75" thickBot="1" x14ac:dyDescent="0.3">
      <c r="A84" s="161" t="s">
        <v>3508</v>
      </c>
      <c r="B84" s="82" t="str">
        <f t="shared" si="3"/>
        <v>Barraqueiro Transportes, S.A.</v>
      </c>
      <c r="C84" s="82" t="str">
        <f t="shared" si="4"/>
        <v>Frota Azul</v>
      </c>
      <c r="D84" s="162" t="s">
        <v>1661</v>
      </c>
      <c r="E84" s="162"/>
      <c r="F84" s="163"/>
      <c r="G84" s="161"/>
      <c r="H84" s="82" t="str">
        <f t="shared" si="5"/>
        <v/>
      </c>
      <c r="I84" s="362">
        <v>8836.8700000000008</v>
      </c>
      <c r="J84" s="162"/>
      <c r="K84" s="162" t="s">
        <v>1727</v>
      </c>
      <c r="L84" s="284">
        <v>2022</v>
      </c>
      <c r="M84" s="234" t="s">
        <v>1909</v>
      </c>
      <c r="N84" s="234" t="s">
        <v>1910</v>
      </c>
      <c r="O84" s="234" t="s">
        <v>1911</v>
      </c>
      <c r="P84" s="261" t="s">
        <v>3535</v>
      </c>
      <c r="Q84" s="261" t="s">
        <v>3539</v>
      </c>
    </row>
    <row r="85" spans="1:17" ht="15.75" thickBot="1" x14ac:dyDescent="0.3">
      <c r="A85" s="161" t="s">
        <v>3508</v>
      </c>
      <c r="B85" s="82" t="str">
        <f t="shared" si="3"/>
        <v>Barraqueiro Transportes, S.A.</v>
      </c>
      <c r="C85" s="82" t="str">
        <f t="shared" si="4"/>
        <v>Frota Azul</v>
      </c>
      <c r="D85" s="162" t="s">
        <v>1653</v>
      </c>
      <c r="E85" s="162"/>
      <c r="F85" s="163"/>
      <c r="G85" s="161"/>
      <c r="H85" s="82" t="str">
        <f t="shared" si="5"/>
        <v/>
      </c>
      <c r="I85" s="362"/>
      <c r="J85" s="162"/>
      <c r="K85" s="162" t="s">
        <v>1693</v>
      </c>
      <c r="L85" s="284">
        <v>2022</v>
      </c>
      <c r="M85" s="234" t="s">
        <v>1909</v>
      </c>
      <c r="N85" s="234" t="s">
        <v>1910</v>
      </c>
      <c r="O85" s="234" t="s">
        <v>1911</v>
      </c>
      <c r="P85" s="261" t="s">
        <v>3535</v>
      </c>
      <c r="Q85" s="261" t="s">
        <v>3539</v>
      </c>
    </row>
    <row r="86" spans="1:17" ht="15.75" thickBot="1" x14ac:dyDescent="0.3">
      <c r="A86" s="161" t="s">
        <v>3508</v>
      </c>
      <c r="B86" s="82" t="str">
        <f t="shared" si="3"/>
        <v>Barraqueiro Transportes, S.A.</v>
      </c>
      <c r="C86" s="82" t="str">
        <f t="shared" si="4"/>
        <v>Frota Azul</v>
      </c>
      <c r="D86" s="162" t="s">
        <v>1654</v>
      </c>
      <c r="E86" s="162"/>
      <c r="F86" s="163"/>
      <c r="G86" s="161"/>
      <c r="H86" s="82" t="str">
        <f t="shared" si="5"/>
        <v/>
      </c>
      <c r="I86" s="362"/>
      <c r="J86" s="162"/>
      <c r="K86" s="162" t="s">
        <v>1693</v>
      </c>
      <c r="L86" s="284">
        <v>2022</v>
      </c>
      <c r="M86" s="234" t="s">
        <v>1909</v>
      </c>
      <c r="N86" s="234" t="s">
        <v>1910</v>
      </c>
      <c r="O86" s="234" t="s">
        <v>1911</v>
      </c>
      <c r="P86" s="261" t="s">
        <v>3535</v>
      </c>
      <c r="Q86" s="261" t="s">
        <v>3539</v>
      </c>
    </row>
    <row r="87" spans="1:17" ht="15.75" thickBot="1" x14ac:dyDescent="0.3">
      <c r="A87" s="161" t="s">
        <v>3508</v>
      </c>
      <c r="B87" s="82" t="str">
        <f t="shared" si="3"/>
        <v>Barraqueiro Transportes, S.A.</v>
      </c>
      <c r="C87" s="82" t="str">
        <f t="shared" si="4"/>
        <v>Frota Azul</v>
      </c>
      <c r="D87" s="162" t="s">
        <v>1655</v>
      </c>
      <c r="E87" s="162"/>
      <c r="F87" s="163"/>
      <c r="G87" s="161"/>
      <c r="H87" s="82" t="str">
        <f t="shared" si="5"/>
        <v/>
      </c>
      <c r="I87" s="362"/>
      <c r="J87" s="162"/>
      <c r="K87" s="162" t="s">
        <v>1693</v>
      </c>
      <c r="L87" s="284">
        <v>2022</v>
      </c>
      <c r="M87" s="234" t="s">
        <v>1909</v>
      </c>
      <c r="N87" s="234" t="s">
        <v>1910</v>
      </c>
      <c r="O87" s="234" t="s">
        <v>1911</v>
      </c>
      <c r="P87" s="261" t="s">
        <v>3535</v>
      </c>
      <c r="Q87" s="261" t="s">
        <v>3539</v>
      </c>
    </row>
    <row r="88" spans="1:17" ht="15.75" thickBot="1" x14ac:dyDescent="0.3">
      <c r="A88" s="161" t="s">
        <v>3508</v>
      </c>
      <c r="B88" s="82" t="str">
        <f t="shared" si="3"/>
        <v>Barraqueiro Transportes, S.A.</v>
      </c>
      <c r="C88" s="82" t="str">
        <f t="shared" si="4"/>
        <v>Frota Azul</v>
      </c>
      <c r="D88" s="162" t="s">
        <v>1656</v>
      </c>
      <c r="E88" s="162"/>
      <c r="F88" s="163"/>
      <c r="G88" s="161"/>
      <c r="H88" s="82" t="str">
        <f t="shared" si="5"/>
        <v/>
      </c>
      <c r="I88" s="362"/>
      <c r="J88" s="162"/>
      <c r="K88" s="162" t="s">
        <v>1693</v>
      </c>
      <c r="L88" s="284">
        <v>2022</v>
      </c>
      <c r="M88" s="234" t="s">
        <v>1909</v>
      </c>
      <c r="N88" s="234" t="s">
        <v>1910</v>
      </c>
      <c r="O88" s="234" t="s">
        <v>1911</v>
      </c>
      <c r="P88" s="261" t="s">
        <v>3535</v>
      </c>
      <c r="Q88" s="261" t="s">
        <v>3539</v>
      </c>
    </row>
    <row r="89" spans="1:17" ht="15.75" thickBot="1" x14ac:dyDescent="0.3">
      <c r="A89" s="161" t="s">
        <v>3508</v>
      </c>
      <c r="B89" s="82" t="str">
        <f t="shared" si="3"/>
        <v>Barraqueiro Transportes, S.A.</v>
      </c>
      <c r="C89" s="82" t="str">
        <f t="shared" si="4"/>
        <v>Frota Azul</v>
      </c>
      <c r="D89" s="162" t="s">
        <v>1657</v>
      </c>
      <c r="E89" s="162"/>
      <c r="F89" s="163"/>
      <c r="G89" s="161"/>
      <c r="H89" s="82" t="str">
        <f t="shared" si="5"/>
        <v/>
      </c>
      <c r="I89" s="362"/>
      <c r="J89" s="162"/>
      <c r="K89" s="162" t="s">
        <v>1693</v>
      </c>
      <c r="L89" s="284">
        <v>2022</v>
      </c>
      <c r="M89" s="234" t="s">
        <v>1909</v>
      </c>
      <c r="N89" s="234" t="s">
        <v>1910</v>
      </c>
      <c r="O89" s="234" t="s">
        <v>1911</v>
      </c>
      <c r="P89" s="261" t="s">
        <v>3535</v>
      </c>
      <c r="Q89" s="261" t="s">
        <v>3539</v>
      </c>
    </row>
    <row r="90" spans="1:17" ht="15.75" thickBot="1" x14ac:dyDescent="0.3">
      <c r="A90" s="161" t="s">
        <v>3508</v>
      </c>
      <c r="B90" s="82" t="str">
        <f t="shared" si="3"/>
        <v>Barraqueiro Transportes, S.A.</v>
      </c>
      <c r="C90" s="82" t="str">
        <f t="shared" si="4"/>
        <v>Frota Azul</v>
      </c>
      <c r="D90" s="162" t="s">
        <v>1670</v>
      </c>
      <c r="E90" s="162"/>
      <c r="F90" s="163"/>
      <c r="G90" s="161"/>
      <c r="H90" s="82" t="str">
        <f t="shared" si="5"/>
        <v/>
      </c>
      <c r="I90" s="362"/>
      <c r="J90" s="162"/>
      <c r="K90" s="162" t="s">
        <v>1693</v>
      </c>
      <c r="L90" s="284">
        <v>2022</v>
      </c>
      <c r="M90" s="234" t="s">
        <v>1909</v>
      </c>
      <c r="N90" s="234" t="s">
        <v>1910</v>
      </c>
      <c r="O90" s="234" t="s">
        <v>1911</v>
      </c>
      <c r="P90" s="261" t="s">
        <v>3535</v>
      </c>
      <c r="Q90" s="261" t="s">
        <v>3539</v>
      </c>
    </row>
    <row r="91" spans="1:17" ht="15.75" thickBot="1" x14ac:dyDescent="0.3">
      <c r="A91" s="161" t="s">
        <v>3508</v>
      </c>
      <c r="B91" s="82" t="str">
        <f t="shared" si="3"/>
        <v>Barraqueiro Transportes, S.A.</v>
      </c>
      <c r="C91" s="82" t="str">
        <f t="shared" si="4"/>
        <v>Frota Azul</v>
      </c>
      <c r="D91" s="83" t="s">
        <v>3003</v>
      </c>
      <c r="E91" s="162"/>
      <c r="F91" s="163"/>
      <c r="G91" s="161"/>
      <c r="H91" s="82" t="str">
        <f t="shared" si="5"/>
        <v/>
      </c>
      <c r="I91" s="362">
        <v>556.62</v>
      </c>
      <c r="J91" s="162"/>
      <c r="K91" s="162" t="s">
        <v>1690</v>
      </c>
      <c r="L91" s="284">
        <v>2022</v>
      </c>
      <c r="M91" s="234" t="s">
        <v>1909</v>
      </c>
      <c r="N91" s="234" t="s">
        <v>1910</v>
      </c>
      <c r="O91" s="234" t="s">
        <v>1911</v>
      </c>
      <c r="P91" s="261" t="s">
        <v>3535</v>
      </c>
      <c r="Q91" s="261" t="s">
        <v>3539</v>
      </c>
    </row>
    <row r="92" spans="1:17" ht="15.75" thickBot="1" x14ac:dyDescent="0.3">
      <c r="A92" s="161" t="s">
        <v>3508</v>
      </c>
      <c r="B92" s="82" t="str">
        <f t="shared" si="3"/>
        <v>Barraqueiro Transportes, S.A.</v>
      </c>
      <c r="C92" s="82" t="str">
        <f t="shared" si="4"/>
        <v>Frota Azul</v>
      </c>
      <c r="D92" s="162" t="s">
        <v>1658</v>
      </c>
      <c r="E92" s="162"/>
      <c r="F92" s="163"/>
      <c r="G92" s="161"/>
      <c r="H92" s="82" t="str">
        <f t="shared" si="5"/>
        <v/>
      </c>
      <c r="I92" s="362"/>
      <c r="J92" s="162"/>
      <c r="K92" s="162" t="s">
        <v>1693</v>
      </c>
      <c r="L92" s="284">
        <v>2022</v>
      </c>
      <c r="M92" s="234" t="s">
        <v>1909</v>
      </c>
      <c r="N92" s="234" t="s">
        <v>1910</v>
      </c>
      <c r="O92" s="234" t="s">
        <v>1911</v>
      </c>
      <c r="P92" s="261" t="s">
        <v>3535</v>
      </c>
      <c r="Q92" s="261" t="s">
        <v>3539</v>
      </c>
    </row>
    <row r="93" spans="1:17" ht="15.75" thickBot="1" x14ac:dyDescent="0.3">
      <c r="A93" s="161" t="s">
        <v>3508</v>
      </c>
      <c r="B93" s="82" t="str">
        <f t="shared" si="3"/>
        <v>Barraqueiro Transportes, S.A.</v>
      </c>
      <c r="C93" s="82" t="str">
        <f t="shared" si="4"/>
        <v>Frota Azul</v>
      </c>
      <c r="D93" s="162" t="s">
        <v>1675</v>
      </c>
      <c r="E93" s="162"/>
      <c r="F93" s="163"/>
      <c r="G93" s="161"/>
      <c r="H93" s="82" t="str">
        <f t="shared" si="5"/>
        <v/>
      </c>
      <c r="I93" s="362"/>
      <c r="J93" s="162"/>
      <c r="K93" s="162" t="s">
        <v>1693</v>
      </c>
      <c r="L93" s="284">
        <v>2022</v>
      </c>
      <c r="M93" s="234" t="s">
        <v>1909</v>
      </c>
      <c r="N93" s="234" t="s">
        <v>1910</v>
      </c>
      <c r="O93" s="234" t="s">
        <v>1911</v>
      </c>
      <c r="P93" s="261" t="s">
        <v>3535</v>
      </c>
      <c r="Q93" s="261" t="s">
        <v>3539</v>
      </c>
    </row>
    <row r="94" spans="1:17" ht="15.75" thickBot="1" x14ac:dyDescent="0.3">
      <c r="A94" s="161" t="s">
        <v>3508</v>
      </c>
      <c r="B94" s="82" t="str">
        <f t="shared" si="3"/>
        <v>Barraqueiro Transportes, S.A.</v>
      </c>
      <c r="C94" s="82" t="str">
        <f t="shared" si="4"/>
        <v>Frota Azul</v>
      </c>
      <c r="D94" s="162" t="s">
        <v>1659</v>
      </c>
      <c r="E94" s="162"/>
      <c r="F94" s="163"/>
      <c r="G94" s="161"/>
      <c r="H94" s="82" t="str">
        <f t="shared" si="5"/>
        <v/>
      </c>
      <c r="I94" s="362">
        <v>8445.86</v>
      </c>
      <c r="J94" s="162"/>
      <c r="K94" s="162" t="s">
        <v>1739</v>
      </c>
      <c r="L94" s="284">
        <v>2022</v>
      </c>
      <c r="M94" s="234" t="s">
        <v>1909</v>
      </c>
      <c r="N94" s="234" t="s">
        <v>1910</v>
      </c>
      <c r="O94" s="234" t="s">
        <v>1911</v>
      </c>
      <c r="P94" s="261" t="s">
        <v>3535</v>
      </c>
      <c r="Q94" s="261" t="s">
        <v>3539</v>
      </c>
    </row>
    <row r="95" spans="1:17" ht="15.75" thickBot="1" x14ac:dyDescent="0.3">
      <c r="A95" s="82" t="s">
        <v>4684</v>
      </c>
      <c r="B95" s="82" t="s">
        <v>4684</v>
      </c>
      <c r="C95" s="82" t="str">
        <f t="shared" si="4"/>
        <v>X</v>
      </c>
      <c r="D95" s="83" t="s">
        <v>1662</v>
      </c>
      <c r="E95" s="83"/>
      <c r="F95" s="85"/>
      <c r="G95" s="82"/>
      <c r="H95" s="82" t="str">
        <f t="shared" si="5"/>
        <v/>
      </c>
      <c r="I95" s="363">
        <f>SUM(I96:I107)</f>
        <v>29860.92</v>
      </c>
      <c r="J95" s="83"/>
      <c r="K95" s="83"/>
      <c r="L95" s="284">
        <v>2022</v>
      </c>
      <c r="M95" s="234" t="s">
        <v>1909</v>
      </c>
      <c r="N95" s="234" t="s">
        <v>1910</v>
      </c>
      <c r="O95" s="234" t="s">
        <v>1911</v>
      </c>
      <c r="P95" s="261" t="s">
        <v>3535</v>
      </c>
      <c r="Q95" s="261" t="s">
        <v>3539</v>
      </c>
    </row>
    <row r="96" spans="1:17" ht="15.75" thickBot="1" x14ac:dyDescent="0.3">
      <c r="A96" s="82" t="s">
        <v>4684</v>
      </c>
      <c r="B96" s="82" t="s">
        <v>4684</v>
      </c>
      <c r="C96" s="82" t="str">
        <f t="shared" si="4"/>
        <v>X</v>
      </c>
      <c r="D96" s="83" t="s">
        <v>1680</v>
      </c>
      <c r="E96" s="83"/>
      <c r="F96" s="85"/>
      <c r="G96" s="82"/>
      <c r="H96" s="82" t="str">
        <f t="shared" si="5"/>
        <v/>
      </c>
      <c r="I96" s="363">
        <v>13564.95</v>
      </c>
      <c r="J96" s="83"/>
      <c r="K96" s="83" t="s">
        <v>1686</v>
      </c>
      <c r="L96" s="284">
        <v>2022</v>
      </c>
      <c r="M96" s="234" t="s">
        <v>1909</v>
      </c>
      <c r="N96" s="234" t="s">
        <v>1910</v>
      </c>
      <c r="O96" s="234" t="s">
        <v>1911</v>
      </c>
      <c r="P96" s="261" t="s">
        <v>3535</v>
      </c>
      <c r="Q96" s="261" t="s">
        <v>3539</v>
      </c>
    </row>
    <row r="97" spans="1:17" ht="15.75" thickBot="1" x14ac:dyDescent="0.3">
      <c r="A97" s="82" t="s">
        <v>4684</v>
      </c>
      <c r="B97" s="82" t="s">
        <v>4684</v>
      </c>
      <c r="C97" s="82" t="str">
        <f t="shared" si="4"/>
        <v>X</v>
      </c>
      <c r="D97" s="83" t="s">
        <v>1661</v>
      </c>
      <c r="E97" s="83"/>
      <c r="F97" s="85"/>
      <c r="G97" s="82"/>
      <c r="H97" s="82" t="str">
        <f t="shared" si="5"/>
        <v/>
      </c>
      <c r="I97" s="363">
        <v>338.63</v>
      </c>
      <c r="J97" s="83"/>
      <c r="K97" s="83" t="s">
        <v>1728</v>
      </c>
      <c r="L97" s="284">
        <v>2022</v>
      </c>
      <c r="M97" s="234" t="s">
        <v>1909</v>
      </c>
      <c r="N97" s="234" t="s">
        <v>1910</v>
      </c>
      <c r="O97" s="234" t="s">
        <v>1911</v>
      </c>
      <c r="P97" s="261" t="s">
        <v>3535</v>
      </c>
      <c r="Q97" s="261" t="s">
        <v>3539</v>
      </c>
    </row>
    <row r="98" spans="1:17" ht="15.75" thickBot="1" x14ac:dyDescent="0.3">
      <c r="A98" s="82" t="s">
        <v>4684</v>
      </c>
      <c r="B98" s="82" t="s">
        <v>4684</v>
      </c>
      <c r="C98" s="82" t="str">
        <f t="shared" si="4"/>
        <v>X</v>
      </c>
      <c r="D98" s="83" t="s">
        <v>1653</v>
      </c>
      <c r="E98" s="83"/>
      <c r="F98" s="85"/>
      <c r="G98" s="82"/>
      <c r="H98" s="82" t="str">
        <f t="shared" si="5"/>
        <v/>
      </c>
      <c r="I98" s="363"/>
      <c r="J98" s="83"/>
      <c r="K98" s="83" t="s">
        <v>1693</v>
      </c>
      <c r="L98" s="284">
        <v>2022</v>
      </c>
      <c r="M98" s="234" t="s">
        <v>1909</v>
      </c>
      <c r="N98" s="234" t="s">
        <v>1910</v>
      </c>
      <c r="O98" s="234" t="s">
        <v>1911</v>
      </c>
      <c r="P98" s="261" t="s">
        <v>3535</v>
      </c>
      <c r="Q98" s="261" t="s">
        <v>3539</v>
      </c>
    </row>
    <row r="99" spans="1:17" ht="15.75" thickBot="1" x14ac:dyDescent="0.3">
      <c r="A99" s="82" t="s">
        <v>4684</v>
      </c>
      <c r="B99" s="82" t="s">
        <v>4684</v>
      </c>
      <c r="C99" s="82" t="str">
        <f t="shared" si="4"/>
        <v>X</v>
      </c>
      <c r="D99" s="83" t="s">
        <v>1654</v>
      </c>
      <c r="E99" s="83"/>
      <c r="F99" s="85"/>
      <c r="G99" s="82"/>
      <c r="H99" s="82" t="str">
        <f t="shared" si="5"/>
        <v/>
      </c>
      <c r="I99" s="363"/>
      <c r="J99" s="83"/>
      <c r="K99" s="83" t="s">
        <v>1693</v>
      </c>
      <c r="L99" s="284">
        <v>2022</v>
      </c>
      <c r="M99" s="234" t="s">
        <v>1909</v>
      </c>
      <c r="N99" s="234" t="s">
        <v>1910</v>
      </c>
      <c r="O99" s="234" t="s">
        <v>1911</v>
      </c>
      <c r="P99" s="261" t="s">
        <v>3535</v>
      </c>
      <c r="Q99" s="261" t="s">
        <v>3539</v>
      </c>
    </row>
    <row r="100" spans="1:17" ht="15.75" thickBot="1" x14ac:dyDescent="0.3">
      <c r="A100" s="82" t="s">
        <v>4684</v>
      </c>
      <c r="B100" s="82" t="s">
        <v>4684</v>
      </c>
      <c r="C100" s="82" t="str">
        <f t="shared" si="4"/>
        <v>X</v>
      </c>
      <c r="D100" s="83" t="s">
        <v>1655</v>
      </c>
      <c r="E100" s="83"/>
      <c r="F100" s="85"/>
      <c r="G100" s="82"/>
      <c r="H100" s="82" t="str">
        <f t="shared" si="5"/>
        <v/>
      </c>
      <c r="I100" s="363"/>
      <c r="J100" s="83"/>
      <c r="K100" s="83" t="s">
        <v>1693</v>
      </c>
      <c r="L100" s="284">
        <v>2022</v>
      </c>
      <c r="M100" s="234" t="s">
        <v>1909</v>
      </c>
      <c r="N100" s="234" t="s">
        <v>1910</v>
      </c>
      <c r="O100" s="234" t="s">
        <v>1911</v>
      </c>
      <c r="P100" s="261" t="s">
        <v>3535</v>
      </c>
      <c r="Q100" s="261" t="s">
        <v>3539</v>
      </c>
    </row>
    <row r="101" spans="1:17" ht="15.75" thickBot="1" x14ac:dyDescent="0.3">
      <c r="A101" s="82" t="s">
        <v>4684</v>
      </c>
      <c r="B101" s="82" t="s">
        <v>4684</v>
      </c>
      <c r="C101" s="82" t="str">
        <f t="shared" si="4"/>
        <v>X</v>
      </c>
      <c r="D101" s="83" t="s">
        <v>1656</v>
      </c>
      <c r="E101" s="83"/>
      <c r="F101" s="85"/>
      <c r="G101" s="82"/>
      <c r="H101" s="82" t="str">
        <f t="shared" si="5"/>
        <v/>
      </c>
      <c r="I101" s="363"/>
      <c r="J101" s="83"/>
      <c r="K101" s="83" t="s">
        <v>1693</v>
      </c>
      <c r="L101" s="284">
        <v>2022</v>
      </c>
      <c r="M101" s="234" t="s">
        <v>1909</v>
      </c>
      <c r="N101" s="234" t="s">
        <v>1910</v>
      </c>
      <c r="O101" s="234" t="s">
        <v>1911</v>
      </c>
      <c r="P101" s="261" t="s">
        <v>3535</v>
      </c>
      <c r="Q101" s="261" t="s">
        <v>3539</v>
      </c>
    </row>
    <row r="102" spans="1:17" ht="15.75" thickBot="1" x14ac:dyDescent="0.3">
      <c r="A102" s="82" t="s">
        <v>4684</v>
      </c>
      <c r="B102" s="82" t="s">
        <v>4684</v>
      </c>
      <c r="C102" s="82" t="str">
        <f t="shared" si="4"/>
        <v>X</v>
      </c>
      <c r="D102" s="83" t="s">
        <v>1657</v>
      </c>
      <c r="E102" s="83"/>
      <c r="F102" s="85"/>
      <c r="G102" s="82"/>
      <c r="H102" s="82" t="str">
        <f t="shared" si="5"/>
        <v/>
      </c>
      <c r="I102" s="363">
        <v>15633.34</v>
      </c>
      <c r="J102" s="83"/>
      <c r="K102" s="83" t="s">
        <v>1708</v>
      </c>
      <c r="L102" s="284">
        <v>2022</v>
      </c>
      <c r="M102" s="234" t="s">
        <v>1909</v>
      </c>
      <c r="N102" s="234" t="s">
        <v>1910</v>
      </c>
      <c r="O102" s="234" t="s">
        <v>1911</v>
      </c>
      <c r="P102" s="261" t="s">
        <v>3535</v>
      </c>
      <c r="Q102" s="261" t="s">
        <v>3539</v>
      </c>
    </row>
    <row r="103" spans="1:17" ht="15.75" thickBot="1" x14ac:dyDescent="0.3">
      <c r="A103" s="82" t="s">
        <v>4684</v>
      </c>
      <c r="B103" s="82" t="s">
        <v>4684</v>
      </c>
      <c r="C103" s="82" t="str">
        <f t="shared" si="4"/>
        <v>X</v>
      </c>
      <c r="D103" s="83" t="s">
        <v>1670</v>
      </c>
      <c r="E103" s="83"/>
      <c r="F103" s="85"/>
      <c r="G103" s="82"/>
      <c r="H103" s="82" t="str">
        <f t="shared" si="5"/>
        <v/>
      </c>
      <c r="I103" s="363"/>
      <c r="J103" s="83"/>
      <c r="K103" s="83" t="s">
        <v>1693</v>
      </c>
      <c r="L103" s="284">
        <v>2022</v>
      </c>
      <c r="M103" s="234" t="s">
        <v>1909</v>
      </c>
      <c r="N103" s="234" t="s">
        <v>1910</v>
      </c>
      <c r="O103" s="234" t="s">
        <v>1911</v>
      </c>
      <c r="P103" s="261" t="s">
        <v>3535</v>
      </c>
      <c r="Q103" s="261" t="s">
        <v>3539</v>
      </c>
    </row>
    <row r="104" spans="1:17" ht="15.75" thickBot="1" x14ac:dyDescent="0.3">
      <c r="A104" s="82" t="s">
        <v>4684</v>
      </c>
      <c r="B104" s="82" t="s">
        <v>4684</v>
      </c>
      <c r="C104" s="82" t="str">
        <f t="shared" si="4"/>
        <v>X</v>
      </c>
      <c r="D104" s="83" t="s">
        <v>3003</v>
      </c>
      <c r="E104" s="83"/>
      <c r="F104" s="85"/>
      <c r="G104" s="82"/>
      <c r="H104" s="82" t="str">
        <f t="shared" si="5"/>
        <v/>
      </c>
      <c r="I104" s="363"/>
      <c r="J104" s="83"/>
      <c r="K104" s="83" t="s">
        <v>1693</v>
      </c>
      <c r="L104" s="284">
        <v>2022</v>
      </c>
      <c r="M104" s="234" t="s">
        <v>1909</v>
      </c>
      <c r="N104" s="234" t="s">
        <v>1910</v>
      </c>
      <c r="O104" s="234" t="s">
        <v>1911</v>
      </c>
      <c r="P104" s="261" t="s">
        <v>3535</v>
      </c>
      <c r="Q104" s="261" t="s">
        <v>3539</v>
      </c>
    </row>
    <row r="105" spans="1:17" ht="15.75" thickBot="1" x14ac:dyDescent="0.3">
      <c r="A105" s="82" t="s">
        <v>4684</v>
      </c>
      <c r="B105" s="82" t="s">
        <v>4684</v>
      </c>
      <c r="C105" s="82" t="str">
        <f t="shared" si="4"/>
        <v>X</v>
      </c>
      <c r="D105" s="83" t="s">
        <v>1658</v>
      </c>
      <c r="E105" s="83"/>
      <c r="F105" s="85"/>
      <c r="G105" s="82"/>
      <c r="H105" s="82" t="str">
        <f t="shared" si="5"/>
        <v/>
      </c>
      <c r="I105" s="363"/>
      <c r="J105" s="83"/>
      <c r="K105" s="83" t="s">
        <v>1693</v>
      </c>
      <c r="L105" s="284">
        <v>2022</v>
      </c>
      <c r="M105" s="234" t="s">
        <v>1909</v>
      </c>
      <c r="N105" s="234" t="s">
        <v>1910</v>
      </c>
      <c r="O105" s="234" t="s">
        <v>1911</v>
      </c>
      <c r="P105" s="261" t="s">
        <v>3535</v>
      </c>
      <c r="Q105" s="261" t="s">
        <v>3539</v>
      </c>
    </row>
    <row r="106" spans="1:17" ht="15.75" thickBot="1" x14ac:dyDescent="0.3">
      <c r="A106" s="82" t="s">
        <v>4684</v>
      </c>
      <c r="B106" s="82" t="s">
        <v>4684</v>
      </c>
      <c r="C106" s="82" t="str">
        <f t="shared" si="4"/>
        <v>X</v>
      </c>
      <c r="D106" s="83" t="s">
        <v>1675</v>
      </c>
      <c r="E106" s="83"/>
      <c r="F106" s="85"/>
      <c r="G106" s="82"/>
      <c r="H106" s="82" t="str">
        <f t="shared" si="5"/>
        <v/>
      </c>
      <c r="I106" s="363"/>
      <c r="J106" s="83"/>
      <c r="K106" s="83" t="s">
        <v>1693</v>
      </c>
      <c r="L106" s="284">
        <v>2022</v>
      </c>
      <c r="M106" s="234" t="s">
        <v>1909</v>
      </c>
      <c r="N106" s="234" t="s">
        <v>1910</v>
      </c>
      <c r="O106" s="234" t="s">
        <v>1911</v>
      </c>
      <c r="P106" s="261" t="s">
        <v>3535</v>
      </c>
      <c r="Q106" s="261" t="s">
        <v>3539</v>
      </c>
    </row>
    <row r="107" spans="1:17" ht="15.75" thickBot="1" x14ac:dyDescent="0.3">
      <c r="A107" s="82" t="s">
        <v>4684</v>
      </c>
      <c r="B107" s="82" t="s">
        <v>4684</v>
      </c>
      <c r="C107" s="82" t="str">
        <f t="shared" si="4"/>
        <v>X</v>
      </c>
      <c r="D107" s="83" t="s">
        <v>1659</v>
      </c>
      <c r="E107" s="83"/>
      <c r="F107" s="85"/>
      <c r="G107" s="82"/>
      <c r="H107" s="82" t="str">
        <f t="shared" si="5"/>
        <v/>
      </c>
      <c r="I107" s="363">
        <v>324</v>
      </c>
      <c r="J107" s="83"/>
      <c r="K107" s="83" t="s">
        <v>1701</v>
      </c>
      <c r="L107" s="284">
        <v>2022</v>
      </c>
      <c r="M107" s="234" t="s">
        <v>1909</v>
      </c>
      <c r="N107" s="234" t="s">
        <v>1910</v>
      </c>
      <c r="O107" s="234" t="s">
        <v>1911</v>
      </c>
      <c r="P107" s="261" t="s">
        <v>3535</v>
      </c>
      <c r="Q107" s="261" t="s">
        <v>3539</v>
      </c>
    </row>
    <row r="108" spans="1:17" ht="15.75" thickBot="1" x14ac:dyDescent="0.3">
      <c r="A108" s="82" t="s">
        <v>4685</v>
      </c>
      <c r="B108" s="82" t="s">
        <v>4685</v>
      </c>
      <c r="C108" s="82" t="str">
        <f t="shared" si="4"/>
        <v>X</v>
      </c>
      <c r="D108" s="83" t="s">
        <v>1662</v>
      </c>
      <c r="E108" s="83"/>
      <c r="F108" s="85"/>
      <c r="G108" s="82"/>
      <c r="H108" s="82" t="str">
        <f t="shared" si="5"/>
        <v/>
      </c>
      <c r="I108" s="363">
        <f>SUM(I109:I120)</f>
        <v>21876.85</v>
      </c>
      <c r="J108" s="83"/>
      <c r="K108" s="83"/>
      <c r="L108" s="284">
        <v>2022</v>
      </c>
      <c r="M108" s="234" t="s">
        <v>1909</v>
      </c>
      <c r="N108" s="234" t="s">
        <v>1910</v>
      </c>
      <c r="O108" s="234" t="s">
        <v>1911</v>
      </c>
      <c r="P108" s="261" t="s">
        <v>3535</v>
      </c>
      <c r="Q108" s="261" t="s">
        <v>3539</v>
      </c>
    </row>
    <row r="109" spans="1:17" ht="15.75" thickBot="1" x14ac:dyDescent="0.3">
      <c r="A109" s="82" t="s">
        <v>4685</v>
      </c>
      <c r="B109" s="82" t="s">
        <v>4685</v>
      </c>
      <c r="C109" s="82" t="str">
        <f t="shared" si="4"/>
        <v>X</v>
      </c>
      <c r="D109" s="83" t="s">
        <v>1680</v>
      </c>
      <c r="E109" s="83"/>
      <c r="F109" s="85"/>
      <c r="G109" s="82"/>
      <c r="H109" s="82" t="str">
        <f t="shared" si="5"/>
        <v/>
      </c>
      <c r="I109" s="363">
        <v>3029.7</v>
      </c>
      <c r="J109" s="83"/>
      <c r="K109" s="83" t="s">
        <v>1687</v>
      </c>
      <c r="L109" s="284">
        <v>2022</v>
      </c>
      <c r="M109" s="234" t="s">
        <v>1909</v>
      </c>
      <c r="N109" s="234" t="s">
        <v>1910</v>
      </c>
      <c r="O109" s="234" t="s">
        <v>1911</v>
      </c>
      <c r="P109" s="261" t="s">
        <v>3535</v>
      </c>
      <c r="Q109" s="261" t="s">
        <v>3539</v>
      </c>
    </row>
    <row r="110" spans="1:17" ht="15.75" thickBot="1" x14ac:dyDescent="0.3">
      <c r="A110" s="82" t="s">
        <v>4685</v>
      </c>
      <c r="B110" s="82" t="s">
        <v>4685</v>
      </c>
      <c r="C110" s="82" t="str">
        <f t="shared" si="4"/>
        <v>X</v>
      </c>
      <c r="D110" s="83" t="s">
        <v>1661</v>
      </c>
      <c r="E110" s="83"/>
      <c r="F110" s="85"/>
      <c r="G110" s="82"/>
      <c r="H110" s="82" t="str">
        <f t="shared" si="5"/>
        <v/>
      </c>
      <c r="I110" s="363">
        <v>541.69000000000005</v>
      </c>
      <c r="J110" s="83"/>
      <c r="K110" s="83" t="s">
        <v>1729</v>
      </c>
      <c r="L110" s="284">
        <v>2022</v>
      </c>
      <c r="M110" s="234" t="s">
        <v>1909</v>
      </c>
      <c r="N110" s="234" t="s">
        <v>1910</v>
      </c>
      <c r="O110" s="234" t="s">
        <v>1911</v>
      </c>
      <c r="P110" s="261" t="s">
        <v>3535</v>
      </c>
      <c r="Q110" s="261" t="s">
        <v>3539</v>
      </c>
    </row>
    <row r="111" spans="1:17" ht="15.75" thickBot="1" x14ac:dyDescent="0.3">
      <c r="A111" s="82" t="s">
        <v>4685</v>
      </c>
      <c r="B111" s="82" t="s">
        <v>4685</v>
      </c>
      <c r="C111" s="82" t="str">
        <f t="shared" si="4"/>
        <v>X</v>
      </c>
      <c r="D111" s="83" t="s">
        <v>1653</v>
      </c>
      <c r="E111" s="83"/>
      <c r="F111" s="85"/>
      <c r="G111" s="82"/>
      <c r="H111" s="82" t="str">
        <f t="shared" si="5"/>
        <v/>
      </c>
      <c r="I111" s="363"/>
      <c r="J111" s="83"/>
      <c r="K111" s="83" t="s">
        <v>1693</v>
      </c>
      <c r="L111" s="284">
        <v>2022</v>
      </c>
      <c r="M111" s="234" t="s">
        <v>1909</v>
      </c>
      <c r="N111" s="234" t="s">
        <v>1910</v>
      </c>
      <c r="O111" s="234" t="s">
        <v>1911</v>
      </c>
      <c r="P111" s="261" t="s">
        <v>3535</v>
      </c>
      <c r="Q111" s="261" t="s">
        <v>3539</v>
      </c>
    </row>
    <row r="112" spans="1:17" ht="15.75" thickBot="1" x14ac:dyDescent="0.3">
      <c r="A112" s="82" t="s">
        <v>4685</v>
      </c>
      <c r="B112" s="82" t="s">
        <v>4685</v>
      </c>
      <c r="C112" s="82" t="str">
        <f t="shared" si="4"/>
        <v>X</v>
      </c>
      <c r="D112" s="83" t="s">
        <v>1654</v>
      </c>
      <c r="E112" s="83"/>
      <c r="F112" s="85"/>
      <c r="G112" s="82"/>
      <c r="H112" s="82" t="str">
        <f t="shared" si="5"/>
        <v/>
      </c>
      <c r="I112" s="363"/>
      <c r="J112" s="83"/>
      <c r="K112" s="83" t="s">
        <v>1693</v>
      </c>
      <c r="L112" s="284">
        <v>2022</v>
      </c>
      <c r="M112" s="234" t="s">
        <v>1909</v>
      </c>
      <c r="N112" s="234" t="s">
        <v>1910</v>
      </c>
      <c r="O112" s="234" t="s">
        <v>1911</v>
      </c>
      <c r="P112" s="261" t="s">
        <v>3535</v>
      </c>
      <c r="Q112" s="261" t="s">
        <v>3539</v>
      </c>
    </row>
    <row r="113" spans="1:17" ht="15.75" thickBot="1" x14ac:dyDescent="0.3">
      <c r="A113" s="82" t="s">
        <v>4685</v>
      </c>
      <c r="B113" s="82" t="s">
        <v>4685</v>
      </c>
      <c r="C113" s="82" t="str">
        <f t="shared" si="4"/>
        <v>X</v>
      </c>
      <c r="D113" s="83" t="s">
        <v>1655</v>
      </c>
      <c r="E113" s="83"/>
      <c r="F113" s="85"/>
      <c r="G113" s="82"/>
      <c r="H113" s="82" t="str">
        <f t="shared" si="5"/>
        <v/>
      </c>
      <c r="I113" s="363"/>
      <c r="J113" s="83"/>
      <c r="K113" s="83" t="s">
        <v>1693</v>
      </c>
      <c r="L113" s="284">
        <v>2022</v>
      </c>
      <c r="M113" s="234" t="s">
        <v>1909</v>
      </c>
      <c r="N113" s="234" t="s">
        <v>1910</v>
      </c>
      <c r="O113" s="234" t="s">
        <v>1911</v>
      </c>
      <c r="P113" s="261" t="s">
        <v>3535</v>
      </c>
      <c r="Q113" s="261" t="s">
        <v>3539</v>
      </c>
    </row>
    <row r="114" spans="1:17" ht="15.75" thickBot="1" x14ac:dyDescent="0.3">
      <c r="A114" s="82" t="s">
        <v>4685</v>
      </c>
      <c r="B114" s="82" t="s">
        <v>4685</v>
      </c>
      <c r="C114" s="82" t="str">
        <f t="shared" si="4"/>
        <v>X</v>
      </c>
      <c r="D114" s="83" t="s">
        <v>1656</v>
      </c>
      <c r="E114" s="83"/>
      <c r="F114" s="85"/>
      <c r="G114" s="82"/>
      <c r="H114" s="82" t="str">
        <f t="shared" si="5"/>
        <v/>
      </c>
      <c r="I114" s="363"/>
      <c r="J114" s="83"/>
      <c r="K114" s="83" t="s">
        <v>1693</v>
      </c>
      <c r="L114" s="284">
        <v>2022</v>
      </c>
      <c r="M114" s="234" t="s">
        <v>1909</v>
      </c>
      <c r="N114" s="234" t="s">
        <v>1910</v>
      </c>
      <c r="O114" s="234" t="s">
        <v>1911</v>
      </c>
      <c r="P114" s="261" t="s">
        <v>3535</v>
      </c>
      <c r="Q114" s="261" t="s">
        <v>3539</v>
      </c>
    </row>
    <row r="115" spans="1:17" ht="15.75" thickBot="1" x14ac:dyDescent="0.3">
      <c r="A115" s="82" t="s">
        <v>4685</v>
      </c>
      <c r="B115" s="82" t="s">
        <v>4685</v>
      </c>
      <c r="C115" s="82" t="str">
        <f t="shared" si="4"/>
        <v>X</v>
      </c>
      <c r="D115" s="83" t="s">
        <v>1657</v>
      </c>
      <c r="E115" s="83"/>
      <c r="F115" s="85"/>
      <c r="G115" s="82"/>
      <c r="H115" s="82" t="str">
        <f t="shared" si="5"/>
        <v/>
      </c>
      <c r="I115" s="363">
        <v>209.52</v>
      </c>
      <c r="J115" s="83"/>
      <c r="K115" s="83" t="s">
        <v>1689</v>
      </c>
      <c r="L115" s="284">
        <v>2022</v>
      </c>
      <c r="M115" s="234" t="s">
        <v>1909</v>
      </c>
      <c r="N115" s="234" t="s">
        <v>1910</v>
      </c>
      <c r="O115" s="234" t="s">
        <v>1911</v>
      </c>
      <c r="P115" s="261" t="s">
        <v>3535</v>
      </c>
      <c r="Q115" s="261" t="s">
        <v>3539</v>
      </c>
    </row>
    <row r="116" spans="1:17" ht="15.75" thickBot="1" x14ac:dyDescent="0.3">
      <c r="A116" s="82" t="s">
        <v>4685</v>
      </c>
      <c r="B116" s="82" t="s">
        <v>4685</v>
      </c>
      <c r="C116" s="82" t="str">
        <f t="shared" si="4"/>
        <v>X</v>
      </c>
      <c r="D116" s="83" t="s">
        <v>1670</v>
      </c>
      <c r="E116" s="83"/>
      <c r="F116" s="85"/>
      <c r="G116" s="82"/>
      <c r="H116" s="82" t="str">
        <f t="shared" si="5"/>
        <v/>
      </c>
      <c r="I116" s="363"/>
      <c r="J116" s="83"/>
      <c r="K116" s="83" t="s">
        <v>1693</v>
      </c>
      <c r="L116" s="284">
        <v>2022</v>
      </c>
      <c r="M116" s="234" t="s">
        <v>1909</v>
      </c>
      <c r="N116" s="234" t="s">
        <v>1910</v>
      </c>
      <c r="O116" s="234" t="s">
        <v>1911</v>
      </c>
      <c r="P116" s="261" t="s">
        <v>3535</v>
      </c>
      <c r="Q116" s="261" t="s">
        <v>3539</v>
      </c>
    </row>
    <row r="117" spans="1:17" ht="15.75" thickBot="1" x14ac:dyDescent="0.3">
      <c r="A117" s="82" t="s">
        <v>4685</v>
      </c>
      <c r="B117" s="82" t="s">
        <v>4685</v>
      </c>
      <c r="C117" s="82" t="str">
        <f t="shared" si="4"/>
        <v>X</v>
      </c>
      <c r="D117" s="83" t="s">
        <v>3003</v>
      </c>
      <c r="E117" s="83"/>
      <c r="F117" s="85"/>
      <c r="G117" s="82"/>
      <c r="H117" s="82" t="str">
        <f t="shared" si="5"/>
        <v/>
      </c>
      <c r="I117" s="363">
        <v>525.41</v>
      </c>
      <c r="J117" s="83"/>
      <c r="K117" s="83" t="s">
        <v>1694</v>
      </c>
      <c r="L117" s="284">
        <v>2022</v>
      </c>
      <c r="M117" s="234" t="s">
        <v>1909</v>
      </c>
      <c r="N117" s="234" t="s">
        <v>1910</v>
      </c>
      <c r="O117" s="234" t="s">
        <v>1911</v>
      </c>
      <c r="P117" s="261" t="s">
        <v>3535</v>
      </c>
      <c r="Q117" s="261" t="s">
        <v>3539</v>
      </c>
    </row>
    <row r="118" spans="1:17" ht="15.75" thickBot="1" x14ac:dyDescent="0.3">
      <c r="A118" s="82" t="s">
        <v>4685</v>
      </c>
      <c r="B118" s="82" t="s">
        <v>4685</v>
      </c>
      <c r="C118" s="82" t="str">
        <f t="shared" si="4"/>
        <v>X</v>
      </c>
      <c r="D118" s="83" t="s">
        <v>1658</v>
      </c>
      <c r="E118" s="83"/>
      <c r="F118" s="85"/>
      <c r="G118" s="82"/>
      <c r="H118" s="82" t="str">
        <f t="shared" si="5"/>
        <v/>
      </c>
      <c r="I118" s="363"/>
      <c r="J118" s="83"/>
      <c r="K118" s="83" t="s">
        <v>1693</v>
      </c>
      <c r="L118" s="284">
        <v>2022</v>
      </c>
      <c r="M118" s="234" t="s">
        <v>1909</v>
      </c>
      <c r="N118" s="234" t="s">
        <v>1910</v>
      </c>
      <c r="O118" s="234" t="s">
        <v>1911</v>
      </c>
      <c r="P118" s="261" t="s">
        <v>3535</v>
      </c>
      <c r="Q118" s="261" t="s">
        <v>3539</v>
      </c>
    </row>
    <row r="119" spans="1:17" ht="15.75" thickBot="1" x14ac:dyDescent="0.3">
      <c r="A119" s="82" t="s">
        <v>4685</v>
      </c>
      <c r="B119" s="82" t="s">
        <v>4685</v>
      </c>
      <c r="C119" s="82" t="str">
        <f t="shared" si="4"/>
        <v>X</v>
      </c>
      <c r="D119" s="83" t="s">
        <v>1675</v>
      </c>
      <c r="E119" s="83"/>
      <c r="F119" s="85"/>
      <c r="G119" s="82"/>
      <c r="H119" s="82" t="str">
        <f t="shared" si="5"/>
        <v/>
      </c>
      <c r="I119" s="363"/>
      <c r="J119" s="83"/>
      <c r="K119" s="83" t="s">
        <v>1693</v>
      </c>
      <c r="L119" s="284">
        <v>2022</v>
      </c>
      <c r="M119" s="234" t="s">
        <v>1909</v>
      </c>
      <c r="N119" s="234" t="s">
        <v>1910</v>
      </c>
      <c r="O119" s="234" t="s">
        <v>1911</v>
      </c>
      <c r="P119" s="261" t="s">
        <v>3535</v>
      </c>
      <c r="Q119" s="261" t="s">
        <v>3539</v>
      </c>
    </row>
    <row r="120" spans="1:17" ht="15.75" thickBot="1" x14ac:dyDescent="0.3">
      <c r="A120" s="82" t="s">
        <v>4685</v>
      </c>
      <c r="B120" s="82" t="s">
        <v>4685</v>
      </c>
      <c r="C120" s="82" t="str">
        <f t="shared" si="4"/>
        <v>X</v>
      </c>
      <c r="D120" s="83" t="s">
        <v>1659</v>
      </c>
      <c r="E120" s="83"/>
      <c r="F120" s="85"/>
      <c r="G120" s="82"/>
      <c r="H120" s="82" t="str">
        <f t="shared" si="5"/>
        <v/>
      </c>
      <c r="I120" s="363">
        <v>17570.53</v>
      </c>
      <c r="J120" s="83"/>
      <c r="K120" s="83" t="s">
        <v>1723</v>
      </c>
      <c r="L120" s="284">
        <v>2022</v>
      </c>
      <c r="M120" s="234" t="s">
        <v>1909</v>
      </c>
      <c r="N120" s="234" t="s">
        <v>1910</v>
      </c>
      <c r="O120" s="234" t="s">
        <v>1911</v>
      </c>
      <c r="P120" s="261" t="s">
        <v>3535</v>
      </c>
      <c r="Q120" s="261" t="s">
        <v>3539</v>
      </c>
    </row>
    <row r="121" spans="1:17" ht="15.75" thickBot="1" x14ac:dyDescent="0.3">
      <c r="A121" s="82" t="s">
        <v>4683</v>
      </c>
      <c r="B121" s="82" t="s">
        <v>4683</v>
      </c>
      <c r="C121" s="82" t="str">
        <f t="shared" si="4"/>
        <v>X</v>
      </c>
      <c r="D121" s="83" t="s">
        <v>1662</v>
      </c>
      <c r="E121" s="83"/>
      <c r="F121" s="85"/>
      <c r="G121" s="82"/>
      <c r="H121" s="82" t="str">
        <f t="shared" si="5"/>
        <v/>
      </c>
      <c r="I121" s="363">
        <f>SUM(I122:I133)</f>
        <v>250969.11000000002</v>
      </c>
      <c r="J121" s="83"/>
      <c r="K121" s="83"/>
      <c r="L121" s="284">
        <v>2022</v>
      </c>
      <c r="M121" s="234" t="s">
        <v>1909</v>
      </c>
      <c r="N121" s="234" t="s">
        <v>1910</v>
      </c>
      <c r="O121" s="234" t="s">
        <v>1911</v>
      </c>
      <c r="P121" s="261" t="s">
        <v>3535</v>
      </c>
      <c r="Q121" s="261" t="s">
        <v>3539</v>
      </c>
    </row>
    <row r="122" spans="1:17" ht="15.75" thickBot="1" x14ac:dyDescent="0.3">
      <c r="A122" s="82" t="s">
        <v>4683</v>
      </c>
      <c r="B122" s="82" t="s">
        <v>4683</v>
      </c>
      <c r="C122" s="82" t="str">
        <f t="shared" si="4"/>
        <v>X</v>
      </c>
      <c r="D122" s="83" t="s">
        <v>1681</v>
      </c>
      <c r="E122" s="83">
        <v>123</v>
      </c>
      <c r="F122" s="85" t="s">
        <v>586</v>
      </c>
      <c r="G122" s="82"/>
      <c r="H122" s="82" t="str">
        <f t="shared" si="5"/>
        <v/>
      </c>
      <c r="I122" s="363">
        <v>33147.879999999997</v>
      </c>
      <c r="J122" s="83"/>
      <c r="K122" s="83" t="s">
        <v>1688</v>
      </c>
      <c r="L122" s="284">
        <v>2022</v>
      </c>
      <c r="M122" s="234" t="s">
        <v>1909</v>
      </c>
      <c r="N122" s="234" t="s">
        <v>1910</v>
      </c>
      <c r="O122" s="234" t="s">
        <v>1911</v>
      </c>
      <c r="P122" s="261" t="s">
        <v>3535</v>
      </c>
      <c r="Q122" s="261" t="s">
        <v>3539</v>
      </c>
    </row>
    <row r="123" spans="1:17" ht="15.75" thickBot="1" x14ac:dyDescent="0.3">
      <c r="A123" s="82" t="s">
        <v>4683</v>
      </c>
      <c r="B123" s="82" t="s">
        <v>4683</v>
      </c>
      <c r="C123" s="82" t="str">
        <f t="shared" si="4"/>
        <v>X</v>
      </c>
      <c r="D123" s="83" t="s">
        <v>1661</v>
      </c>
      <c r="E123" s="83"/>
      <c r="F123" s="85"/>
      <c r="G123" s="82"/>
      <c r="H123" s="82" t="str">
        <f t="shared" si="5"/>
        <v/>
      </c>
      <c r="I123" s="363">
        <v>5710.42</v>
      </c>
      <c r="J123" s="83"/>
      <c r="K123" s="83" t="s">
        <v>1730</v>
      </c>
      <c r="L123" s="284">
        <v>2022</v>
      </c>
      <c r="M123" s="234" t="s">
        <v>1909</v>
      </c>
      <c r="N123" s="234" t="s">
        <v>1910</v>
      </c>
      <c r="O123" s="234" t="s">
        <v>1911</v>
      </c>
      <c r="P123" s="261" t="s">
        <v>3535</v>
      </c>
      <c r="Q123" s="261" t="s">
        <v>3539</v>
      </c>
    </row>
    <row r="124" spans="1:17" ht="15.75" thickBot="1" x14ac:dyDescent="0.3">
      <c r="A124" s="82" t="s">
        <v>4683</v>
      </c>
      <c r="B124" s="82" t="s">
        <v>4683</v>
      </c>
      <c r="C124" s="82" t="str">
        <f t="shared" si="4"/>
        <v>X</v>
      </c>
      <c r="D124" s="83" t="s">
        <v>1653</v>
      </c>
      <c r="E124" s="83">
        <v>45</v>
      </c>
      <c r="F124" s="85" t="s">
        <v>586</v>
      </c>
      <c r="G124" s="82"/>
      <c r="H124" s="82" t="str">
        <f t="shared" si="5"/>
        <v/>
      </c>
      <c r="I124" s="363">
        <v>7860.51</v>
      </c>
      <c r="J124" s="83"/>
      <c r="K124" s="83" t="s">
        <v>1689</v>
      </c>
      <c r="L124" s="284">
        <v>2022</v>
      </c>
      <c r="M124" s="234" t="s">
        <v>1909</v>
      </c>
      <c r="N124" s="234" t="s">
        <v>1910</v>
      </c>
      <c r="O124" s="234" t="s">
        <v>1911</v>
      </c>
      <c r="P124" s="261" t="s">
        <v>3535</v>
      </c>
      <c r="Q124" s="261" t="s">
        <v>3539</v>
      </c>
    </row>
    <row r="125" spans="1:17" ht="15.75" thickBot="1" x14ac:dyDescent="0.3">
      <c r="A125" s="82" t="s">
        <v>4683</v>
      </c>
      <c r="B125" s="82" t="s">
        <v>4683</v>
      </c>
      <c r="C125" s="82" t="str">
        <f t="shared" si="4"/>
        <v>X</v>
      </c>
      <c r="D125" s="83" t="s">
        <v>1654</v>
      </c>
      <c r="E125" s="83"/>
      <c r="F125" s="85"/>
      <c r="G125" s="82"/>
      <c r="H125" s="82" t="str">
        <f t="shared" si="5"/>
        <v/>
      </c>
      <c r="I125" s="363">
        <v>352.84</v>
      </c>
      <c r="J125" s="83"/>
      <c r="K125" s="83" t="s">
        <v>1700</v>
      </c>
      <c r="L125" s="284">
        <v>2022</v>
      </c>
      <c r="M125" s="234" t="s">
        <v>1909</v>
      </c>
      <c r="N125" s="234" t="s">
        <v>1910</v>
      </c>
      <c r="O125" s="234" t="s">
        <v>1911</v>
      </c>
      <c r="P125" s="261" t="s">
        <v>3535</v>
      </c>
      <c r="Q125" s="261" t="s">
        <v>3539</v>
      </c>
    </row>
    <row r="126" spans="1:17" ht="15.75" thickBot="1" x14ac:dyDescent="0.3">
      <c r="A126" s="82" t="s">
        <v>4683</v>
      </c>
      <c r="B126" s="82" t="s">
        <v>4683</v>
      </c>
      <c r="C126" s="82" t="str">
        <f t="shared" si="4"/>
        <v>X</v>
      </c>
      <c r="D126" s="83" t="s">
        <v>1655</v>
      </c>
      <c r="E126" s="83"/>
      <c r="F126" s="85"/>
      <c r="G126" s="82"/>
      <c r="H126" s="82" t="str">
        <f t="shared" si="5"/>
        <v/>
      </c>
      <c r="I126" s="363">
        <v>6562.42</v>
      </c>
      <c r="J126" s="83"/>
      <c r="K126" s="83" t="s">
        <v>1699</v>
      </c>
      <c r="L126" s="284">
        <v>2022</v>
      </c>
      <c r="M126" s="234" t="s">
        <v>1909</v>
      </c>
      <c r="N126" s="234" t="s">
        <v>1910</v>
      </c>
      <c r="O126" s="234" t="s">
        <v>1911</v>
      </c>
      <c r="P126" s="261" t="s">
        <v>3535</v>
      </c>
      <c r="Q126" s="261" t="s">
        <v>3539</v>
      </c>
    </row>
    <row r="127" spans="1:17" ht="15.75" thickBot="1" x14ac:dyDescent="0.3">
      <c r="A127" s="82" t="s">
        <v>4683</v>
      </c>
      <c r="B127" s="82" t="s">
        <v>4683</v>
      </c>
      <c r="C127" s="82" t="str">
        <f t="shared" si="4"/>
        <v>X</v>
      </c>
      <c r="D127" s="83" t="s">
        <v>1656</v>
      </c>
      <c r="E127" s="83"/>
      <c r="F127" s="85"/>
      <c r="G127" s="82"/>
      <c r="H127" s="82" t="str">
        <f t="shared" si="5"/>
        <v/>
      </c>
      <c r="I127" s="363">
        <v>0</v>
      </c>
      <c r="J127" s="83"/>
      <c r="K127" s="83"/>
      <c r="L127" s="284">
        <v>2022</v>
      </c>
      <c r="M127" s="234" t="s">
        <v>1909</v>
      </c>
      <c r="N127" s="234" t="s">
        <v>1910</v>
      </c>
      <c r="O127" s="234" t="s">
        <v>1911</v>
      </c>
      <c r="P127" s="261" t="s">
        <v>3535</v>
      </c>
      <c r="Q127" s="261" t="s">
        <v>3539</v>
      </c>
    </row>
    <row r="128" spans="1:17" ht="15.75" thickBot="1" x14ac:dyDescent="0.3">
      <c r="A128" s="82" t="s">
        <v>4683</v>
      </c>
      <c r="B128" s="82" t="s">
        <v>4683</v>
      </c>
      <c r="C128" s="82" t="str">
        <f t="shared" si="4"/>
        <v>X</v>
      </c>
      <c r="D128" s="83" t="s">
        <v>1657</v>
      </c>
      <c r="E128" s="83"/>
      <c r="F128" s="85"/>
      <c r="G128" s="82"/>
      <c r="H128" s="82" t="str">
        <f t="shared" si="5"/>
        <v/>
      </c>
      <c r="I128" s="363">
        <v>15825.47</v>
      </c>
      <c r="J128" s="83"/>
      <c r="K128" s="83" t="s">
        <v>1707</v>
      </c>
      <c r="L128" s="284">
        <v>2022</v>
      </c>
      <c r="M128" s="234" t="s">
        <v>1909</v>
      </c>
      <c r="N128" s="234" t="s">
        <v>1910</v>
      </c>
      <c r="O128" s="234" t="s">
        <v>1911</v>
      </c>
      <c r="P128" s="261" t="s">
        <v>3535</v>
      </c>
      <c r="Q128" s="261" t="s">
        <v>3539</v>
      </c>
    </row>
    <row r="129" spans="1:17" ht="15.75" thickBot="1" x14ac:dyDescent="0.3">
      <c r="A129" s="82" t="s">
        <v>4683</v>
      </c>
      <c r="B129" s="82" t="s">
        <v>4683</v>
      </c>
      <c r="C129" s="82" t="str">
        <f t="shared" si="4"/>
        <v>X</v>
      </c>
      <c r="D129" s="83" t="s">
        <v>1670</v>
      </c>
      <c r="E129" s="83"/>
      <c r="F129" s="85"/>
      <c r="G129" s="82"/>
      <c r="H129" s="82" t="str">
        <f t="shared" si="5"/>
        <v/>
      </c>
      <c r="I129" s="363">
        <v>290.3</v>
      </c>
      <c r="J129" s="83"/>
      <c r="K129" s="83" t="s">
        <v>1711</v>
      </c>
      <c r="L129" s="284">
        <v>2022</v>
      </c>
      <c r="M129" s="234" t="s">
        <v>1909</v>
      </c>
      <c r="N129" s="234" t="s">
        <v>1910</v>
      </c>
      <c r="O129" s="234" t="s">
        <v>1911</v>
      </c>
      <c r="P129" s="261" t="s">
        <v>3535</v>
      </c>
      <c r="Q129" s="261" t="s">
        <v>3539</v>
      </c>
    </row>
    <row r="130" spans="1:17" ht="15.75" thickBot="1" x14ac:dyDescent="0.3">
      <c r="A130" s="82" t="s">
        <v>4683</v>
      </c>
      <c r="B130" s="82" t="s">
        <v>4683</v>
      </c>
      <c r="C130" s="82" t="str">
        <f t="shared" si="4"/>
        <v>X</v>
      </c>
      <c r="D130" s="83" t="s">
        <v>3003</v>
      </c>
      <c r="E130" s="83"/>
      <c r="F130" s="85"/>
      <c r="G130" s="82"/>
      <c r="H130" s="82" t="str">
        <f t="shared" si="5"/>
        <v/>
      </c>
      <c r="I130" s="363">
        <v>51720.63</v>
      </c>
      <c r="J130" s="83"/>
      <c r="K130" s="83" t="s">
        <v>1719</v>
      </c>
      <c r="L130" s="284">
        <v>2022</v>
      </c>
      <c r="M130" s="234" t="s">
        <v>1909</v>
      </c>
      <c r="N130" s="234" t="s">
        <v>1910</v>
      </c>
      <c r="O130" s="234" t="s">
        <v>1911</v>
      </c>
      <c r="P130" s="261" t="s">
        <v>3535</v>
      </c>
      <c r="Q130" s="261" t="s">
        <v>3539</v>
      </c>
    </row>
    <row r="131" spans="1:17" ht="15.75" thickBot="1" x14ac:dyDescent="0.3">
      <c r="A131" s="82" t="s">
        <v>4683</v>
      </c>
      <c r="B131" s="82" t="s">
        <v>4683</v>
      </c>
      <c r="C131" s="82" t="str">
        <f t="shared" si="4"/>
        <v>X</v>
      </c>
      <c r="D131" s="83" t="s">
        <v>1658</v>
      </c>
      <c r="E131" s="83"/>
      <c r="F131" s="85"/>
      <c r="G131" s="82"/>
      <c r="H131" s="82" t="str">
        <f t="shared" si="5"/>
        <v/>
      </c>
      <c r="I131" s="363">
        <v>454.33</v>
      </c>
      <c r="J131" s="83"/>
      <c r="K131" s="83" t="s">
        <v>1716</v>
      </c>
      <c r="L131" s="284">
        <v>2022</v>
      </c>
      <c r="M131" s="234" t="s">
        <v>1909</v>
      </c>
      <c r="N131" s="234" t="s">
        <v>1910</v>
      </c>
      <c r="O131" s="234" t="s">
        <v>1911</v>
      </c>
      <c r="P131" s="261" t="s">
        <v>3535</v>
      </c>
      <c r="Q131" s="261" t="s">
        <v>3539</v>
      </c>
    </row>
    <row r="132" spans="1:17" ht="15.75" thickBot="1" x14ac:dyDescent="0.3">
      <c r="A132" s="82" t="s">
        <v>4683</v>
      </c>
      <c r="B132" s="82" t="s">
        <v>4683</v>
      </c>
      <c r="C132" s="82" t="str">
        <f t="shared" ref="C132:C163" si="6">IF(A132=B132,"X",RIGHT(A132,LEN(A132)-LEN(B132)-3))</f>
        <v>X</v>
      </c>
      <c r="D132" s="83" t="s">
        <v>1675</v>
      </c>
      <c r="E132" s="83"/>
      <c r="F132" s="85"/>
      <c r="G132" s="82"/>
      <c r="H132" s="82" t="str">
        <f t="shared" ref="H132:H145" si="7">IFERROR(LEFT(F132,FIND(" ",F132)-1),"")</f>
        <v/>
      </c>
      <c r="I132" s="363">
        <v>4108.93</v>
      </c>
      <c r="J132" s="83"/>
      <c r="K132" s="83" t="s">
        <v>1735</v>
      </c>
      <c r="L132" s="284">
        <v>2022</v>
      </c>
      <c r="M132" s="234" t="s">
        <v>1909</v>
      </c>
      <c r="N132" s="234" t="s">
        <v>1910</v>
      </c>
      <c r="O132" s="234" t="s">
        <v>1911</v>
      </c>
      <c r="P132" s="261" t="s">
        <v>3535</v>
      </c>
      <c r="Q132" s="261" t="s">
        <v>3539</v>
      </c>
    </row>
    <row r="133" spans="1:17" ht="15.75" thickBot="1" x14ac:dyDescent="0.3">
      <c r="A133" s="82" t="s">
        <v>4683</v>
      </c>
      <c r="B133" s="82" t="s">
        <v>4683</v>
      </c>
      <c r="C133" s="82" t="str">
        <f t="shared" si="6"/>
        <v>X</v>
      </c>
      <c r="D133" s="83" t="s">
        <v>1659</v>
      </c>
      <c r="E133" s="83"/>
      <c r="F133" s="85"/>
      <c r="G133" s="82"/>
      <c r="H133" s="82" t="str">
        <f t="shared" si="7"/>
        <v/>
      </c>
      <c r="I133" s="363">
        <v>124935.38</v>
      </c>
      <c r="J133" s="83"/>
      <c r="K133" s="83" t="s">
        <v>1738</v>
      </c>
      <c r="L133" s="284">
        <v>2022</v>
      </c>
      <c r="M133" s="234" t="s">
        <v>1909</v>
      </c>
      <c r="N133" s="234" t="s">
        <v>1910</v>
      </c>
      <c r="O133" s="234" t="s">
        <v>1911</v>
      </c>
      <c r="P133" s="261" t="s">
        <v>3535</v>
      </c>
      <c r="Q133" s="261" t="s">
        <v>3539</v>
      </c>
    </row>
    <row r="134" spans="1:17" ht="15.75" thickBot="1" x14ac:dyDescent="0.3">
      <c r="A134" s="161" t="s">
        <v>3560</v>
      </c>
      <c r="B134" s="82" t="str">
        <f t="shared" ref="B134:B145" si="8">LEFT(A134,IFERROR(FIND(" - ",A134)-1,LEN(A134)))</f>
        <v>Barraqueiro Transportes, S.A.</v>
      </c>
      <c r="C134" s="82" t="str">
        <f t="shared" si="6"/>
        <v>ESEVEL</v>
      </c>
      <c r="D134" s="162" t="s">
        <v>1662</v>
      </c>
      <c r="E134" s="162"/>
      <c r="F134" s="163"/>
      <c r="G134" s="161"/>
      <c r="H134" s="82" t="str">
        <f t="shared" si="7"/>
        <v/>
      </c>
      <c r="I134" s="362">
        <f>SUM(I135:I145)</f>
        <v>1628523.3599999999</v>
      </c>
      <c r="J134" s="162"/>
      <c r="K134" s="162"/>
      <c r="L134" s="284">
        <v>2022</v>
      </c>
      <c r="M134" s="234" t="s">
        <v>1909</v>
      </c>
      <c r="N134" s="234" t="s">
        <v>1910</v>
      </c>
      <c r="O134" s="234" t="s">
        <v>1911</v>
      </c>
      <c r="P134" s="261" t="s">
        <v>3535</v>
      </c>
      <c r="Q134" s="261" t="s">
        <v>3539</v>
      </c>
    </row>
    <row r="135" spans="1:17" ht="15.75" thickBot="1" x14ac:dyDescent="0.3">
      <c r="A135" s="161" t="s">
        <v>3560</v>
      </c>
      <c r="B135" s="82" t="str">
        <f t="shared" si="8"/>
        <v>Barraqueiro Transportes, S.A.</v>
      </c>
      <c r="C135" s="82" t="str">
        <f t="shared" si="6"/>
        <v>ESEVEL</v>
      </c>
      <c r="D135" s="162" t="s">
        <v>1653</v>
      </c>
      <c r="E135" s="162">
        <f>95*2+36-2</f>
        <v>224</v>
      </c>
      <c r="F135" s="163" t="s">
        <v>586</v>
      </c>
      <c r="G135" s="161"/>
      <c r="H135" s="82" t="str">
        <f t="shared" si="7"/>
        <v/>
      </c>
      <c r="I135" s="362">
        <v>36214.089999999997</v>
      </c>
      <c r="J135" s="162"/>
      <c r="K135" s="162" t="s">
        <v>1692</v>
      </c>
      <c r="L135" s="284">
        <v>2022</v>
      </c>
      <c r="M135" s="234" t="s">
        <v>1909</v>
      </c>
      <c r="N135" s="234" t="s">
        <v>1910</v>
      </c>
      <c r="O135" s="234" t="s">
        <v>1911</v>
      </c>
      <c r="P135" s="261" t="s">
        <v>3535</v>
      </c>
      <c r="Q135" s="261" t="s">
        <v>3539</v>
      </c>
    </row>
    <row r="136" spans="1:17" ht="15.75" thickBot="1" x14ac:dyDescent="0.3">
      <c r="A136" s="161" t="s">
        <v>3560</v>
      </c>
      <c r="B136" s="82" t="str">
        <f t="shared" si="8"/>
        <v>Barraqueiro Transportes, S.A.</v>
      </c>
      <c r="C136" s="82" t="str">
        <f t="shared" si="6"/>
        <v>ESEVEL</v>
      </c>
      <c r="D136" s="162" t="s">
        <v>1656</v>
      </c>
      <c r="E136" s="162"/>
      <c r="F136" s="163"/>
      <c r="G136" s="161"/>
      <c r="H136" s="82" t="str">
        <f t="shared" si="7"/>
        <v/>
      </c>
      <c r="I136" s="362">
        <v>1285.8399999999999</v>
      </c>
      <c r="J136" s="162"/>
      <c r="K136" s="162" t="s">
        <v>1695</v>
      </c>
      <c r="L136" s="284">
        <v>2022</v>
      </c>
      <c r="M136" s="234" t="s">
        <v>1909</v>
      </c>
      <c r="N136" s="234" t="s">
        <v>1910</v>
      </c>
      <c r="O136" s="234" t="s">
        <v>1911</v>
      </c>
      <c r="P136" s="261" t="s">
        <v>3535</v>
      </c>
      <c r="Q136" s="261" t="s">
        <v>3539</v>
      </c>
    </row>
    <row r="137" spans="1:17" ht="15.75" thickBot="1" x14ac:dyDescent="0.3">
      <c r="A137" s="161" t="s">
        <v>3560</v>
      </c>
      <c r="B137" s="82" t="str">
        <f t="shared" si="8"/>
        <v>Barraqueiro Transportes, S.A.</v>
      </c>
      <c r="C137" s="82" t="str">
        <f t="shared" si="6"/>
        <v>ESEVEL</v>
      </c>
      <c r="D137" s="162" t="s">
        <v>1655</v>
      </c>
      <c r="E137" s="162"/>
      <c r="F137" s="163"/>
      <c r="G137" s="161"/>
      <c r="H137" s="82" t="str">
        <f t="shared" si="7"/>
        <v/>
      </c>
      <c r="I137" s="362">
        <v>119992</v>
      </c>
      <c r="J137" s="162"/>
      <c r="K137" s="162" t="s">
        <v>1696</v>
      </c>
      <c r="L137" s="284">
        <v>2022</v>
      </c>
      <c r="M137" s="234" t="s">
        <v>1909</v>
      </c>
      <c r="N137" s="234" t="s">
        <v>1910</v>
      </c>
      <c r="O137" s="234" t="s">
        <v>1911</v>
      </c>
      <c r="P137" s="261" t="s">
        <v>3535</v>
      </c>
      <c r="Q137" s="261" t="s">
        <v>3539</v>
      </c>
    </row>
    <row r="138" spans="1:17" ht="15.75" thickBot="1" x14ac:dyDescent="0.3">
      <c r="A138" s="161" t="s">
        <v>3560</v>
      </c>
      <c r="B138" s="82" t="str">
        <f t="shared" si="8"/>
        <v>Barraqueiro Transportes, S.A.</v>
      </c>
      <c r="C138" s="82" t="str">
        <f t="shared" si="6"/>
        <v>ESEVEL</v>
      </c>
      <c r="D138" s="162" t="s">
        <v>1654</v>
      </c>
      <c r="E138" s="162"/>
      <c r="F138" s="163"/>
      <c r="G138" s="161"/>
      <c r="H138" s="82" t="str">
        <f t="shared" si="7"/>
        <v/>
      </c>
      <c r="I138" s="362">
        <v>2928.77</v>
      </c>
      <c r="J138" s="162"/>
      <c r="K138" s="162" t="s">
        <v>1703</v>
      </c>
      <c r="L138" s="284">
        <v>2022</v>
      </c>
      <c r="M138" s="234" t="s">
        <v>1909</v>
      </c>
      <c r="N138" s="234" t="s">
        <v>1910</v>
      </c>
      <c r="O138" s="234" t="s">
        <v>1911</v>
      </c>
      <c r="P138" s="261" t="s">
        <v>3535</v>
      </c>
      <c r="Q138" s="261" t="s">
        <v>3539</v>
      </c>
    </row>
    <row r="139" spans="1:17" ht="15.75" thickBot="1" x14ac:dyDescent="0.3">
      <c r="A139" s="161" t="s">
        <v>3560</v>
      </c>
      <c r="B139" s="82" t="str">
        <f t="shared" si="8"/>
        <v>Barraqueiro Transportes, S.A.</v>
      </c>
      <c r="C139" s="82" t="str">
        <f t="shared" si="6"/>
        <v>ESEVEL</v>
      </c>
      <c r="D139" s="162" t="s">
        <v>1657</v>
      </c>
      <c r="E139" s="162"/>
      <c r="F139" s="163"/>
      <c r="G139" s="161"/>
      <c r="H139" s="82" t="str">
        <f t="shared" si="7"/>
        <v/>
      </c>
      <c r="I139" s="362">
        <v>206621.01</v>
      </c>
      <c r="J139" s="162"/>
      <c r="K139" s="162" t="s">
        <v>1709</v>
      </c>
      <c r="L139" s="284">
        <v>2022</v>
      </c>
      <c r="M139" s="234" t="s">
        <v>1909</v>
      </c>
      <c r="N139" s="234" t="s">
        <v>1910</v>
      </c>
      <c r="O139" s="234" t="s">
        <v>1911</v>
      </c>
      <c r="P139" s="261" t="s">
        <v>3535</v>
      </c>
      <c r="Q139" s="261" t="s">
        <v>3539</v>
      </c>
    </row>
    <row r="140" spans="1:17" ht="15.75" thickBot="1" x14ac:dyDescent="0.3">
      <c r="A140" s="161" t="s">
        <v>3560</v>
      </c>
      <c r="B140" s="82" t="str">
        <f t="shared" si="8"/>
        <v>Barraqueiro Transportes, S.A.</v>
      </c>
      <c r="C140" s="82" t="str">
        <f t="shared" si="6"/>
        <v>ESEVEL</v>
      </c>
      <c r="D140" s="162" t="s">
        <v>1670</v>
      </c>
      <c r="E140" s="162"/>
      <c r="F140" s="163"/>
      <c r="G140" s="161"/>
      <c r="H140" s="82" t="str">
        <f t="shared" si="7"/>
        <v/>
      </c>
      <c r="I140" s="362">
        <v>2183.0500000000002</v>
      </c>
      <c r="J140" s="162"/>
      <c r="K140" s="162" t="s">
        <v>1710</v>
      </c>
      <c r="L140" s="284">
        <v>2022</v>
      </c>
      <c r="M140" s="234" t="s">
        <v>1909</v>
      </c>
      <c r="N140" s="234" t="s">
        <v>1910</v>
      </c>
      <c r="O140" s="234" t="s">
        <v>1911</v>
      </c>
      <c r="P140" s="261" t="s">
        <v>3535</v>
      </c>
      <c r="Q140" s="261" t="s">
        <v>3539</v>
      </c>
    </row>
    <row r="141" spans="1:17" ht="15.75" thickBot="1" x14ac:dyDescent="0.3">
      <c r="A141" s="161" t="s">
        <v>3560</v>
      </c>
      <c r="B141" s="82" t="str">
        <f t="shared" si="8"/>
        <v>Barraqueiro Transportes, S.A.</v>
      </c>
      <c r="C141" s="82" t="str">
        <f t="shared" si="6"/>
        <v>ESEVEL</v>
      </c>
      <c r="D141" s="162" t="s">
        <v>1658</v>
      </c>
      <c r="E141" s="162"/>
      <c r="F141" s="163"/>
      <c r="G141" s="161"/>
      <c r="H141" s="82" t="str">
        <f t="shared" si="7"/>
        <v/>
      </c>
      <c r="I141" s="362">
        <v>4871.08</v>
      </c>
      <c r="J141" s="162"/>
      <c r="K141" s="162" t="s">
        <v>1717</v>
      </c>
      <c r="L141" s="284">
        <v>2022</v>
      </c>
      <c r="M141" s="234" t="s">
        <v>1909</v>
      </c>
      <c r="N141" s="234" t="s">
        <v>1910</v>
      </c>
      <c r="O141" s="234" t="s">
        <v>1911</v>
      </c>
      <c r="P141" s="261" t="s">
        <v>3535</v>
      </c>
      <c r="Q141" s="261" t="s">
        <v>3539</v>
      </c>
    </row>
    <row r="142" spans="1:17" ht="15.75" thickBot="1" x14ac:dyDescent="0.3">
      <c r="A142" s="161" t="s">
        <v>3560</v>
      </c>
      <c r="B142" s="82" t="str">
        <f t="shared" si="8"/>
        <v>Barraqueiro Transportes, S.A.</v>
      </c>
      <c r="C142" s="82" t="str">
        <f t="shared" si="6"/>
        <v>ESEVEL</v>
      </c>
      <c r="D142" s="83" t="s">
        <v>3003</v>
      </c>
      <c r="E142" s="162"/>
      <c r="F142" s="163"/>
      <c r="G142" s="161"/>
      <c r="H142" s="82" t="str">
        <f t="shared" si="7"/>
        <v/>
      </c>
      <c r="I142" s="362">
        <v>410809.01</v>
      </c>
      <c r="J142" s="162"/>
      <c r="K142" s="162" t="s">
        <v>1718</v>
      </c>
      <c r="L142" s="284">
        <v>2022</v>
      </c>
      <c r="M142" s="234" t="s">
        <v>1909</v>
      </c>
      <c r="N142" s="234" t="s">
        <v>1910</v>
      </c>
      <c r="O142" s="234" t="s">
        <v>1911</v>
      </c>
      <c r="P142" s="261" t="s">
        <v>3535</v>
      </c>
      <c r="Q142" s="261" t="s">
        <v>3539</v>
      </c>
    </row>
    <row r="143" spans="1:17" ht="15.75" thickBot="1" x14ac:dyDescent="0.3">
      <c r="A143" s="161" t="s">
        <v>3560</v>
      </c>
      <c r="B143" s="82" t="str">
        <f t="shared" si="8"/>
        <v>Barraqueiro Transportes, S.A.</v>
      </c>
      <c r="C143" s="82" t="str">
        <f t="shared" si="6"/>
        <v>ESEVEL</v>
      </c>
      <c r="D143" s="162" t="s">
        <v>1661</v>
      </c>
      <c r="E143" s="162"/>
      <c r="F143" s="163"/>
      <c r="G143" s="161"/>
      <c r="H143" s="82" t="str">
        <f t="shared" si="7"/>
        <v/>
      </c>
      <c r="I143" s="362">
        <v>40397.51</v>
      </c>
      <c r="J143" s="162"/>
      <c r="K143" s="162" t="s">
        <v>1731</v>
      </c>
      <c r="L143" s="284">
        <v>2022</v>
      </c>
      <c r="M143" s="234" t="s">
        <v>1909</v>
      </c>
      <c r="N143" s="234" t="s">
        <v>1910</v>
      </c>
      <c r="O143" s="234" t="s">
        <v>1911</v>
      </c>
      <c r="P143" s="261" t="s">
        <v>3535</v>
      </c>
      <c r="Q143" s="261" t="s">
        <v>3539</v>
      </c>
    </row>
    <row r="144" spans="1:17" ht="15.75" thickBot="1" x14ac:dyDescent="0.3">
      <c r="A144" s="161" t="s">
        <v>3560</v>
      </c>
      <c r="B144" s="82" t="str">
        <f t="shared" si="8"/>
        <v>Barraqueiro Transportes, S.A.</v>
      </c>
      <c r="C144" s="82" t="str">
        <f t="shared" si="6"/>
        <v>ESEVEL</v>
      </c>
      <c r="D144" s="162" t="s">
        <v>1675</v>
      </c>
      <c r="E144" s="162"/>
      <c r="F144" s="163"/>
      <c r="G144" s="161"/>
      <c r="H144" s="82" t="str">
        <f t="shared" si="7"/>
        <v/>
      </c>
      <c r="I144" s="362">
        <v>68537.3</v>
      </c>
      <c r="J144" s="162"/>
      <c r="K144" s="162" t="s">
        <v>1736</v>
      </c>
      <c r="L144" s="284">
        <v>2022</v>
      </c>
      <c r="M144" s="234" t="s">
        <v>1909</v>
      </c>
      <c r="N144" s="234" t="s">
        <v>1910</v>
      </c>
      <c r="O144" s="234" t="s">
        <v>1911</v>
      </c>
      <c r="P144" s="261" t="s">
        <v>3535</v>
      </c>
      <c r="Q144" s="261" t="s">
        <v>3539</v>
      </c>
    </row>
    <row r="145" spans="1:17" ht="15.75" thickBot="1" x14ac:dyDescent="0.3">
      <c r="A145" s="161" t="s">
        <v>3560</v>
      </c>
      <c r="B145" s="82" t="str">
        <f t="shared" si="8"/>
        <v>Barraqueiro Transportes, S.A.</v>
      </c>
      <c r="C145" s="82" t="str">
        <f t="shared" si="6"/>
        <v>ESEVEL</v>
      </c>
      <c r="D145" s="162" t="s">
        <v>1659</v>
      </c>
      <c r="E145" s="162"/>
      <c r="F145" s="163"/>
      <c r="G145" s="161"/>
      <c r="H145" s="82" t="str">
        <f t="shared" si="7"/>
        <v/>
      </c>
      <c r="I145" s="362">
        <v>734683.7</v>
      </c>
      <c r="J145" s="162"/>
      <c r="K145" s="162" t="s">
        <v>1737</v>
      </c>
      <c r="L145" s="284">
        <v>2022</v>
      </c>
      <c r="M145" s="234" t="s">
        <v>1909</v>
      </c>
      <c r="N145" s="234" t="s">
        <v>1910</v>
      </c>
      <c r="O145" s="234" t="s">
        <v>1911</v>
      </c>
      <c r="P145" s="261" t="s">
        <v>3535</v>
      </c>
      <c r="Q145" s="261" t="s">
        <v>3539</v>
      </c>
    </row>
    <row r="146" spans="1:17" ht="15.75" thickBot="1" x14ac:dyDescent="0.3">
      <c r="A146" s="82" t="s">
        <v>1929</v>
      </c>
      <c r="B146" s="82" t="s">
        <v>1929</v>
      </c>
      <c r="C146" s="82" t="str">
        <f t="shared" si="6"/>
        <v>X</v>
      </c>
      <c r="D146" s="83" t="s">
        <v>1681</v>
      </c>
      <c r="E146" s="83">
        <v>14156</v>
      </c>
      <c r="F146" s="163" t="s">
        <v>586</v>
      </c>
      <c r="G146" s="161"/>
      <c r="H146" s="82" t="str">
        <f t="shared" ref="H146:H167" si="9">IFERROR(LEFT(F146,FIND(" ",F146)-1),"")</f>
        <v/>
      </c>
      <c r="I146" s="361">
        <v>297127.13</v>
      </c>
      <c r="J146" s="162"/>
      <c r="K146" s="162"/>
      <c r="L146" s="284">
        <v>2022</v>
      </c>
      <c r="M146" s="234" t="s">
        <v>1909</v>
      </c>
      <c r="N146" s="234" t="s">
        <v>1910</v>
      </c>
      <c r="O146" s="234" t="s">
        <v>1911</v>
      </c>
      <c r="P146" s="261" t="s">
        <v>3535</v>
      </c>
      <c r="Q146" s="261" t="s">
        <v>3539</v>
      </c>
    </row>
    <row r="147" spans="1:17" ht="15.75" thickBot="1" x14ac:dyDescent="0.3">
      <c r="A147" s="82" t="s">
        <v>1929</v>
      </c>
      <c r="B147" s="82" t="s">
        <v>1929</v>
      </c>
      <c r="C147" s="82" t="str">
        <f t="shared" si="6"/>
        <v>X</v>
      </c>
      <c r="D147" s="83" t="s">
        <v>1655</v>
      </c>
      <c r="E147" s="83">
        <v>178</v>
      </c>
      <c r="F147" s="163" t="s">
        <v>586</v>
      </c>
      <c r="G147" s="161"/>
      <c r="H147" s="82" t="str">
        <f t="shared" si="9"/>
        <v/>
      </c>
      <c r="I147" s="361">
        <v>37006.19</v>
      </c>
      <c r="J147" s="162"/>
      <c r="K147" s="162"/>
      <c r="L147" s="284">
        <v>2022</v>
      </c>
      <c r="M147" s="234" t="s">
        <v>1909</v>
      </c>
      <c r="N147" s="234" t="s">
        <v>1910</v>
      </c>
      <c r="O147" s="234" t="s">
        <v>1911</v>
      </c>
      <c r="P147" s="261" t="s">
        <v>3535</v>
      </c>
      <c r="Q147" s="261" t="s">
        <v>3539</v>
      </c>
    </row>
    <row r="148" spans="1:17" ht="15.75" thickBot="1" x14ac:dyDescent="0.3">
      <c r="A148" s="82" t="s">
        <v>1929</v>
      </c>
      <c r="B148" s="82" t="s">
        <v>1929</v>
      </c>
      <c r="C148" s="82" t="str">
        <f t="shared" si="6"/>
        <v>X</v>
      </c>
      <c r="D148" s="83" t="s">
        <v>1653</v>
      </c>
      <c r="E148" s="83">
        <v>291</v>
      </c>
      <c r="F148" s="163" t="s">
        <v>586</v>
      </c>
      <c r="G148" s="161"/>
      <c r="H148" s="82" t="str">
        <f t="shared" si="9"/>
        <v/>
      </c>
      <c r="I148" s="361">
        <v>49476.23</v>
      </c>
      <c r="J148" s="162"/>
      <c r="K148" s="162"/>
      <c r="L148" s="284">
        <v>2022</v>
      </c>
      <c r="M148" s="234" t="s">
        <v>1909</v>
      </c>
      <c r="N148" s="234" t="s">
        <v>1910</v>
      </c>
      <c r="O148" s="234" t="s">
        <v>1911</v>
      </c>
      <c r="P148" s="261" t="s">
        <v>3535</v>
      </c>
      <c r="Q148" s="261" t="s">
        <v>3539</v>
      </c>
    </row>
    <row r="149" spans="1:17" ht="15.75" thickBot="1" x14ac:dyDescent="0.3">
      <c r="A149" s="82" t="s">
        <v>1929</v>
      </c>
      <c r="B149" s="82" t="s">
        <v>1929</v>
      </c>
      <c r="C149" s="82" t="str">
        <f t="shared" si="6"/>
        <v>X</v>
      </c>
      <c r="D149" s="83" t="s">
        <v>1658</v>
      </c>
      <c r="E149" s="83">
        <v>73</v>
      </c>
      <c r="F149" s="163" t="s">
        <v>586</v>
      </c>
      <c r="G149" s="161"/>
      <c r="H149" s="82" t="str">
        <f t="shared" si="9"/>
        <v/>
      </c>
      <c r="I149" s="361">
        <v>516.85</v>
      </c>
      <c r="J149" s="162"/>
      <c r="K149" s="162"/>
      <c r="L149" s="284">
        <v>2022</v>
      </c>
      <c r="M149" s="234" t="s">
        <v>1909</v>
      </c>
      <c r="N149" s="234" t="s">
        <v>1910</v>
      </c>
      <c r="O149" s="234" t="s">
        <v>1911</v>
      </c>
      <c r="P149" s="261" t="s">
        <v>3535</v>
      </c>
      <c r="Q149" s="261" t="s">
        <v>3539</v>
      </c>
    </row>
    <row r="150" spans="1:17" ht="15.75" thickBot="1" x14ac:dyDescent="0.3">
      <c r="A150" s="82" t="s">
        <v>1929</v>
      </c>
      <c r="B150" s="82" t="s">
        <v>1929</v>
      </c>
      <c r="C150" s="82" t="str">
        <f t="shared" si="6"/>
        <v>X</v>
      </c>
      <c r="D150" s="83" t="s">
        <v>3004</v>
      </c>
      <c r="E150" s="83">
        <v>394</v>
      </c>
      <c r="F150" s="163" t="s">
        <v>586</v>
      </c>
      <c r="G150" s="161"/>
      <c r="H150" s="82" t="str">
        <f t="shared" si="9"/>
        <v/>
      </c>
      <c r="I150" s="361">
        <v>4028.12</v>
      </c>
      <c r="J150" s="162"/>
      <c r="K150" s="162"/>
      <c r="L150" s="284">
        <v>2022</v>
      </c>
      <c r="M150" s="234" t="s">
        <v>1909</v>
      </c>
      <c r="N150" s="234" t="s">
        <v>1910</v>
      </c>
      <c r="O150" s="234" t="s">
        <v>1911</v>
      </c>
      <c r="P150" s="261" t="s">
        <v>3535</v>
      </c>
      <c r="Q150" s="261" t="s">
        <v>3539</v>
      </c>
    </row>
    <row r="151" spans="1:17" ht="15.75" thickBot="1" x14ac:dyDescent="0.3">
      <c r="A151" s="82" t="s">
        <v>1929</v>
      </c>
      <c r="B151" s="82" t="s">
        <v>1929</v>
      </c>
      <c r="C151" s="82" t="str">
        <f t="shared" si="6"/>
        <v>X</v>
      </c>
      <c r="D151" s="83" t="s">
        <v>3003</v>
      </c>
      <c r="E151" s="82" t="str">
        <f t="shared" ref="E151:E167" si="10">IFERROR(LEFT(C151,FIND(" ",C151)-1),"")</f>
        <v/>
      </c>
      <c r="F151" s="163"/>
      <c r="G151" s="161"/>
      <c r="H151" s="82" t="str">
        <f t="shared" si="9"/>
        <v/>
      </c>
      <c r="I151" s="361">
        <v>167425.41999999998</v>
      </c>
      <c r="J151" s="83" t="s">
        <v>3005</v>
      </c>
      <c r="K151" s="162"/>
      <c r="L151" s="284">
        <v>2022</v>
      </c>
      <c r="M151" s="234" t="s">
        <v>1909</v>
      </c>
      <c r="N151" s="234" t="s">
        <v>1910</v>
      </c>
      <c r="O151" s="234" t="s">
        <v>1911</v>
      </c>
      <c r="P151" s="261" t="s">
        <v>3535</v>
      </c>
      <c r="Q151" s="261" t="s">
        <v>3539</v>
      </c>
    </row>
    <row r="152" spans="1:17" ht="15.75" thickBot="1" x14ac:dyDescent="0.3">
      <c r="A152" s="82" t="s">
        <v>1929</v>
      </c>
      <c r="B152" s="82" t="s">
        <v>1929</v>
      </c>
      <c r="C152" s="82" t="str">
        <f t="shared" si="6"/>
        <v>X</v>
      </c>
      <c r="D152" s="83" t="s">
        <v>3003</v>
      </c>
      <c r="E152" s="82" t="str">
        <f t="shared" si="10"/>
        <v/>
      </c>
      <c r="F152" s="163"/>
      <c r="G152" s="161"/>
      <c r="H152" s="82" t="str">
        <f t="shared" si="9"/>
        <v/>
      </c>
      <c r="I152" s="361">
        <v>140812.68</v>
      </c>
      <c r="J152" s="83" t="s">
        <v>3006</v>
      </c>
      <c r="K152" s="162"/>
      <c r="L152" s="284">
        <v>2022</v>
      </c>
      <c r="M152" s="234" t="s">
        <v>1909</v>
      </c>
      <c r="N152" s="234" t="s">
        <v>1910</v>
      </c>
      <c r="O152" s="234" t="s">
        <v>1911</v>
      </c>
      <c r="P152" s="261" t="s">
        <v>3535</v>
      </c>
      <c r="Q152" s="261" t="s">
        <v>3539</v>
      </c>
    </row>
    <row r="153" spans="1:17" ht="15.75" thickBot="1" x14ac:dyDescent="0.3">
      <c r="A153" s="82" t="s">
        <v>1929</v>
      </c>
      <c r="B153" s="82" t="s">
        <v>1929</v>
      </c>
      <c r="C153" s="82" t="str">
        <f t="shared" si="6"/>
        <v>X</v>
      </c>
      <c r="D153" s="83" t="s">
        <v>3003</v>
      </c>
      <c r="E153" s="82" t="str">
        <f t="shared" si="10"/>
        <v/>
      </c>
      <c r="F153" s="163"/>
      <c r="G153" s="161"/>
      <c r="H153" s="82" t="str">
        <f t="shared" si="9"/>
        <v/>
      </c>
      <c r="I153" s="361">
        <v>18822.480000000003</v>
      </c>
      <c r="J153" s="83" t="s">
        <v>3007</v>
      </c>
      <c r="K153" s="162"/>
      <c r="L153" s="284">
        <v>2022</v>
      </c>
      <c r="M153" s="234" t="s">
        <v>1909</v>
      </c>
      <c r="N153" s="234" t="s">
        <v>1910</v>
      </c>
      <c r="O153" s="234" t="s">
        <v>1911</v>
      </c>
      <c r="P153" s="261" t="s">
        <v>3535</v>
      </c>
      <c r="Q153" s="261" t="s">
        <v>3539</v>
      </c>
    </row>
    <row r="154" spans="1:17" ht="15.75" thickBot="1" x14ac:dyDescent="0.3">
      <c r="A154" s="82" t="s">
        <v>1929</v>
      </c>
      <c r="B154" s="82" t="s">
        <v>1929</v>
      </c>
      <c r="C154" s="82" t="str">
        <f t="shared" si="6"/>
        <v>X</v>
      </c>
      <c r="D154" s="83" t="s">
        <v>3003</v>
      </c>
      <c r="E154" s="82" t="str">
        <f t="shared" si="10"/>
        <v/>
      </c>
      <c r="F154" s="163"/>
      <c r="G154" s="161"/>
      <c r="H154" s="82" t="str">
        <f t="shared" si="9"/>
        <v/>
      </c>
      <c r="I154" s="361">
        <v>69181.78</v>
      </c>
      <c r="J154" s="83" t="s">
        <v>3008</v>
      </c>
      <c r="K154" s="162"/>
      <c r="L154" s="284">
        <v>2022</v>
      </c>
      <c r="M154" s="234" t="s">
        <v>1909</v>
      </c>
      <c r="N154" s="234" t="s">
        <v>1910</v>
      </c>
      <c r="O154" s="234" t="s">
        <v>1911</v>
      </c>
      <c r="P154" s="261" t="s">
        <v>3535</v>
      </c>
      <c r="Q154" s="261" t="s">
        <v>3539</v>
      </c>
    </row>
    <row r="155" spans="1:17" ht="15.75" thickBot="1" x14ac:dyDescent="0.3">
      <c r="A155" s="82" t="s">
        <v>1929</v>
      </c>
      <c r="B155" s="82" t="s">
        <v>1929</v>
      </c>
      <c r="C155" s="82" t="str">
        <f t="shared" si="6"/>
        <v>X</v>
      </c>
      <c r="D155" s="83" t="s">
        <v>3003</v>
      </c>
      <c r="E155" s="82" t="str">
        <f t="shared" si="10"/>
        <v/>
      </c>
      <c r="F155" s="163"/>
      <c r="G155" s="161"/>
      <c r="H155" s="82" t="str">
        <f t="shared" si="9"/>
        <v/>
      </c>
      <c r="I155" s="361">
        <v>41907.899999999994</v>
      </c>
      <c r="J155" s="83" t="s">
        <v>3009</v>
      </c>
      <c r="K155" s="162"/>
      <c r="L155" s="284">
        <v>2022</v>
      </c>
      <c r="M155" s="234" t="s">
        <v>1909</v>
      </c>
      <c r="N155" s="234" t="s">
        <v>1910</v>
      </c>
      <c r="O155" s="234" t="s">
        <v>1911</v>
      </c>
      <c r="P155" s="261" t="s">
        <v>3535</v>
      </c>
      <c r="Q155" s="261" t="s">
        <v>3539</v>
      </c>
    </row>
    <row r="156" spans="1:17" ht="15.75" thickBot="1" x14ac:dyDescent="0.3">
      <c r="A156" s="82" t="s">
        <v>1929</v>
      </c>
      <c r="B156" s="82" t="s">
        <v>1929</v>
      </c>
      <c r="C156" s="82" t="str">
        <f t="shared" si="6"/>
        <v>X</v>
      </c>
      <c r="D156" s="83" t="s">
        <v>3003</v>
      </c>
      <c r="E156" s="82" t="str">
        <f t="shared" si="10"/>
        <v/>
      </c>
      <c r="F156" s="163"/>
      <c r="G156" s="161"/>
      <c r="H156" s="82" t="str">
        <f t="shared" si="9"/>
        <v/>
      </c>
      <c r="I156" s="361">
        <v>38974.01</v>
      </c>
      <c r="J156" s="83" t="s">
        <v>3010</v>
      </c>
      <c r="K156" s="162"/>
      <c r="L156" s="284">
        <v>2022</v>
      </c>
      <c r="M156" s="234" t="s">
        <v>1909</v>
      </c>
      <c r="N156" s="234" t="s">
        <v>1910</v>
      </c>
      <c r="O156" s="234" t="s">
        <v>1911</v>
      </c>
      <c r="P156" s="261" t="s">
        <v>3535</v>
      </c>
      <c r="Q156" s="261" t="s">
        <v>3539</v>
      </c>
    </row>
    <row r="157" spans="1:17" ht="15.75" thickBot="1" x14ac:dyDescent="0.3">
      <c r="A157" s="82" t="s">
        <v>1929</v>
      </c>
      <c r="B157" s="82" t="s">
        <v>1929</v>
      </c>
      <c r="C157" s="82" t="str">
        <f t="shared" si="6"/>
        <v>X</v>
      </c>
      <c r="D157" s="83" t="s">
        <v>3003</v>
      </c>
      <c r="E157" s="82" t="str">
        <f t="shared" si="10"/>
        <v/>
      </c>
      <c r="F157" s="163"/>
      <c r="G157" s="161"/>
      <c r="H157" s="82" t="str">
        <f t="shared" si="9"/>
        <v/>
      </c>
      <c r="I157" s="361">
        <v>57476.899999999994</v>
      </c>
      <c r="J157" s="83" t="s">
        <v>3011</v>
      </c>
      <c r="K157" s="162"/>
      <c r="L157" s="284">
        <v>2022</v>
      </c>
      <c r="M157" s="234" t="s">
        <v>1909</v>
      </c>
      <c r="N157" s="234" t="s">
        <v>1910</v>
      </c>
      <c r="O157" s="234" t="s">
        <v>1911</v>
      </c>
      <c r="P157" s="261" t="s">
        <v>3535</v>
      </c>
      <c r="Q157" s="261" t="s">
        <v>3539</v>
      </c>
    </row>
    <row r="158" spans="1:17" ht="15.75" thickBot="1" x14ac:dyDescent="0.3">
      <c r="A158" s="82" t="s">
        <v>1929</v>
      </c>
      <c r="B158" s="82" t="s">
        <v>1929</v>
      </c>
      <c r="C158" s="82" t="str">
        <f t="shared" si="6"/>
        <v>X</v>
      </c>
      <c r="D158" s="83" t="s">
        <v>3003</v>
      </c>
      <c r="E158" s="82" t="str">
        <f t="shared" si="10"/>
        <v/>
      </c>
      <c r="F158" s="163"/>
      <c r="G158" s="161"/>
      <c r="H158" s="82" t="str">
        <f t="shared" si="9"/>
        <v/>
      </c>
      <c r="I158" s="361">
        <v>10518.630000000001</v>
      </c>
      <c r="J158" s="83" t="s">
        <v>3012</v>
      </c>
      <c r="K158" s="162"/>
      <c r="L158" s="284">
        <v>2022</v>
      </c>
      <c r="M158" s="234" t="s">
        <v>1909</v>
      </c>
      <c r="N158" s="234" t="s">
        <v>1910</v>
      </c>
      <c r="O158" s="234" t="s">
        <v>1911</v>
      </c>
      <c r="P158" s="261" t="s">
        <v>3535</v>
      </c>
      <c r="Q158" s="261" t="s">
        <v>3539</v>
      </c>
    </row>
    <row r="159" spans="1:17" ht="15.75" thickBot="1" x14ac:dyDescent="0.3">
      <c r="A159" s="82" t="s">
        <v>1929</v>
      </c>
      <c r="B159" s="82" t="s">
        <v>1929</v>
      </c>
      <c r="C159" s="82" t="str">
        <f t="shared" si="6"/>
        <v>X</v>
      </c>
      <c r="D159" s="83" t="s">
        <v>3003</v>
      </c>
      <c r="E159" s="82" t="str">
        <f t="shared" si="10"/>
        <v/>
      </c>
      <c r="F159" s="163"/>
      <c r="G159" s="161"/>
      <c r="H159" s="82" t="str">
        <f t="shared" si="9"/>
        <v/>
      </c>
      <c r="I159" s="361">
        <v>22993.49</v>
      </c>
      <c r="J159" s="83" t="s">
        <v>3013</v>
      </c>
      <c r="K159" s="162"/>
      <c r="L159" s="284">
        <v>2022</v>
      </c>
      <c r="M159" s="234" t="s">
        <v>1909</v>
      </c>
      <c r="N159" s="234" t="s">
        <v>1910</v>
      </c>
      <c r="O159" s="234" t="s">
        <v>1911</v>
      </c>
      <c r="P159" s="261" t="s">
        <v>3535</v>
      </c>
      <c r="Q159" s="261" t="s">
        <v>3539</v>
      </c>
    </row>
    <row r="160" spans="1:17" ht="15.75" thickBot="1" x14ac:dyDescent="0.3">
      <c r="A160" s="82" t="s">
        <v>1929</v>
      </c>
      <c r="B160" s="82" t="s">
        <v>1929</v>
      </c>
      <c r="C160" s="82" t="str">
        <f t="shared" si="6"/>
        <v>X</v>
      </c>
      <c r="D160" s="83" t="s">
        <v>1675</v>
      </c>
      <c r="E160" s="82" t="str">
        <f t="shared" si="10"/>
        <v/>
      </c>
      <c r="F160" s="163"/>
      <c r="G160" s="161"/>
      <c r="H160" s="82" t="str">
        <f t="shared" si="9"/>
        <v/>
      </c>
      <c r="I160" s="361">
        <v>27813.66</v>
      </c>
      <c r="J160" s="83" t="s">
        <v>3014</v>
      </c>
      <c r="K160" s="162"/>
      <c r="L160" s="284">
        <v>2022</v>
      </c>
      <c r="M160" s="234" t="s">
        <v>1909</v>
      </c>
      <c r="N160" s="234" t="s">
        <v>1910</v>
      </c>
      <c r="O160" s="234" t="s">
        <v>1911</v>
      </c>
      <c r="P160" s="261" t="s">
        <v>3535</v>
      </c>
      <c r="Q160" s="261" t="s">
        <v>3539</v>
      </c>
    </row>
    <row r="161" spans="1:17" ht="15.75" thickBot="1" x14ac:dyDescent="0.3">
      <c r="A161" s="82" t="s">
        <v>1929</v>
      </c>
      <c r="B161" s="82" t="s">
        <v>1929</v>
      </c>
      <c r="C161" s="82" t="str">
        <f t="shared" si="6"/>
        <v>X</v>
      </c>
      <c r="D161" s="83" t="s">
        <v>1675</v>
      </c>
      <c r="E161" s="82" t="str">
        <f t="shared" si="10"/>
        <v/>
      </c>
      <c r="F161" s="163"/>
      <c r="G161" s="161"/>
      <c r="H161" s="82" t="str">
        <f t="shared" si="9"/>
        <v/>
      </c>
      <c r="I161" s="361">
        <v>42187.81</v>
      </c>
      <c r="J161" s="83" t="s">
        <v>3015</v>
      </c>
      <c r="K161" s="162"/>
      <c r="L161" s="284">
        <v>2022</v>
      </c>
      <c r="M161" s="234" t="s">
        <v>1909</v>
      </c>
      <c r="N161" s="234" t="s">
        <v>1910</v>
      </c>
      <c r="O161" s="234" t="s">
        <v>1911</v>
      </c>
      <c r="P161" s="261" t="s">
        <v>3535</v>
      </c>
      <c r="Q161" s="261" t="s">
        <v>3539</v>
      </c>
    </row>
    <row r="162" spans="1:17" ht="15.75" thickBot="1" x14ac:dyDescent="0.3">
      <c r="A162" s="82" t="s">
        <v>1929</v>
      </c>
      <c r="B162" s="82" t="s">
        <v>1929</v>
      </c>
      <c r="C162" s="82" t="str">
        <f t="shared" si="6"/>
        <v>X</v>
      </c>
      <c r="D162" s="83" t="s">
        <v>1675</v>
      </c>
      <c r="E162" s="82" t="str">
        <f t="shared" si="10"/>
        <v/>
      </c>
      <c r="F162" s="163"/>
      <c r="G162" s="161"/>
      <c r="H162" s="82" t="str">
        <f t="shared" si="9"/>
        <v/>
      </c>
      <c r="I162" s="361">
        <v>94695.390000000014</v>
      </c>
      <c r="J162" s="83" t="s">
        <v>3016</v>
      </c>
      <c r="K162" s="162"/>
      <c r="L162" s="284">
        <v>2022</v>
      </c>
      <c r="M162" s="234" t="s">
        <v>1909</v>
      </c>
      <c r="N162" s="234" t="s">
        <v>1910</v>
      </c>
      <c r="O162" s="234" t="s">
        <v>1911</v>
      </c>
      <c r="P162" s="261" t="s">
        <v>3535</v>
      </c>
      <c r="Q162" s="261" t="s">
        <v>3539</v>
      </c>
    </row>
    <row r="163" spans="1:17" ht="15.75" thickBot="1" x14ac:dyDescent="0.3">
      <c r="A163" s="82" t="s">
        <v>1929</v>
      </c>
      <c r="B163" s="82" t="s">
        <v>1929</v>
      </c>
      <c r="C163" s="82" t="str">
        <f t="shared" si="6"/>
        <v>X</v>
      </c>
      <c r="D163" s="83" t="s">
        <v>1675</v>
      </c>
      <c r="E163" s="82" t="str">
        <f t="shared" si="10"/>
        <v/>
      </c>
      <c r="F163" s="163"/>
      <c r="G163" s="161"/>
      <c r="H163" s="82" t="str">
        <f t="shared" si="9"/>
        <v/>
      </c>
      <c r="I163" s="361">
        <v>96808.909999999989</v>
      </c>
      <c r="J163" s="83" t="s">
        <v>3017</v>
      </c>
      <c r="K163" s="162"/>
      <c r="L163" s="284">
        <v>2022</v>
      </c>
      <c r="M163" s="234" t="s">
        <v>1909</v>
      </c>
      <c r="N163" s="234" t="s">
        <v>1910</v>
      </c>
      <c r="O163" s="234" t="s">
        <v>1911</v>
      </c>
      <c r="P163" s="261" t="s">
        <v>3535</v>
      </c>
      <c r="Q163" s="261" t="s">
        <v>3539</v>
      </c>
    </row>
    <row r="164" spans="1:17" ht="15.75" thickBot="1" x14ac:dyDescent="0.3">
      <c r="A164" s="82" t="s">
        <v>1929</v>
      </c>
      <c r="B164" s="82" t="s">
        <v>1929</v>
      </c>
      <c r="C164" s="82" t="str">
        <f>IF(A164=B164,"X",RIGHT(A164,LEN(A164)-LEN(B164)-3))</f>
        <v>X</v>
      </c>
      <c r="D164" s="162" t="s">
        <v>1659</v>
      </c>
      <c r="E164" s="82" t="str">
        <f t="shared" si="10"/>
        <v/>
      </c>
      <c r="F164" s="163"/>
      <c r="G164" s="161"/>
      <c r="H164" s="82" t="str">
        <f t="shared" si="9"/>
        <v/>
      </c>
      <c r="I164" s="361">
        <v>60275.759999999995</v>
      </c>
      <c r="J164" s="83" t="s">
        <v>3018</v>
      </c>
      <c r="K164" s="162"/>
      <c r="L164" s="284">
        <v>2022</v>
      </c>
      <c r="M164" s="234" t="s">
        <v>1909</v>
      </c>
      <c r="N164" s="234" t="s">
        <v>1910</v>
      </c>
      <c r="O164" s="234" t="s">
        <v>1911</v>
      </c>
      <c r="P164" s="261" t="s">
        <v>3535</v>
      </c>
      <c r="Q164" s="261" t="s">
        <v>3539</v>
      </c>
    </row>
    <row r="165" spans="1:17" ht="15.75" thickBot="1" x14ac:dyDescent="0.3">
      <c r="A165" s="82" t="s">
        <v>1929</v>
      </c>
      <c r="B165" s="82" t="s">
        <v>1929</v>
      </c>
      <c r="C165" s="82" t="str">
        <f>IF(A165=B165,"X",RIGHT(A165,LEN(A165)-LEN(B165)-3))</f>
        <v>X</v>
      </c>
      <c r="D165" s="162" t="s">
        <v>1659</v>
      </c>
      <c r="E165" s="82" t="str">
        <f t="shared" si="10"/>
        <v/>
      </c>
      <c r="F165" s="163"/>
      <c r="G165" s="161"/>
      <c r="H165" s="82" t="str">
        <f t="shared" si="9"/>
        <v/>
      </c>
      <c r="I165" s="361">
        <v>9048.44</v>
      </c>
      <c r="J165" s="83" t="s">
        <v>3019</v>
      </c>
      <c r="K165" s="162"/>
      <c r="L165" s="284">
        <v>2022</v>
      </c>
      <c r="M165" s="234" t="s">
        <v>1909</v>
      </c>
      <c r="N165" s="234" t="s">
        <v>1910</v>
      </c>
      <c r="O165" s="234" t="s">
        <v>1911</v>
      </c>
      <c r="P165" s="261" t="s">
        <v>3535</v>
      </c>
      <c r="Q165" s="261" t="s">
        <v>3539</v>
      </c>
    </row>
    <row r="166" spans="1:17" ht="15.75" thickBot="1" x14ac:dyDescent="0.3">
      <c r="A166" s="82" t="s">
        <v>1929</v>
      </c>
      <c r="B166" s="82" t="s">
        <v>1929</v>
      </c>
      <c r="C166" s="82" t="str">
        <f>IF(A166=B166,"X",RIGHT(A166,LEN(A166)-LEN(B166)-3))</f>
        <v>X</v>
      </c>
      <c r="D166" s="162" t="s">
        <v>1659</v>
      </c>
      <c r="E166" s="82" t="str">
        <f t="shared" si="10"/>
        <v/>
      </c>
      <c r="F166" s="163"/>
      <c r="G166" s="161"/>
      <c r="H166" s="82" t="str">
        <f t="shared" si="9"/>
        <v/>
      </c>
      <c r="I166" s="361">
        <v>32156.379999999997</v>
      </c>
      <c r="J166" s="83" t="s">
        <v>3020</v>
      </c>
      <c r="K166" s="162"/>
      <c r="L166" s="284">
        <v>2022</v>
      </c>
      <c r="M166" s="234" t="s">
        <v>1909</v>
      </c>
      <c r="N166" s="234" t="s">
        <v>1910</v>
      </c>
      <c r="O166" s="234" t="s">
        <v>1911</v>
      </c>
      <c r="P166" s="261" t="s">
        <v>3535</v>
      </c>
      <c r="Q166" s="261" t="s">
        <v>3539</v>
      </c>
    </row>
    <row r="167" spans="1:17" ht="15.75" thickBot="1" x14ac:dyDescent="0.3">
      <c r="A167" s="82" t="s">
        <v>1929</v>
      </c>
      <c r="B167" s="82" t="s">
        <v>1929</v>
      </c>
      <c r="C167" s="82" t="str">
        <f t="shared" ref="C167:C230" si="11">IF(A167=B167,"X",RIGHT(A167,LEN(A167)-LEN(B167)-3))</f>
        <v>X</v>
      </c>
      <c r="D167" s="162" t="s">
        <v>1659</v>
      </c>
      <c r="E167" s="82" t="str">
        <f t="shared" si="10"/>
        <v/>
      </c>
      <c r="F167" s="163"/>
      <c r="G167" s="161"/>
      <c r="H167" s="82" t="str">
        <f t="shared" si="9"/>
        <v/>
      </c>
      <c r="I167" s="361">
        <v>69789.539999999994</v>
      </c>
      <c r="J167" s="83" t="s">
        <v>3021</v>
      </c>
      <c r="K167" s="162"/>
      <c r="L167" s="284">
        <v>2022</v>
      </c>
      <c r="M167" s="234" t="s">
        <v>1909</v>
      </c>
      <c r="N167" s="234" t="s">
        <v>1910</v>
      </c>
      <c r="O167" s="234" t="s">
        <v>1911</v>
      </c>
      <c r="P167" s="261" t="s">
        <v>3535</v>
      </c>
      <c r="Q167" s="261" t="s">
        <v>3539</v>
      </c>
    </row>
    <row r="168" spans="1:17" ht="15.75" thickBot="1" x14ac:dyDescent="0.3">
      <c r="A168" s="82" t="s">
        <v>1929</v>
      </c>
      <c r="B168" s="82" t="s">
        <v>1929</v>
      </c>
      <c r="C168" s="82" t="str">
        <f t="shared" si="11"/>
        <v>X</v>
      </c>
      <c r="D168" s="83" t="s">
        <v>3022</v>
      </c>
      <c r="E168" s="83">
        <v>3044</v>
      </c>
      <c r="F168" s="163"/>
      <c r="G168" s="161"/>
      <c r="H168" s="82" t="str">
        <f t="shared" ref="H168:H218" si="12">IFERROR(LEFT(F168,FIND(" ",F168)-1),"")</f>
        <v/>
      </c>
      <c r="I168" s="361">
        <v>174495.45</v>
      </c>
      <c r="J168" s="162"/>
      <c r="K168" s="162"/>
      <c r="L168" s="284">
        <v>2022</v>
      </c>
      <c r="M168" s="234" t="s">
        <v>1909</v>
      </c>
      <c r="N168" s="234" t="s">
        <v>1910</v>
      </c>
      <c r="O168" s="234" t="s">
        <v>1911</v>
      </c>
      <c r="P168" s="261" t="s">
        <v>3535</v>
      </c>
      <c r="Q168" s="261" t="s">
        <v>3539</v>
      </c>
    </row>
    <row r="169" spans="1:17" ht="15.75" thickBot="1" x14ac:dyDescent="0.3">
      <c r="A169" s="82" t="s">
        <v>1929</v>
      </c>
      <c r="B169" s="82" t="s">
        <v>1929</v>
      </c>
      <c r="C169" s="82" t="str">
        <f t="shared" si="11"/>
        <v>X</v>
      </c>
      <c r="D169" s="83" t="s">
        <v>3023</v>
      </c>
      <c r="E169" s="83">
        <v>8257</v>
      </c>
      <c r="F169" s="163"/>
      <c r="G169" s="161"/>
      <c r="H169" s="82" t="str">
        <f t="shared" si="12"/>
        <v/>
      </c>
      <c r="I169" s="361">
        <v>165117.6</v>
      </c>
      <c r="J169" s="162"/>
      <c r="K169" s="162"/>
      <c r="L169" s="284">
        <v>2022</v>
      </c>
      <c r="M169" s="234" t="s">
        <v>1909</v>
      </c>
      <c r="N169" s="234" t="s">
        <v>1910</v>
      </c>
      <c r="O169" s="234" t="s">
        <v>1911</v>
      </c>
      <c r="P169" s="261" t="s">
        <v>3535</v>
      </c>
      <c r="Q169" s="261" t="s">
        <v>3539</v>
      </c>
    </row>
    <row r="170" spans="1:17" ht="15.75" thickBot="1" x14ac:dyDescent="0.3">
      <c r="A170" s="82" t="s">
        <v>1929</v>
      </c>
      <c r="B170" s="82" t="s">
        <v>1929</v>
      </c>
      <c r="C170" s="82" t="str">
        <f t="shared" si="11"/>
        <v>X</v>
      </c>
      <c r="D170" s="83" t="s">
        <v>3024</v>
      </c>
      <c r="E170" s="83">
        <v>251</v>
      </c>
      <c r="F170" s="163"/>
      <c r="G170" s="161"/>
      <c r="H170" s="82" t="str">
        <f t="shared" si="12"/>
        <v/>
      </c>
      <c r="I170" s="361">
        <v>14778.32</v>
      </c>
      <c r="J170" s="162"/>
      <c r="K170" s="162"/>
      <c r="L170" s="284">
        <v>2022</v>
      </c>
      <c r="M170" s="234" t="s">
        <v>1909</v>
      </c>
      <c r="N170" s="234" t="s">
        <v>1910</v>
      </c>
      <c r="O170" s="234" t="s">
        <v>1911</v>
      </c>
      <c r="P170" s="261" t="s">
        <v>3535</v>
      </c>
      <c r="Q170" s="261" t="s">
        <v>3539</v>
      </c>
    </row>
    <row r="171" spans="1:17" ht="15.75" thickBot="1" x14ac:dyDescent="0.3">
      <c r="A171" s="82" t="s">
        <v>1929</v>
      </c>
      <c r="B171" s="82" t="s">
        <v>1929</v>
      </c>
      <c r="C171" s="82" t="str">
        <f t="shared" si="11"/>
        <v>X</v>
      </c>
      <c r="D171" s="82" t="s">
        <v>3025</v>
      </c>
      <c r="E171" s="82">
        <v>1184</v>
      </c>
      <c r="F171" s="163"/>
      <c r="G171" s="161"/>
      <c r="H171" s="82" t="str">
        <f t="shared" si="12"/>
        <v/>
      </c>
      <c r="I171" s="286">
        <v>71035.039999999994</v>
      </c>
      <c r="J171" s="162"/>
      <c r="K171" s="162"/>
      <c r="L171" s="284">
        <v>2022</v>
      </c>
      <c r="M171" s="234" t="s">
        <v>1909</v>
      </c>
      <c r="N171" s="234" t="s">
        <v>1910</v>
      </c>
      <c r="O171" s="234" t="s">
        <v>1911</v>
      </c>
      <c r="P171" s="261" t="s">
        <v>3535</v>
      </c>
      <c r="Q171" s="261" t="s">
        <v>3539</v>
      </c>
    </row>
    <row r="172" spans="1:17" ht="15.75" thickBot="1" x14ac:dyDescent="0.3">
      <c r="A172" s="82" t="s">
        <v>1929</v>
      </c>
      <c r="B172" s="82" t="s">
        <v>1929</v>
      </c>
      <c r="C172" s="82" t="str">
        <f t="shared" si="11"/>
        <v>X</v>
      </c>
      <c r="D172" s="82" t="s">
        <v>3026</v>
      </c>
      <c r="E172" s="82">
        <v>1249</v>
      </c>
      <c r="F172" s="163"/>
      <c r="G172" s="161"/>
      <c r="H172" s="82" t="str">
        <f t="shared" si="12"/>
        <v/>
      </c>
      <c r="I172" s="286">
        <v>58399.61</v>
      </c>
      <c r="J172" s="162"/>
      <c r="K172" s="162"/>
      <c r="L172" s="284">
        <v>2022</v>
      </c>
      <c r="M172" s="234" t="s">
        <v>1909</v>
      </c>
      <c r="N172" s="234" t="s">
        <v>1910</v>
      </c>
      <c r="O172" s="234" t="s">
        <v>1911</v>
      </c>
      <c r="P172" s="261" t="s">
        <v>3535</v>
      </c>
      <c r="Q172" s="261" t="s">
        <v>3539</v>
      </c>
    </row>
    <row r="173" spans="1:17" ht="15.75" thickBot="1" x14ac:dyDescent="0.3">
      <c r="A173" s="82" t="s">
        <v>1929</v>
      </c>
      <c r="B173" s="82" t="s">
        <v>1929</v>
      </c>
      <c r="C173" s="82" t="str">
        <f t="shared" si="11"/>
        <v>X</v>
      </c>
      <c r="D173" s="82" t="s">
        <v>3027</v>
      </c>
      <c r="E173" s="82">
        <v>665</v>
      </c>
      <c r="F173" s="163"/>
      <c r="G173" s="161"/>
      <c r="H173" s="82" t="str">
        <f t="shared" si="12"/>
        <v/>
      </c>
      <c r="I173" s="286">
        <v>35436.89</v>
      </c>
      <c r="J173" s="162"/>
      <c r="K173" s="162"/>
      <c r="L173" s="284">
        <v>2022</v>
      </c>
      <c r="M173" s="234" t="s">
        <v>1909</v>
      </c>
      <c r="N173" s="234" t="s">
        <v>1910</v>
      </c>
      <c r="O173" s="234" t="s">
        <v>1911</v>
      </c>
      <c r="P173" s="261" t="s">
        <v>3535</v>
      </c>
      <c r="Q173" s="261" t="s">
        <v>3539</v>
      </c>
    </row>
    <row r="174" spans="1:17" ht="15.75" thickBot="1" x14ac:dyDescent="0.3">
      <c r="A174" s="82" t="s">
        <v>1929</v>
      </c>
      <c r="B174" s="82" t="s">
        <v>1929</v>
      </c>
      <c r="C174" s="82" t="str">
        <f t="shared" si="11"/>
        <v>X</v>
      </c>
      <c r="D174" s="82" t="s">
        <v>3028</v>
      </c>
      <c r="E174" s="82">
        <v>711</v>
      </c>
      <c r="F174" s="163"/>
      <c r="G174" s="161"/>
      <c r="H174" s="82" t="str">
        <f t="shared" si="12"/>
        <v/>
      </c>
      <c r="I174" s="286">
        <v>58890.04</v>
      </c>
      <c r="J174" s="162"/>
      <c r="K174" s="162"/>
      <c r="L174" s="284">
        <v>2022</v>
      </c>
      <c r="M174" s="234" t="s">
        <v>1909</v>
      </c>
      <c r="N174" s="234" t="s">
        <v>1910</v>
      </c>
      <c r="O174" s="234" t="s">
        <v>1911</v>
      </c>
      <c r="P174" s="261" t="s">
        <v>3535</v>
      </c>
      <c r="Q174" s="261" t="s">
        <v>3539</v>
      </c>
    </row>
    <row r="175" spans="1:17" ht="15.75" thickBot="1" x14ac:dyDescent="0.3">
      <c r="A175" s="82" t="s">
        <v>1929</v>
      </c>
      <c r="B175" s="82" t="s">
        <v>1929</v>
      </c>
      <c r="C175" s="82" t="str">
        <f t="shared" si="11"/>
        <v>X</v>
      </c>
      <c r="D175" s="162" t="s">
        <v>1659</v>
      </c>
      <c r="E175" s="82">
        <v>108</v>
      </c>
      <c r="F175" s="163"/>
      <c r="G175" s="161"/>
      <c r="H175" s="82" t="str">
        <f t="shared" si="12"/>
        <v/>
      </c>
      <c r="I175" s="286">
        <v>9970.11</v>
      </c>
      <c r="J175" s="162"/>
      <c r="K175" s="162"/>
      <c r="L175" s="284">
        <v>2022</v>
      </c>
      <c r="M175" s="234" t="s">
        <v>1909</v>
      </c>
      <c r="N175" s="234" t="s">
        <v>1910</v>
      </c>
      <c r="O175" s="234" t="s">
        <v>1911</v>
      </c>
      <c r="P175" s="261" t="s">
        <v>3535</v>
      </c>
      <c r="Q175" s="261" t="s">
        <v>3539</v>
      </c>
    </row>
    <row r="176" spans="1:17" ht="15.75" thickBot="1" x14ac:dyDescent="0.3">
      <c r="A176" s="82" t="s">
        <v>1929</v>
      </c>
      <c r="B176" s="82" t="s">
        <v>1929</v>
      </c>
      <c r="C176" s="82" t="str">
        <f t="shared" si="11"/>
        <v>X</v>
      </c>
      <c r="D176" s="82" t="s">
        <v>3029</v>
      </c>
      <c r="E176" s="82">
        <v>202</v>
      </c>
      <c r="F176" s="163"/>
      <c r="G176" s="161"/>
      <c r="H176" s="82" t="str">
        <f t="shared" si="12"/>
        <v/>
      </c>
      <c r="I176" s="286">
        <v>241.8</v>
      </c>
      <c r="J176" s="162"/>
      <c r="K176" s="162"/>
      <c r="L176" s="284">
        <v>2022</v>
      </c>
      <c r="M176" s="234" t="s">
        <v>1909</v>
      </c>
      <c r="N176" s="234" t="s">
        <v>1910</v>
      </c>
      <c r="O176" s="234" t="s">
        <v>1911</v>
      </c>
      <c r="P176" s="261" t="s">
        <v>3535</v>
      </c>
      <c r="Q176" s="261" t="s">
        <v>3539</v>
      </c>
    </row>
    <row r="177" spans="1:17" ht="15.75" thickBot="1" x14ac:dyDescent="0.3">
      <c r="A177" s="82" t="s">
        <v>1929</v>
      </c>
      <c r="B177" s="82" t="s">
        <v>1929</v>
      </c>
      <c r="C177" s="82" t="str">
        <f t="shared" si="11"/>
        <v>X</v>
      </c>
      <c r="D177" s="82" t="s">
        <v>3724</v>
      </c>
      <c r="E177" s="82">
        <v>980</v>
      </c>
      <c r="F177" s="163"/>
      <c r="G177" s="161"/>
      <c r="H177" s="82" t="str">
        <f t="shared" si="12"/>
        <v/>
      </c>
      <c r="I177" s="286">
        <v>25022.3</v>
      </c>
      <c r="J177" s="162"/>
      <c r="K177" s="162"/>
      <c r="L177" s="284">
        <v>2022</v>
      </c>
      <c r="M177" s="234" t="s">
        <v>1909</v>
      </c>
      <c r="N177" s="234" t="s">
        <v>1910</v>
      </c>
      <c r="O177" s="234" t="s">
        <v>1911</v>
      </c>
      <c r="P177" s="261" t="s">
        <v>3535</v>
      </c>
      <c r="Q177" s="261" t="s">
        <v>3539</v>
      </c>
    </row>
    <row r="178" spans="1:17" ht="15.75" thickBot="1" x14ac:dyDescent="0.3">
      <c r="A178" s="82" t="s">
        <v>1929</v>
      </c>
      <c r="B178" s="82" t="s">
        <v>1929</v>
      </c>
      <c r="C178" s="82" t="str">
        <f t="shared" si="11"/>
        <v>X</v>
      </c>
      <c r="D178" s="82" t="s">
        <v>3030</v>
      </c>
      <c r="E178" s="82">
        <v>804</v>
      </c>
      <c r="F178" s="163"/>
      <c r="G178" s="161"/>
      <c r="H178" s="82" t="str">
        <f t="shared" si="12"/>
        <v/>
      </c>
      <c r="I178" s="286">
        <v>5184.4799999999996</v>
      </c>
      <c r="J178" s="162"/>
      <c r="K178" s="162"/>
      <c r="L178" s="284">
        <v>2022</v>
      </c>
      <c r="M178" s="234" t="s">
        <v>1909</v>
      </c>
      <c r="N178" s="234" t="s">
        <v>1910</v>
      </c>
      <c r="O178" s="234" t="s">
        <v>1911</v>
      </c>
      <c r="P178" s="261" t="s">
        <v>3535</v>
      </c>
      <c r="Q178" s="261" t="s">
        <v>3539</v>
      </c>
    </row>
    <row r="179" spans="1:17" ht="15.75" thickBot="1" x14ac:dyDescent="0.3">
      <c r="A179" s="82" t="s">
        <v>1929</v>
      </c>
      <c r="B179" s="82" t="s">
        <v>1929</v>
      </c>
      <c r="C179" s="82" t="str">
        <f t="shared" si="11"/>
        <v>X</v>
      </c>
      <c r="D179" s="82" t="s">
        <v>3031</v>
      </c>
      <c r="E179" s="82">
        <v>171</v>
      </c>
      <c r="F179" s="163"/>
      <c r="G179" s="161"/>
      <c r="H179" s="82" t="str">
        <f t="shared" si="12"/>
        <v/>
      </c>
      <c r="I179" s="286">
        <v>1316.82</v>
      </c>
      <c r="J179" s="162"/>
      <c r="K179" s="162"/>
      <c r="L179" s="284">
        <v>2022</v>
      </c>
      <c r="M179" s="234" t="s">
        <v>1909</v>
      </c>
      <c r="N179" s="234" t="s">
        <v>1910</v>
      </c>
      <c r="O179" s="234" t="s">
        <v>1911</v>
      </c>
      <c r="P179" s="261" t="s">
        <v>3535</v>
      </c>
      <c r="Q179" s="261" t="s">
        <v>3539</v>
      </c>
    </row>
    <row r="180" spans="1:17" ht="15.75" thickBot="1" x14ac:dyDescent="0.3">
      <c r="A180" s="82" t="s">
        <v>1929</v>
      </c>
      <c r="B180" s="82" t="s">
        <v>1929</v>
      </c>
      <c r="C180" s="82" t="str">
        <f t="shared" si="11"/>
        <v>X</v>
      </c>
      <c r="D180" s="82" t="s">
        <v>3032</v>
      </c>
      <c r="E180" s="82">
        <v>328</v>
      </c>
      <c r="F180" s="163"/>
      <c r="G180" s="161"/>
      <c r="H180" s="82" t="str">
        <f t="shared" si="12"/>
        <v/>
      </c>
      <c r="I180" s="286">
        <v>639.29999999999995</v>
      </c>
      <c r="J180" s="162"/>
      <c r="K180" s="162"/>
      <c r="L180" s="284">
        <v>2022</v>
      </c>
      <c r="M180" s="234" t="s">
        <v>1909</v>
      </c>
      <c r="N180" s="234" t="s">
        <v>1910</v>
      </c>
      <c r="O180" s="234" t="s">
        <v>1911</v>
      </c>
      <c r="P180" s="261" t="s">
        <v>3535</v>
      </c>
      <c r="Q180" s="261" t="s">
        <v>3539</v>
      </c>
    </row>
    <row r="181" spans="1:17" ht="15.75" thickBot="1" x14ac:dyDescent="0.3">
      <c r="A181" s="82" t="s">
        <v>1929</v>
      </c>
      <c r="B181" s="82" t="s">
        <v>1929</v>
      </c>
      <c r="C181" s="82" t="str">
        <f t="shared" si="11"/>
        <v>X</v>
      </c>
      <c r="D181" s="82" t="s">
        <v>1659</v>
      </c>
      <c r="E181" s="82">
        <v>26313</v>
      </c>
      <c r="F181" s="163"/>
      <c r="G181" s="161"/>
      <c r="H181" s="82" t="str">
        <f t="shared" si="12"/>
        <v/>
      </c>
      <c r="I181" s="286">
        <v>1652.41</v>
      </c>
      <c r="J181" s="162"/>
      <c r="K181" s="162"/>
      <c r="L181" s="284">
        <v>2022</v>
      </c>
      <c r="M181" s="234" t="s">
        <v>1909</v>
      </c>
      <c r="N181" s="234" t="s">
        <v>1910</v>
      </c>
      <c r="O181" s="234" t="s">
        <v>1911</v>
      </c>
      <c r="P181" s="261" t="s">
        <v>3535</v>
      </c>
      <c r="Q181" s="261" t="s">
        <v>3539</v>
      </c>
    </row>
    <row r="182" spans="1:17" ht="15.75" thickBot="1" x14ac:dyDescent="0.3">
      <c r="A182" s="82" t="s">
        <v>1929</v>
      </c>
      <c r="B182" s="82" t="s">
        <v>1929</v>
      </c>
      <c r="C182" s="82" t="str">
        <f t="shared" si="11"/>
        <v>X</v>
      </c>
      <c r="D182" s="82" t="s">
        <v>1658</v>
      </c>
      <c r="E182" s="82">
        <v>73</v>
      </c>
      <c r="F182" s="163"/>
      <c r="G182" s="161"/>
      <c r="H182" s="82" t="str">
        <f t="shared" si="12"/>
        <v/>
      </c>
      <c r="I182" s="286">
        <v>516.85</v>
      </c>
      <c r="J182" s="162"/>
      <c r="K182" s="162"/>
      <c r="L182" s="284">
        <v>2022</v>
      </c>
      <c r="M182" s="234" t="s">
        <v>1909</v>
      </c>
      <c r="N182" s="234" t="s">
        <v>1910</v>
      </c>
      <c r="O182" s="234" t="s">
        <v>1911</v>
      </c>
      <c r="P182" s="261" t="s">
        <v>3535</v>
      </c>
      <c r="Q182" s="261" t="s">
        <v>3539</v>
      </c>
    </row>
    <row r="183" spans="1:17" ht="15.75" thickBot="1" x14ac:dyDescent="0.3">
      <c r="A183" s="82" t="s">
        <v>1929</v>
      </c>
      <c r="B183" s="82" t="s">
        <v>1929</v>
      </c>
      <c r="C183" s="82" t="str">
        <f t="shared" si="11"/>
        <v>X</v>
      </c>
      <c r="D183" s="82" t="s">
        <v>3033</v>
      </c>
      <c r="E183" s="82">
        <v>9</v>
      </c>
      <c r="F183" s="163"/>
      <c r="G183" s="161"/>
      <c r="H183" s="82" t="str">
        <f t="shared" si="12"/>
        <v/>
      </c>
      <c r="I183" s="286">
        <v>812.66</v>
      </c>
      <c r="J183" s="162"/>
      <c r="K183" s="162"/>
      <c r="L183" s="284">
        <v>2022</v>
      </c>
      <c r="M183" s="234" t="s">
        <v>1909</v>
      </c>
      <c r="N183" s="234" t="s">
        <v>1910</v>
      </c>
      <c r="O183" s="234" t="s">
        <v>1911</v>
      </c>
      <c r="P183" s="261" t="s">
        <v>3535</v>
      </c>
      <c r="Q183" s="261" t="s">
        <v>3539</v>
      </c>
    </row>
    <row r="184" spans="1:17" ht="15.75" thickBot="1" x14ac:dyDescent="0.3">
      <c r="A184" s="82" t="s">
        <v>1929</v>
      </c>
      <c r="B184" s="82" t="s">
        <v>1929</v>
      </c>
      <c r="C184" s="82" t="str">
        <f t="shared" si="11"/>
        <v>X</v>
      </c>
      <c r="D184" s="82" t="s">
        <v>1655</v>
      </c>
      <c r="E184" s="82">
        <v>178</v>
      </c>
      <c r="F184" s="163"/>
      <c r="G184" s="161"/>
      <c r="H184" s="82" t="str">
        <f t="shared" si="12"/>
        <v/>
      </c>
      <c r="I184" s="286">
        <v>37006.19</v>
      </c>
      <c r="J184" s="162"/>
      <c r="K184" s="162"/>
      <c r="L184" s="284">
        <v>2022</v>
      </c>
      <c r="M184" s="234" t="s">
        <v>1909</v>
      </c>
      <c r="N184" s="234" t="s">
        <v>1910</v>
      </c>
      <c r="O184" s="234" t="s">
        <v>1911</v>
      </c>
      <c r="P184" s="261" t="s">
        <v>3535</v>
      </c>
      <c r="Q184" s="261" t="s">
        <v>3539</v>
      </c>
    </row>
    <row r="185" spans="1:17" ht="15.75" thickBot="1" x14ac:dyDescent="0.3">
      <c r="A185" s="82" t="s">
        <v>1929</v>
      </c>
      <c r="B185" s="82" t="s">
        <v>1929</v>
      </c>
      <c r="C185" s="82" t="str">
        <f t="shared" si="11"/>
        <v>X</v>
      </c>
      <c r="D185" s="83" t="s">
        <v>1654</v>
      </c>
      <c r="E185" s="82">
        <v>394</v>
      </c>
      <c r="F185" s="163"/>
      <c r="G185" s="161"/>
      <c r="H185" s="82" t="str">
        <f t="shared" si="12"/>
        <v/>
      </c>
      <c r="I185" s="286">
        <v>4028.12</v>
      </c>
      <c r="J185" s="162"/>
      <c r="K185" s="162"/>
      <c r="L185" s="284">
        <v>2022</v>
      </c>
      <c r="M185" s="234" t="s">
        <v>1909</v>
      </c>
      <c r="N185" s="234" t="s">
        <v>1910</v>
      </c>
      <c r="O185" s="234" t="s">
        <v>1911</v>
      </c>
      <c r="P185" s="261" t="s">
        <v>3535</v>
      </c>
      <c r="Q185" s="261" t="s">
        <v>3539</v>
      </c>
    </row>
    <row r="186" spans="1:17" ht="15.75" thickBot="1" x14ac:dyDescent="0.3">
      <c r="A186" s="82" t="s">
        <v>1929</v>
      </c>
      <c r="B186" s="82" t="s">
        <v>1929</v>
      </c>
      <c r="C186" s="82" t="str">
        <f t="shared" si="11"/>
        <v>X</v>
      </c>
      <c r="D186" s="82" t="s">
        <v>3034</v>
      </c>
      <c r="E186" s="82">
        <v>6678.5</v>
      </c>
      <c r="F186" s="163"/>
      <c r="G186" s="161"/>
      <c r="H186" s="82" t="str">
        <f t="shared" si="12"/>
        <v/>
      </c>
      <c r="I186" s="286">
        <v>36336.449999999997</v>
      </c>
      <c r="J186" s="162"/>
      <c r="K186" s="162"/>
      <c r="L186" s="284">
        <v>2022</v>
      </c>
      <c r="M186" s="234" t="s">
        <v>1909</v>
      </c>
      <c r="N186" s="234" t="s">
        <v>1910</v>
      </c>
      <c r="O186" s="234" t="s">
        <v>1911</v>
      </c>
      <c r="P186" s="261" t="s">
        <v>3535</v>
      </c>
      <c r="Q186" s="261" t="s">
        <v>3539</v>
      </c>
    </row>
    <row r="187" spans="1:17" ht="15.75" thickBot="1" x14ac:dyDescent="0.3">
      <c r="A187" s="82" t="s">
        <v>1929</v>
      </c>
      <c r="B187" s="82" t="s">
        <v>1929</v>
      </c>
      <c r="C187" s="82" t="str">
        <f t="shared" si="11"/>
        <v>X</v>
      </c>
      <c r="D187" s="82" t="s">
        <v>3035</v>
      </c>
      <c r="E187" s="82">
        <v>30</v>
      </c>
      <c r="F187" s="163"/>
      <c r="G187" s="161"/>
      <c r="H187" s="82" t="str">
        <f t="shared" si="12"/>
        <v/>
      </c>
      <c r="I187" s="286">
        <v>294</v>
      </c>
      <c r="J187" s="162"/>
      <c r="K187" s="162"/>
      <c r="L187" s="284">
        <v>2022</v>
      </c>
      <c r="M187" s="234" t="s">
        <v>1909</v>
      </c>
      <c r="N187" s="234" t="s">
        <v>1910</v>
      </c>
      <c r="O187" s="234" t="s">
        <v>1911</v>
      </c>
      <c r="P187" s="261" t="s">
        <v>3535</v>
      </c>
      <c r="Q187" s="261" t="s">
        <v>3539</v>
      </c>
    </row>
    <row r="188" spans="1:17" ht="15.75" thickBot="1" x14ac:dyDescent="0.3">
      <c r="A188" s="82" t="s">
        <v>1929</v>
      </c>
      <c r="B188" s="82" t="s">
        <v>1929</v>
      </c>
      <c r="C188" s="82" t="str">
        <f t="shared" si="11"/>
        <v>X</v>
      </c>
      <c r="D188" s="82" t="s">
        <v>1659</v>
      </c>
      <c r="E188" s="82">
        <v>937.3</v>
      </c>
      <c r="F188" s="163"/>
      <c r="G188" s="161"/>
      <c r="H188" s="82" t="str">
        <f t="shared" si="12"/>
        <v/>
      </c>
      <c r="I188" s="286">
        <v>14007.96</v>
      </c>
      <c r="J188" s="162"/>
      <c r="K188" s="162"/>
      <c r="L188" s="284">
        <v>2022</v>
      </c>
      <c r="M188" s="234" t="s">
        <v>1909</v>
      </c>
      <c r="N188" s="234" t="s">
        <v>1910</v>
      </c>
      <c r="O188" s="234" t="s">
        <v>1911</v>
      </c>
      <c r="P188" s="261" t="s">
        <v>3535</v>
      </c>
      <c r="Q188" s="261" t="s">
        <v>3539</v>
      </c>
    </row>
    <row r="189" spans="1:17" ht="15.75" thickBot="1" x14ac:dyDescent="0.3">
      <c r="A189" s="82" t="s">
        <v>1929</v>
      </c>
      <c r="B189" s="82" t="s">
        <v>1929</v>
      </c>
      <c r="C189" s="82" t="str">
        <f t="shared" si="11"/>
        <v>X</v>
      </c>
      <c r="D189" s="82" t="s">
        <v>3036</v>
      </c>
      <c r="E189" s="82">
        <v>20063</v>
      </c>
      <c r="F189" s="163"/>
      <c r="G189" s="161"/>
      <c r="H189" s="82" t="str">
        <f t="shared" si="12"/>
        <v/>
      </c>
      <c r="I189" s="286">
        <v>59175.39</v>
      </c>
      <c r="J189" s="162"/>
      <c r="K189" s="162"/>
      <c r="L189" s="284">
        <v>2022</v>
      </c>
      <c r="M189" s="234" t="s">
        <v>1909</v>
      </c>
      <c r="N189" s="234" t="s">
        <v>1910</v>
      </c>
      <c r="O189" s="234" t="s">
        <v>1911</v>
      </c>
      <c r="P189" s="261" t="s">
        <v>3535</v>
      </c>
      <c r="Q189" s="261" t="s">
        <v>3539</v>
      </c>
    </row>
    <row r="190" spans="1:17" ht="15.75" thickBot="1" x14ac:dyDescent="0.3">
      <c r="A190" s="82" t="s">
        <v>1929</v>
      </c>
      <c r="B190" s="82" t="s">
        <v>1929</v>
      </c>
      <c r="C190" s="82" t="str">
        <f t="shared" si="11"/>
        <v>X</v>
      </c>
      <c r="D190" s="82" t="s">
        <v>3037</v>
      </c>
      <c r="E190" s="82">
        <v>825</v>
      </c>
      <c r="F190" s="163"/>
      <c r="G190" s="161"/>
      <c r="H190" s="82" t="str">
        <f t="shared" si="12"/>
        <v/>
      </c>
      <c r="I190" s="286">
        <v>399.78</v>
      </c>
      <c r="J190" s="162"/>
      <c r="K190" s="162"/>
      <c r="L190" s="284">
        <v>2022</v>
      </c>
      <c r="M190" s="234" t="s">
        <v>1909</v>
      </c>
      <c r="N190" s="234" t="s">
        <v>1910</v>
      </c>
      <c r="O190" s="234" t="s">
        <v>1911</v>
      </c>
      <c r="P190" s="261" t="s">
        <v>3535</v>
      </c>
      <c r="Q190" s="261" t="s">
        <v>3539</v>
      </c>
    </row>
    <row r="191" spans="1:17" ht="15.75" thickBot="1" x14ac:dyDescent="0.3">
      <c r="A191" s="82" t="s">
        <v>1929</v>
      </c>
      <c r="B191" s="82" t="s">
        <v>1929</v>
      </c>
      <c r="C191" s="82" t="str">
        <f t="shared" si="11"/>
        <v>X</v>
      </c>
      <c r="D191" s="82" t="s">
        <v>3038</v>
      </c>
      <c r="E191" s="82">
        <v>12365.65</v>
      </c>
      <c r="F191" s="163"/>
      <c r="G191" s="161"/>
      <c r="H191" s="82" t="str">
        <f t="shared" si="12"/>
        <v/>
      </c>
      <c r="I191" s="286">
        <v>5311.87</v>
      </c>
      <c r="J191" s="162"/>
      <c r="K191" s="162"/>
      <c r="L191" s="284">
        <v>2022</v>
      </c>
      <c r="M191" s="234" t="s">
        <v>1909</v>
      </c>
      <c r="N191" s="234" t="s">
        <v>1910</v>
      </c>
      <c r="O191" s="234" t="s">
        <v>1911</v>
      </c>
      <c r="P191" s="261" t="s">
        <v>3535</v>
      </c>
      <c r="Q191" s="261" t="s">
        <v>3539</v>
      </c>
    </row>
    <row r="192" spans="1:17" ht="15.75" thickBot="1" x14ac:dyDescent="0.3">
      <c r="A192" s="82" t="s">
        <v>1929</v>
      </c>
      <c r="B192" s="82" t="s">
        <v>1929</v>
      </c>
      <c r="C192" s="82" t="str">
        <f t="shared" si="11"/>
        <v>X</v>
      </c>
      <c r="D192" s="83" t="s">
        <v>1675</v>
      </c>
      <c r="E192" s="82">
        <v>3751</v>
      </c>
      <c r="F192" s="163"/>
      <c r="G192" s="161"/>
      <c r="H192" s="82" t="str">
        <f t="shared" si="12"/>
        <v/>
      </c>
      <c r="I192" s="286">
        <v>103004.78</v>
      </c>
      <c r="J192" s="162"/>
      <c r="K192" s="162"/>
      <c r="L192" s="284">
        <v>2022</v>
      </c>
      <c r="M192" s="234" t="s">
        <v>1909</v>
      </c>
      <c r="N192" s="234" t="s">
        <v>1910</v>
      </c>
      <c r="O192" s="234" t="s">
        <v>1911</v>
      </c>
      <c r="P192" s="261" t="s">
        <v>3535</v>
      </c>
      <c r="Q192" s="261" t="s">
        <v>3539</v>
      </c>
    </row>
    <row r="193" spans="1:17" ht="15.75" thickBot="1" x14ac:dyDescent="0.3">
      <c r="A193" s="82" t="s">
        <v>1929</v>
      </c>
      <c r="B193" s="82" t="s">
        <v>1929</v>
      </c>
      <c r="C193" s="82" t="str">
        <f t="shared" si="11"/>
        <v>X</v>
      </c>
      <c r="D193" s="82" t="s">
        <v>3040</v>
      </c>
      <c r="E193" s="82">
        <v>1955</v>
      </c>
      <c r="F193" s="163"/>
      <c r="G193" s="161"/>
      <c r="H193" s="82" t="str">
        <f t="shared" si="12"/>
        <v/>
      </c>
      <c r="I193" s="286">
        <v>6771.72</v>
      </c>
      <c r="J193" s="162"/>
      <c r="K193" s="162"/>
      <c r="L193" s="284">
        <v>2022</v>
      </c>
      <c r="M193" s="234" t="s">
        <v>1909</v>
      </c>
      <c r="N193" s="234" t="s">
        <v>1910</v>
      </c>
      <c r="O193" s="234" t="s">
        <v>1911</v>
      </c>
      <c r="P193" s="261" t="s">
        <v>3535</v>
      </c>
      <c r="Q193" s="261" t="s">
        <v>3539</v>
      </c>
    </row>
    <row r="194" spans="1:17" ht="15.75" thickBot="1" x14ac:dyDescent="0.3">
      <c r="A194" s="82" t="s">
        <v>1929</v>
      </c>
      <c r="B194" s="82" t="s">
        <v>1929</v>
      </c>
      <c r="C194" s="82" t="str">
        <f t="shared" si="11"/>
        <v>X</v>
      </c>
      <c r="D194" s="82" t="s">
        <v>3041</v>
      </c>
      <c r="E194" s="82">
        <v>12658</v>
      </c>
      <c r="F194" s="163"/>
      <c r="G194" s="161"/>
      <c r="H194" s="82" t="str">
        <f t="shared" si="12"/>
        <v/>
      </c>
      <c r="I194" s="286">
        <v>30391.93</v>
      </c>
      <c r="J194" s="162"/>
      <c r="K194" s="162"/>
      <c r="L194" s="284">
        <v>2022</v>
      </c>
      <c r="M194" s="234" t="s">
        <v>1909</v>
      </c>
      <c r="N194" s="234" t="s">
        <v>1910</v>
      </c>
      <c r="O194" s="234" t="s">
        <v>1911</v>
      </c>
      <c r="P194" s="261" t="s">
        <v>3535</v>
      </c>
      <c r="Q194" s="261" t="s">
        <v>3539</v>
      </c>
    </row>
    <row r="195" spans="1:17" ht="15.75" thickBot="1" x14ac:dyDescent="0.3">
      <c r="A195" s="82" t="s">
        <v>1929</v>
      </c>
      <c r="B195" s="82" t="s">
        <v>1929</v>
      </c>
      <c r="C195" s="82" t="str">
        <f t="shared" si="11"/>
        <v>X</v>
      </c>
      <c r="D195" s="82" t="s">
        <v>1659</v>
      </c>
      <c r="E195" s="82">
        <v>2940</v>
      </c>
      <c r="F195" s="163"/>
      <c r="G195" s="161"/>
      <c r="H195" s="82" t="str">
        <f t="shared" si="12"/>
        <v/>
      </c>
      <c r="I195" s="286">
        <v>3086.99</v>
      </c>
      <c r="J195" s="162"/>
      <c r="K195" s="162"/>
      <c r="L195" s="284">
        <v>2022</v>
      </c>
      <c r="M195" s="234" t="s">
        <v>1909</v>
      </c>
      <c r="N195" s="234" t="s">
        <v>1910</v>
      </c>
      <c r="O195" s="234" t="s">
        <v>1911</v>
      </c>
      <c r="P195" s="261" t="s">
        <v>3535</v>
      </c>
      <c r="Q195" s="261" t="s">
        <v>3539</v>
      </c>
    </row>
    <row r="196" spans="1:17" ht="15.75" thickBot="1" x14ac:dyDescent="0.3">
      <c r="A196" s="82" t="s">
        <v>1929</v>
      </c>
      <c r="B196" s="82" t="s">
        <v>1929</v>
      </c>
      <c r="C196" s="82" t="str">
        <f t="shared" si="11"/>
        <v>X</v>
      </c>
      <c r="D196" s="82" t="s">
        <v>620</v>
      </c>
      <c r="E196" s="82">
        <v>2639.82</v>
      </c>
      <c r="F196" s="163"/>
      <c r="G196" s="161"/>
      <c r="H196" s="82" t="str">
        <f t="shared" si="12"/>
        <v/>
      </c>
      <c r="I196" s="286">
        <v>3613.39</v>
      </c>
      <c r="J196" s="162"/>
      <c r="K196" s="162"/>
      <c r="L196" s="284">
        <v>2022</v>
      </c>
      <c r="M196" s="234" t="s">
        <v>1909</v>
      </c>
      <c r="N196" s="234" t="s">
        <v>1910</v>
      </c>
      <c r="O196" s="234" t="s">
        <v>1911</v>
      </c>
      <c r="P196" s="261" t="s">
        <v>3535</v>
      </c>
      <c r="Q196" s="261" t="s">
        <v>3539</v>
      </c>
    </row>
    <row r="197" spans="1:17" ht="15.75" thickBot="1" x14ac:dyDescent="0.3">
      <c r="A197" s="82" t="s">
        <v>1929</v>
      </c>
      <c r="B197" s="82" t="s">
        <v>1929</v>
      </c>
      <c r="C197" s="82" t="str">
        <f t="shared" si="11"/>
        <v>X</v>
      </c>
      <c r="D197" s="82" t="s">
        <v>3042</v>
      </c>
      <c r="E197" s="82">
        <v>20264.900000000001</v>
      </c>
      <c r="F197" s="163"/>
      <c r="G197" s="161"/>
      <c r="H197" s="82" t="str">
        <f t="shared" si="12"/>
        <v/>
      </c>
      <c r="I197" s="286">
        <v>85635.94</v>
      </c>
      <c r="J197" s="162"/>
      <c r="K197" s="162"/>
      <c r="L197" s="284">
        <v>2022</v>
      </c>
      <c r="M197" s="234" t="s">
        <v>1909</v>
      </c>
      <c r="N197" s="234" t="s">
        <v>1910</v>
      </c>
      <c r="O197" s="234" t="s">
        <v>1911</v>
      </c>
      <c r="P197" s="261" t="s">
        <v>3535</v>
      </c>
      <c r="Q197" s="261" t="s">
        <v>3539</v>
      </c>
    </row>
    <row r="198" spans="1:17" ht="15.75" thickBot="1" x14ac:dyDescent="0.3">
      <c r="A198" s="82" t="s">
        <v>1929</v>
      </c>
      <c r="B198" s="82" t="s">
        <v>1929</v>
      </c>
      <c r="C198" s="82" t="str">
        <f t="shared" si="11"/>
        <v>X</v>
      </c>
      <c r="D198" s="82" t="s">
        <v>3043</v>
      </c>
      <c r="E198" s="82">
        <v>529.34</v>
      </c>
      <c r="F198" s="163"/>
      <c r="G198" s="161"/>
      <c r="H198" s="82" t="str">
        <f t="shared" si="12"/>
        <v/>
      </c>
      <c r="I198" s="286">
        <v>1719.38</v>
      </c>
      <c r="J198" s="162"/>
      <c r="K198" s="162"/>
      <c r="L198" s="284">
        <v>2022</v>
      </c>
      <c r="M198" s="234" t="s">
        <v>1909</v>
      </c>
      <c r="N198" s="234" t="s">
        <v>1910</v>
      </c>
      <c r="O198" s="234" t="s">
        <v>1911</v>
      </c>
      <c r="P198" s="261" t="s">
        <v>3535</v>
      </c>
      <c r="Q198" s="261" t="s">
        <v>3539</v>
      </c>
    </row>
    <row r="199" spans="1:17" ht="15.75" thickBot="1" x14ac:dyDescent="0.3">
      <c r="A199" s="82" t="s">
        <v>1929</v>
      </c>
      <c r="B199" s="82" t="s">
        <v>1929</v>
      </c>
      <c r="C199" s="82" t="str">
        <f t="shared" si="11"/>
        <v>X</v>
      </c>
      <c r="D199" s="83" t="s">
        <v>1681</v>
      </c>
      <c r="E199" s="82">
        <v>13245</v>
      </c>
      <c r="F199" s="163"/>
      <c r="G199" s="161"/>
      <c r="H199" s="82" t="str">
        <f t="shared" si="12"/>
        <v/>
      </c>
      <c r="I199" s="286">
        <v>175370.59</v>
      </c>
      <c r="J199" s="162"/>
      <c r="K199" s="82" t="s">
        <v>3044</v>
      </c>
      <c r="L199" s="284">
        <v>2022</v>
      </c>
      <c r="M199" s="234" t="s">
        <v>1909</v>
      </c>
      <c r="N199" s="234" t="s">
        <v>1910</v>
      </c>
      <c r="O199" s="234" t="s">
        <v>1911</v>
      </c>
      <c r="P199" s="261" t="s">
        <v>3535</v>
      </c>
      <c r="Q199" s="261" t="s">
        <v>3539</v>
      </c>
    </row>
    <row r="200" spans="1:17" ht="15.75" thickBot="1" x14ac:dyDescent="0.3">
      <c r="A200" s="82" t="s">
        <v>1929</v>
      </c>
      <c r="B200" s="82" t="s">
        <v>1929</v>
      </c>
      <c r="C200" s="82" t="str">
        <f t="shared" si="11"/>
        <v>X</v>
      </c>
      <c r="D200" s="83" t="s">
        <v>1681</v>
      </c>
      <c r="E200" s="82">
        <v>675</v>
      </c>
      <c r="F200" s="163"/>
      <c r="G200" s="161"/>
      <c r="H200" s="82" t="str">
        <f t="shared" si="12"/>
        <v/>
      </c>
      <c r="I200" s="286">
        <v>81005.820000000007</v>
      </c>
      <c r="J200" s="162"/>
      <c r="K200" s="82" t="s">
        <v>3045</v>
      </c>
      <c r="L200" s="284">
        <v>2022</v>
      </c>
      <c r="M200" s="234" t="s">
        <v>1909</v>
      </c>
      <c r="N200" s="234" t="s">
        <v>1910</v>
      </c>
      <c r="O200" s="234" t="s">
        <v>1911</v>
      </c>
      <c r="P200" s="261" t="s">
        <v>3535</v>
      </c>
      <c r="Q200" s="261" t="s">
        <v>3539</v>
      </c>
    </row>
    <row r="201" spans="1:17" ht="15.75" thickBot="1" x14ac:dyDescent="0.3">
      <c r="A201" s="82" t="s">
        <v>1929</v>
      </c>
      <c r="B201" s="82" t="s">
        <v>1929</v>
      </c>
      <c r="C201" s="82" t="str">
        <f t="shared" si="11"/>
        <v>X</v>
      </c>
      <c r="D201" s="82" t="s">
        <v>1653</v>
      </c>
      <c r="E201" s="82">
        <v>291</v>
      </c>
      <c r="F201" s="83" t="s">
        <v>586</v>
      </c>
      <c r="G201" s="161"/>
      <c r="H201" s="82" t="str">
        <f t="shared" si="12"/>
        <v/>
      </c>
      <c r="I201" s="286">
        <v>49476.23</v>
      </c>
      <c r="J201" s="162"/>
      <c r="K201" s="162"/>
      <c r="L201" s="284">
        <v>2022</v>
      </c>
      <c r="M201" s="234" t="s">
        <v>1909</v>
      </c>
      <c r="N201" s="234" t="s">
        <v>1910</v>
      </c>
      <c r="O201" s="234" t="s">
        <v>1911</v>
      </c>
      <c r="P201" s="261" t="s">
        <v>3535</v>
      </c>
      <c r="Q201" s="261" t="s">
        <v>3539</v>
      </c>
    </row>
    <row r="202" spans="1:17" ht="15.75" thickBot="1" x14ac:dyDescent="0.3">
      <c r="A202" s="82" t="s">
        <v>1929</v>
      </c>
      <c r="B202" s="82" t="s">
        <v>1929</v>
      </c>
      <c r="C202" s="82" t="str">
        <f t="shared" si="11"/>
        <v>X</v>
      </c>
      <c r="D202" s="82" t="s">
        <v>3046</v>
      </c>
      <c r="E202" s="82">
        <v>236</v>
      </c>
      <c r="F202" s="83" t="s">
        <v>586</v>
      </c>
      <c r="G202" s="161"/>
      <c r="H202" s="82" t="str">
        <f t="shared" si="12"/>
        <v/>
      </c>
      <c r="I202" s="286">
        <v>40750.720000000001</v>
      </c>
      <c r="J202" s="162"/>
      <c r="K202" s="162"/>
      <c r="L202" s="284">
        <v>2022</v>
      </c>
      <c r="M202" s="234" t="s">
        <v>1909</v>
      </c>
      <c r="N202" s="234" t="s">
        <v>1910</v>
      </c>
      <c r="O202" s="234" t="s">
        <v>1911</v>
      </c>
      <c r="P202" s="261" t="s">
        <v>3535</v>
      </c>
      <c r="Q202" s="261" t="s">
        <v>3539</v>
      </c>
    </row>
    <row r="203" spans="1:17" ht="15.75" thickBot="1" x14ac:dyDescent="0.3">
      <c r="A203" s="82" t="s">
        <v>1929</v>
      </c>
      <c r="B203" s="82" t="s">
        <v>1929</v>
      </c>
      <c r="C203" s="82" t="str">
        <f t="shared" si="11"/>
        <v>X</v>
      </c>
      <c r="D203" s="82" t="s">
        <v>3047</v>
      </c>
      <c r="E203" s="82">
        <v>120639.92</v>
      </c>
      <c r="F203" s="163"/>
      <c r="G203" s="161"/>
      <c r="H203" s="82" t="str">
        <f t="shared" si="12"/>
        <v/>
      </c>
      <c r="I203" s="286">
        <v>125793.28</v>
      </c>
      <c r="J203" s="162"/>
      <c r="K203" s="162"/>
      <c r="L203" s="284">
        <v>2022</v>
      </c>
      <c r="M203" s="234" t="s">
        <v>1909</v>
      </c>
      <c r="N203" s="234" t="s">
        <v>1910</v>
      </c>
      <c r="O203" s="234" t="s">
        <v>1911</v>
      </c>
      <c r="P203" s="261" t="s">
        <v>3535</v>
      </c>
      <c r="Q203" s="261" t="s">
        <v>3539</v>
      </c>
    </row>
    <row r="204" spans="1:17" ht="15.75" thickBot="1" x14ac:dyDescent="0.3">
      <c r="A204" s="82" t="s">
        <v>1929</v>
      </c>
      <c r="B204" s="82" t="s">
        <v>1929</v>
      </c>
      <c r="C204" s="82" t="str">
        <f t="shared" si="11"/>
        <v>X</v>
      </c>
      <c r="D204" s="82" t="s">
        <v>3048</v>
      </c>
      <c r="E204" s="82">
        <v>3816</v>
      </c>
      <c r="F204" s="163"/>
      <c r="G204" s="161"/>
      <c r="H204" s="82" t="str">
        <f t="shared" si="12"/>
        <v/>
      </c>
      <c r="I204" s="286">
        <v>7138.08</v>
      </c>
      <c r="J204" s="162"/>
      <c r="K204" s="162"/>
      <c r="L204" s="284">
        <v>2022</v>
      </c>
      <c r="M204" s="234" t="s">
        <v>1909</v>
      </c>
      <c r="N204" s="234" t="s">
        <v>1910</v>
      </c>
      <c r="O204" s="234" t="s">
        <v>1911</v>
      </c>
      <c r="P204" s="261" t="s">
        <v>3535</v>
      </c>
      <c r="Q204" s="261" t="s">
        <v>3539</v>
      </c>
    </row>
    <row r="205" spans="1:17" ht="15.75" thickBot="1" x14ac:dyDescent="0.3">
      <c r="A205" s="82" t="s">
        <v>1929</v>
      </c>
      <c r="B205" s="82" t="s">
        <v>1929</v>
      </c>
      <c r="C205" s="82" t="str">
        <f t="shared" si="11"/>
        <v>X</v>
      </c>
      <c r="D205" s="82" t="s">
        <v>3049</v>
      </c>
      <c r="E205" s="82">
        <v>450</v>
      </c>
      <c r="F205" s="163"/>
      <c r="G205" s="161"/>
      <c r="H205" s="82" t="str">
        <f t="shared" si="12"/>
        <v/>
      </c>
      <c r="I205" s="286">
        <v>1278.75</v>
      </c>
      <c r="J205" s="162"/>
      <c r="K205" s="162"/>
      <c r="L205" s="284">
        <v>2022</v>
      </c>
      <c r="M205" s="234" t="s">
        <v>1909</v>
      </c>
      <c r="N205" s="234" t="s">
        <v>1910</v>
      </c>
      <c r="O205" s="234" t="s">
        <v>1911</v>
      </c>
      <c r="P205" s="261" t="s">
        <v>3535</v>
      </c>
      <c r="Q205" s="261" t="s">
        <v>3539</v>
      </c>
    </row>
    <row r="206" spans="1:17" ht="15.75" thickBot="1" x14ac:dyDescent="0.3">
      <c r="A206" s="82" t="s">
        <v>1931</v>
      </c>
      <c r="B206" s="82" t="s">
        <v>1931</v>
      </c>
      <c r="C206" s="82" t="str">
        <f t="shared" si="11"/>
        <v>X</v>
      </c>
      <c r="D206" s="83" t="s">
        <v>1662</v>
      </c>
      <c r="E206" s="83"/>
      <c r="F206" s="83"/>
      <c r="G206" s="161"/>
      <c r="H206" s="82" t="str">
        <f t="shared" si="12"/>
        <v/>
      </c>
      <c r="I206" s="361">
        <v>315135.08</v>
      </c>
      <c r="J206" s="162"/>
      <c r="K206" s="162"/>
      <c r="L206" s="284">
        <v>2022</v>
      </c>
      <c r="M206" s="234" t="s">
        <v>1909</v>
      </c>
      <c r="N206" s="234" t="s">
        <v>1910</v>
      </c>
      <c r="O206" s="234" t="s">
        <v>1911</v>
      </c>
      <c r="P206" s="261" t="s">
        <v>3535</v>
      </c>
      <c r="Q206" s="261" t="s">
        <v>3539</v>
      </c>
    </row>
    <row r="207" spans="1:17" ht="15.75" thickBot="1" x14ac:dyDescent="0.3">
      <c r="A207" s="82" t="s">
        <v>1931</v>
      </c>
      <c r="B207" s="82" t="s">
        <v>1931</v>
      </c>
      <c r="C207" s="82" t="str">
        <f t="shared" si="11"/>
        <v>X</v>
      </c>
      <c r="D207" s="83" t="s">
        <v>1681</v>
      </c>
      <c r="E207" s="83">
        <f>162+128</f>
        <v>290</v>
      </c>
      <c r="F207" s="83" t="s">
        <v>586</v>
      </c>
      <c r="G207" s="161"/>
      <c r="H207" s="82" t="str">
        <f t="shared" si="12"/>
        <v/>
      </c>
      <c r="I207" s="361">
        <v>76622</v>
      </c>
      <c r="J207" s="162"/>
      <c r="K207" s="162"/>
      <c r="L207" s="284">
        <v>2022</v>
      </c>
      <c r="M207" s="234" t="s">
        <v>1909</v>
      </c>
      <c r="N207" s="234" t="s">
        <v>1910</v>
      </c>
      <c r="O207" s="234" t="s">
        <v>1911</v>
      </c>
      <c r="P207" s="261" t="s">
        <v>3535</v>
      </c>
      <c r="Q207" s="261" t="s">
        <v>3539</v>
      </c>
    </row>
    <row r="208" spans="1:17" ht="15.75" thickBot="1" x14ac:dyDescent="0.3">
      <c r="A208" s="82" t="s">
        <v>1931</v>
      </c>
      <c r="B208" s="82" t="s">
        <v>1931</v>
      </c>
      <c r="C208" s="82" t="str">
        <f t="shared" si="11"/>
        <v>X</v>
      </c>
      <c r="D208" s="83" t="s">
        <v>1661</v>
      </c>
      <c r="E208" s="83"/>
      <c r="F208" s="83"/>
      <c r="G208" s="161"/>
      <c r="H208" s="82" t="str">
        <f t="shared" si="12"/>
        <v/>
      </c>
      <c r="I208" s="361">
        <v>62079</v>
      </c>
      <c r="J208" s="162"/>
      <c r="K208" s="162"/>
      <c r="L208" s="284">
        <v>2022</v>
      </c>
      <c r="M208" s="234" t="s">
        <v>1909</v>
      </c>
      <c r="N208" s="234" t="s">
        <v>1910</v>
      </c>
      <c r="O208" s="234" t="s">
        <v>1911</v>
      </c>
      <c r="P208" s="261" t="s">
        <v>3535</v>
      </c>
      <c r="Q208" s="261" t="s">
        <v>3539</v>
      </c>
    </row>
    <row r="209" spans="1:17" ht="15.75" thickBot="1" x14ac:dyDescent="0.3">
      <c r="A209" s="82" t="s">
        <v>1931</v>
      </c>
      <c r="B209" s="82" t="s">
        <v>1931</v>
      </c>
      <c r="C209" s="82" t="str">
        <f t="shared" si="11"/>
        <v>X</v>
      </c>
      <c r="D209" s="83" t="s">
        <v>1653</v>
      </c>
      <c r="E209" s="83">
        <v>22</v>
      </c>
      <c r="F209" s="83" t="s">
        <v>586</v>
      </c>
      <c r="G209" s="161"/>
      <c r="H209" s="82" t="str">
        <f t="shared" si="12"/>
        <v/>
      </c>
      <c r="I209" s="361">
        <v>3668.8</v>
      </c>
      <c r="J209" s="162"/>
      <c r="K209" s="162"/>
      <c r="L209" s="284">
        <v>2022</v>
      </c>
      <c r="M209" s="234" t="s">
        <v>1909</v>
      </c>
      <c r="N209" s="234" t="s">
        <v>1910</v>
      </c>
      <c r="O209" s="234" t="s">
        <v>1911</v>
      </c>
      <c r="P209" s="261" t="s">
        <v>3535</v>
      </c>
      <c r="Q209" s="261" t="s">
        <v>3539</v>
      </c>
    </row>
    <row r="210" spans="1:17" ht="15.75" thickBot="1" x14ac:dyDescent="0.3">
      <c r="A210" s="82" t="s">
        <v>1931</v>
      </c>
      <c r="B210" s="82" t="s">
        <v>1931</v>
      </c>
      <c r="C210" s="82" t="str">
        <f t="shared" si="11"/>
        <v>X</v>
      </c>
      <c r="D210" s="83" t="s">
        <v>1654</v>
      </c>
      <c r="E210" s="83"/>
      <c r="F210" s="83"/>
      <c r="G210" s="161"/>
      <c r="H210" s="82" t="str">
        <f t="shared" si="12"/>
        <v/>
      </c>
      <c r="I210" s="361">
        <v>0</v>
      </c>
      <c r="J210" s="162"/>
      <c r="K210" s="162"/>
      <c r="L210" s="284">
        <v>2022</v>
      </c>
      <c r="M210" s="234" t="s">
        <v>1909</v>
      </c>
      <c r="N210" s="234" t="s">
        <v>1910</v>
      </c>
      <c r="O210" s="234" t="s">
        <v>1911</v>
      </c>
      <c r="P210" s="261" t="s">
        <v>3535</v>
      </c>
      <c r="Q210" s="261" t="s">
        <v>3539</v>
      </c>
    </row>
    <row r="211" spans="1:17" ht="15.75" thickBot="1" x14ac:dyDescent="0.3">
      <c r="A211" s="82" t="s">
        <v>1931</v>
      </c>
      <c r="B211" s="82" t="s">
        <v>1931</v>
      </c>
      <c r="C211" s="82" t="str">
        <f t="shared" si="11"/>
        <v>X</v>
      </c>
      <c r="D211" s="83" t="s">
        <v>1655</v>
      </c>
      <c r="E211" s="83"/>
      <c r="F211" s="83"/>
      <c r="G211" s="161"/>
      <c r="H211" s="82" t="str">
        <f t="shared" si="12"/>
        <v/>
      </c>
      <c r="I211" s="361">
        <v>21133.9</v>
      </c>
      <c r="J211" s="162"/>
      <c r="K211" s="162"/>
      <c r="L211" s="284">
        <v>2022</v>
      </c>
      <c r="M211" s="234" t="s">
        <v>1909</v>
      </c>
      <c r="N211" s="234" t="s">
        <v>1910</v>
      </c>
      <c r="O211" s="234" t="s">
        <v>1911</v>
      </c>
      <c r="P211" s="261" t="s">
        <v>3535</v>
      </c>
      <c r="Q211" s="261" t="s">
        <v>3539</v>
      </c>
    </row>
    <row r="212" spans="1:17" ht="15.75" thickBot="1" x14ac:dyDescent="0.3">
      <c r="A212" s="82" t="s">
        <v>1931</v>
      </c>
      <c r="B212" s="82" t="s">
        <v>1931</v>
      </c>
      <c r="C212" s="82" t="str">
        <f t="shared" si="11"/>
        <v>X</v>
      </c>
      <c r="D212" s="83" t="s">
        <v>1656</v>
      </c>
      <c r="E212" s="83"/>
      <c r="F212" s="83"/>
      <c r="G212" s="161"/>
      <c r="H212" s="82" t="str">
        <f t="shared" si="12"/>
        <v/>
      </c>
      <c r="I212" s="361">
        <v>0</v>
      </c>
      <c r="J212" s="162"/>
      <c r="K212" s="162"/>
      <c r="L212" s="284">
        <v>2022</v>
      </c>
      <c r="M212" s="234" t="s">
        <v>1909</v>
      </c>
      <c r="N212" s="234" t="s">
        <v>1910</v>
      </c>
      <c r="O212" s="234" t="s">
        <v>1911</v>
      </c>
      <c r="P212" s="261" t="s">
        <v>3535</v>
      </c>
      <c r="Q212" s="261" t="s">
        <v>3539</v>
      </c>
    </row>
    <row r="213" spans="1:17" ht="15.75" thickBot="1" x14ac:dyDescent="0.3">
      <c r="A213" s="82" t="s">
        <v>1931</v>
      </c>
      <c r="B213" s="82" t="s">
        <v>1931</v>
      </c>
      <c r="C213" s="82" t="str">
        <f t="shared" si="11"/>
        <v>X</v>
      </c>
      <c r="D213" s="83" t="s">
        <v>1657</v>
      </c>
      <c r="E213" s="83"/>
      <c r="F213" s="83"/>
      <c r="G213" s="161"/>
      <c r="H213" s="82" t="str">
        <f t="shared" si="12"/>
        <v/>
      </c>
      <c r="I213" s="361">
        <v>32302.75</v>
      </c>
      <c r="J213" s="162"/>
      <c r="K213" s="162"/>
      <c r="L213" s="284">
        <v>2022</v>
      </c>
      <c r="M213" s="234" t="s">
        <v>1909</v>
      </c>
      <c r="N213" s="234" t="s">
        <v>1910</v>
      </c>
      <c r="O213" s="234" t="s">
        <v>1911</v>
      </c>
      <c r="P213" s="261" t="s">
        <v>3535</v>
      </c>
      <c r="Q213" s="261" t="s">
        <v>3539</v>
      </c>
    </row>
    <row r="214" spans="1:17" ht="15.75" thickBot="1" x14ac:dyDescent="0.3">
      <c r="A214" s="82" t="s">
        <v>1931</v>
      </c>
      <c r="B214" s="82" t="s">
        <v>1931</v>
      </c>
      <c r="C214" s="82" t="str">
        <f t="shared" si="11"/>
        <v>X</v>
      </c>
      <c r="D214" s="83" t="s">
        <v>1670</v>
      </c>
      <c r="E214" s="83"/>
      <c r="F214" s="83"/>
      <c r="G214" s="161"/>
      <c r="H214" s="82" t="str">
        <f t="shared" si="12"/>
        <v/>
      </c>
      <c r="I214" s="361">
        <v>0</v>
      </c>
      <c r="J214" s="162"/>
      <c r="K214" s="162"/>
      <c r="L214" s="284">
        <v>2022</v>
      </c>
      <c r="M214" s="234" t="s">
        <v>1909</v>
      </c>
      <c r="N214" s="234" t="s">
        <v>1910</v>
      </c>
      <c r="O214" s="234" t="s">
        <v>1911</v>
      </c>
      <c r="P214" s="261" t="s">
        <v>3535</v>
      </c>
      <c r="Q214" s="261" t="s">
        <v>3539</v>
      </c>
    </row>
    <row r="215" spans="1:17" ht="15.75" thickBot="1" x14ac:dyDescent="0.3">
      <c r="A215" s="82" t="s">
        <v>1931</v>
      </c>
      <c r="B215" s="82" t="s">
        <v>1931</v>
      </c>
      <c r="C215" s="82" t="str">
        <f t="shared" si="11"/>
        <v>X</v>
      </c>
      <c r="D215" s="83" t="s">
        <v>1672</v>
      </c>
      <c r="E215" s="83"/>
      <c r="F215" s="83"/>
      <c r="G215" s="161"/>
      <c r="H215" s="82" t="str">
        <f t="shared" si="12"/>
        <v/>
      </c>
      <c r="I215" s="361">
        <v>80170.760000000038</v>
      </c>
      <c r="J215" s="162"/>
      <c r="K215" s="162"/>
      <c r="L215" s="284">
        <v>2022</v>
      </c>
      <c r="M215" s="234" t="s">
        <v>1909</v>
      </c>
      <c r="N215" s="234" t="s">
        <v>1910</v>
      </c>
      <c r="O215" s="234" t="s">
        <v>1911</v>
      </c>
      <c r="P215" s="261" t="s">
        <v>3535</v>
      </c>
      <c r="Q215" s="261" t="s">
        <v>3539</v>
      </c>
    </row>
    <row r="216" spans="1:17" ht="15.75" thickBot="1" x14ac:dyDescent="0.3">
      <c r="A216" s="82" t="s">
        <v>1931</v>
      </c>
      <c r="B216" s="82" t="s">
        <v>1931</v>
      </c>
      <c r="C216" s="82" t="str">
        <f t="shared" si="11"/>
        <v>X</v>
      </c>
      <c r="D216" s="83" t="s">
        <v>1658</v>
      </c>
      <c r="E216" s="83"/>
      <c r="F216" s="83"/>
      <c r="G216" s="161"/>
      <c r="H216" s="82" t="str">
        <f t="shared" si="12"/>
        <v/>
      </c>
      <c r="I216" s="361">
        <v>0</v>
      </c>
      <c r="J216" s="162"/>
      <c r="K216" s="162"/>
      <c r="L216" s="284">
        <v>2022</v>
      </c>
      <c r="M216" s="234" t="s">
        <v>1909</v>
      </c>
      <c r="N216" s="234" t="s">
        <v>1910</v>
      </c>
      <c r="O216" s="234" t="s">
        <v>1911</v>
      </c>
      <c r="P216" s="261" t="s">
        <v>3535</v>
      </c>
      <c r="Q216" s="261" t="s">
        <v>3539</v>
      </c>
    </row>
    <row r="217" spans="1:17" ht="15.75" thickBot="1" x14ac:dyDescent="0.3">
      <c r="A217" s="82" t="s">
        <v>1931</v>
      </c>
      <c r="B217" s="82" t="s">
        <v>1931</v>
      </c>
      <c r="C217" s="82" t="str">
        <f t="shared" si="11"/>
        <v>X</v>
      </c>
      <c r="D217" s="83" t="s">
        <v>1675</v>
      </c>
      <c r="E217" s="83"/>
      <c r="F217" s="83"/>
      <c r="G217" s="161"/>
      <c r="H217" s="82" t="str">
        <f t="shared" si="12"/>
        <v/>
      </c>
      <c r="I217" s="361">
        <v>29497.29</v>
      </c>
      <c r="J217" s="162"/>
      <c r="K217" s="162"/>
      <c r="L217" s="284">
        <v>2022</v>
      </c>
      <c r="M217" s="234" t="s">
        <v>1909</v>
      </c>
      <c r="N217" s="234" t="s">
        <v>1910</v>
      </c>
      <c r="O217" s="234" t="s">
        <v>1911</v>
      </c>
      <c r="P217" s="261" t="s">
        <v>3535</v>
      </c>
      <c r="Q217" s="261" t="s">
        <v>3539</v>
      </c>
    </row>
    <row r="218" spans="1:17" ht="15.75" thickBot="1" x14ac:dyDescent="0.3">
      <c r="A218" s="82" t="s">
        <v>1931</v>
      </c>
      <c r="B218" s="82" t="s">
        <v>1931</v>
      </c>
      <c r="C218" s="82" t="str">
        <f t="shared" si="11"/>
        <v>X</v>
      </c>
      <c r="D218" s="83" t="s">
        <v>1659</v>
      </c>
      <c r="E218" s="83"/>
      <c r="F218" s="83"/>
      <c r="G218" s="161"/>
      <c r="H218" s="82" t="str">
        <f t="shared" si="12"/>
        <v/>
      </c>
      <c r="I218" s="361">
        <v>9660.58</v>
      </c>
      <c r="J218" s="162"/>
      <c r="K218" s="162"/>
      <c r="L218" s="284">
        <v>2022</v>
      </c>
      <c r="M218" s="234" t="s">
        <v>1909</v>
      </c>
      <c r="N218" s="234" t="s">
        <v>1910</v>
      </c>
      <c r="O218" s="234" t="s">
        <v>1911</v>
      </c>
      <c r="P218" s="261" t="s">
        <v>3535</v>
      </c>
      <c r="Q218" s="261" t="s">
        <v>3539</v>
      </c>
    </row>
    <row r="219" spans="1:17" ht="15.75" thickBot="1" x14ac:dyDescent="0.3">
      <c r="A219" s="290" t="s">
        <v>2966</v>
      </c>
      <c r="B219" s="290" t="s">
        <v>2966</v>
      </c>
      <c r="C219" s="82" t="str">
        <f t="shared" si="11"/>
        <v>X</v>
      </c>
      <c r="D219" s="83" t="s">
        <v>1661</v>
      </c>
      <c r="E219" s="83"/>
      <c r="F219" s="83"/>
      <c r="G219" s="161"/>
      <c r="H219" s="82" t="str">
        <f t="shared" ref="H219:H245" si="13">IFERROR(LEFT(F219,FIND(" ",F219)-1),"")</f>
        <v/>
      </c>
      <c r="I219" s="361">
        <v>97733</v>
      </c>
      <c r="J219" s="162"/>
      <c r="K219" s="162"/>
      <c r="L219" s="284">
        <v>2022</v>
      </c>
      <c r="M219" s="234" t="s">
        <v>1909</v>
      </c>
      <c r="N219" s="234" t="s">
        <v>1910</v>
      </c>
      <c r="O219" s="234" t="s">
        <v>1911</v>
      </c>
      <c r="P219" s="261" t="s">
        <v>3535</v>
      </c>
      <c r="Q219" s="261" t="s">
        <v>3539</v>
      </c>
    </row>
    <row r="220" spans="1:17" ht="15.75" thickBot="1" x14ac:dyDescent="0.3">
      <c r="A220" s="290" t="s">
        <v>2964</v>
      </c>
      <c r="B220" s="290" t="s">
        <v>2964</v>
      </c>
      <c r="C220" s="82" t="str">
        <f t="shared" si="11"/>
        <v>X</v>
      </c>
      <c r="D220" s="83" t="s">
        <v>1661</v>
      </c>
      <c r="E220" s="83"/>
      <c r="F220" s="83"/>
      <c r="G220" s="161"/>
      <c r="H220" s="82" t="str">
        <f t="shared" si="13"/>
        <v/>
      </c>
      <c r="I220" s="361">
        <v>228614</v>
      </c>
      <c r="J220" s="162"/>
      <c r="K220" s="162"/>
      <c r="L220" s="284">
        <v>2022</v>
      </c>
      <c r="M220" s="234" t="s">
        <v>1909</v>
      </c>
      <c r="N220" s="234" t="s">
        <v>1910</v>
      </c>
      <c r="O220" s="234" t="s">
        <v>1911</v>
      </c>
      <c r="P220" s="261" t="s">
        <v>3535</v>
      </c>
      <c r="Q220" s="261" t="s">
        <v>3539</v>
      </c>
    </row>
    <row r="221" spans="1:17" ht="15.75" thickBot="1" x14ac:dyDescent="0.3">
      <c r="A221" s="82" t="s">
        <v>1935</v>
      </c>
      <c r="B221" s="82" t="s">
        <v>1935</v>
      </c>
      <c r="C221" s="82" t="str">
        <f t="shared" si="11"/>
        <v>X</v>
      </c>
      <c r="D221" s="83" t="s">
        <v>3003</v>
      </c>
      <c r="E221" s="83"/>
      <c r="F221" s="83"/>
      <c r="G221" s="161"/>
      <c r="H221" s="82" t="str">
        <f t="shared" si="13"/>
        <v/>
      </c>
      <c r="I221" s="361">
        <v>547469</v>
      </c>
      <c r="J221" s="162"/>
      <c r="K221" s="162"/>
      <c r="L221" s="284">
        <v>2022</v>
      </c>
      <c r="M221" s="234" t="s">
        <v>1909</v>
      </c>
      <c r="N221" s="234" t="s">
        <v>1910</v>
      </c>
      <c r="O221" s="234" t="s">
        <v>1911</v>
      </c>
      <c r="P221" s="261" t="s">
        <v>3535</v>
      </c>
      <c r="Q221" s="261" t="s">
        <v>3539</v>
      </c>
    </row>
    <row r="222" spans="1:17" ht="15.75" thickBot="1" x14ac:dyDescent="0.3">
      <c r="A222" s="82" t="s">
        <v>1935</v>
      </c>
      <c r="B222" s="82" t="s">
        <v>1935</v>
      </c>
      <c r="C222" s="82" t="str">
        <f t="shared" si="11"/>
        <v>X</v>
      </c>
      <c r="D222" s="83" t="s">
        <v>3003</v>
      </c>
      <c r="E222" s="83"/>
      <c r="F222" s="83"/>
      <c r="G222" s="161"/>
      <c r="H222" s="82" t="str">
        <f t="shared" si="13"/>
        <v/>
      </c>
      <c r="I222" s="361">
        <v>138266</v>
      </c>
      <c r="J222" s="162"/>
      <c r="K222" s="162"/>
      <c r="L222" s="284">
        <v>2022</v>
      </c>
      <c r="M222" s="234" t="s">
        <v>1909</v>
      </c>
      <c r="N222" s="234" t="s">
        <v>1910</v>
      </c>
      <c r="O222" s="234" t="s">
        <v>1911</v>
      </c>
      <c r="P222" s="261" t="s">
        <v>3535</v>
      </c>
      <c r="Q222" s="261" t="s">
        <v>3539</v>
      </c>
    </row>
    <row r="223" spans="1:17" ht="15.75" thickBot="1" x14ac:dyDescent="0.3">
      <c r="A223" s="82" t="s">
        <v>1935</v>
      </c>
      <c r="B223" s="82" t="s">
        <v>1935</v>
      </c>
      <c r="C223" s="82" t="str">
        <f t="shared" si="11"/>
        <v>X</v>
      </c>
      <c r="D223" s="83" t="s">
        <v>1661</v>
      </c>
      <c r="E223" s="83"/>
      <c r="F223" s="83"/>
      <c r="G223" s="161"/>
      <c r="H223" s="82" t="str">
        <f t="shared" si="13"/>
        <v/>
      </c>
      <c r="I223" s="361">
        <v>494021</v>
      </c>
      <c r="J223" s="162"/>
      <c r="K223" s="162"/>
      <c r="L223" s="284">
        <v>2022</v>
      </c>
      <c r="M223" s="234" t="s">
        <v>1909</v>
      </c>
      <c r="N223" s="234" t="s">
        <v>1910</v>
      </c>
      <c r="O223" s="234" t="s">
        <v>1911</v>
      </c>
      <c r="P223" s="261" t="s">
        <v>3535</v>
      </c>
      <c r="Q223" s="261" t="s">
        <v>3539</v>
      </c>
    </row>
    <row r="224" spans="1:17" ht="15.75" thickBot="1" x14ac:dyDescent="0.3">
      <c r="A224" s="289" t="s">
        <v>2967</v>
      </c>
      <c r="B224" s="289" t="s">
        <v>2967</v>
      </c>
      <c r="C224" s="82" t="str">
        <f t="shared" si="11"/>
        <v>X</v>
      </c>
      <c r="D224" s="83" t="s">
        <v>1661</v>
      </c>
      <c r="E224" s="83"/>
      <c r="F224" s="83"/>
      <c r="G224" s="161"/>
      <c r="H224" s="82" t="str">
        <f t="shared" si="13"/>
        <v/>
      </c>
      <c r="I224" s="361">
        <v>137718</v>
      </c>
      <c r="J224" s="162"/>
      <c r="K224" s="162"/>
      <c r="L224" s="284">
        <v>2022</v>
      </c>
      <c r="M224" s="234" t="s">
        <v>1909</v>
      </c>
      <c r="N224" s="234" t="s">
        <v>1910</v>
      </c>
      <c r="O224" s="234" t="s">
        <v>1911</v>
      </c>
      <c r="P224" s="261" t="s">
        <v>3535</v>
      </c>
      <c r="Q224" s="261" t="s">
        <v>3539</v>
      </c>
    </row>
    <row r="225" spans="1:17" ht="15.75" thickBot="1" x14ac:dyDescent="0.3">
      <c r="A225" s="290" t="s">
        <v>2965</v>
      </c>
      <c r="B225" s="290" t="s">
        <v>2965</v>
      </c>
      <c r="C225" s="82" t="str">
        <f t="shared" si="11"/>
        <v>X</v>
      </c>
      <c r="D225" s="83" t="s">
        <v>1661</v>
      </c>
      <c r="E225" s="83"/>
      <c r="F225" s="83"/>
      <c r="G225" s="161"/>
      <c r="H225" s="82" t="str">
        <f t="shared" si="13"/>
        <v/>
      </c>
      <c r="I225" s="361">
        <v>65863</v>
      </c>
      <c r="J225" s="162"/>
      <c r="K225" s="162"/>
      <c r="L225" s="284">
        <v>2022</v>
      </c>
      <c r="M225" s="234" t="s">
        <v>1909</v>
      </c>
      <c r="N225" s="234" t="s">
        <v>1910</v>
      </c>
      <c r="O225" s="234" t="s">
        <v>1911</v>
      </c>
      <c r="P225" s="261" t="s">
        <v>3535</v>
      </c>
      <c r="Q225" s="261" t="s">
        <v>3539</v>
      </c>
    </row>
    <row r="226" spans="1:17" ht="15.75" thickBot="1" x14ac:dyDescent="0.3">
      <c r="A226" s="82" t="s">
        <v>4686</v>
      </c>
      <c r="B226" s="82" t="s">
        <v>4686</v>
      </c>
      <c r="C226" s="82" t="str">
        <f t="shared" si="11"/>
        <v>X</v>
      </c>
      <c r="D226" s="83" t="s">
        <v>3051</v>
      </c>
      <c r="E226" s="83"/>
      <c r="F226" s="83"/>
      <c r="G226" s="161"/>
      <c r="H226" s="82" t="str">
        <f t="shared" si="13"/>
        <v/>
      </c>
      <c r="I226" s="361">
        <v>297973.40000000002</v>
      </c>
      <c r="J226" s="162"/>
      <c r="K226" s="162"/>
      <c r="L226" s="284">
        <v>2022</v>
      </c>
      <c r="M226" s="234" t="s">
        <v>1909</v>
      </c>
      <c r="N226" s="234" t="s">
        <v>1910</v>
      </c>
      <c r="O226" s="234" t="s">
        <v>1911</v>
      </c>
      <c r="P226" s="261" t="s">
        <v>3535</v>
      </c>
      <c r="Q226" s="261" t="s">
        <v>3539</v>
      </c>
    </row>
    <row r="227" spans="1:17" ht="15.75" thickBot="1" x14ac:dyDescent="0.3">
      <c r="A227" s="82" t="s">
        <v>4686</v>
      </c>
      <c r="B227" s="82" t="s">
        <v>4686</v>
      </c>
      <c r="C227" s="82" t="str">
        <f t="shared" si="11"/>
        <v>X</v>
      </c>
      <c r="D227" s="83" t="s">
        <v>3003</v>
      </c>
      <c r="E227" s="83"/>
      <c r="F227" s="83"/>
      <c r="G227" s="161"/>
      <c r="H227" s="82" t="str">
        <f t="shared" si="13"/>
        <v/>
      </c>
      <c r="I227" s="361">
        <v>1086346.1700000002</v>
      </c>
      <c r="J227" s="162"/>
      <c r="K227" s="162"/>
      <c r="L227" s="284">
        <v>2022</v>
      </c>
      <c r="M227" s="234" t="s">
        <v>1909</v>
      </c>
      <c r="N227" s="234" t="s">
        <v>1910</v>
      </c>
      <c r="O227" s="234" t="s">
        <v>1911</v>
      </c>
      <c r="P227" s="261" t="s">
        <v>3535</v>
      </c>
      <c r="Q227" s="261" t="s">
        <v>3539</v>
      </c>
    </row>
    <row r="228" spans="1:17" ht="15.75" thickBot="1" x14ac:dyDescent="0.3">
      <c r="A228" s="82" t="s">
        <v>4686</v>
      </c>
      <c r="B228" s="82" t="s">
        <v>4686</v>
      </c>
      <c r="C228" s="82" t="str">
        <f t="shared" si="11"/>
        <v>X</v>
      </c>
      <c r="D228" s="83" t="s">
        <v>1681</v>
      </c>
      <c r="E228" s="83"/>
      <c r="F228" s="83"/>
      <c r="G228" s="161"/>
      <c r="H228" s="82" t="str">
        <f t="shared" si="13"/>
        <v/>
      </c>
      <c r="I228" s="361">
        <v>207577.66999999998</v>
      </c>
      <c r="J228" s="162"/>
      <c r="K228" s="162"/>
      <c r="L228" s="284">
        <v>2022</v>
      </c>
      <c r="M228" s="234" t="s">
        <v>1909</v>
      </c>
      <c r="N228" s="234" t="s">
        <v>1910</v>
      </c>
      <c r="O228" s="234" t="s">
        <v>1911</v>
      </c>
      <c r="P228" s="261" t="s">
        <v>3535</v>
      </c>
      <c r="Q228" s="261" t="s">
        <v>3539</v>
      </c>
    </row>
    <row r="229" spans="1:17" ht="15.75" thickBot="1" x14ac:dyDescent="0.3">
      <c r="A229" s="82" t="s">
        <v>4687</v>
      </c>
      <c r="B229" s="82" t="s">
        <v>4687</v>
      </c>
      <c r="C229" s="82" t="str">
        <f t="shared" si="11"/>
        <v>X</v>
      </c>
      <c r="D229" s="83" t="s">
        <v>1661</v>
      </c>
      <c r="E229" s="83"/>
      <c r="F229" s="83"/>
      <c r="G229" s="161"/>
      <c r="H229" s="82" t="str">
        <f t="shared" si="13"/>
        <v/>
      </c>
      <c r="I229" s="361">
        <v>255320</v>
      </c>
      <c r="J229" s="162"/>
      <c r="K229" s="162"/>
      <c r="L229" s="284">
        <v>2022</v>
      </c>
      <c r="M229" s="234" t="s">
        <v>1909</v>
      </c>
      <c r="N229" s="234" t="s">
        <v>1910</v>
      </c>
      <c r="O229" s="234" t="s">
        <v>1911</v>
      </c>
      <c r="P229" s="261" t="s">
        <v>3535</v>
      </c>
      <c r="Q229" s="261" t="s">
        <v>3539</v>
      </c>
    </row>
    <row r="230" spans="1:17" ht="15.75" thickBot="1" x14ac:dyDescent="0.3">
      <c r="A230" s="82" t="s">
        <v>4687</v>
      </c>
      <c r="B230" s="82" t="s">
        <v>4687</v>
      </c>
      <c r="C230" s="82" t="str">
        <f t="shared" si="11"/>
        <v>X</v>
      </c>
      <c r="D230" s="83" t="s">
        <v>3003</v>
      </c>
      <c r="E230" s="83"/>
      <c r="F230" s="83"/>
      <c r="G230" s="161"/>
      <c r="H230" s="82" t="str">
        <f t="shared" si="13"/>
        <v/>
      </c>
      <c r="I230" s="361">
        <v>127267</v>
      </c>
      <c r="J230" s="162"/>
      <c r="K230" s="162"/>
      <c r="L230" s="284">
        <v>2022</v>
      </c>
      <c r="M230" s="234" t="s">
        <v>1909</v>
      </c>
      <c r="N230" s="234" t="s">
        <v>1910</v>
      </c>
      <c r="O230" s="234" t="s">
        <v>1911</v>
      </c>
      <c r="P230" s="261" t="s">
        <v>3535</v>
      </c>
      <c r="Q230" s="261" t="s">
        <v>3539</v>
      </c>
    </row>
    <row r="231" spans="1:17" ht="15.75" thickBot="1" x14ac:dyDescent="0.3">
      <c r="A231" s="82" t="s">
        <v>4687</v>
      </c>
      <c r="B231" s="82" t="s">
        <v>4687</v>
      </c>
      <c r="C231" s="82" t="str">
        <f t="shared" ref="C231:C294" si="14">IF(A231=B231,"X",RIGHT(A231,LEN(A231)-LEN(B231)-3))</f>
        <v>X</v>
      </c>
      <c r="D231" s="83" t="s">
        <v>1681</v>
      </c>
      <c r="E231" s="83"/>
      <c r="F231" s="83"/>
      <c r="G231" s="161"/>
      <c r="H231" s="82" t="str">
        <f t="shared" si="13"/>
        <v/>
      </c>
      <c r="I231" s="361">
        <v>58845</v>
      </c>
      <c r="J231" s="162"/>
      <c r="K231" s="162"/>
      <c r="L231" s="284">
        <v>2022</v>
      </c>
      <c r="M231" s="234" t="s">
        <v>1909</v>
      </c>
      <c r="N231" s="234" t="s">
        <v>1910</v>
      </c>
      <c r="O231" s="234" t="s">
        <v>1911</v>
      </c>
      <c r="P231" s="261" t="s">
        <v>3535</v>
      </c>
      <c r="Q231" s="261" t="s">
        <v>3539</v>
      </c>
    </row>
    <row r="232" spans="1:17" ht="15.75" thickBot="1" x14ac:dyDescent="0.3">
      <c r="A232" s="82" t="s">
        <v>3511</v>
      </c>
      <c r="B232" s="82" t="s">
        <v>3511</v>
      </c>
      <c r="C232" s="82" t="str">
        <f t="shared" si="14"/>
        <v>X</v>
      </c>
      <c r="D232" s="83" t="s">
        <v>1661</v>
      </c>
      <c r="E232" s="83"/>
      <c r="F232" s="83"/>
      <c r="G232" s="161"/>
      <c r="H232" s="82" t="str">
        <f t="shared" si="13"/>
        <v/>
      </c>
      <c r="I232" s="361">
        <v>109846.41000000002</v>
      </c>
      <c r="J232" s="162"/>
      <c r="K232" s="162"/>
      <c r="L232" s="284">
        <v>2022</v>
      </c>
      <c r="M232" s="234" t="s">
        <v>1909</v>
      </c>
      <c r="N232" s="234" t="s">
        <v>1910</v>
      </c>
      <c r="O232" s="234" t="s">
        <v>1911</v>
      </c>
      <c r="P232" s="261" t="s">
        <v>3535</v>
      </c>
      <c r="Q232" s="261" t="s">
        <v>3539</v>
      </c>
    </row>
    <row r="233" spans="1:17" ht="15.75" thickBot="1" x14ac:dyDescent="0.3">
      <c r="A233" s="82" t="s">
        <v>3511</v>
      </c>
      <c r="B233" s="82" t="s">
        <v>3511</v>
      </c>
      <c r="C233" s="82" t="str">
        <f t="shared" si="14"/>
        <v>X</v>
      </c>
      <c r="D233" s="83" t="s">
        <v>3003</v>
      </c>
      <c r="E233" s="83"/>
      <c r="F233" s="83"/>
      <c r="G233" s="161"/>
      <c r="H233" s="82" t="str">
        <f t="shared" si="13"/>
        <v/>
      </c>
      <c r="I233" s="361">
        <v>21777.03</v>
      </c>
      <c r="J233" s="162"/>
      <c r="K233" s="162"/>
      <c r="L233" s="284">
        <v>2022</v>
      </c>
      <c r="M233" s="234" t="s">
        <v>1909</v>
      </c>
      <c r="N233" s="234" t="s">
        <v>1910</v>
      </c>
      <c r="O233" s="234" t="s">
        <v>1911</v>
      </c>
      <c r="P233" s="261" t="s">
        <v>3535</v>
      </c>
      <c r="Q233" s="261" t="s">
        <v>3539</v>
      </c>
    </row>
    <row r="234" spans="1:17" ht="15.75" thickBot="1" x14ac:dyDescent="0.3">
      <c r="A234" s="82" t="s">
        <v>3511</v>
      </c>
      <c r="B234" s="82" t="s">
        <v>3511</v>
      </c>
      <c r="C234" s="82" t="str">
        <f t="shared" si="14"/>
        <v>X</v>
      </c>
      <c r="D234" s="83" t="s">
        <v>1681</v>
      </c>
      <c r="E234" s="83"/>
      <c r="F234" s="83"/>
      <c r="G234" s="161"/>
      <c r="H234" s="82" t="str">
        <f t="shared" si="13"/>
        <v/>
      </c>
      <c r="I234" s="361">
        <v>19949.57</v>
      </c>
      <c r="J234" s="162"/>
      <c r="K234" s="162"/>
      <c r="L234" s="284">
        <v>2022</v>
      </c>
      <c r="M234" s="234" t="s">
        <v>1909</v>
      </c>
      <c r="N234" s="234" t="s">
        <v>1910</v>
      </c>
      <c r="O234" s="234" t="s">
        <v>1911</v>
      </c>
      <c r="P234" s="261" t="s">
        <v>3535</v>
      </c>
      <c r="Q234" s="261" t="s">
        <v>3539</v>
      </c>
    </row>
    <row r="235" spans="1:17" ht="15.75" thickBot="1" x14ac:dyDescent="0.3">
      <c r="A235" s="82" t="s">
        <v>4688</v>
      </c>
      <c r="B235" s="82" t="s">
        <v>4688</v>
      </c>
      <c r="C235" s="82" t="str">
        <f t="shared" si="14"/>
        <v>X</v>
      </c>
      <c r="D235" s="83" t="s">
        <v>1661</v>
      </c>
      <c r="E235" s="83"/>
      <c r="F235" s="83"/>
      <c r="G235" s="161"/>
      <c r="H235" s="82" t="str">
        <f t="shared" si="13"/>
        <v/>
      </c>
      <c r="I235" s="361">
        <v>30473</v>
      </c>
      <c r="J235" s="162"/>
      <c r="K235" s="162"/>
      <c r="L235" s="284">
        <v>2022</v>
      </c>
      <c r="M235" s="234" t="s">
        <v>1909</v>
      </c>
      <c r="N235" s="234" t="s">
        <v>1910</v>
      </c>
      <c r="O235" s="234" t="s">
        <v>1911</v>
      </c>
      <c r="P235" s="261" t="s">
        <v>3535</v>
      </c>
      <c r="Q235" s="261" t="s">
        <v>3539</v>
      </c>
    </row>
    <row r="236" spans="1:17" ht="15.75" thickBot="1" x14ac:dyDescent="0.3">
      <c r="A236" s="82" t="s">
        <v>4688</v>
      </c>
      <c r="B236" s="82" t="s">
        <v>4688</v>
      </c>
      <c r="C236" s="82" t="str">
        <f t="shared" si="14"/>
        <v>X</v>
      </c>
      <c r="D236" s="83" t="s">
        <v>3003</v>
      </c>
      <c r="E236" s="83"/>
      <c r="F236" s="83"/>
      <c r="G236" s="161"/>
      <c r="H236" s="82" t="str">
        <f t="shared" si="13"/>
        <v/>
      </c>
      <c r="I236" s="361">
        <v>1082</v>
      </c>
      <c r="J236" s="162"/>
      <c r="K236" s="162"/>
      <c r="L236" s="284">
        <v>2022</v>
      </c>
      <c r="M236" s="234" t="s">
        <v>1909</v>
      </c>
      <c r="N236" s="234" t="s">
        <v>1910</v>
      </c>
      <c r="O236" s="234" t="s">
        <v>1911</v>
      </c>
      <c r="P236" s="261" t="s">
        <v>3535</v>
      </c>
      <c r="Q236" s="261" t="s">
        <v>3539</v>
      </c>
    </row>
    <row r="237" spans="1:17" ht="15.75" thickBot="1" x14ac:dyDescent="0.3">
      <c r="A237" s="82" t="s">
        <v>4688</v>
      </c>
      <c r="B237" s="82" t="s">
        <v>4688</v>
      </c>
      <c r="C237" s="82" t="str">
        <f t="shared" si="14"/>
        <v>X</v>
      </c>
      <c r="D237" s="83" t="s">
        <v>1681</v>
      </c>
      <c r="E237" s="83"/>
      <c r="F237" s="83"/>
      <c r="G237" s="161"/>
      <c r="H237" s="82" t="str">
        <f t="shared" si="13"/>
        <v/>
      </c>
      <c r="I237" s="361">
        <v>11313</v>
      </c>
      <c r="J237" s="162"/>
      <c r="K237" s="162"/>
      <c r="L237" s="284">
        <v>2022</v>
      </c>
      <c r="M237" s="234" t="s">
        <v>1909</v>
      </c>
      <c r="N237" s="234" t="s">
        <v>1910</v>
      </c>
      <c r="O237" s="234" t="s">
        <v>1911</v>
      </c>
      <c r="P237" s="261" t="s">
        <v>3535</v>
      </c>
      <c r="Q237" s="261" t="s">
        <v>3539</v>
      </c>
    </row>
    <row r="238" spans="1:17" ht="15.75" thickBot="1" x14ac:dyDescent="0.3">
      <c r="A238" s="82" t="s">
        <v>4689</v>
      </c>
      <c r="B238" s="82" t="s">
        <v>4689</v>
      </c>
      <c r="C238" s="82" t="str">
        <f t="shared" si="14"/>
        <v>X</v>
      </c>
      <c r="D238" s="83" t="s">
        <v>1661</v>
      </c>
      <c r="E238" s="83"/>
      <c r="F238" s="83"/>
      <c r="G238" s="161"/>
      <c r="H238" s="82" t="str">
        <f t="shared" si="13"/>
        <v/>
      </c>
      <c r="I238" s="361">
        <v>49783</v>
      </c>
      <c r="J238" s="162"/>
      <c r="K238" s="162"/>
      <c r="L238" s="284">
        <v>2022</v>
      </c>
      <c r="M238" s="234" t="s">
        <v>1909</v>
      </c>
      <c r="N238" s="234" t="s">
        <v>1910</v>
      </c>
      <c r="O238" s="234" t="s">
        <v>1911</v>
      </c>
      <c r="P238" s="261" t="s">
        <v>3535</v>
      </c>
      <c r="Q238" s="261" t="s">
        <v>3539</v>
      </c>
    </row>
    <row r="239" spans="1:17" ht="15.75" thickBot="1" x14ac:dyDescent="0.3">
      <c r="A239" s="82" t="s">
        <v>4689</v>
      </c>
      <c r="B239" s="82" t="s">
        <v>4689</v>
      </c>
      <c r="C239" s="82" t="str">
        <f t="shared" si="14"/>
        <v>X</v>
      </c>
      <c r="D239" s="83" t="s">
        <v>3003</v>
      </c>
      <c r="E239" s="83"/>
      <c r="F239" s="83"/>
      <c r="G239" s="161"/>
      <c r="H239" s="82" t="str">
        <f t="shared" si="13"/>
        <v/>
      </c>
      <c r="I239" s="361">
        <v>41654</v>
      </c>
      <c r="J239" s="162"/>
      <c r="K239" s="162"/>
      <c r="L239" s="284">
        <v>2022</v>
      </c>
      <c r="M239" s="234" t="s">
        <v>1909</v>
      </c>
      <c r="N239" s="234" t="s">
        <v>1910</v>
      </c>
      <c r="O239" s="234" t="s">
        <v>1911</v>
      </c>
      <c r="P239" s="261" t="s">
        <v>3535</v>
      </c>
      <c r="Q239" s="261" t="s">
        <v>3539</v>
      </c>
    </row>
    <row r="240" spans="1:17" ht="15.75" thickBot="1" x14ac:dyDescent="0.3">
      <c r="A240" s="82" t="s">
        <v>4689</v>
      </c>
      <c r="B240" s="82" t="s">
        <v>4689</v>
      </c>
      <c r="C240" s="82" t="str">
        <f t="shared" si="14"/>
        <v>X</v>
      </c>
      <c r="D240" s="83" t="s">
        <v>1681</v>
      </c>
      <c r="E240" s="83"/>
      <c r="F240" s="83"/>
      <c r="G240" s="161"/>
      <c r="H240" s="82" t="str">
        <f t="shared" si="13"/>
        <v/>
      </c>
      <c r="I240" s="361">
        <v>16415</v>
      </c>
      <c r="J240" s="162"/>
      <c r="K240" s="162"/>
      <c r="L240" s="284">
        <v>2022</v>
      </c>
      <c r="M240" s="234" t="s">
        <v>1909</v>
      </c>
      <c r="N240" s="234" t="s">
        <v>1910</v>
      </c>
      <c r="O240" s="234" t="s">
        <v>1911</v>
      </c>
      <c r="P240" s="261" t="s">
        <v>3535</v>
      </c>
      <c r="Q240" s="261" t="s">
        <v>3539</v>
      </c>
    </row>
    <row r="241" spans="1:17" ht="15.75" thickBot="1" x14ac:dyDescent="0.3">
      <c r="A241" s="290" t="s">
        <v>4690</v>
      </c>
      <c r="B241" s="290" t="s">
        <v>4690</v>
      </c>
      <c r="C241" s="82" t="str">
        <f t="shared" si="14"/>
        <v>X</v>
      </c>
      <c r="D241" s="83" t="s">
        <v>1661</v>
      </c>
      <c r="E241" s="83"/>
      <c r="F241" s="83"/>
      <c r="G241" s="161"/>
      <c r="H241" s="82" t="str">
        <f t="shared" si="13"/>
        <v/>
      </c>
      <c r="I241" s="361">
        <v>805601.26</v>
      </c>
      <c r="J241" s="162"/>
      <c r="K241" s="162"/>
      <c r="L241" s="284">
        <v>2022</v>
      </c>
      <c r="M241" s="234" t="s">
        <v>1909</v>
      </c>
      <c r="N241" s="234" t="s">
        <v>1910</v>
      </c>
      <c r="O241" s="234" t="s">
        <v>1911</v>
      </c>
      <c r="P241" s="261" t="s">
        <v>3535</v>
      </c>
      <c r="Q241" s="261" t="s">
        <v>3539</v>
      </c>
    </row>
    <row r="242" spans="1:17" ht="15.75" thickBot="1" x14ac:dyDescent="0.3">
      <c r="A242" s="290" t="s">
        <v>4690</v>
      </c>
      <c r="B242" s="290" t="s">
        <v>4690</v>
      </c>
      <c r="C242" s="82" t="str">
        <f t="shared" si="14"/>
        <v>X</v>
      </c>
      <c r="D242" s="83" t="s">
        <v>3003</v>
      </c>
      <c r="E242" s="83"/>
      <c r="F242" s="83"/>
      <c r="G242" s="161"/>
      <c r="H242" s="82" t="str">
        <f t="shared" si="13"/>
        <v/>
      </c>
      <c r="I242" s="361">
        <v>77547.3</v>
      </c>
      <c r="J242" s="162"/>
      <c r="K242" s="162"/>
      <c r="L242" s="284">
        <v>2022</v>
      </c>
      <c r="M242" s="234" t="s">
        <v>1909</v>
      </c>
      <c r="N242" s="234" t="s">
        <v>1910</v>
      </c>
      <c r="O242" s="234" t="s">
        <v>1911</v>
      </c>
      <c r="P242" s="261" t="s">
        <v>3535</v>
      </c>
      <c r="Q242" s="261" t="s">
        <v>3539</v>
      </c>
    </row>
    <row r="243" spans="1:17" ht="15.75" thickBot="1" x14ac:dyDescent="0.3">
      <c r="A243" s="290" t="s">
        <v>4690</v>
      </c>
      <c r="B243" s="290" t="s">
        <v>4690</v>
      </c>
      <c r="C243" s="82" t="str">
        <f t="shared" si="14"/>
        <v>X</v>
      </c>
      <c r="D243" s="83" t="s">
        <v>1681</v>
      </c>
      <c r="E243" s="83"/>
      <c r="F243" s="83"/>
      <c r="G243" s="161"/>
      <c r="H243" s="82" t="str">
        <f t="shared" si="13"/>
        <v/>
      </c>
      <c r="I243" s="361">
        <v>98980.010000000009</v>
      </c>
      <c r="J243" s="162"/>
      <c r="K243" s="162"/>
      <c r="L243" s="284">
        <v>2022</v>
      </c>
      <c r="M243" s="234" t="s">
        <v>1909</v>
      </c>
      <c r="N243" s="234" t="s">
        <v>1910</v>
      </c>
      <c r="O243" s="234" t="s">
        <v>1911</v>
      </c>
      <c r="P243" s="261" t="s">
        <v>3535</v>
      </c>
      <c r="Q243" s="261" t="s">
        <v>3539</v>
      </c>
    </row>
    <row r="244" spans="1:17" ht="15.75" thickBot="1" x14ac:dyDescent="0.3">
      <c r="A244" s="82" t="s">
        <v>4694</v>
      </c>
      <c r="B244" s="82" t="s">
        <v>4694</v>
      </c>
      <c r="C244" s="82" t="str">
        <f t="shared" si="14"/>
        <v>X</v>
      </c>
      <c r="D244" s="83" t="s">
        <v>1681</v>
      </c>
      <c r="E244" s="83"/>
      <c r="F244" s="83"/>
      <c r="G244" s="161"/>
      <c r="H244" s="82" t="str">
        <f t="shared" si="13"/>
        <v/>
      </c>
      <c r="I244" s="361">
        <v>405166.22000000003</v>
      </c>
      <c r="J244" s="162"/>
      <c r="K244" s="162"/>
      <c r="L244" s="284">
        <v>2022</v>
      </c>
      <c r="M244" s="234" t="s">
        <v>1909</v>
      </c>
      <c r="N244" s="299" t="s">
        <v>1910</v>
      </c>
      <c r="O244" s="234" t="s">
        <v>1911</v>
      </c>
      <c r="P244" s="261" t="s">
        <v>3535</v>
      </c>
      <c r="Q244" s="261" t="s">
        <v>3539</v>
      </c>
    </row>
    <row r="245" spans="1:17" ht="15.75" thickBot="1" x14ac:dyDescent="0.3">
      <c r="A245" s="82" t="s">
        <v>4694</v>
      </c>
      <c r="B245" s="82" t="s">
        <v>4694</v>
      </c>
      <c r="C245" s="82" t="str">
        <f t="shared" si="14"/>
        <v>X</v>
      </c>
      <c r="D245" s="83" t="s">
        <v>1661</v>
      </c>
      <c r="E245" s="83"/>
      <c r="F245" s="83"/>
      <c r="G245" s="161"/>
      <c r="H245" s="82" t="str">
        <f t="shared" si="13"/>
        <v/>
      </c>
      <c r="I245" s="361">
        <v>820207.91</v>
      </c>
      <c r="J245" s="162"/>
      <c r="K245" s="162"/>
      <c r="L245" s="284">
        <v>2022</v>
      </c>
      <c r="M245" s="234" t="s">
        <v>1909</v>
      </c>
      <c r="N245" s="299" t="s">
        <v>1910</v>
      </c>
      <c r="O245" s="234" t="s">
        <v>1911</v>
      </c>
      <c r="P245" s="261" t="s">
        <v>3535</v>
      </c>
      <c r="Q245" s="261" t="s">
        <v>3539</v>
      </c>
    </row>
    <row r="246" spans="1:17" ht="15.75" thickBot="1" x14ac:dyDescent="0.3">
      <c r="A246" s="292" t="s">
        <v>2889</v>
      </c>
      <c r="B246" s="292" t="s">
        <v>2889</v>
      </c>
      <c r="C246" s="82" t="str">
        <f t="shared" si="14"/>
        <v>X</v>
      </c>
      <c r="D246" s="83" t="s">
        <v>1653</v>
      </c>
      <c r="E246" s="83">
        <v>392</v>
      </c>
      <c r="F246" s="85" t="s">
        <v>586</v>
      </c>
      <c r="G246" s="161"/>
      <c r="H246" s="82" t="str">
        <f t="shared" ref="H246:H309" si="15">IFERROR(LEFT(F246,FIND(" ",F246)-1),"")</f>
        <v/>
      </c>
      <c r="I246" s="286">
        <v>65474.81</v>
      </c>
      <c r="J246" s="162"/>
      <c r="K246" s="162"/>
      <c r="L246" s="284">
        <v>2022</v>
      </c>
      <c r="M246" s="234" t="s">
        <v>1909</v>
      </c>
      <c r="N246" s="234" t="s">
        <v>1910</v>
      </c>
      <c r="O246" s="234" t="s">
        <v>1911</v>
      </c>
      <c r="P246" s="261" t="s">
        <v>3535</v>
      </c>
      <c r="Q246" s="261" t="s">
        <v>3539</v>
      </c>
    </row>
    <row r="247" spans="1:17" ht="15.75" thickBot="1" x14ac:dyDescent="0.3">
      <c r="A247" s="292" t="s">
        <v>2889</v>
      </c>
      <c r="B247" s="292" t="s">
        <v>2889</v>
      </c>
      <c r="C247" s="82" t="str">
        <f t="shared" si="14"/>
        <v>X</v>
      </c>
      <c r="D247" s="162" t="s">
        <v>1654</v>
      </c>
      <c r="E247" s="83"/>
      <c r="F247" s="83"/>
      <c r="G247" s="161"/>
      <c r="H247" s="82" t="str">
        <f t="shared" si="15"/>
        <v/>
      </c>
      <c r="I247" s="286">
        <v>1554.0300000000002</v>
      </c>
      <c r="J247" s="162"/>
      <c r="K247" s="162"/>
      <c r="L247" s="284">
        <v>2022</v>
      </c>
      <c r="M247" s="234" t="s">
        <v>1909</v>
      </c>
      <c r="N247" s="234" t="s">
        <v>1910</v>
      </c>
      <c r="O247" s="234" t="s">
        <v>1911</v>
      </c>
      <c r="P247" s="261" t="s">
        <v>3535</v>
      </c>
      <c r="Q247" s="261" t="s">
        <v>3539</v>
      </c>
    </row>
    <row r="248" spans="1:17" ht="15.75" thickBot="1" x14ac:dyDescent="0.3">
      <c r="A248" s="292" t="s">
        <v>2889</v>
      </c>
      <c r="B248" s="292" t="s">
        <v>2889</v>
      </c>
      <c r="C248" s="82" t="str">
        <f t="shared" si="14"/>
        <v>X</v>
      </c>
      <c r="D248" s="83" t="s">
        <v>1658</v>
      </c>
      <c r="E248" s="83"/>
      <c r="F248" s="83"/>
      <c r="G248" s="161"/>
      <c r="H248" s="82" t="str">
        <f t="shared" si="15"/>
        <v/>
      </c>
      <c r="I248" s="286">
        <v>2253.11</v>
      </c>
      <c r="J248" s="162"/>
      <c r="K248" s="162"/>
      <c r="L248" s="284">
        <v>2022</v>
      </c>
      <c r="M248" s="234" t="s">
        <v>1909</v>
      </c>
      <c r="N248" s="234" t="s">
        <v>1910</v>
      </c>
      <c r="O248" s="234" t="s">
        <v>1911</v>
      </c>
      <c r="P248" s="261" t="s">
        <v>3535</v>
      </c>
      <c r="Q248" s="261" t="s">
        <v>3539</v>
      </c>
    </row>
    <row r="249" spans="1:17" ht="15.75" thickBot="1" x14ac:dyDescent="0.3">
      <c r="A249" s="292" t="s">
        <v>2889</v>
      </c>
      <c r="B249" s="292" t="s">
        <v>2889</v>
      </c>
      <c r="C249" s="82" t="str">
        <f t="shared" si="14"/>
        <v>X</v>
      </c>
      <c r="D249" s="83" t="s">
        <v>1659</v>
      </c>
      <c r="E249" s="83"/>
      <c r="F249" s="83"/>
      <c r="G249" s="161"/>
      <c r="H249" s="82" t="str">
        <f t="shared" si="15"/>
        <v/>
      </c>
      <c r="I249" s="286">
        <v>1944.65</v>
      </c>
      <c r="J249" s="162"/>
      <c r="K249" s="162"/>
      <c r="L249" s="284">
        <v>2022</v>
      </c>
      <c r="M249" s="234" t="s">
        <v>1909</v>
      </c>
      <c r="N249" s="234" t="s">
        <v>1910</v>
      </c>
      <c r="O249" s="234" t="s">
        <v>1911</v>
      </c>
      <c r="P249" s="261" t="s">
        <v>3535</v>
      </c>
      <c r="Q249" s="261" t="s">
        <v>3539</v>
      </c>
    </row>
    <row r="250" spans="1:17" ht="15.75" thickBot="1" x14ac:dyDescent="0.3">
      <c r="A250" s="292" t="s">
        <v>2889</v>
      </c>
      <c r="B250" s="292" t="s">
        <v>2889</v>
      </c>
      <c r="C250" s="82" t="str">
        <f t="shared" si="14"/>
        <v>X</v>
      </c>
      <c r="D250" s="83" t="s">
        <v>1657</v>
      </c>
      <c r="E250" s="83"/>
      <c r="F250" s="83"/>
      <c r="G250" s="161"/>
      <c r="H250" s="82" t="str">
        <f t="shared" si="15"/>
        <v/>
      </c>
      <c r="I250" s="286">
        <v>870.83999999999992</v>
      </c>
      <c r="J250" s="162"/>
      <c r="K250" s="162"/>
      <c r="L250" s="284">
        <v>2022</v>
      </c>
      <c r="M250" s="234" t="s">
        <v>1909</v>
      </c>
      <c r="N250" s="234" t="s">
        <v>1910</v>
      </c>
      <c r="O250" s="234" t="s">
        <v>1911</v>
      </c>
      <c r="P250" s="261" t="s">
        <v>3535</v>
      </c>
      <c r="Q250" s="261" t="s">
        <v>3539</v>
      </c>
    </row>
    <row r="251" spans="1:17" ht="15.75" thickBot="1" x14ac:dyDescent="0.3">
      <c r="A251" s="292" t="s">
        <v>2889</v>
      </c>
      <c r="B251" s="292" t="s">
        <v>2889</v>
      </c>
      <c r="C251" s="82" t="str">
        <f t="shared" si="14"/>
        <v>X</v>
      </c>
      <c r="D251" s="83" t="s">
        <v>1659</v>
      </c>
      <c r="E251" s="83"/>
      <c r="F251" s="83"/>
      <c r="G251" s="161"/>
      <c r="H251" s="82" t="str">
        <f t="shared" si="15"/>
        <v/>
      </c>
      <c r="I251" s="286">
        <v>7141.6500000000005</v>
      </c>
      <c r="J251" s="162"/>
      <c r="K251" s="162"/>
      <c r="L251" s="284">
        <v>2022</v>
      </c>
      <c r="M251" s="234" t="s">
        <v>1909</v>
      </c>
      <c r="N251" s="234" t="s">
        <v>1910</v>
      </c>
      <c r="O251" s="234" t="s">
        <v>1911</v>
      </c>
      <c r="P251" s="261" t="s">
        <v>3535</v>
      </c>
      <c r="Q251" s="261" t="s">
        <v>3539</v>
      </c>
    </row>
    <row r="252" spans="1:17" ht="15.75" thickBot="1" x14ac:dyDescent="0.3">
      <c r="A252" s="292" t="s">
        <v>2889</v>
      </c>
      <c r="B252" s="292" t="s">
        <v>2889</v>
      </c>
      <c r="C252" s="82" t="str">
        <f t="shared" si="14"/>
        <v>X</v>
      </c>
      <c r="D252" s="83" t="s">
        <v>1658</v>
      </c>
      <c r="E252" s="83"/>
      <c r="F252" s="83"/>
      <c r="G252" s="161"/>
      <c r="H252" s="82" t="str">
        <f t="shared" si="15"/>
        <v/>
      </c>
      <c r="I252" s="286">
        <v>257.75</v>
      </c>
      <c r="J252" s="162"/>
      <c r="K252" s="162"/>
      <c r="L252" s="284">
        <v>2022</v>
      </c>
      <c r="M252" s="234" t="s">
        <v>1909</v>
      </c>
      <c r="N252" s="234" t="s">
        <v>1910</v>
      </c>
      <c r="O252" s="234" t="s">
        <v>1911</v>
      </c>
      <c r="P252" s="261" t="s">
        <v>3535</v>
      </c>
      <c r="Q252" s="261" t="s">
        <v>3539</v>
      </c>
    </row>
    <row r="253" spans="1:17" ht="15.75" thickBot="1" x14ac:dyDescent="0.3">
      <c r="A253" s="292" t="s">
        <v>2889</v>
      </c>
      <c r="B253" s="292" t="s">
        <v>2889</v>
      </c>
      <c r="C253" s="82" t="str">
        <f t="shared" si="14"/>
        <v>X</v>
      </c>
      <c r="D253" s="83" t="s">
        <v>1657</v>
      </c>
      <c r="E253" s="83"/>
      <c r="F253" s="83"/>
      <c r="G253" s="161"/>
      <c r="H253" s="82" t="str">
        <f t="shared" si="15"/>
        <v/>
      </c>
      <c r="I253" s="286">
        <v>120266.45000000001</v>
      </c>
      <c r="J253" s="162"/>
      <c r="K253" s="162"/>
      <c r="L253" s="284">
        <v>2022</v>
      </c>
      <c r="M253" s="234" t="s">
        <v>1909</v>
      </c>
      <c r="N253" s="234" t="s">
        <v>1910</v>
      </c>
      <c r="O253" s="234" t="s">
        <v>1911</v>
      </c>
      <c r="P253" s="261" t="s">
        <v>3535</v>
      </c>
      <c r="Q253" s="261" t="s">
        <v>3539</v>
      </c>
    </row>
    <row r="254" spans="1:17" ht="15.75" thickBot="1" x14ac:dyDescent="0.3">
      <c r="A254" s="292" t="s">
        <v>2889</v>
      </c>
      <c r="B254" s="292" t="s">
        <v>2889</v>
      </c>
      <c r="C254" s="82" t="str">
        <f t="shared" si="14"/>
        <v>X</v>
      </c>
      <c r="D254" s="83" t="s">
        <v>1659</v>
      </c>
      <c r="E254" s="83"/>
      <c r="F254" s="83"/>
      <c r="G254" s="161"/>
      <c r="H254" s="82" t="str">
        <f t="shared" si="15"/>
        <v/>
      </c>
      <c r="I254" s="286">
        <v>3942.1499999999996</v>
      </c>
      <c r="J254" s="162"/>
      <c r="K254" s="162"/>
      <c r="L254" s="284">
        <v>2022</v>
      </c>
      <c r="M254" s="234" t="s">
        <v>1909</v>
      </c>
      <c r="N254" s="234" t="s">
        <v>1910</v>
      </c>
      <c r="O254" s="234" t="s">
        <v>1911</v>
      </c>
      <c r="P254" s="261" t="s">
        <v>3535</v>
      </c>
      <c r="Q254" s="261" t="s">
        <v>3539</v>
      </c>
    </row>
    <row r="255" spans="1:17" ht="15.75" thickBot="1" x14ac:dyDescent="0.3">
      <c r="A255" s="292" t="s">
        <v>2889</v>
      </c>
      <c r="B255" s="292" t="s">
        <v>2889</v>
      </c>
      <c r="C255" s="82" t="str">
        <f t="shared" si="14"/>
        <v>X</v>
      </c>
      <c r="D255" s="83" t="s">
        <v>3003</v>
      </c>
      <c r="E255" s="83"/>
      <c r="F255" s="83"/>
      <c r="G255" s="161"/>
      <c r="H255" s="82" t="str">
        <f t="shared" si="15"/>
        <v/>
      </c>
      <c r="I255" s="286">
        <v>3310.3100000000004</v>
      </c>
      <c r="J255" s="162"/>
      <c r="K255" s="162"/>
      <c r="L255" s="284">
        <v>2022</v>
      </c>
      <c r="M255" s="234" t="s">
        <v>1909</v>
      </c>
      <c r="N255" s="234" t="s">
        <v>1910</v>
      </c>
      <c r="O255" s="234" t="s">
        <v>1911</v>
      </c>
      <c r="P255" s="261" t="s">
        <v>3535</v>
      </c>
      <c r="Q255" s="261" t="s">
        <v>3539</v>
      </c>
    </row>
    <row r="256" spans="1:17" ht="15.75" thickBot="1" x14ac:dyDescent="0.3">
      <c r="A256" s="292" t="s">
        <v>2889</v>
      </c>
      <c r="B256" s="292" t="s">
        <v>2889</v>
      </c>
      <c r="C256" s="82" t="str">
        <f t="shared" si="14"/>
        <v>X</v>
      </c>
      <c r="D256" s="83" t="s">
        <v>3003</v>
      </c>
      <c r="E256" s="83"/>
      <c r="F256" s="83"/>
      <c r="G256" s="161"/>
      <c r="H256" s="82" t="str">
        <f t="shared" si="15"/>
        <v/>
      </c>
      <c r="I256" s="286">
        <v>13726.2</v>
      </c>
      <c r="J256" s="162"/>
      <c r="K256" s="162"/>
      <c r="L256" s="284">
        <v>2022</v>
      </c>
      <c r="M256" s="234" t="s">
        <v>1909</v>
      </c>
      <c r="N256" s="234" t="s">
        <v>1910</v>
      </c>
      <c r="O256" s="234" t="s">
        <v>1911</v>
      </c>
      <c r="P256" s="261" t="s">
        <v>3535</v>
      </c>
      <c r="Q256" s="261" t="s">
        <v>3539</v>
      </c>
    </row>
    <row r="257" spans="1:17" ht="15.75" thickBot="1" x14ac:dyDescent="0.3">
      <c r="A257" s="292" t="s">
        <v>2889</v>
      </c>
      <c r="B257" s="292" t="s">
        <v>2889</v>
      </c>
      <c r="C257" s="82" t="str">
        <f t="shared" si="14"/>
        <v>X</v>
      </c>
      <c r="D257" s="83" t="s">
        <v>3003</v>
      </c>
      <c r="E257" s="83"/>
      <c r="F257" s="83"/>
      <c r="G257" s="161"/>
      <c r="H257" s="82" t="str">
        <f t="shared" si="15"/>
        <v/>
      </c>
      <c r="I257" s="286">
        <v>9411.1900000000023</v>
      </c>
      <c r="J257" s="162"/>
      <c r="K257" s="162"/>
      <c r="L257" s="284">
        <v>2022</v>
      </c>
      <c r="M257" s="234" t="s">
        <v>1909</v>
      </c>
      <c r="N257" s="234" t="s">
        <v>1910</v>
      </c>
      <c r="O257" s="234" t="s">
        <v>1911</v>
      </c>
      <c r="P257" s="261" t="s">
        <v>3535</v>
      </c>
      <c r="Q257" s="261" t="s">
        <v>3539</v>
      </c>
    </row>
    <row r="258" spans="1:17" ht="15.75" thickBot="1" x14ac:dyDescent="0.3">
      <c r="A258" s="292" t="s">
        <v>2889</v>
      </c>
      <c r="B258" s="292" t="s">
        <v>2889</v>
      </c>
      <c r="C258" s="82" t="str">
        <f t="shared" si="14"/>
        <v>X</v>
      </c>
      <c r="D258" s="83" t="s">
        <v>3003</v>
      </c>
      <c r="E258" s="83"/>
      <c r="F258" s="83"/>
      <c r="G258" s="161"/>
      <c r="H258" s="82" t="str">
        <f t="shared" si="15"/>
        <v/>
      </c>
      <c r="I258" s="286">
        <v>6458.75</v>
      </c>
      <c r="J258" s="162"/>
      <c r="K258" s="162"/>
      <c r="L258" s="284">
        <v>2022</v>
      </c>
      <c r="M258" s="234" t="s">
        <v>1909</v>
      </c>
      <c r="N258" s="234" t="s">
        <v>1910</v>
      </c>
      <c r="O258" s="234" t="s">
        <v>1911</v>
      </c>
      <c r="P258" s="261" t="s">
        <v>3535</v>
      </c>
      <c r="Q258" s="261" t="s">
        <v>3539</v>
      </c>
    </row>
    <row r="259" spans="1:17" ht="15.75" thickBot="1" x14ac:dyDescent="0.3">
      <c r="A259" s="292" t="s">
        <v>2889</v>
      </c>
      <c r="B259" s="292" t="s">
        <v>2889</v>
      </c>
      <c r="C259" s="82" t="str">
        <f t="shared" si="14"/>
        <v>X</v>
      </c>
      <c r="D259" s="83" t="s">
        <v>1655</v>
      </c>
      <c r="E259" s="83"/>
      <c r="F259" s="83"/>
      <c r="G259" s="161"/>
      <c r="H259" s="82" t="str">
        <f t="shared" si="15"/>
        <v/>
      </c>
      <c r="I259" s="286">
        <v>369.09</v>
      </c>
      <c r="J259" s="162"/>
      <c r="K259" s="162"/>
      <c r="L259" s="284">
        <v>2022</v>
      </c>
      <c r="M259" s="234" t="s">
        <v>1909</v>
      </c>
      <c r="N259" s="234" t="s">
        <v>1910</v>
      </c>
      <c r="O259" s="234" t="s">
        <v>1911</v>
      </c>
      <c r="P259" s="261" t="s">
        <v>3535</v>
      </c>
      <c r="Q259" s="261" t="s">
        <v>3539</v>
      </c>
    </row>
    <row r="260" spans="1:17" ht="15.75" thickBot="1" x14ac:dyDescent="0.3">
      <c r="A260" s="292" t="s">
        <v>2889</v>
      </c>
      <c r="B260" s="292" t="s">
        <v>2889</v>
      </c>
      <c r="C260" s="82" t="str">
        <f t="shared" si="14"/>
        <v>X</v>
      </c>
      <c r="D260" s="83" t="s">
        <v>3003</v>
      </c>
      <c r="E260" s="83"/>
      <c r="F260" s="83"/>
      <c r="G260" s="161"/>
      <c r="H260" s="82" t="str">
        <f t="shared" si="15"/>
        <v/>
      </c>
      <c r="I260" s="286">
        <v>56932.89</v>
      </c>
      <c r="J260" s="162"/>
      <c r="K260" s="162"/>
      <c r="L260" s="284">
        <v>2022</v>
      </c>
      <c r="M260" s="234" t="s">
        <v>1909</v>
      </c>
      <c r="N260" s="234" t="s">
        <v>1910</v>
      </c>
      <c r="O260" s="234" t="s">
        <v>1911</v>
      </c>
      <c r="P260" s="261" t="s">
        <v>3535</v>
      </c>
      <c r="Q260" s="261" t="s">
        <v>3539</v>
      </c>
    </row>
    <row r="261" spans="1:17" ht="15.75" thickBot="1" x14ac:dyDescent="0.3">
      <c r="A261" s="292" t="s">
        <v>2889</v>
      </c>
      <c r="B261" s="292" t="s">
        <v>2889</v>
      </c>
      <c r="C261" s="82" t="str">
        <f t="shared" si="14"/>
        <v>X</v>
      </c>
      <c r="D261" s="83" t="s">
        <v>1659</v>
      </c>
      <c r="E261" s="83"/>
      <c r="F261" s="83"/>
      <c r="G261" s="161"/>
      <c r="H261" s="82" t="str">
        <f t="shared" si="15"/>
        <v/>
      </c>
      <c r="I261" s="286">
        <v>2001.2399999999998</v>
      </c>
      <c r="J261" s="162"/>
      <c r="K261" s="162"/>
      <c r="L261" s="284">
        <v>2022</v>
      </c>
      <c r="M261" s="234" t="s">
        <v>1909</v>
      </c>
      <c r="N261" s="234" t="s">
        <v>1910</v>
      </c>
      <c r="O261" s="234" t="s">
        <v>1911</v>
      </c>
      <c r="P261" s="261" t="s">
        <v>3535</v>
      </c>
      <c r="Q261" s="261" t="s">
        <v>3539</v>
      </c>
    </row>
    <row r="262" spans="1:17" ht="15.75" thickBot="1" x14ac:dyDescent="0.3">
      <c r="A262" s="292" t="s">
        <v>2889</v>
      </c>
      <c r="B262" s="292" t="s">
        <v>2889</v>
      </c>
      <c r="C262" s="82" t="str">
        <f t="shared" si="14"/>
        <v>X</v>
      </c>
      <c r="D262" s="83" t="s">
        <v>1657</v>
      </c>
      <c r="E262" s="83"/>
      <c r="F262" s="83"/>
      <c r="G262" s="161"/>
      <c r="H262" s="82" t="str">
        <f t="shared" si="15"/>
        <v/>
      </c>
      <c r="I262" s="286">
        <v>78624.84</v>
      </c>
      <c r="J262" s="162"/>
      <c r="K262" s="162"/>
      <c r="L262" s="284">
        <v>2022</v>
      </c>
      <c r="M262" s="234" t="s">
        <v>1909</v>
      </c>
      <c r="N262" s="234" t="s">
        <v>1910</v>
      </c>
      <c r="O262" s="234" t="s">
        <v>1911</v>
      </c>
      <c r="P262" s="261" t="s">
        <v>3535</v>
      </c>
      <c r="Q262" s="261" t="s">
        <v>3539</v>
      </c>
    </row>
    <row r="263" spans="1:17" ht="15.75" thickBot="1" x14ac:dyDescent="0.3">
      <c r="A263" s="292" t="s">
        <v>2889</v>
      </c>
      <c r="B263" s="292" t="s">
        <v>2889</v>
      </c>
      <c r="C263" s="82" t="str">
        <f t="shared" si="14"/>
        <v>X</v>
      </c>
      <c r="D263" s="83" t="s">
        <v>3003</v>
      </c>
      <c r="E263" s="83"/>
      <c r="F263" s="83"/>
      <c r="G263" s="161"/>
      <c r="H263" s="82" t="str">
        <f t="shared" si="15"/>
        <v/>
      </c>
      <c r="I263" s="286">
        <v>27182.92</v>
      </c>
      <c r="J263" s="162"/>
      <c r="K263" s="162"/>
      <c r="L263" s="284">
        <v>2022</v>
      </c>
      <c r="M263" s="234" t="s">
        <v>1909</v>
      </c>
      <c r="N263" s="234" t="s">
        <v>1910</v>
      </c>
      <c r="O263" s="234" t="s">
        <v>1911</v>
      </c>
      <c r="P263" s="261" t="s">
        <v>3535</v>
      </c>
      <c r="Q263" s="261" t="s">
        <v>3539</v>
      </c>
    </row>
    <row r="264" spans="1:17" ht="15.75" thickBot="1" x14ac:dyDescent="0.3">
      <c r="A264" s="292" t="s">
        <v>2889</v>
      </c>
      <c r="B264" s="292" t="s">
        <v>2889</v>
      </c>
      <c r="C264" s="82" t="str">
        <f t="shared" si="14"/>
        <v>X</v>
      </c>
      <c r="D264" s="83" t="s">
        <v>3003</v>
      </c>
      <c r="E264" s="83"/>
      <c r="F264" s="83"/>
      <c r="G264" s="161"/>
      <c r="H264" s="82" t="str">
        <f t="shared" si="15"/>
        <v/>
      </c>
      <c r="I264" s="286">
        <v>1679.38</v>
      </c>
      <c r="J264" s="162"/>
      <c r="K264" s="162"/>
      <c r="L264" s="284">
        <v>2022</v>
      </c>
      <c r="M264" s="234" t="s">
        <v>1909</v>
      </c>
      <c r="N264" s="234" t="s">
        <v>1910</v>
      </c>
      <c r="O264" s="234" t="s">
        <v>1911</v>
      </c>
      <c r="P264" s="261" t="s">
        <v>3535</v>
      </c>
      <c r="Q264" s="261" t="s">
        <v>3539</v>
      </c>
    </row>
    <row r="265" spans="1:17" ht="15.75" thickBot="1" x14ac:dyDescent="0.3">
      <c r="A265" s="292" t="s">
        <v>2889</v>
      </c>
      <c r="B265" s="292" t="s">
        <v>2889</v>
      </c>
      <c r="C265" s="82" t="str">
        <f t="shared" si="14"/>
        <v>X</v>
      </c>
      <c r="D265" s="83" t="s">
        <v>1659</v>
      </c>
      <c r="E265" s="83"/>
      <c r="F265" s="83"/>
      <c r="G265" s="161"/>
      <c r="H265" s="82" t="str">
        <f t="shared" si="15"/>
        <v/>
      </c>
      <c r="I265" s="286">
        <v>218.31000000000003</v>
      </c>
      <c r="J265" s="162"/>
      <c r="K265" s="162"/>
      <c r="L265" s="284">
        <v>2022</v>
      </c>
      <c r="M265" s="234" t="s">
        <v>1909</v>
      </c>
      <c r="N265" s="234" t="s">
        <v>1910</v>
      </c>
      <c r="O265" s="234" t="s">
        <v>1911</v>
      </c>
      <c r="P265" s="261" t="s">
        <v>3535</v>
      </c>
      <c r="Q265" s="261" t="s">
        <v>3539</v>
      </c>
    </row>
    <row r="266" spans="1:17" ht="15.75" thickBot="1" x14ac:dyDescent="0.3">
      <c r="A266" s="292" t="s">
        <v>2889</v>
      </c>
      <c r="B266" s="292" t="s">
        <v>2889</v>
      </c>
      <c r="C266" s="82" t="str">
        <f t="shared" si="14"/>
        <v>X</v>
      </c>
      <c r="D266" s="83" t="s">
        <v>1675</v>
      </c>
      <c r="E266" s="83"/>
      <c r="F266" s="83"/>
      <c r="G266" s="161"/>
      <c r="H266" s="82" t="str">
        <f t="shared" si="15"/>
        <v/>
      </c>
      <c r="I266" s="286">
        <v>13054.33</v>
      </c>
      <c r="J266" s="162"/>
      <c r="K266" s="162"/>
      <c r="L266" s="284">
        <v>2022</v>
      </c>
      <c r="M266" s="234" t="s">
        <v>1909</v>
      </c>
      <c r="N266" s="234" t="s">
        <v>1910</v>
      </c>
      <c r="O266" s="234" t="s">
        <v>1911</v>
      </c>
      <c r="P266" s="261" t="s">
        <v>3535</v>
      </c>
      <c r="Q266" s="261" t="s">
        <v>3539</v>
      </c>
    </row>
    <row r="267" spans="1:17" ht="15.75" thickBot="1" x14ac:dyDescent="0.3">
      <c r="A267" s="292" t="s">
        <v>2889</v>
      </c>
      <c r="B267" s="292" t="s">
        <v>2889</v>
      </c>
      <c r="C267" s="82" t="str">
        <f t="shared" si="14"/>
        <v>X</v>
      </c>
      <c r="D267" s="83" t="s">
        <v>1659</v>
      </c>
      <c r="E267" s="83"/>
      <c r="F267" s="83"/>
      <c r="G267" s="161"/>
      <c r="H267" s="82" t="str">
        <f t="shared" si="15"/>
        <v/>
      </c>
      <c r="I267" s="286">
        <v>7249.76</v>
      </c>
      <c r="J267" s="162"/>
      <c r="K267" s="162"/>
      <c r="L267" s="284">
        <v>2022</v>
      </c>
      <c r="M267" s="234" t="s">
        <v>1909</v>
      </c>
      <c r="N267" s="234" t="s">
        <v>1910</v>
      </c>
      <c r="O267" s="234" t="s">
        <v>1911</v>
      </c>
      <c r="P267" s="261" t="s">
        <v>3535</v>
      </c>
      <c r="Q267" s="261" t="s">
        <v>3539</v>
      </c>
    </row>
    <row r="268" spans="1:17" ht="15.75" thickBot="1" x14ac:dyDescent="0.3">
      <c r="A268" s="292" t="s">
        <v>2889</v>
      </c>
      <c r="B268" s="292" t="s">
        <v>2889</v>
      </c>
      <c r="C268" s="82" t="str">
        <f t="shared" si="14"/>
        <v>X</v>
      </c>
      <c r="D268" s="83" t="s">
        <v>1659</v>
      </c>
      <c r="E268" s="83"/>
      <c r="F268" s="83"/>
      <c r="G268" s="161"/>
      <c r="H268" s="82" t="str">
        <f t="shared" si="15"/>
        <v/>
      </c>
      <c r="I268" s="286">
        <v>6002.6899999999987</v>
      </c>
      <c r="J268" s="162"/>
      <c r="K268" s="162"/>
      <c r="L268" s="284">
        <v>2022</v>
      </c>
      <c r="M268" s="234" t="s">
        <v>1909</v>
      </c>
      <c r="N268" s="234" t="s">
        <v>1910</v>
      </c>
      <c r="O268" s="234" t="s">
        <v>1911</v>
      </c>
      <c r="P268" s="261" t="s">
        <v>3535</v>
      </c>
      <c r="Q268" s="261" t="s">
        <v>3539</v>
      </c>
    </row>
    <row r="269" spans="1:17" ht="15.75" thickBot="1" x14ac:dyDescent="0.3">
      <c r="A269" s="292" t="s">
        <v>2889</v>
      </c>
      <c r="B269" s="292" t="s">
        <v>2889</v>
      </c>
      <c r="C269" s="82" t="str">
        <f t="shared" si="14"/>
        <v>X</v>
      </c>
      <c r="D269" s="83" t="s">
        <v>1661</v>
      </c>
      <c r="E269" s="83"/>
      <c r="F269" s="83"/>
      <c r="G269" s="161"/>
      <c r="H269" s="82" t="str">
        <f t="shared" si="15"/>
        <v/>
      </c>
      <c r="I269" s="286">
        <v>1208174</v>
      </c>
      <c r="J269" s="162"/>
      <c r="K269" s="162"/>
      <c r="L269" s="284">
        <v>2022</v>
      </c>
      <c r="M269" s="234" t="s">
        <v>1909</v>
      </c>
      <c r="N269" s="234" t="s">
        <v>1910</v>
      </c>
      <c r="O269" s="234" t="s">
        <v>1911</v>
      </c>
      <c r="P269" s="261" t="s">
        <v>3535</v>
      </c>
      <c r="Q269" s="261" t="s">
        <v>3539</v>
      </c>
    </row>
    <row r="270" spans="1:17" ht="15.75" thickBot="1" x14ac:dyDescent="0.3">
      <c r="A270" s="82" t="s">
        <v>4698</v>
      </c>
      <c r="B270" s="82" t="s">
        <v>4698</v>
      </c>
      <c r="C270" s="82" t="str">
        <f t="shared" si="14"/>
        <v>X</v>
      </c>
      <c r="D270" s="83" t="s">
        <v>1653</v>
      </c>
      <c r="E270" s="83">
        <v>118</v>
      </c>
      <c r="F270" s="85" t="s">
        <v>586</v>
      </c>
      <c r="G270" s="161"/>
      <c r="H270" s="82" t="str">
        <f t="shared" si="15"/>
        <v/>
      </c>
      <c r="I270" s="286">
        <v>19043.580000000002</v>
      </c>
      <c r="J270" s="162"/>
      <c r="K270" s="162"/>
      <c r="L270" s="284">
        <v>2022</v>
      </c>
      <c r="M270" s="234" t="s">
        <v>1909</v>
      </c>
      <c r="N270" s="234" t="s">
        <v>1910</v>
      </c>
      <c r="O270" s="234" t="s">
        <v>1911</v>
      </c>
      <c r="P270" s="261" t="s">
        <v>3535</v>
      </c>
      <c r="Q270" s="261" t="s">
        <v>3539</v>
      </c>
    </row>
    <row r="271" spans="1:17" ht="15.75" thickBot="1" x14ac:dyDescent="0.3">
      <c r="A271" s="82" t="s">
        <v>4698</v>
      </c>
      <c r="B271" s="82" t="s">
        <v>4698</v>
      </c>
      <c r="C271" s="82" t="str">
        <f t="shared" si="14"/>
        <v>X</v>
      </c>
      <c r="D271" s="162" t="s">
        <v>1654</v>
      </c>
      <c r="E271" s="83"/>
      <c r="F271" s="83"/>
      <c r="G271" s="161"/>
      <c r="H271" s="82" t="str">
        <f t="shared" si="15"/>
        <v/>
      </c>
      <c r="I271" s="286">
        <v>125.01</v>
      </c>
      <c r="J271" s="162"/>
      <c r="K271" s="162"/>
      <c r="L271" s="284">
        <v>2022</v>
      </c>
      <c r="M271" s="234" t="s">
        <v>1909</v>
      </c>
      <c r="N271" s="234" t="s">
        <v>1910</v>
      </c>
      <c r="O271" s="234" t="s">
        <v>1911</v>
      </c>
      <c r="P271" s="261" t="s">
        <v>3535</v>
      </c>
      <c r="Q271" s="261" t="s">
        <v>3539</v>
      </c>
    </row>
    <row r="272" spans="1:17" ht="15.75" thickBot="1" x14ac:dyDescent="0.3">
      <c r="A272" s="82" t="s">
        <v>4698</v>
      </c>
      <c r="B272" s="82" t="s">
        <v>4698</v>
      </c>
      <c r="C272" s="82" t="str">
        <f t="shared" si="14"/>
        <v>X</v>
      </c>
      <c r="D272" s="83" t="s">
        <v>1658</v>
      </c>
      <c r="E272" s="83"/>
      <c r="F272" s="83"/>
      <c r="G272" s="161"/>
      <c r="H272" s="82" t="str">
        <f t="shared" si="15"/>
        <v/>
      </c>
      <c r="I272" s="286">
        <v>573.29000000000008</v>
      </c>
      <c r="J272" s="162"/>
      <c r="K272" s="162"/>
      <c r="L272" s="284">
        <v>2022</v>
      </c>
      <c r="M272" s="234" t="s">
        <v>1909</v>
      </c>
      <c r="N272" s="234" t="s">
        <v>1910</v>
      </c>
      <c r="O272" s="234" t="s">
        <v>1911</v>
      </c>
      <c r="P272" s="261" t="s">
        <v>3535</v>
      </c>
      <c r="Q272" s="261" t="s">
        <v>3539</v>
      </c>
    </row>
    <row r="273" spans="1:17" ht="15.75" thickBot="1" x14ac:dyDescent="0.3">
      <c r="A273" s="82" t="s">
        <v>4698</v>
      </c>
      <c r="B273" s="82" t="s">
        <v>4698</v>
      </c>
      <c r="C273" s="82" t="str">
        <f t="shared" si="14"/>
        <v>X</v>
      </c>
      <c r="D273" s="83" t="s">
        <v>1657</v>
      </c>
      <c r="E273" s="83"/>
      <c r="F273" s="83"/>
      <c r="G273" s="161"/>
      <c r="H273" s="82" t="str">
        <f t="shared" si="15"/>
        <v/>
      </c>
      <c r="I273" s="286">
        <v>451.68</v>
      </c>
      <c r="J273" s="162"/>
      <c r="K273" s="162"/>
      <c r="L273" s="284">
        <v>2022</v>
      </c>
      <c r="M273" s="234" t="s">
        <v>1909</v>
      </c>
      <c r="N273" s="234" t="s">
        <v>1910</v>
      </c>
      <c r="O273" s="234" t="s">
        <v>1911</v>
      </c>
      <c r="P273" s="261" t="s">
        <v>3535</v>
      </c>
      <c r="Q273" s="261" t="s">
        <v>3539</v>
      </c>
    </row>
    <row r="274" spans="1:17" ht="15.75" thickBot="1" x14ac:dyDescent="0.3">
      <c r="A274" s="82" t="s">
        <v>4698</v>
      </c>
      <c r="B274" s="82" t="s">
        <v>4698</v>
      </c>
      <c r="C274" s="82" t="str">
        <f t="shared" si="14"/>
        <v>X</v>
      </c>
      <c r="D274" s="83" t="s">
        <v>1659</v>
      </c>
      <c r="E274" s="83"/>
      <c r="F274" s="83"/>
      <c r="G274" s="161"/>
      <c r="H274" s="82" t="str">
        <f t="shared" si="15"/>
        <v/>
      </c>
      <c r="I274" s="286">
        <v>1459.08</v>
      </c>
      <c r="J274" s="162"/>
      <c r="K274" s="162"/>
      <c r="L274" s="284">
        <v>2022</v>
      </c>
      <c r="M274" s="234" t="s">
        <v>1909</v>
      </c>
      <c r="N274" s="234" t="s">
        <v>1910</v>
      </c>
      <c r="O274" s="234" t="s">
        <v>1911</v>
      </c>
      <c r="P274" s="261" t="s">
        <v>3535</v>
      </c>
      <c r="Q274" s="261" t="s">
        <v>3539</v>
      </c>
    </row>
    <row r="275" spans="1:17" ht="15.75" thickBot="1" x14ac:dyDescent="0.3">
      <c r="A275" s="82" t="s">
        <v>4698</v>
      </c>
      <c r="B275" s="82" t="s">
        <v>4698</v>
      </c>
      <c r="C275" s="82" t="str">
        <f t="shared" si="14"/>
        <v>X</v>
      </c>
      <c r="D275" s="83" t="s">
        <v>1658</v>
      </c>
      <c r="E275" s="83"/>
      <c r="F275" s="83"/>
      <c r="G275" s="161"/>
      <c r="H275" s="82" t="str">
        <f t="shared" si="15"/>
        <v/>
      </c>
      <c r="I275" s="286">
        <v>203.76999999999998</v>
      </c>
      <c r="J275" s="162"/>
      <c r="K275" s="162"/>
      <c r="L275" s="284">
        <v>2022</v>
      </c>
      <c r="M275" s="234" t="s">
        <v>1909</v>
      </c>
      <c r="N275" s="234" t="s">
        <v>1910</v>
      </c>
      <c r="O275" s="234" t="s">
        <v>1911</v>
      </c>
      <c r="P275" s="261" t="s">
        <v>3535</v>
      </c>
      <c r="Q275" s="261" t="s">
        <v>3539</v>
      </c>
    </row>
    <row r="276" spans="1:17" ht="15.75" thickBot="1" x14ac:dyDescent="0.3">
      <c r="A276" s="82" t="s">
        <v>4698</v>
      </c>
      <c r="B276" s="82" t="s">
        <v>4698</v>
      </c>
      <c r="C276" s="82" t="str">
        <f t="shared" si="14"/>
        <v>X</v>
      </c>
      <c r="D276" s="83" t="s">
        <v>1657</v>
      </c>
      <c r="E276" s="83"/>
      <c r="F276" s="83"/>
      <c r="G276" s="161"/>
      <c r="H276" s="82" t="str">
        <f t="shared" si="15"/>
        <v/>
      </c>
      <c r="I276" s="286">
        <v>29816.01</v>
      </c>
      <c r="J276" s="162"/>
      <c r="K276" s="162"/>
      <c r="L276" s="284">
        <v>2022</v>
      </c>
      <c r="M276" s="234" t="s">
        <v>1909</v>
      </c>
      <c r="N276" s="234" t="s">
        <v>1910</v>
      </c>
      <c r="O276" s="234" t="s">
        <v>1911</v>
      </c>
      <c r="P276" s="261" t="s">
        <v>3535</v>
      </c>
      <c r="Q276" s="261" t="s">
        <v>3539</v>
      </c>
    </row>
    <row r="277" spans="1:17" ht="15.75" thickBot="1" x14ac:dyDescent="0.3">
      <c r="A277" s="82" t="s">
        <v>4698</v>
      </c>
      <c r="B277" s="82" t="s">
        <v>4698</v>
      </c>
      <c r="C277" s="82" t="str">
        <f t="shared" si="14"/>
        <v>X</v>
      </c>
      <c r="D277" s="83" t="s">
        <v>3003</v>
      </c>
      <c r="E277" s="83"/>
      <c r="F277" s="83"/>
      <c r="G277" s="161"/>
      <c r="H277" s="82" t="str">
        <f t="shared" si="15"/>
        <v/>
      </c>
      <c r="I277" s="286">
        <v>1474.57</v>
      </c>
      <c r="J277" s="162"/>
      <c r="K277" s="162"/>
      <c r="L277" s="284">
        <v>2022</v>
      </c>
      <c r="M277" s="234" t="s">
        <v>1909</v>
      </c>
      <c r="N277" s="234" t="s">
        <v>1910</v>
      </c>
      <c r="O277" s="234" t="s">
        <v>1911</v>
      </c>
      <c r="P277" s="261" t="s">
        <v>3535</v>
      </c>
      <c r="Q277" s="261" t="s">
        <v>3539</v>
      </c>
    </row>
    <row r="278" spans="1:17" ht="15.75" thickBot="1" x14ac:dyDescent="0.3">
      <c r="A278" s="82" t="s">
        <v>4698</v>
      </c>
      <c r="B278" s="82" t="s">
        <v>4698</v>
      </c>
      <c r="C278" s="82" t="str">
        <f t="shared" si="14"/>
        <v>X</v>
      </c>
      <c r="D278" s="83" t="s">
        <v>3003</v>
      </c>
      <c r="E278" s="83"/>
      <c r="F278" s="83"/>
      <c r="G278" s="161"/>
      <c r="H278" s="82" t="str">
        <f t="shared" si="15"/>
        <v/>
      </c>
      <c r="I278" s="286">
        <v>3715.56</v>
      </c>
      <c r="J278" s="162"/>
      <c r="K278" s="162"/>
      <c r="L278" s="284">
        <v>2022</v>
      </c>
      <c r="M278" s="234" t="s">
        <v>1909</v>
      </c>
      <c r="N278" s="234" t="s">
        <v>1910</v>
      </c>
      <c r="O278" s="234" t="s">
        <v>1911</v>
      </c>
      <c r="P278" s="261" t="s">
        <v>3535</v>
      </c>
      <c r="Q278" s="261" t="s">
        <v>3539</v>
      </c>
    </row>
    <row r="279" spans="1:17" ht="15.75" thickBot="1" x14ac:dyDescent="0.3">
      <c r="A279" s="82" t="s">
        <v>4698</v>
      </c>
      <c r="B279" s="82" t="s">
        <v>4698</v>
      </c>
      <c r="C279" s="82" t="str">
        <f t="shared" si="14"/>
        <v>X</v>
      </c>
      <c r="D279" s="83" t="s">
        <v>3003</v>
      </c>
      <c r="E279" s="83"/>
      <c r="F279" s="83"/>
      <c r="G279" s="161"/>
      <c r="H279" s="82" t="str">
        <f t="shared" si="15"/>
        <v/>
      </c>
      <c r="I279" s="286">
        <v>1999.09</v>
      </c>
      <c r="J279" s="162"/>
      <c r="K279" s="162"/>
      <c r="L279" s="284">
        <v>2022</v>
      </c>
      <c r="M279" s="234" t="s">
        <v>1909</v>
      </c>
      <c r="N279" s="234" t="s">
        <v>1910</v>
      </c>
      <c r="O279" s="234" t="s">
        <v>1911</v>
      </c>
      <c r="P279" s="261" t="s">
        <v>3535</v>
      </c>
      <c r="Q279" s="261" t="s">
        <v>3539</v>
      </c>
    </row>
    <row r="280" spans="1:17" ht="15.75" thickBot="1" x14ac:dyDescent="0.3">
      <c r="A280" s="82" t="s">
        <v>4698</v>
      </c>
      <c r="B280" s="82" t="s">
        <v>4698</v>
      </c>
      <c r="C280" s="82" t="str">
        <f t="shared" si="14"/>
        <v>X</v>
      </c>
      <c r="D280" s="83" t="s">
        <v>3003</v>
      </c>
      <c r="E280" s="83"/>
      <c r="F280" s="83"/>
      <c r="G280" s="161"/>
      <c r="H280" s="82" t="str">
        <f t="shared" si="15"/>
        <v/>
      </c>
      <c r="I280" s="286">
        <v>2666.0200000000004</v>
      </c>
      <c r="J280" s="162"/>
      <c r="K280" s="162"/>
      <c r="L280" s="284">
        <v>2022</v>
      </c>
      <c r="M280" s="234" t="s">
        <v>1909</v>
      </c>
      <c r="N280" s="234" t="s">
        <v>1910</v>
      </c>
      <c r="O280" s="234" t="s">
        <v>1911</v>
      </c>
      <c r="P280" s="261" t="s">
        <v>3535</v>
      </c>
      <c r="Q280" s="261" t="s">
        <v>3539</v>
      </c>
    </row>
    <row r="281" spans="1:17" ht="15.75" thickBot="1" x14ac:dyDescent="0.3">
      <c r="A281" s="82" t="s">
        <v>4698</v>
      </c>
      <c r="B281" s="82" t="s">
        <v>4698</v>
      </c>
      <c r="C281" s="82" t="str">
        <f t="shared" si="14"/>
        <v>X</v>
      </c>
      <c r="D281" s="162" t="s">
        <v>1655</v>
      </c>
      <c r="E281" s="83"/>
      <c r="F281" s="83"/>
      <c r="G281" s="161"/>
      <c r="H281" s="82" t="str">
        <f t="shared" si="15"/>
        <v/>
      </c>
      <c r="I281" s="286">
        <v>74.95</v>
      </c>
      <c r="J281" s="162"/>
      <c r="K281" s="162"/>
      <c r="L281" s="284">
        <v>2022</v>
      </c>
      <c r="M281" s="234" t="s">
        <v>1909</v>
      </c>
      <c r="N281" s="234" t="s">
        <v>1910</v>
      </c>
      <c r="O281" s="234" t="s">
        <v>1911</v>
      </c>
      <c r="P281" s="261" t="s">
        <v>3535</v>
      </c>
      <c r="Q281" s="261" t="s">
        <v>3539</v>
      </c>
    </row>
    <row r="282" spans="1:17" ht="15.75" thickBot="1" x14ac:dyDescent="0.3">
      <c r="A282" s="82" t="s">
        <v>4698</v>
      </c>
      <c r="B282" s="82" t="s">
        <v>4698</v>
      </c>
      <c r="C282" s="82" t="str">
        <f t="shared" si="14"/>
        <v>X</v>
      </c>
      <c r="D282" s="83" t="s">
        <v>3003</v>
      </c>
      <c r="E282" s="83"/>
      <c r="F282" s="83"/>
      <c r="G282" s="161"/>
      <c r="H282" s="82" t="str">
        <f t="shared" si="15"/>
        <v/>
      </c>
      <c r="I282" s="286">
        <v>16382.579999999996</v>
      </c>
      <c r="J282" s="162"/>
      <c r="K282" s="162"/>
      <c r="L282" s="284">
        <v>2022</v>
      </c>
      <c r="M282" s="234" t="s">
        <v>1909</v>
      </c>
      <c r="N282" s="234" t="s">
        <v>1910</v>
      </c>
      <c r="O282" s="234" t="s">
        <v>1911</v>
      </c>
      <c r="P282" s="261" t="s">
        <v>3535</v>
      </c>
      <c r="Q282" s="261" t="s">
        <v>3539</v>
      </c>
    </row>
    <row r="283" spans="1:17" ht="15.75" thickBot="1" x14ac:dyDescent="0.3">
      <c r="A283" s="82" t="s">
        <v>4698</v>
      </c>
      <c r="B283" s="82" t="s">
        <v>4698</v>
      </c>
      <c r="C283" s="82" t="str">
        <f t="shared" si="14"/>
        <v>X</v>
      </c>
      <c r="D283" s="83" t="s">
        <v>1659</v>
      </c>
      <c r="E283" s="83"/>
      <c r="F283" s="83"/>
      <c r="G283" s="161"/>
      <c r="H283" s="82" t="str">
        <f t="shared" si="15"/>
        <v/>
      </c>
      <c r="I283" s="286">
        <v>799.13999999999987</v>
      </c>
      <c r="J283" s="162"/>
      <c r="K283" s="162"/>
      <c r="L283" s="284">
        <v>2022</v>
      </c>
      <c r="M283" s="234" t="s">
        <v>1909</v>
      </c>
      <c r="N283" s="234" t="s">
        <v>1910</v>
      </c>
      <c r="O283" s="234" t="s">
        <v>1911</v>
      </c>
      <c r="P283" s="261" t="s">
        <v>3535</v>
      </c>
      <c r="Q283" s="261" t="s">
        <v>3539</v>
      </c>
    </row>
    <row r="284" spans="1:17" ht="15.75" thickBot="1" x14ac:dyDescent="0.3">
      <c r="A284" s="82" t="s">
        <v>4698</v>
      </c>
      <c r="B284" s="82" t="s">
        <v>4698</v>
      </c>
      <c r="C284" s="82" t="str">
        <f t="shared" si="14"/>
        <v>X</v>
      </c>
      <c r="D284" s="83" t="s">
        <v>1657</v>
      </c>
      <c r="E284" s="83"/>
      <c r="F284" s="83"/>
      <c r="G284" s="161"/>
      <c r="H284" s="82" t="str">
        <f t="shared" si="15"/>
        <v/>
      </c>
      <c r="I284" s="286">
        <v>18564.739999999994</v>
      </c>
      <c r="J284" s="162"/>
      <c r="K284" s="162"/>
      <c r="L284" s="284">
        <v>2022</v>
      </c>
      <c r="M284" s="234" t="s">
        <v>1909</v>
      </c>
      <c r="N284" s="234" t="s">
        <v>1910</v>
      </c>
      <c r="O284" s="234" t="s">
        <v>1911</v>
      </c>
      <c r="P284" s="261" t="s">
        <v>3535</v>
      </c>
      <c r="Q284" s="261" t="s">
        <v>3539</v>
      </c>
    </row>
    <row r="285" spans="1:17" ht="15.75" thickBot="1" x14ac:dyDescent="0.3">
      <c r="A285" s="82" t="s">
        <v>4698</v>
      </c>
      <c r="B285" s="82" t="s">
        <v>4698</v>
      </c>
      <c r="C285" s="82" t="str">
        <f t="shared" si="14"/>
        <v>X</v>
      </c>
      <c r="D285" s="83" t="s">
        <v>3003</v>
      </c>
      <c r="E285" s="83"/>
      <c r="F285" s="83"/>
      <c r="G285" s="161"/>
      <c r="H285" s="82" t="str">
        <f t="shared" si="15"/>
        <v/>
      </c>
      <c r="I285" s="286">
        <v>5791.2300000000005</v>
      </c>
      <c r="J285" s="162"/>
      <c r="K285" s="162"/>
      <c r="L285" s="284">
        <v>2022</v>
      </c>
      <c r="M285" s="234" t="s">
        <v>1909</v>
      </c>
      <c r="N285" s="234" t="s">
        <v>1910</v>
      </c>
      <c r="O285" s="234" t="s">
        <v>1911</v>
      </c>
      <c r="P285" s="261" t="s">
        <v>3535</v>
      </c>
      <c r="Q285" s="261" t="s">
        <v>3539</v>
      </c>
    </row>
    <row r="286" spans="1:17" ht="15.75" thickBot="1" x14ac:dyDescent="0.3">
      <c r="A286" s="82" t="s">
        <v>4698</v>
      </c>
      <c r="B286" s="82" t="s">
        <v>4698</v>
      </c>
      <c r="C286" s="82" t="str">
        <f t="shared" si="14"/>
        <v>X</v>
      </c>
      <c r="D286" s="83" t="s">
        <v>3003</v>
      </c>
      <c r="E286" s="83"/>
      <c r="F286" s="83"/>
      <c r="G286" s="161"/>
      <c r="H286" s="82" t="str">
        <f t="shared" si="15"/>
        <v/>
      </c>
      <c r="I286" s="286">
        <v>479.04</v>
      </c>
      <c r="J286" s="162"/>
      <c r="K286" s="162"/>
      <c r="L286" s="284">
        <v>2022</v>
      </c>
      <c r="M286" s="234" t="s">
        <v>1909</v>
      </c>
      <c r="N286" s="234" t="s">
        <v>1910</v>
      </c>
      <c r="O286" s="234" t="s">
        <v>1911</v>
      </c>
      <c r="P286" s="261" t="s">
        <v>3535</v>
      </c>
      <c r="Q286" s="261" t="s">
        <v>3539</v>
      </c>
    </row>
    <row r="287" spans="1:17" ht="15.75" thickBot="1" x14ac:dyDescent="0.3">
      <c r="A287" s="82" t="s">
        <v>4698</v>
      </c>
      <c r="B287" s="82" t="s">
        <v>4698</v>
      </c>
      <c r="C287" s="82" t="str">
        <f t="shared" si="14"/>
        <v>X</v>
      </c>
      <c r="D287" s="83" t="s">
        <v>1659</v>
      </c>
      <c r="E287" s="83"/>
      <c r="F287" s="83"/>
      <c r="G287" s="161"/>
      <c r="H287" s="82" t="str">
        <f t="shared" si="15"/>
        <v/>
      </c>
      <c r="I287" s="286">
        <v>173.64000000000004</v>
      </c>
      <c r="J287" s="162"/>
      <c r="K287" s="162"/>
      <c r="L287" s="284">
        <v>2022</v>
      </c>
      <c r="M287" s="234" t="s">
        <v>1909</v>
      </c>
      <c r="N287" s="234" t="s">
        <v>1910</v>
      </c>
      <c r="O287" s="234" t="s">
        <v>1911</v>
      </c>
      <c r="P287" s="261" t="s">
        <v>3535</v>
      </c>
      <c r="Q287" s="261" t="s">
        <v>3539</v>
      </c>
    </row>
    <row r="288" spans="1:17" ht="15.75" thickBot="1" x14ac:dyDescent="0.3">
      <c r="A288" s="82" t="s">
        <v>4698</v>
      </c>
      <c r="B288" s="82" t="s">
        <v>4698</v>
      </c>
      <c r="C288" s="82" t="str">
        <f t="shared" si="14"/>
        <v>X</v>
      </c>
      <c r="D288" s="83" t="s">
        <v>1675</v>
      </c>
      <c r="E288" s="83"/>
      <c r="F288" s="83"/>
      <c r="G288" s="161"/>
      <c r="H288" s="82" t="str">
        <f t="shared" si="15"/>
        <v/>
      </c>
      <c r="I288" s="286">
        <v>4443.869999999999</v>
      </c>
      <c r="J288" s="162"/>
      <c r="K288" s="162"/>
      <c r="L288" s="284">
        <v>2022</v>
      </c>
      <c r="M288" s="234" t="s">
        <v>1909</v>
      </c>
      <c r="N288" s="234" t="s">
        <v>1910</v>
      </c>
      <c r="O288" s="234" t="s">
        <v>1911</v>
      </c>
      <c r="P288" s="261" t="s">
        <v>3535</v>
      </c>
      <c r="Q288" s="261" t="s">
        <v>3539</v>
      </c>
    </row>
    <row r="289" spans="1:17" ht="15.75" thickBot="1" x14ac:dyDescent="0.3">
      <c r="A289" s="82" t="s">
        <v>4698</v>
      </c>
      <c r="B289" s="82" t="s">
        <v>4698</v>
      </c>
      <c r="C289" s="82" t="str">
        <f t="shared" si="14"/>
        <v>X</v>
      </c>
      <c r="D289" s="83" t="s">
        <v>1659</v>
      </c>
      <c r="E289" s="83"/>
      <c r="F289" s="83"/>
      <c r="G289" s="161"/>
      <c r="H289" s="82" t="str">
        <f t="shared" si="15"/>
        <v/>
      </c>
      <c r="I289" s="286">
        <v>1816.42</v>
      </c>
      <c r="J289" s="162"/>
      <c r="K289" s="162"/>
      <c r="L289" s="284">
        <v>2022</v>
      </c>
      <c r="M289" s="234" t="s">
        <v>1909</v>
      </c>
      <c r="N289" s="234" t="s">
        <v>1910</v>
      </c>
      <c r="O289" s="234" t="s">
        <v>1911</v>
      </c>
      <c r="P289" s="261" t="s">
        <v>3535</v>
      </c>
      <c r="Q289" s="261" t="s">
        <v>3539</v>
      </c>
    </row>
    <row r="290" spans="1:17" ht="15.75" thickBot="1" x14ac:dyDescent="0.3">
      <c r="A290" s="82" t="s">
        <v>4698</v>
      </c>
      <c r="B290" s="82" t="s">
        <v>4698</v>
      </c>
      <c r="C290" s="82" t="str">
        <f t="shared" si="14"/>
        <v>X</v>
      </c>
      <c r="D290" s="83" t="s">
        <v>1659</v>
      </c>
      <c r="E290" s="83"/>
      <c r="F290" s="83"/>
      <c r="G290" s="161"/>
      <c r="H290" s="82" t="str">
        <f t="shared" si="15"/>
        <v/>
      </c>
      <c r="I290" s="286">
        <v>1510.8899999999999</v>
      </c>
      <c r="J290" s="162"/>
      <c r="K290" s="162"/>
      <c r="L290" s="284">
        <v>2022</v>
      </c>
      <c r="M290" s="234" t="s">
        <v>1909</v>
      </c>
      <c r="N290" s="234" t="s">
        <v>1910</v>
      </c>
      <c r="O290" s="234" t="s">
        <v>1911</v>
      </c>
      <c r="P290" s="261" t="s">
        <v>3535</v>
      </c>
      <c r="Q290" s="261" t="s">
        <v>3539</v>
      </c>
    </row>
    <row r="291" spans="1:17" ht="15.75" thickBot="1" x14ac:dyDescent="0.3">
      <c r="A291" s="82" t="s">
        <v>4698</v>
      </c>
      <c r="B291" s="82" t="s">
        <v>4698</v>
      </c>
      <c r="C291" s="82" t="str">
        <f t="shared" si="14"/>
        <v>X</v>
      </c>
      <c r="D291" s="162" t="s">
        <v>1661</v>
      </c>
      <c r="E291" s="83"/>
      <c r="F291" s="83"/>
      <c r="G291" s="161"/>
      <c r="H291" s="82" t="str">
        <f t="shared" si="15"/>
        <v/>
      </c>
      <c r="I291" s="286">
        <v>174044</v>
      </c>
      <c r="J291" s="162"/>
      <c r="K291" s="162"/>
      <c r="L291" s="284">
        <v>2022</v>
      </c>
      <c r="M291" s="234" t="s">
        <v>1909</v>
      </c>
      <c r="N291" s="234" t="s">
        <v>1910</v>
      </c>
      <c r="O291" s="234" t="s">
        <v>1911</v>
      </c>
      <c r="P291" s="261" t="s">
        <v>3535</v>
      </c>
      <c r="Q291" s="261" t="s">
        <v>3539</v>
      </c>
    </row>
    <row r="292" spans="1:17" ht="15.75" thickBot="1" x14ac:dyDescent="0.3">
      <c r="A292" s="82" t="s">
        <v>4697</v>
      </c>
      <c r="B292" s="82" t="s">
        <v>4697</v>
      </c>
      <c r="C292" s="82" t="str">
        <f t="shared" si="14"/>
        <v>X</v>
      </c>
      <c r="D292" s="83" t="s">
        <v>1653</v>
      </c>
      <c r="E292" s="83">
        <v>59</v>
      </c>
      <c r="F292" s="85" t="s">
        <v>586</v>
      </c>
      <c r="G292" s="161"/>
      <c r="H292" s="82" t="str">
        <f t="shared" si="15"/>
        <v/>
      </c>
      <c r="I292" s="286">
        <v>10212.769999999999</v>
      </c>
      <c r="J292" s="162"/>
      <c r="K292" s="162"/>
      <c r="L292" s="284">
        <v>2022</v>
      </c>
      <c r="M292" s="234" t="s">
        <v>1909</v>
      </c>
      <c r="N292" s="234" t="s">
        <v>1910</v>
      </c>
      <c r="O292" s="234" t="s">
        <v>1911</v>
      </c>
      <c r="P292" s="261" t="s">
        <v>3535</v>
      </c>
      <c r="Q292" s="261" t="s">
        <v>3539</v>
      </c>
    </row>
    <row r="293" spans="1:17" ht="15.75" thickBot="1" x14ac:dyDescent="0.3">
      <c r="A293" s="82" t="s">
        <v>4697</v>
      </c>
      <c r="B293" s="82" t="s">
        <v>4697</v>
      </c>
      <c r="C293" s="82" t="str">
        <f t="shared" si="14"/>
        <v>X</v>
      </c>
      <c r="D293" s="162" t="s">
        <v>1654</v>
      </c>
      <c r="E293" s="83"/>
      <c r="F293" s="83"/>
      <c r="G293" s="161"/>
      <c r="H293" s="82" t="str">
        <f t="shared" si="15"/>
        <v/>
      </c>
      <c r="I293" s="286">
        <v>319.23</v>
      </c>
      <c r="J293" s="162"/>
      <c r="K293" s="162"/>
      <c r="L293" s="284">
        <v>2022</v>
      </c>
      <c r="M293" s="234" t="s">
        <v>1909</v>
      </c>
      <c r="N293" s="234" t="s">
        <v>1910</v>
      </c>
      <c r="O293" s="234" t="s">
        <v>1911</v>
      </c>
      <c r="P293" s="261" t="s">
        <v>3535</v>
      </c>
      <c r="Q293" s="261" t="s">
        <v>3539</v>
      </c>
    </row>
    <row r="294" spans="1:17" ht="15.75" thickBot="1" x14ac:dyDescent="0.3">
      <c r="A294" s="82" t="s">
        <v>4697</v>
      </c>
      <c r="B294" s="82" t="s">
        <v>4697</v>
      </c>
      <c r="C294" s="82" t="str">
        <f t="shared" si="14"/>
        <v>X</v>
      </c>
      <c r="D294" s="83" t="s">
        <v>1658</v>
      </c>
      <c r="E294" s="83"/>
      <c r="F294" s="83"/>
      <c r="G294" s="161"/>
      <c r="H294" s="82" t="str">
        <f t="shared" si="15"/>
        <v/>
      </c>
      <c r="I294" s="286">
        <v>510.29999999999995</v>
      </c>
      <c r="J294" s="162"/>
      <c r="K294" s="162"/>
      <c r="L294" s="284">
        <v>2022</v>
      </c>
      <c r="M294" s="234" t="s">
        <v>1909</v>
      </c>
      <c r="N294" s="234" t="s">
        <v>1910</v>
      </c>
      <c r="O294" s="234" t="s">
        <v>1911</v>
      </c>
      <c r="P294" s="261" t="s">
        <v>3535</v>
      </c>
      <c r="Q294" s="261" t="s">
        <v>3539</v>
      </c>
    </row>
    <row r="295" spans="1:17" ht="15.75" thickBot="1" x14ac:dyDescent="0.3">
      <c r="A295" s="82" t="s">
        <v>4697</v>
      </c>
      <c r="B295" s="82" t="s">
        <v>4697</v>
      </c>
      <c r="C295" s="82" t="str">
        <f t="shared" ref="C295:C358" si="16">IF(A295=B295,"X",RIGHT(A295,LEN(A295)-LEN(B295)-3))</f>
        <v>X</v>
      </c>
      <c r="D295" s="83" t="s">
        <v>1657</v>
      </c>
      <c r="E295" s="83"/>
      <c r="F295" s="83"/>
      <c r="G295" s="161"/>
      <c r="H295" s="82" t="str">
        <f t="shared" si="15"/>
        <v/>
      </c>
      <c r="I295" s="286">
        <v>157.15</v>
      </c>
      <c r="J295" s="162"/>
      <c r="K295" s="162"/>
      <c r="L295" s="284">
        <v>2022</v>
      </c>
      <c r="M295" s="234" t="s">
        <v>1909</v>
      </c>
      <c r="N295" s="234" t="s">
        <v>1910</v>
      </c>
      <c r="O295" s="234" t="s">
        <v>1911</v>
      </c>
      <c r="P295" s="261" t="s">
        <v>3535</v>
      </c>
      <c r="Q295" s="261" t="s">
        <v>3539</v>
      </c>
    </row>
    <row r="296" spans="1:17" ht="15.75" thickBot="1" x14ac:dyDescent="0.3">
      <c r="A296" s="82" t="s">
        <v>4697</v>
      </c>
      <c r="B296" s="82" t="s">
        <v>4697</v>
      </c>
      <c r="C296" s="82" t="str">
        <f t="shared" si="16"/>
        <v>X</v>
      </c>
      <c r="D296" s="83" t="s">
        <v>1659</v>
      </c>
      <c r="E296" s="83"/>
      <c r="F296" s="83"/>
      <c r="G296" s="161"/>
      <c r="H296" s="82" t="str">
        <f t="shared" si="15"/>
        <v/>
      </c>
      <c r="I296" s="286">
        <v>1507.39</v>
      </c>
      <c r="J296" s="162"/>
      <c r="K296" s="162"/>
      <c r="L296" s="284">
        <v>2022</v>
      </c>
      <c r="M296" s="234" t="s">
        <v>1909</v>
      </c>
      <c r="N296" s="234" t="s">
        <v>1910</v>
      </c>
      <c r="O296" s="234" t="s">
        <v>1911</v>
      </c>
      <c r="P296" s="261" t="s">
        <v>3535</v>
      </c>
      <c r="Q296" s="261" t="s">
        <v>3539</v>
      </c>
    </row>
    <row r="297" spans="1:17" ht="15.75" thickBot="1" x14ac:dyDescent="0.3">
      <c r="A297" s="82" t="s">
        <v>4697</v>
      </c>
      <c r="B297" s="82" t="s">
        <v>4697</v>
      </c>
      <c r="C297" s="82" t="str">
        <f t="shared" si="16"/>
        <v>X</v>
      </c>
      <c r="D297" s="83" t="s">
        <v>1657</v>
      </c>
      <c r="E297" s="83"/>
      <c r="F297" s="83"/>
      <c r="G297" s="161"/>
      <c r="H297" s="82" t="str">
        <f t="shared" si="15"/>
        <v/>
      </c>
      <c r="I297" s="286">
        <v>14802.929999999997</v>
      </c>
      <c r="J297" s="162"/>
      <c r="K297" s="162"/>
      <c r="L297" s="284">
        <v>2022</v>
      </c>
      <c r="M297" s="234" t="s">
        <v>1909</v>
      </c>
      <c r="N297" s="234" t="s">
        <v>1910</v>
      </c>
      <c r="O297" s="234" t="s">
        <v>1911</v>
      </c>
      <c r="P297" s="261" t="s">
        <v>3535</v>
      </c>
      <c r="Q297" s="261" t="s">
        <v>3539</v>
      </c>
    </row>
    <row r="298" spans="1:17" ht="15.75" thickBot="1" x14ac:dyDescent="0.3">
      <c r="A298" s="82" t="s">
        <v>4697</v>
      </c>
      <c r="B298" s="82" t="s">
        <v>4697</v>
      </c>
      <c r="C298" s="82" t="str">
        <f t="shared" si="16"/>
        <v>X</v>
      </c>
      <c r="D298" s="83" t="s">
        <v>1659</v>
      </c>
      <c r="E298" s="83"/>
      <c r="F298" s="83"/>
      <c r="G298" s="161"/>
      <c r="H298" s="82" t="str">
        <f t="shared" si="15"/>
        <v/>
      </c>
      <c r="I298" s="286">
        <v>579.91</v>
      </c>
      <c r="J298" s="162"/>
      <c r="K298" s="162"/>
      <c r="L298" s="284">
        <v>2022</v>
      </c>
      <c r="M298" s="234" t="s">
        <v>1909</v>
      </c>
      <c r="N298" s="234" t="s">
        <v>1910</v>
      </c>
      <c r="O298" s="234" t="s">
        <v>1911</v>
      </c>
      <c r="P298" s="261" t="s">
        <v>3535</v>
      </c>
      <c r="Q298" s="261" t="s">
        <v>3539</v>
      </c>
    </row>
    <row r="299" spans="1:17" ht="15.75" thickBot="1" x14ac:dyDescent="0.3">
      <c r="A299" s="82" t="s">
        <v>4697</v>
      </c>
      <c r="B299" s="82" t="s">
        <v>4697</v>
      </c>
      <c r="C299" s="82" t="str">
        <f t="shared" si="16"/>
        <v>X</v>
      </c>
      <c r="D299" s="83" t="s">
        <v>3003</v>
      </c>
      <c r="E299" s="83"/>
      <c r="F299" s="83"/>
      <c r="G299" s="161"/>
      <c r="H299" s="82" t="str">
        <f t="shared" si="15"/>
        <v/>
      </c>
      <c r="I299" s="286">
        <v>692.16000000000008</v>
      </c>
      <c r="J299" s="162"/>
      <c r="K299" s="162"/>
      <c r="L299" s="284">
        <v>2022</v>
      </c>
      <c r="M299" s="234" t="s">
        <v>1909</v>
      </c>
      <c r="N299" s="234" t="s">
        <v>1910</v>
      </c>
      <c r="O299" s="234" t="s">
        <v>1911</v>
      </c>
      <c r="P299" s="261" t="s">
        <v>3535</v>
      </c>
      <c r="Q299" s="261" t="s">
        <v>3539</v>
      </c>
    </row>
    <row r="300" spans="1:17" ht="15.75" thickBot="1" x14ac:dyDescent="0.3">
      <c r="A300" s="82" t="s">
        <v>4697</v>
      </c>
      <c r="B300" s="82" t="s">
        <v>4697</v>
      </c>
      <c r="C300" s="82" t="str">
        <f t="shared" si="16"/>
        <v>X</v>
      </c>
      <c r="D300" s="83" t="s">
        <v>3003</v>
      </c>
      <c r="E300" s="83"/>
      <c r="F300" s="83"/>
      <c r="G300" s="161"/>
      <c r="H300" s="82" t="str">
        <f t="shared" si="15"/>
        <v/>
      </c>
      <c r="I300" s="286">
        <v>1844.2300000000002</v>
      </c>
      <c r="J300" s="162"/>
      <c r="K300" s="162"/>
      <c r="L300" s="284">
        <v>2022</v>
      </c>
      <c r="M300" s="234" t="s">
        <v>1909</v>
      </c>
      <c r="N300" s="234" t="s">
        <v>1910</v>
      </c>
      <c r="O300" s="234" t="s">
        <v>1911</v>
      </c>
      <c r="P300" s="261" t="s">
        <v>3535</v>
      </c>
      <c r="Q300" s="261" t="s">
        <v>3539</v>
      </c>
    </row>
    <row r="301" spans="1:17" ht="15.75" thickBot="1" x14ac:dyDescent="0.3">
      <c r="A301" s="82" t="s">
        <v>4697</v>
      </c>
      <c r="B301" s="82" t="s">
        <v>4697</v>
      </c>
      <c r="C301" s="82" t="str">
        <f t="shared" si="16"/>
        <v>X</v>
      </c>
      <c r="D301" s="83" t="s">
        <v>3003</v>
      </c>
      <c r="E301" s="83"/>
      <c r="F301" s="83"/>
      <c r="G301" s="161"/>
      <c r="H301" s="82" t="str">
        <f t="shared" si="15"/>
        <v/>
      </c>
      <c r="I301" s="286">
        <v>1511.1299999999999</v>
      </c>
      <c r="J301" s="162"/>
      <c r="K301" s="162"/>
      <c r="L301" s="284">
        <v>2022</v>
      </c>
      <c r="M301" s="234" t="s">
        <v>1909</v>
      </c>
      <c r="N301" s="234" t="s">
        <v>1910</v>
      </c>
      <c r="O301" s="234" t="s">
        <v>1911</v>
      </c>
      <c r="P301" s="261" t="s">
        <v>3535</v>
      </c>
      <c r="Q301" s="261" t="s">
        <v>3539</v>
      </c>
    </row>
    <row r="302" spans="1:17" ht="15.75" thickBot="1" x14ac:dyDescent="0.3">
      <c r="A302" s="82" t="s">
        <v>4697</v>
      </c>
      <c r="B302" s="82" t="s">
        <v>4697</v>
      </c>
      <c r="C302" s="82" t="str">
        <f t="shared" si="16"/>
        <v>X</v>
      </c>
      <c r="D302" s="83" t="s">
        <v>3003</v>
      </c>
      <c r="E302" s="83"/>
      <c r="F302" s="83"/>
      <c r="G302" s="161"/>
      <c r="H302" s="82" t="str">
        <f t="shared" si="15"/>
        <v/>
      </c>
      <c r="I302" s="286">
        <v>547.97</v>
      </c>
      <c r="J302" s="162"/>
      <c r="K302" s="162"/>
      <c r="L302" s="284">
        <v>2022</v>
      </c>
      <c r="M302" s="234" t="s">
        <v>1909</v>
      </c>
      <c r="N302" s="234" t="s">
        <v>1910</v>
      </c>
      <c r="O302" s="234" t="s">
        <v>1911</v>
      </c>
      <c r="P302" s="261" t="s">
        <v>3535</v>
      </c>
      <c r="Q302" s="261" t="s">
        <v>3539</v>
      </c>
    </row>
    <row r="303" spans="1:17" ht="15.75" thickBot="1" x14ac:dyDescent="0.3">
      <c r="A303" s="82" t="s">
        <v>4697</v>
      </c>
      <c r="B303" s="82" t="s">
        <v>4697</v>
      </c>
      <c r="C303" s="82" t="str">
        <f t="shared" si="16"/>
        <v>X</v>
      </c>
      <c r="D303" s="162" t="s">
        <v>1655</v>
      </c>
      <c r="E303" s="83"/>
      <c r="F303" s="83"/>
      <c r="G303" s="161"/>
      <c r="H303" s="82" t="str">
        <f t="shared" si="15"/>
        <v/>
      </c>
      <c r="I303" s="286">
        <v>201.39</v>
      </c>
      <c r="J303" s="162"/>
      <c r="K303" s="162"/>
      <c r="L303" s="284">
        <v>2022</v>
      </c>
      <c r="M303" s="234" t="s">
        <v>1909</v>
      </c>
      <c r="N303" s="234" t="s">
        <v>1910</v>
      </c>
      <c r="O303" s="234" t="s">
        <v>1911</v>
      </c>
      <c r="P303" s="261" t="s">
        <v>3535</v>
      </c>
      <c r="Q303" s="261" t="s">
        <v>3539</v>
      </c>
    </row>
    <row r="304" spans="1:17" ht="15.75" thickBot="1" x14ac:dyDescent="0.3">
      <c r="A304" s="82" t="s">
        <v>4697</v>
      </c>
      <c r="B304" s="82" t="s">
        <v>4697</v>
      </c>
      <c r="C304" s="82" t="str">
        <f t="shared" si="16"/>
        <v>X</v>
      </c>
      <c r="D304" s="83" t="s">
        <v>3003</v>
      </c>
      <c r="E304" s="83"/>
      <c r="F304" s="83"/>
      <c r="G304" s="161"/>
      <c r="H304" s="82" t="str">
        <f t="shared" si="15"/>
        <v/>
      </c>
      <c r="I304" s="286">
        <v>9233.5300000000007</v>
      </c>
      <c r="J304" s="162"/>
      <c r="K304" s="162"/>
      <c r="L304" s="284">
        <v>2022</v>
      </c>
      <c r="M304" s="234" t="s">
        <v>1909</v>
      </c>
      <c r="N304" s="234" t="s">
        <v>1910</v>
      </c>
      <c r="O304" s="234" t="s">
        <v>1911</v>
      </c>
      <c r="P304" s="261" t="s">
        <v>3535</v>
      </c>
      <c r="Q304" s="261" t="s">
        <v>3539</v>
      </c>
    </row>
    <row r="305" spans="1:17" ht="15.75" thickBot="1" x14ac:dyDescent="0.3">
      <c r="A305" s="82" t="s">
        <v>4697</v>
      </c>
      <c r="B305" s="82" t="s">
        <v>4697</v>
      </c>
      <c r="C305" s="82" t="str">
        <f t="shared" si="16"/>
        <v>X</v>
      </c>
      <c r="D305" s="83" t="s">
        <v>1659</v>
      </c>
      <c r="E305" s="83"/>
      <c r="F305" s="83"/>
      <c r="G305" s="161"/>
      <c r="H305" s="82" t="str">
        <f t="shared" si="15"/>
        <v/>
      </c>
      <c r="I305" s="286">
        <v>260.62</v>
      </c>
      <c r="J305" s="162"/>
      <c r="K305" s="162"/>
      <c r="L305" s="284">
        <v>2022</v>
      </c>
      <c r="M305" s="234" t="s">
        <v>1909</v>
      </c>
      <c r="N305" s="234" t="s">
        <v>1910</v>
      </c>
      <c r="O305" s="234" t="s">
        <v>1911</v>
      </c>
      <c r="P305" s="261" t="s">
        <v>3535</v>
      </c>
      <c r="Q305" s="261" t="s">
        <v>3539</v>
      </c>
    </row>
    <row r="306" spans="1:17" ht="15.75" thickBot="1" x14ac:dyDescent="0.3">
      <c r="A306" s="82" t="s">
        <v>4697</v>
      </c>
      <c r="B306" s="82" t="s">
        <v>4697</v>
      </c>
      <c r="C306" s="82" t="str">
        <f t="shared" si="16"/>
        <v>X</v>
      </c>
      <c r="D306" s="83" t="s">
        <v>1657</v>
      </c>
      <c r="E306" s="83"/>
      <c r="F306" s="83"/>
      <c r="G306" s="161"/>
      <c r="H306" s="82" t="str">
        <f t="shared" si="15"/>
        <v/>
      </c>
      <c r="I306" s="286">
        <v>11005.320000000002</v>
      </c>
      <c r="J306" s="162"/>
      <c r="K306" s="162"/>
      <c r="L306" s="284">
        <v>2022</v>
      </c>
      <c r="M306" s="234" t="s">
        <v>1909</v>
      </c>
      <c r="N306" s="234" t="s">
        <v>1910</v>
      </c>
      <c r="O306" s="234" t="s">
        <v>1911</v>
      </c>
      <c r="P306" s="261" t="s">
        <v>3535</v>
      </c>
      <c r="Q306" s="261" t="s">
        <v>3539</v>
      </c>
    </row>
    <row r="307" spans="1:17" ht="15.75" thickBot="1" x14ac:dyDescent="0.3">
      <c r="A307" s="82" t="s">
        <v>4697</v>
      </c>
      <c r="B307" s="82" t="s">
        <v>4697</v>
      </c>
      <c r="C307" s="82" t="str">
        <f t="shared" si="16"/>
        <v>X</v>
      </c>
      <c r="D307" s="83" t="s">
        <v>3003</v>
      </c>
      <c r="E307" s="83"/>
      <c r="F307" s="83"/>
      <c r="G307" s="161"/>
      <c r="H307" s="82" t="str">
        <f t="shared" si="15"/>
        <v/>
      </c>
      <c r="I307" s="286">
        <v>4725.9499999999989</v>
      </c>
      <c r="J307" s="162"/>
      <c r="K307" s="162"/>
      <c r="L307" s="284">
        <v>2022</v>
      </c>
      <c r="M307" s="234" t="s">
        <v>1909</v>
      </c>
      <c r="N307" s="234" t="s">
        <v>1910</v>
      </c>
      <c r="O307" s="234" t="s">
        <v>1911</v>
      </c>
      <c r="P307" s="261" t="s">
        <v>3535</v>
      </c>
      <c r="Q307" s="261" t="s">
        <v>3539</v>
      </c>
    </row>
    <row r="308" spans="1:17" ht="15.75" thickBot="1" x14ac:dyDescent="0.3">
      <c r="A308" s="82" t="s">
        <v>4697</v>
      </c>
      <c r="B308" s="82" t="s">
        <v>4697</v>
      </c>
      <c r="C308" s="82" t="str">
        <f t="shared" si="16"/>
        <v>X</v>
      </c>
      <c r="D308" s="83" t="s">
        <v>3003</v>
      </c>
      <c r="E308" s="83"/>
      <c r="F308" s="83"/>
      <c r="G308" s="161"/>
      <c r="H308" s="82" t="str">
        <f t="shared" si="15"/>
        <v/>
      </c>
      <c r="I308" s="286">
        <v>334.92</v>
      </c>
      <c r="J308" s="162"/>
      <c r="K308" s="162"/>
      <c r="L308" s="284">
        <v>2022</v>
      </c>
      <c r="M308" s="234" t="s">
        <v>1909</v>
      </c>
      <c r="N308" s="234" t="s">
        <v>1910</v>
      </c>
      <c r="O308" s="234" t="s">
        <v>1911</v>
      </c>
      <c r="P308" s="261" t="s">
        <v>3535</v>
      </c>
      <c r="Q308" s="261" t="s">
        <v>3539</v>
      </c>
    </row>
    <row r="309" spans="1:17" ht="15.75" thickBot="1" x14ac:dyDescent="0.3">
      <c r="A309" s="82" t="s">
        <v>4697</v>
      </c>
      <c r="B309" s="82" t="s">
        <v>4697</v>
      </c>
      <c r="C309" s="82" t="str">
        <f t="shared" si="16"/>
        <v>X</v>
      </c>
      <c r="D309" s="83" t="s">
        <v>1659</v>
      </c>
      <c r="E309" s="83"/>
      <c r="F309" s="83"/>
      <c r="G309" s="161"/>
      <c r="H309" s="82" t="str">
        <f t="shared" si="15"/>
        <v/>
      </c>
      <c r="I309" s="286">
        <v>1.38</v>
      </c>
      <c r="J309" s="162"/>
      <c r="K309" s="162"/>
      <c r="L309" s="284">
        <v>2022</v>
      </c>
      <c r="M309" s="234" t="s">
        <v>1909</v>
      </c>
      <c r="N309" s="234" t="s">
        <v>1910</v>
      </c>
      <c r="O309" s="234" t="s">
        <v>1911</v>
      </c>
      <c r="P309" s="261" t="s">
        <v>3535</v>
      </c>
      <c r="Q309" s="261" t="s">
        <v>3539</v>
      </c>
    </row>
    <row r="310" spans="1:17" ht="15.75" thickBot="1" x14ac:dyDescent="0.3">
      <c r="A310" s="82" t="s">
        <v>4697</v>
      </c>
      <c r="B310" s="82" t="s">
        <v>4697</v>
      </c>
      <c r="C310" s="82" t="str">
        <f t="shared" si="16"/>
        <v>X</v>
      </c>
      <c r="D310" s="83" t="s">
        <v>1675</v>
      </c>
      <c r="E310" s="83"/>
      <c r="F310" s="83"/>
      <c r="G310" s="161"/>
      <c r="H310" s="82" t="str">
        <f t="shared" ref="H310:H359" si="17">IFERROR(LEFT(F310,FIND(" ",F310)-1),"")</f>
        <v/>
      </c>
      <c r="I310" s="286">
        <v>1409.9099999999999</v>
      </c>
      <c r="J310" s="162"/>
      <c r="K310" s="162"/>
      <c r="L310" s="284">
        <v>2022</v>
      </c>
      <c r="M310" s="234" t="s">
        <v>1909</v>
      </c>
      <c r="N310" s="234" t="s">
        <v>1910</v>
      </c>
      <c r="O310" s="234" t="s">
        <v>1911</v>
      </c>
      <c r="P310" s="261" t="s">
        <v>3535</v>
      </c>
      <c r="Q310" s="261" t="s">
        <v>3539</v>
      </c>
    </row>
    <row r="311" spans="1:17" ht="15.75" thickBot="1" x14ac:dyDescent="0.3">
      <c r="A311" s="82" t="s">
        <v>4697</v>
      </c>
      <c r="B311" s="82" t="s">
        <v>4697</v>
      </c>
      <c r="C311" s="82" t="str">
        <f t="shared" si="16"/>
        <v>X</v>
      </c>
      <c r="D311" s="83" t="s">
        <v>1659</v>
      </c>
      <c r="E311" s="83"/>
      <c r="F311" s="83"/>
      <c r="G311" s="161"/>
      <c r="H311" s="82" t="str">
        <f t="shared" si="17"/>
        <v/>
      </c>
      <c r="I311" s="286">
        <v>1821.1</v>
      </c>
      <c r="J311" s="162"/>
      <c r="K311" s="162"/>
      <c r="L311" s="284">
        <v>2022</v>
      </c>
      <c r="M311" s="234" t="s">
        <v>1909</v>
      </c>
      <c r="N311" s="234" t="s">
        <v>1910</v>
      </c>
      <c r="O311" s="234" t="s">
        <v>1911</v>
      </c>
      <c r="P311" s="261" t="s">
        <v>3535</v>
      </c>
      <c r="Q311" s="261" t="s">
        <v>3539</v>
      </c>
    </row>
    <row r="312" spans="1:17" ht="15.75" thickBot="1" x14ac:dyDescent="0.3">
      <c r="A312" s="82" t="s">
        <v>4697</v>
      </c>
      <c r="B312" s="82" t="s">
        <v>4697</v>
      </c>
      <c r="C312" s="82" t="str">
        <f t="shared" si="16"/>
        <v>X</v>
      </c>
      <c r="D312" s="83" t="s">
        <v>1659</v>
      </c>
      <c r="E312" s="83"/>
      <c r="F312" s="83"/>
      <c r="G312" s="161"/>
      <c r="H312" s="82" t="str">
        <f t="shared" si="17"/>
        <v/>
      </c>
      <c r="I312" s="286">
        <v>742.93</v>
      </c>
      <c r="J312" s="162"/>
      <c r="K312" s="162"/>
      <c r="L312" s="284">
        <v>2022</v>
      </c>
      <c r="M312" s="234" t="s">
        <v>1909</v>
      </c>
      <c r="N312" s="234" t="s">
        <v>1910</v>
      </c>
      <c r="O312" s="234" t="s">
        <v>1911</v>
      </c>
      <c r="P312" s="261" t="s">
        <v>3535</v>
      </c>
      <c r="Q312" s="261" t="s">
        <v>3539</v>
      </c>
    </row>
    <row r="313" spans="1:17" ht="15.75" thickBot="1" x14ac:dyDescent="0.3">
      <c r="A313" s="82" t="s">
        <v>4697</v>
      </c>
      <c r="B313" s="82" t="s">
        <v>4697</v>
      </c>
      <c r="C313" s="82" t="str">
        <f t="shared" si="16"/>
        <v>X</v>
      </c>
      <c r="D313" s="162" t="s">
        <v>1661</v>
      </c>
      <c r="E313" s="83"/>
      <c r="F313" s="83"/>
      <c r="G313" s="161"/>
      <c r="H313" s="82" t="str">
        <f t="shared" si="17"/>
        <v/>
      </c>
      <c r="I313" s="286">
        <v>323881</v>
      </c>
      <c r="J313" s="162"/>
      <c r="K313" s="162"/>
      <c r="L313" s="284">
        <v>2022</v>
      </c>
      <c r="M313" s="234" t="s">
        <v>1909</v>
      </c>
      <c r="N313" s="234" t="s">
        <v>1910</v>
      </c>
      <c r="O313" s="234" t="s">
        <v>1911</v>
      </c>
      <c r="P313" s="261" t="s">
        <v>3535</v>
      </c>
      <c r="Q313" s="261" t="s">
        <v>3539</v>
      </c>
    </row>
    <row r="314" spans="1:17" ht="15.75" thickBot="1" x14ac:dyDescent="0.3">
      <c r="A314" s="82" t="s">
        <v>4696</v>
      </c>
      <c r="B314" s="82" t="s">
        <v>4696</v>
      </c>
      <c r="C314" s="82" t="str">
        <f t="shared" si="16"/>
        <v>X</v>
      </c>
      <c r="D314" s="83" t="s">
        <v>1653</v>
      </c>
      <c r="E314" s="83">
        <v>89</v>
      </c>
      <c r="F314" s="85" t="s">
        <v>586</v>
      </c>
      <c r="G314" s="161"/>
      <c r="H314" s="82" t="str">
        <f t="shared" si="17"/>
        <v/>
      </c>
      <c r="I314" s="286">
        <v>14646.73</v>
      </c>
      <c r="J314" s="162"/>
      <c r="K314" s="162"/>
      <c r="L314" s="284">
        <v>2022</v>
      </c>
      <c r="M314" s="234" t="s">
        <v>1909</v>
      </c>
      <c r="N314" s="234" t="s">
        <v>1910</v>
      </c>
      <c r="O314" s="234" t="s">
        <v>1911</v>
      </c>
      <c r="P314" s="261" t="s">
        <v>3535</v>
      </c>
      <c r="Q314" s="261" t="s">
        <v>3539</v>
      </c>
    </row>
    <row r="315" spans="1:17" ht="15.75" thickBot="1" x14ac:dyDescent="0.3">
      <c r="A315" s="82" t="s">
        <v>4696</v>
      </c>
      <c r="B315" s="82" t="s">
        <v>4696</v>
      </c>
      <c r="C315" s="82" t="str">
        <f t="shared" si="16"/>
        <v>X</v>
      </c>
      <c r="D315" s="162" t="s">
        <v>1654</v>
      </c>
      <c r="E315" s="83"/>
      <c r="F315" s="83"/>
      <c r="G315" s="161"/>
      <c r="H315" s="82" t="str">
        <f t="shared" si="17"/>
        <v/>
      </c>
      <c r="I315" s="286">
        <v>549.11</v>
      </c>
      <c r="J315" s="162"/>
      <c r="K315" s="162"/>
      <c r="L315" s="284">
        <v>2022</v>
      </c>
      <c r="M315" s="234" t="s">
        <v>1909</v>
      </c>
      <c r="N315" s="234" t="s">
        <v>1910</v>
      </c>
      <c r="O315" s="234" t="s">
        <v>1911</v>
      </c>
      <c r="P315" s="261" t="s">
        <v>3535</v>
      </c>
      <c r="Q315" s="261" t="s">
        <v>3539</v>
      </c>
    </row>
    <row r="316" spans="1:17" ht="15.75" thickBot="1" x14ac:dyDescent="0.3">
      <c r="A316" s="82" t="s">
        <v>4696</v>
      </c>
      <c r="B316" s="82" t="s">
        <v>4696</v>
      </c>
      <c r="C316" s="82" t="str">
        <f t="shared" si="16"/>
        <v>X</v>
      </c>
      <c r="D316" s="83" t="s">
        <v>1658</v>
      </c>
      <c r="E316" s="83"/>
      <c r="F316" s="83"/>
      <c r="G316" s="161"/>
      <c r="H316" s="82" t="str">
        <f t="shared" si="17"/>
        <v/>
      </c>
      <c r="I316" s="286">
        <v>253.52000000000007</v>
      </c>
      <c r="J316" s="162"/>
      <c r="K316" s="162"/>
      <c r="L316" s="284">
        <v>2022</v>
      </c>
      <c r="M316" s="234" t="s">
        <v>1909</v>
      </c>
      <c r="N316" s="234" t="s">
        <v>1910</v>
      </c>
      <c r="O316" s="234" t="s">
        <v>1911</v>
      </c>
      <c r="P316" s="261" t="s">
        <v>3535</v>
      </c>
      <c r="Q316" s="261" t="s">
        <v>3539</v>
      </c>
    </row>
    <row r="317" spans="1:17" ht="15.75" thickBot="1" x14ac:dyDescent="0.3">
      <c r="A317" s="82" t="s">
        <v>4696</v>
      </c>
      <c r="B317" s="82" t="s">
        <v>4696</v>
      </c>
      <c r="C317" s="82" t="str">
        <f t="shared" si="16"/>
        <v>X</v>
      </c>
      <c r="D317" s="83" t="s">
        <v>1657</v>
      </c>
      <c r="E317" s="83"/>
      <c r="F317" s="83"/>
      <c r="G317" s="161"/>
      <c r="H317" s="82" t="str">
        <f t="shared" si="17"/>
        <v/>
      </c>
      <c r="I317" s="286">
        <v>629.20000000000005</v>
      </c>
      <c r="J317" s="162"/>
      <c r="K317" s="162"/>
      <c r="L317" s="284">
        <v>2022</v>
      </c>
      <c r="M317" s="234" t="s">
        <v>1909</v>
      </c>
      <c r="N317" s="234" t="s">
        <v>1910</v>
      </c>
      <c r="O317" s="234" t="s">
        <v>1911</v>
      </c>
      <c r="P317" s="261" t="s">
        <v>3535</v>
      </c>
      <c r="Q317" s="261" t="s">
        <v>3539</v>
      </c>
    </row>
    <row r="318" spans="1:17" ht="15.75" thickBot="1" x14ac:dyDescent="0.3">
      <c r="A318" s="82" t="s">
        <v>4696</v>
      </c>
      <c r="B318" s="82" t="s">
        <v>4696</v>
      </c>
      <c r="C318" s="82" t="str">
        <f t="shared" si="16"/>
        <v>X</v>
      </c>
      <c r="D318" s="83" t="s">
        <v>1657</v>
      </c>
      <c r="E318" s="83"/>
      <c r="F318" s="83"/>
      <c r="G318" s="161"/>
      <c r="H318" s="82" t="str">
        <f t="shared" si="17"/>
        <v/>
      </c>
      <c r="I318" s="286">
        <v>683.92</v>
      </c>
      <c r="J318" s="162"/>
      <c r="K318" s="162"/>
      <c r="L318" s="284">
        <v>2022</v>
      </c>
      <c r="M318" s="234" t="s">
        <v>1909</v>
      </c>
      <c r="N318" s="234" t="s">
        <v>1910</v>
      </c>
      <c r="O318" s="234" t="s">
        <v>1911</v>
      </c>
      <c r="P318" s="261" t="s">
        <v>3535</v>
      </c>
      <c r="Q318" s="261" t="s">
        <v>3539</v>
      </c>
    </row>
    <row r="319" spans="1:17" ht="15.75" thickBot="1" x14ac:dyDescent="0.3">
      <c r="A319" s="82" t="s">
        <v>4696</v>
      </c>
      <c r="B319" s="82" t="s">
        <v>4696</v>
      </c>
      <c r="C319" s="82" t="str">
        <f t="shared" si="16"/>
        <v>X</v>
      </c>
      <c r="D319" s="83" t="s">
        <v>1659</v>
      </c>
      <c r="E319" s="83"/>
      <c r="F319" s="83"/>
      <c r="G319" s="161"/>
      <c r="H319" s="82" t="str">
        <f t="shared" si="17"/>
        <v/>
      </c>
      <c r="I319" s="286">
        <v>2064.2199999999993</v>
      </c>
      <c r="J319" s="162"/>
      <c r="K319" s="162"/>
      <c r="L319" s="284">
        <v>2022</v>
      </c>
      <c r="M319" s="234" t="s">
        <v>1909</v>
      </c>
      <c r="N319" s="234" t="s">
        <v>1910</v>
      </c>
      <c r="O319" s="234" t="s">
        <v>1911</v>
      </c>
      <c r="P319" s="261" t="s">
        <v>3535</v>
      </c>
      <c r="Q319" s="261" t="s">
        <v>3539</v>
      </c>
    </row>
    <row r="320" spans="1:17" ht="15.75" thickBot="1" x14ac:dyDescent="0.3">
      <c r="A320" s="82" t="s">
        <v>4696</v>
      </c>
      <c r="B320" s="82" t="s">
        <v>4696</v>
      </c>
      <c r="C320" s="82" t="str">
        <f t="shared" si="16"/>
        <v>X</v>
      </c>
      <c r="D320" s="83" t="s">
        <v>1658</v>
      </c>
      <c r="E320" s="83"/>
      <c r="F320" s="83"/>
      <c r="G320" s="161"/>
      <c r="H320" s="82" t="str">
        <f t="shared" si="17"/>
        <v/>
      </c>
      <c r="I320" s="286">
        <v>53.98</v>
      </c>
      <c r="J320" s="162"/>
      <c r="K320" s="162"/>
      <c r="L320" s="284">
        <v>2022</v>
      </c>
      <c r="M320" s="234" t="s">
        <v>1909</v>
      </c>
      <c r="N320" s="234" t="s">
        <v>1910</v>
      </c>
      <c r="O320" s="234" t="s">
        <v>1911</v>
      </c>
      <c r="P320" s="261" t="s">
        <v>3535</v>
      </c>
      <c r="Q320" s="261" t="s">
        <v>3539</v>
      </c>
    </row>
    <row r="321" spans="1:17" ht="15.75" thickBot="1" x14ac:dyDescent="0.3">
      <c r="A321" s="82" t="s">
        <v>4696</v>
      </c>
      <c r="B321" s="82" t="s">
        <v>4696</v>
      </c>
      <c r="C321" s="82" t="str">
        <f t="shared" si="16"/>
        <v>X</v>
      </c>
      <c r="D321" s="83" t="s">
        <v>1657</v>
      </c>
      <c r="E321" s="83"/>
      <c r="F321" s="83"/>
      <c r="G321" s="161"/>
      <c r="H321" s="82" t="str">
        <f t="shared" si="17"/>
        <v/>
      </c>
      <c r="I321" s="286">
        <v>37661.710000000006</v>
      </c>
      <c r="J321" s="162"/>
      <c r="K321" s="162"/>
      <c r="L321" s="284">
        <v>2022</v>
      </c>
      <c r="M321" s="234" t="s">
        <v>1909</v>
      </c>
      <c r="N321" s="234" t="s">
        <v>1910</v>
      </c>
      <c r="O321" s="234" t="s">
        <v>1911</v>
      </c>
      <c r="P321" s="261" t="s">
        <v>3535</v>
      </c>
      <c r="Q321" s="261" t="s">
        <v>3539</v>
      </c>
    </row>
    <row r="322" spans="1:17" ht="15.75" thickBot="1" x14ac:dyDescent="0.3">
      <c r="A322" s="82" t="s">
        <v>4696</v>
      </c>
      <c r="B322" s="82" t="s">
        <v>4696</v>
      </c>
      <c r="C322" s="82" t="str">
        <f t="shared" si="16"/>
        <v>X</v>
      </c>
      <c r="D322" s="83" t="s">
        <v>1659</v>
      </c>
      <c r="E322" s="83"/>
      <c r="F322" s="83"/>
      <c r="G322" s="161"/>
      <c r="H322" s="82" t="str">
        <f t="shared" si="17"/>
        <v/>
      </c>
      <c r="I322" s="286">
        <v>302.64</v>
      </c>
      <c r="J322" s="162"/>
      <c r="K322" s="162"/>
      <c r="L322" s="284">
        <v>2022</v>
      </c>
      <c r="M322" s="234" t="s">
        <v>1909</v>
      </c>
      <c r="N322" s="234" t="s">
        <v>1910</v>
      </c>
      <c r="O322" s="234" t="s">
        <v>1911</v>
      </c>
      <c r="P322" s="261" t="s">
        <v>3535</v>
      </c>
      <c r="Q322" s="261" t="s">
        <v>3539</v>
      </c>
    </row>
    <row r="323" spans="1:17" ht="15.75" thickBot="1" x14ac:dyDescent="0.3">
      <c r="A323" s="82" t="s">
        <v>4696</v>
      </c>
      <c r="B323" s="82" t="s">
        <v>4696</v>
      </c>
      <c r="C323" s="82" t="str">
        <f t="shared" si="16"/>
        <v>X</v>
      </c>
      <c r="D323" s="83" t="s">
        <v>3003</v>
      </c>
      <c r="E323" s="83"/>
      <c r="F323" s="83"/>
      <c r="G323" s="161"/>
      <c r="H323" s="82" t="str">
        <f t="shared" si="17"/>
        <v/>
      </c>
      <c r="I323" s="286">
        <v>665.30000000000007</v>
      </c>
      <c r="J323" s="162"/>
      <c r="K323" s="162"/>
      <c r="L323" s="284">
        <v>2022</v>
      </c>
      <c r="M323" s="234" t="s">
        <v>1909</v>
      </c>
      <c r="N323" s="234" t="s">
        <v>1910</v>
      </c>
      <c r="O323" s="234" t="s">
        <v>1911</v>
      </c>
      <c r="P323" s="261" t="s">
        <v>3535</v>
      </c>
      <c r="Q323" s="261" t="s">
        <v>3539</v>
      </c>
    </row>
    <row r="324" spans="1:17" ht="15.75" thickBot="1" x14ac:dyDescent="0.3">
      <c r="A324" s="82" t="s">
        <v>4696</v>
      </c>
      <c r="B324" s="82" t="s">
        <v>4696</v>
      </c>
      <c r="C324" s="82" t="str">
        <f t="shared" si="16"/>
        <v>X</v>
      </c>
      <c r="D324" s="83" t="s">
        <v>3003</v>
      </c>
      <c r="E324" s="83"/>
      <c r="F324" s="83"/>
      <c r="G324" s="161"/>
      <c r="H324" s="82" t="str">
        <f t="shared" si="17"/>
        <v/>
      </c>
      <c r="I324" s="286">
        <v>4466.6699999999992</v>
      </c>
      <c r="J324" s="162"/>
      <c r="K324" s="162"/>
      <c r="L324" s="284">
        <v>2022</v>
      </c>
      <c r="M324" s="234" t="s">
        <v>1909</v>
      </c>
      <c r="N324" s="234" t="s">
        <v>1910</v>
      </c>
      <c r="O324" s="234" t="s">
        <v>1911</v>
      </c>
      <c r="P324" s="261" t="s">
        <v>3535</v>
      </c>
      <c r="Q324" s="261" t="s">
        <v>3539</v>
      </c>
    </row>
    <row r="325" spans="1:17" ht="15.75" thickBot="1" x14ac:dyDescent="0.3">
      <c r="A325" s="82" t="s">
        <v>4696</v>
      </c>
      <c r="B325" s="82" t="s">
        <v>4696</v>
      </c>
      <c r="C325" s="82" t="str">
        <f t="shared" si="16"/>
        <v>X</v>
      </c>
      <c r="D325" s="83" t="s">
        <v>3003</v>
      </c>
      <c r="E325" s="83"/>
      <c r="F325" s="83"/>
      <c r="G325" s="161"/>
      <c r="H325" s="82" t="str">
        <f t="shared" si="17"/>
        <v/>
      </c>
      <c r="I325" s="286">
        <v>2428.1500000000005</v>
      </c>
      <c r="J325" s="162"/>
      <c r="K325" s="162"/>
      <c r="L325" s="284">
        <v>2022</v>
      </c>
      <c r="M325" s="234" t="s">
        <v>1909</v>
      </c>
      <c r="N325" s="234" t="s">
        <v>1910</v>
      </c>
      <c r="O325" s="234" t="s">
        <v>1911</v>
      </c>
      <c r="P325" s="261" t="s">
        <v>3535</v>
      </c>
      <c r="Q325" s="261" t="s">
        <v>3539</v>
      </c>
    </row>
    <row r="326" spans="1:17" ht="15.75" thickBot="1" x14ac:dyDescent="0.3">
      <c r="A326" s="82" t="s">
        <v>4696</v>
      </c>
      <c r="B326" s="82" t="s">
        <v>4696</v>
      </c>
      <c r="C326" s="82" t="str">
        <f t="shared" si="16"/>
        <v>X</v>
      </c>
      <c r="D326" s="83" t="s">
        <v>3003</v>
      </c>
      <c r="E326" s="83"/>
      <c r="F326" s="83"/>
      <c r="G326" s="161"/>
      <c r="H326" s="82" t="str">
        <f t="shared" si="17"/>
        <v/>
      </c>
      <c r="I326" s="286">
        <v>829.48</v>
      </c>
      <c r="J326" s="162"/>
      <c r="K326" s="162"/>
      <c r="L326" s="284">
        <v>2022</v>
      </c>
      <c r="M326" s="234" t="s">
        <v>1909</v>
      </c>
      <c r="N326" s="234" t="s">
        <v>1910</v>
      </c>
      <c r="O326" s="234" t="s">
        <v>1911</v>
      </c>
      <c r="P326" s="261" t="s">
        <v>3535</v>
      </c>
      <c r="Q326" s="261" t="s">
        <v>3539</v>
      </c>
    </row>
    <row r="327" spans="1:17" ht="15.75" thickBot="1" x14ac:dyDescent="0.3">
      <c r="A327" s="82" t="s">
        <v>4696</v>
      </c>
      <c r="B327" s="82" t="s">
        <v>4696</v>
      </c>
      <c r="C327" s="82" t="str">
        <f t="shared" si="16"/>
        <v>X</v>
      </c>
      <c r="D327" s="162" t="s">
        <v>1655</v>
      </c>
      <c r="E327" s="83"/>
      <c r="F327" s="83"/>
      <c r="G327" s="161"/>
      <c r="H327" s="82" t="str">
        <f t="shared" si="17"/>
        <v/>
      </c>
      <c r="I327" s="286">
        <v>92.75</v>
      </c>
      <c r="J327" s="162"/>
      <c r="K327" s="162"/>
      <c r="L327" s="284">
        <v>2022</v>
      </c>
      <c r="M327" s="234" t="s">
        <v>1909</v>
      </c>
      <c r="N327" s="234" t="s">
        <v>1910</v>
      </c>
      <c r="O327" s="234" t="s">
        <v>1911</v>
      </c>
      <c r="P327" s="261" t="s">
        <v>3535</v>
      </c>
      <c r="Q327" s="261" t="s">
        <v>3539</v>
      </c>
    </row>
    <row r="328" spans="1:17" ht="15.75" thickBot="1" x14ac:dyDescent="0.3">
      <c r="A328" s="82" t="s">
        <v>4696</v>
      </c>
      <c r="B328" s="82" t="s">
        <v>4696</v>
      </c>
      <c r="C328" s="82" t="str">
        <f t="shared" si="16"/>
        <v>X</v>
      </c>
      <c r="D328" s="83" t="s">
        <v>3003</v>
      </c>
      <c r="E328" s="83"/>
      <c r="F328" s="83"/>
      <c r="G328" s="161"/>
      <c r="H328" s="82" t="str">
        <f t="shared" si="17"/>
        <v/>
      </c>
      <c r="I328" s="286">
        <v>15047.119999999995</v>
      </c>
      <c r="J328" s="162"/>
      <c r="K328" s="162"/>
      <c r="L328" s="284">
        <v>2022</v>
      </c>
      <c r="M328" s="234" t="s">
        <v>1909</v>
      </c>
      <c r="N328" s="234" t="s">
        <v>1910</v>
      </c>
      <c r="O328" s="234" t="s">
        <v>1911</v>
      </c>
      <c r="P328" s="261" t="s">
        <v>3535</v>
      </c>
      <c r="Q328" s="261" t="s">
        <v>3539</v>
      </c>
    </row>
    <row r="329" spans="1:17" ht="15.75" thickBot="1" x14ac:dyDescent="0.3">
      <c r="A329" s="82" t="s">
        <v>4696</v>
      </c>
      <c r="B329" s="82" t="s">
        <v>4696</v>
      </c>
      <c r="C329" s="82" t="str">
        <f t="shared" si="16"/>
        <v>X</v>
      </c>
      <c r="D329" s="83" t="s">
        <v>1659</v>
      </c>
      <c r="E329" s="83"/>
      <c r="F329" s="83"/>
      <c r="G329" s="161"/>
      <c r="H329" s="82" t="str">
        <f t="shared" si="17"/>
        <v/>
      </c>
      <c r="I329" s="286">
        <v>469.61</v>
      </c>
      <c r="J329" s="162"/>
      <c r="K329" s="162"/>
      <c r="L329" s="284">
        <v>2022</v>
      </c>
      <c r="M329" s="234" t="s">
        <v>1909</v>
      </c>
      <c r="N329" s="234" t="s">
        <v>1910</v>
      </c>
      <c r="O329" s="234" t="s">
        <v>1911</v>
      </c>
      <c r="P329" s="261" t="s">
        <v>3535</v>
      </c>
      <c r="Q329" s="261" t="s">
        <v>3539</v>
      </c>
    </row>
    <row r="330" spans="1:17" ht="15.75" thickBot="1" x14ac:dyDescent="0.3">
      <c r="A330" s="82" t="s">
        <v>4696</v>
      </c>
      <c r="B330" s="82" t="s">
        <v>4696</v>
      </c>
      <c r="C330" s="82" t="str">
        <f t="shared" si="16"/>
        <v>X</v>
      </c>
      <c r="D330" s="83" t="s">
        <v>1657</v>
      </c>
      <c r="E330" s="83"/>
      <c r="F330" s="83"/>
      <c r="G330" s="161"/>
      <c r="H330" s="82" t="str">
        <f t="shared" si="17"/>
        <v/>
      </c>
      <c r="I330" s="286">
        <v>16341.27</v>
      </c>
      <c r="J330" s="162"/>
      <c r="K330" s="162"/>
      <c r="L330" s="284">
        <v>2022</v>
      </c>
      <c r="M330" s="234" t="s">
        <v>1909</v>
      </c>
      <c r="N330" s="234" t="s">
        <v>1910</v>
      </c>
      <c r="O330" s="234" t="s">
        <v>1911</v>
      </c>
      <c r="P330" s="261" t="s">
        <v>3535</v>
      </c>
      <c r="Q330" s="261" t="s">
        <v>3539</v>
      </c>
    </row>
    <row r="331" spans="1:17" ht="15.75" thickBot="1" x14ac:dyDescent="0.3">
      <c r="A331" s="82" t="s">
        <v>4696</v>
      </c>
      <c r="B331" s="82" t="s">
        <v>4696</v>
      </c>
      <c r="C331" s="82" t="str">
        <f t="shared" si="16"/>
        <v>X</v>
      </c>
      <c r="D331" s="83" t="s">
        <v>3003</v>
      </c>
      <c r="E331" s="83"/>
      <c r="F331" s="83"/>
      <c r="G331" s="161"/>
      <c r="H331" s="82" t="str">
        <f t="shared" si="17"/>
        <v/>
      </c>
      <c r="I331" s="286">
        <v>7778.8499999999985</v>
      </c>
      <c r="J331" s="162"/>
      <c r="K331" s="162"/>
      <c r="L331" s="284">
        <v>2022</v>
      </c>
      <c r="M331" s="234" t="s">
        <v>1909</v>
      </c>
      <c r="N331" s="234" t="s">
        <v>1910</v>
      </c>
      <c r="O331" s="234" t="s">
        <v>1911</v>
      </c>
      <c r="P331" s="261" t="s">
        <v>3535</v>
      </c>
      <c r="Q331" s="261" t="s">
        <v>3539</v>
      </c>
    </row>
    <row r="332" spans="1:17" ht="15.75" thickBot="1" x14ac:dyDescent="0.3">
      <c r="A332" s="82" t="s">
        <v>4696</v>
      </c>
      <c r="B332" s="82" t="s">
        <v>4696</v>
      </c>
      <c r="C332" s="82" t="str">
        <f t="shared" si="16"/>
        <v>X</v>
      </c>
      <c r="D332" s="83" t="s">
        <v>3003</v>
      </c>
      <c r="E332" s="83"/>
      <c r="F332" s="83"/>
      <c r="G332" s="161"/>
      <c r="H332" s="82" t="str">
        <f t="shared" si="17"/>
        <v/>
      </c>
      <c r="I332" s="286">
        <v>380.17</v>
      </c>
      <c r="J332" s="162"/>
      <c r="K332" s="162"/>
      <c r="L332" s="284">
        <v>2022</v>
      </c>
      <c r="M332" s="234" t="s">
        <v>1909</v>
      </c>
      <c r="N332" s="234" t="s">
        <v>1910</v>
      </c>
      <c r="O332" s="234" t="s">
        <v>1911</v>
      </c>
      <c r="P332" s="261" t="s">
        <v>3535</v>
      </c>
      <c r="Q332" s="261" t="s">
        <v>3539</v>
      </c>
    </row>
    <row r="333" spans="1:17" ht="15.75" thickBot="1" x14ac:dyDescent="0.3">
      <c r="A333" s="82" t="s">
        <v>4696</v>
      </c>
      <c r="B333" s="82" t="s">
        <v>4696</v>
      </c>
      <c r="C333" s="82" t="str">
        <f t="shared" si="16"/>
        <v>X</v>
      </c>
      <c r="D333" s="83" t="s">
        <v>1659</v>
      </c>
      <c r="E333" s="83"/>
      <c r="F333" s="83"/>
      <c r="G333" s="161"/>
      <c r="H333" s="82" t="str">
        <f t="shared" si="17"/>
        <v/>
      </c>
      <c r="I333" s="286">
        <v>2.72</v>
      </c>
      <c r="J333" s="162"/>
      <c r="K333" s="162"/>
      <c r="L333" s="284">
        <v>2022</v>
      </c>
      <c r="M333" s="234" t="s">
        <v>1909</v>
      </c>
      <c r="N333" s="234" t="s">
        <v>1910</v>
      </c>
      <c r="O333" s="234" t="s">
        <v>1911</v>
      </c>
      <c r="P333" s="261" t="s">
        <v>3535</v>
      </c>
      <c r="Q333" s="261" t="s">
        <v>3539</v>
      </c>
    </row>
    <row r="334" spans="1:17" ht="15.75" thickBot="1" x14ac:dyDescent="0.3">
      <c r="A334" s="82" t="s">
        <v>4696</v>
      </c>
      <c r="B334" s="82" t="s">
        <v>4696</v>
      </c>
      <c r="C334" s="82" t="str">
        <f t="shared" si="16"/>
        <v>X</v>
      </c>
      <c r="D334" s="83" t="s">
        <v>1675</v>
      </c>
      <c r="E334" s="83"/>
      <c r="F334" s="83"/>
      <c r="G334" s="161"/>
      <c r="H334" s="82" t="str">
        <f t="shared" si="17"/>
        <v/>
      </c>
      <c r="I334" s="286">
        <v>3896.77</v>
      </c>
      <c r="J334" s="162"/>
      <c r="K334" s="162"/>
      <c r="L334" s="284">
        <v>2022</v>
      </c>
      <c r="M334" s="234" t="s">
        <v>1909</v>
      </c>
      <c r="N334" s="234" t="s">
        <v>1910</v>
      </c>
      <c r="O334" s="234" t="s">
        <v>1911</v>
      </c>
      <c r="P334" s="261" t="s">
        <v>3535</v>
      </c>
      <c r="Q334" s="261" t="s">
        <v>3539</v>
      </c>
    </row>
    <row r="335" spans="1:17" ht="15.75" thickBot="1" x14ac:dyDescent="0.3">
      <c r="A335" s="82" t="s">
        <v>4696</v>
      </c>
      <c r="B335" s="82" t="s">
        <v>4696</v>
      </c>
      <c r="C335" s="82" t="str">
        <f t="shared" si="16"/>
        <v>X</v>
      </c>
      <c r="D335" s="83" t="s">
        <v>1659</v>
      </c>
      <c r="E335" s="83"/>
      <c r="F335" s="83"/>
      <c r="G335" s="161"/>
      <c r="H335" s="82" t="str">
        <f t="shared" si="17"/>
        <v/>
      </c>
      <c r="I335" s="286">
        <v>1337.0100000000002</v>
      </c>
      <c r="J335" s="162"/>
      <c r="K335" s="162"/>
      <c r="L335" s="284">
        <v>2022</v>
      </c>
      <c r="M335" s="234" t="s">
        <v>1909</v>
      </c>
      <c r="N335" s="234" t="s">
        <v>1910</v>
      </c>
      <c r="O335" s="234" t="s">
        <v>1911</v>
      </c>
      <c r="P335" s="261" t="s">
        <v>3535</v>
      </c>
      <c r="Q335" s="261" t="s">
        <v>3539</v>
      </c>
    </row>
    <row r="336" spans="1:17" ht="15.75" thickBot="1" x14ac:dyDescent="0.3">
      <c r="A336" s="82" t="s">
        <v>4696</v>
      </c>
      <c r="B336" s="82" t="s">
        <v>4696</v>
      </c>
      <c r="C336" s="82" t="str">
        <f t="shared" si="16"/>
        <v>X</v>
      </c>
      <c r="D336" s="83" t="s">
        <v>1659</v>
      </c>
      <c r="E336" s="83"/>
      <c r="F336" s="83"/>
      <c r="G336" s="161"/>
      <c r="H336" s="82" t="str">
        <f t="shared" si="17"/>
        <v/>
      </c>
      <c r="I336" s="286">
        <v>1502.1399999999999</v>
      </c>
      <c r="J336" s="162"/>
      <c r="K336" s="162"/>
      <c r="L336" s="284">
        <v>2022</v>
      </c>
      <c r="M336" s="234" t="s">
        <v>1909</v>
      </c>
      <c r="N336" s="234" t="s">
        <v>1910</v>
      </c>
      <c r="O336" s="234" t="s">
        <v>1911</v>
      </c>
      <c r="P336" s="261" t="s">
        <v>3535</v>
      </c>
      <c r="Q336" s="261" t="s">
        <v>3539</v>
      </c>
    </row>
    <row r="337" spans="1:17" ht="15.75" thickBot="1" x14ac:dyDescent="0.3">
      <c r="A337" s="82" t="s">
        <v>4696</v>
      </c>
      <c r="B337" s="82" t="s">
        <v>4696</v>
      </c>
      <c r="C337" s="82" t="str">
        <f t="shared" si="16"/>
        <v>X</v>
      </c>
      <c r="D337" s="162" t="s">
        <v>1661</v>
      </c>
      <c r="E337" s="83"/>
      <c r="F337" s="83"/>
      <c r="G337" s="161"/>
      <c r="H337" s="82" t="str">
        <f t="shared" si="17"/>
        <v/>
      </c>
      <c r="I337" s="286">
        <v>313899</v>
      </c>
      <c r="J337" s="162"/>
      <c r="K337" s="162"/>
      <c r="L337" s="284">
        <v>2022</v>
      </c>
      <c r="M337" s="234" t="s">
        <v>1909</v>
      </c>
      <c r="N337" s="234" t="s">
        <v>1910</v>
      </c>
      <c r="O337" s="234" t="s">
        <v>1911</v>
      </c>
      <c r="P337" s="261" t="s">
        <v>3535</v>
      </c>
      <c r="Q337" s="261" t="s">
        <v>3539</v>
      </c>
    </row>
    <row r="338" spans="1:17" ht="15.75" thickBot="1" x14ac:dyDescent="0.3">
      <c r="A338" s="82" t="s">
        <v>4695</v>
      </c>
      <c r="B338" s="82" t="s">
        <v>4695</v>
      </c>
      <c r="C338" s="82" t="str">
        <f t="shared" si="16"/>
        <v>X</v>
      </c>
      <c r="D338" s="83" t="s">
        <v>1653</v>
      </c>
      <c r="E338" s="83">
        <v>126</v>
      </c>
      <c r="F338" s="85" t="s">
        <v>586</v>
      </c>
      <c r="G338" s="161"/>
      <c r="H338" s="82" t="str">
        <f t="shared" si="17"/>
        <v/>
      </c>
      <c r="I338" s="286">
        <v>21571.73</v>
      </c>
      <c r="J338" s="162"/>
      <c r="K338" s="162"/>
      <c r="L338" s="284">
        <v>2022</v>
      </c>
      <c r="M338" s="234" t="s">
        <v>1909</v>
      </c>
      <c r="N338" s="234" t="s">
        <v>1910</v>
      </c>
      <c r="O338" s="234" t="s">
        <v>1911</v>
      </c>
      <c r="P338" s="261" t="s">
        <v>3535</v>
      </c>
      <c r="Q338" s="261" t="s">
        <v>3539</v>
      </c>
    </row>
    <row r="339" spans="1:17" ht="15.75" thickBot="1" x14ac:dyDescent="0.3">
      <c r="A339" s="82" t="s">
        <v>4695</v>
      </c>
      <c r="B339" s="82" t="s">
        <v>4695</v>
      </c>
      <c r="C339" s="82" t="str">
        <f t="shared" si="16"/>
        <v>X</v>
      </c>
      <c r="D339" s="162" t="s">
        <v>1654</v>
      </c>
      <c r="E339" s="83"/>
      <c r="F339" s="83"/>
      <c r="G339" s="161"/>
      <c r="H339" s="82" t="str">
        <f t="shared" si="17"/>
        <v/>
      </c>
      <c r="I339" s="286">
        <v>560.68000000000006</v>
      </c>
      <c r="J339" s="162"/>
      <c r="K339" s="162"/>
      <c r="L339" s="284">
        <v>2022</v>
      </c>
      <c r="M339" s="234" t="s">
        <v>1909</v>
      </c>
      <c r="N339" s="234" t="s">
        <v>1910</v>
      </c>
      <c r="O339" s="234" t="s">
        <v>1911</v>
      </c>
      <c r="P339" s="261" t="s">
        <v>3535</v>
      </c>
      <c r="Q339" s="261" t="s">
        <v>3539</v>
      </c>
    </row>
    <row r="340" spans="1:17" ht="15.75" thickBot="1" x14ac:dyDescent="0.3">
      <c r="A340" s="82" t="s">
        <v>4695</v>
      </c>
      <c r="B340" s="82" t="s">
        <v>4695</v>
      </c>
      <c r="C340" s="82" t="str">
        <f t="shared" si="16"/>
        <v>X</v>
      </c>
      <c r="D340" s="83" t="s">
        <v>1658</v>
      </c>
      <c r="E340" s="83"/>
      <c r="F340" s="83"/>
      <c r="G340" s="161"/>
      <c r="H340" s="82" t="str">
        <f t="shared" si="17"/>
        <v/>
      </c>
      <c r="I340" s="286">
        <v>916</v>
      </c>
      <c r="J340" s="162"/>
      <c r="K340" s="162"/>
      <c r="L340" s="284">
        <v>2022</v>
      </c>
      <c r="M340" s="234" t="s">
        <v>1909</v>
      </c>
      <c r="N340" s="234" t="s">
        <v>1910</v>
      </c>
      <c r="O340" s="234" t="s">
        <v>1911</v>
      </c>
      <c r="P340" s="261" t="s">
        <v>3535</v>
      </c>
      <c r="Q340" s="261" t="s">
        <v>3539</v>
      </c>
    </row>
    <row r="341" spans="1:17" ht="15.75" thickBot="1" x14ac:dyDescent="0.3">
      <c r="A341" s="82" t="s">
        <v>4695</v>
      </c>
      <c r="B341" s="82" t="s">
        <v>4695</v>
      </c>
      <c r="C341" s="82" t="str">
        <f t="shared" si="16"/>
        <v>X</v>
      </c>
      <c r="D341" s="83" t="s">
        <v>1657</v>
      </c>
      <c r="E341" s="83"/>
      <c r="F341" s="83"/>
      <c r="G341" s="161"/>
      <c r="H341" s="82" t="str">
        <f t="shared" si="17"/>
        <v/>
      </c>
      <c r="I341" s="286">
        <v>706.62</v>
      </c>
      <c r="J341" s="162"/>
      <c r="K341" s="162"/>
      <c r="L341" s="284">
        <v>2022</v>
      </c>
      <c r="M341" s="234" t="s">
        <v>1909</v>
      </c>
      <c r="N341" s="234" t="s">
        <v>1910</v>
      </c>
      <c r="O341" s="234" t="s">
        <v>1911</v>
      </c>
      <c r="P341" s="261" t="s">
        <v>3535</v>
      </c>
      <c r="Q341" s="261" t="s">
        <v>3539</v>
      </c>
    </row>
    <row r="342" spans="1:17" ht="15.75" thickBot="1" x14ac:dyDescent="0.3">
      <c r="A342" s="82" t="s">
        <v>4695</v>
      </c>
      <c r="B342" s="82" t="s">
        <v>4695</v>
      </c>
      <c r="C342" s="82" t="str">
        <f t="shared" si="16"/>
        <v>X</v>
      </c>
      <c r="D342" s="83" t="s">
        <v>1657</v>
      </c>
      <c r="E342" s="83"/>
      <c r="F342" s="83"/>
      <c r="G342" s="161"/>
      <c r="H342" s="82" t="str">
        <f t="shared" si="17"/>
        <v/>
      </c>
      <c r="I342" s="286">
        <v>186.92000000000002</v>
      </c>
      <c r="J342" s="162"/>
      <c r="K342" s="162"/>
      <c r="L342" s="284">
        <v>2022</v>
      </c>
      <c r="M342" s="234" t="s">
        <v>1909</v>
      </c>
      <c r="N342" s="234" t="s">
        <v>1910</v>
      </c>
      <c r="O342" s="234" t="s">
        <v>1911</v>
      </c>
      <c r="P342" s="261" t="s">
        <v>3535</v>
      </c>
      <c r="Q342" s="261" t="s">
        <v>3539</v>
      </c>
    </row>
    <row r="343" spans="1:17" ht="15.75" thickBot="1" x14ac:dyDescent="0.3">
      <c r="A343" s="82" t="s">
        <v>4695</v>
      </c>
      <c r="B343" s="82" t="s">
        <v>4695</v>
      </c>
      <c r="C343" s="82" t="str">
        <f t="shared" si="16"/>
        <v>X</v>
      </c>
      <c r="D343" s="83" t="s">
        <v>1659</v>
      </c>
      <c r="E343" s="83"/>
      <c r="F343" s="83"/>
      <c r="G343" s="161"/>
      <c r="H343" s="82" t="str">
        <f t="shared" si="17"/>
        <v/>
      </c>
      <c r="I343" s="286">
        <v>2110.9600000000009</v>
      </c>
      <c r="J343" s="162"/>
      <c r="K343" s="162"/>
      <c r="L343" s="284">
        <v>2022</v>
      </c>
      <c r="M343" s="234" t="s">
        <v>1909</v>
      </c>
      <c r="N343" s="234" t="s">
        <v>1910</v>
      </c>
      <c r="O343" s="234" t="s">
        <v>1911</v>
      </c>
      <c r="P343" s="261" t="s">
        <v>3535</v>
      </c>
      <c r="Q343" s="261" t="s">
        <v>3539</v>
      </c>
    </row>
    <row r="344" spans="1:17" ht="15.75" thickBot="1" x14ac:dyDescent="0.3">
      <c r="A344" s="82" t="s">
        <v>4695</v>
      </c>
      <c r="B344" s="82" t="s">
        <v>4695</v>
      </c>
      <c r="C344" s="82" t="str">
        <f t="shared" si="16"/>
        <v>X</v>
      </c>
      <c r="D344" s="83" t="s">
        <v>1657</v>
      </c>
      <c r="E344" s="83"/>
      <c r="F344" s="83"/>
      <c r="G344" s="161"/>
      <c r="H344" s="82" t="str">
        <f t="shared" si="17"/>
        <v/>
      </c>
      <c r="I344" s="286">
        <v>37985.80000000001</v>
      </c>
      <c r="J344" s="162"/>
      <c r="K344" s="162"/>
      <c r="L344" s="284">
        <v>2022</v>
      </c>
      <c r="M344" s="234" t="s">
        <v>1909</v>
      </c>
      <c r="N344" s="234" t="s">
        <v>1910</v>
      </c>
      <c r="O344" s="234" t="s">
        <v>1911</v>
      </c>
      <c r="P344" s="261" t="s">
        <v>3535</v>
      </c>
      <c r="Q344" s="261" t="s">
        <v>3539</v>
      </c>
    </row>
    <row r="345" spans="1:17" ht="15.75" thickBot="1" x14ac:dyDescent="0.3">
      <c r="A345" s="82" t="s">
        <v>4695</v>
      </c>
      <c r="B345" s="82" t="s">
        <v>4695</v>
      </c>
      <c r="C345" s="82" t="str">
        <f t="shared" si="16"/>
        <v>X</v>
      </c>
      <c r="D345" s="83" t="s">
        <v>1659</v>
      </c>
      <c r="E345" s="83"/>
      <c r="F345" s="83"/>
      <c r="G345" s="161"/>
      <c r="H345" s="82" t="str">
        <f t="shared" si="17"/>
        <v/>
      </c>
      <c r="I345" s="286">
        <v>3059.6</v>
      </c>
      <c r="J345" s="162"/>
      <c r="K345" s="162"/>
      <c r="L345" s="284">
        <v>2022</v>
      </c>
      <c r="M345" s="234" t="s">
        <v>1909</v>
      </c>
      <c r="N345" s="234" t="s">
        <v>1910</v>
      </c>
      <c r="O345" s="234" t="s">
        <v>1911</v>
      </c>
      <c r="P345" s="261" t="s">
        <v>3535</v>
      </c>
      <c r="Q345" s="261" t="s">
        <v>3539</v>
      </c>
    </row>
    <row r="346" spans="1:17" ht="15.75" thickBot="1" x14ac:dyDescent="0.3">
      <c r="A346" s="82" t="s">
        <v>4695</v>
      </c>
      <c r="B346" s="82" t="s">
        <v>4695</v>
      </c>
      <c r="C346" s="82" t="str">
        <f t="shared" si="16"/>
        <v>X</v>
      </c>
      <c r="D346" s="83" t="s">
        <v>3003</v>
      </c>
      <c r="E346" s="83"/>
      <c r="F346" s="83"/>
      <c r="G346" s="161"/>
      <c r="H346" s="82" t="str">
        <f t="shared" si="17"/>
        <v/>
      </c>
      <c r="I346" s="286">
        <v>478.28</v>
      </c>
      <c r="J346" s="162"/>
      <c r="K346" s="162"/>
      <c r="L346" s="284">
        <v>2022</v>
      </c>
      <c r="M346" s="234" t="s">
        <v>1909</v>
      </c>
      <c r="N346" s="234" t="s">
        <v>1910</v>
      </c>
      <c r="O346" s="234" t="s">
        <v>1911</v>
      </c>
      <c r="P346" s="261" t="s">
        <v>3535</v>
      </c>
      <c r="Q346" s="261" t="s">
        <v>3539</v>
      </c>
    </row>
    <row r="347" spans="1:17" ht="15.75" thickBot="1" x14ac:dyDescent="0.3">
      <c r="A347" s="82" t="s">
        <v>4695</v>
      </c>
      <c r="B347" s="82" t="s">
        <v>4695</v>
      </c>
      <c r="C347" s="82" t="str">
        <f t="shared" si="16"/>
        <v>X</v>
      </c>
      <c r="D347" s="83" t="s">
        <v>3003</v>
      </c>
      <c r="E347" s="83"/>
      <c r="F347" s="83"/>
      <c r="G347" s="161"/>
      <c r="H347" s="82" t="str">
        <f t="shared" si="17"/>
        <v/>
      </c>
      <c r="I347" s="286">
        <v>3699.7400000000007</v>
      </c>
      <c r="J347" s="162"/>
      <c r="K347" s="162"/>
      <c r="L347" s="284">
        <v>2022</v>
      </c>
      <c r="M347" s="234" t="s">
        <v>1909</v>
      </c>
      <c r="N347" s="234" t="s">
        <v>1910</v>
      </c>
      <c r="O347" s="234" t="s">
        <v>1911</v>
      </c>
      <c r="P347" s="261" t="s">
        <v>3535</v>
      </c>
      <c r="Q347" s="261" t="s">
        <v>3539</v>
      </c>
    </row>
    <row r="348" spans="1:17" ht="15.75" thickBot="1" x14ac:dyDescent="0.3">
      <c r="A348" s="82" t="s">
        <v>4695</v>
      </c>
      <c r="B348" s="82" t="s">
        <v>4695</v>
      </c>
      <c r="C348" s="82" t="str">
        <f t="shared" si="16"/>
        <v>X</v>
      </c>
      <c r="D348" s="83" t="s">
        <v>3003</v>
      </c>
      <c r="E348" s="83"/>
      <c r="F348" s="83"/>
      <c r="G348" s="161"/>
      <c r="H348" s="82" t="str">
        <f t="shared" si="17"/>
        <v/>
      </c>
      <c r="I348" s="286">
        <v>3472.8200000000006</v>
      </c>
      <c r="J348" s="162"/>
      <c r="K348" s="162"/>
      <c r="L348" s="284">
        <v>2022</v>
      </c>
      <c r="M348" s="234" t="s">
        <v>1909</v>
      </c>
      <c r="N348" s="234" t="s">
        <v>1910</v>
      </c>
      <c r="O348" s="234" t="s">
        <v>1911</v>
      </c>
      <c r="P348" s="261" t="s">
        <v>3535</v>
      </c>
      <c r="Q348" s="261" t="s">
        <v>3539</v>
      </c>
    </row>
    <row r="349" spans="1:17" ht="15.75" thickBot="1" x14ac:dyDescent="0.3">
      <c r="A349" s="82" t="s">
        <v>4695</v>
      </c>
      <c r="B349" s="82" t="s">
        <v>4695</v>
      </c>
      <c r="C349" s="82" t="str">
        <f t="shared" si="16"/>
        <v>X</v>
      </c>
      <c r="D349" s="83" t="s">
        <v>3003</v>
      </c>
      <c r="E349" s="83"/>
      <c r="F349" s="83"/>
      <c r="G349" s="161"/>
      <c r="H349" s="82" t="str">
        <f t="shared" si="17"/>
        <v/>
      </c>
      <c r="I349" s="286">
        <v>2415.2799999999997</v>
      </c>
      <c r="J349" s="162"/>
      <c r="K349" s="162"/>
      <c r="L349" s="284">
        <v>2022</v>
      </c>
      <c r="M349" s="234" t="s">
        <v>1909</v>
      </c>
      <c r="N349" s="234" t="s">
        <v>1910</v>
      </c>
      <c r="O349" s="234" t="s">
        <v>1911</v>
      </c>
      <c r="P349" s="261" t="s">
        <v>3535</v>
      </c>
      <c r="Q349" s="261" t="s">
        <v>3539</v>
      </c>
    </row>
    <row r="350" spans="1:17" ht="15.75" thickBot="1" x14ac:dyDescent="0.3">
      <c r="A350" s="82" t="s">
        <v>4695</v>
      </c>
      <c r="B350" s="82" t="s">
        <v>4695</v>
      </c>
      <c r="C350" s="82" t="str">
        <f t="shared" si="16"/>
        <v>X</v>
      </c>
      <c r="D350" s="83" t="s">
        <v>3003</v>
      </c>
      <c r="E350" s="83"/>
      <c r="F350" s="83"/>
      <c r="G350" s="161"/>
      <c r="H350" s="82" t="str">
        <f t="shared" si="17"/>
        <v/>
      </c>
      <c r="I350" s="286">
        <v>16269.66</v>
      </c>
      <c r="J350" s="162"/>
      <c r="K350" s="162"/>
      <c r="L350" s="284">
        <v>2022</v>
      </c>
      <c r="M350" s="234" t="s">
        <v>1909</v>
      </c>
      <c r="N350" s="234" t="s">
        <v>1910</v>
      </c>
      <c r="O350" s="234" t="s">
        <v>1911</v>
      </c>
      <c r="P350" s="261" t="s">
        <v>3535</v>
      </c>
      <c r="Q350" s="261" t="s">
        <v>3539</v>
      </c>
    </row>
    <row r="351" spans="1:17" ht="15.75" thickBot="1" x14ac:dyDescent="0.3">
      <c r="A351" s="82" t="s">
        <v>4695</v>
      </c>
      <c r="B351" s="82" t="s">
        <v>4695</v>
      </c>
      <c r="C351" s="82" t="str">
        <f t="shared" si="16"/>
        <v>X</v>
      </c>
      <c r="D351" s="83" t="s">
        <v>1659</v>
      </c>
      <c r="E351" s="83"/>
      <c r="F351" s="83"/>
      <c r="G351" s="161"/>
      <c r="H351" s="82" t="str">
        <f t="shared" si="17"/>
        <v/>
      </c>
      <c r="I351" s="286">
        <v>471.87</v>
      </c>
      <c r="J351" s="162"/>
      <c r="K351" s="162"/>
      <c r="L351" s="284">
        <v>2022</v>
      </c>
      <c r="M351" s="234" t="s">
        <v>1909</v>
      </c>
      <c r="N351" s="234" t="s">
        <v>1910</v>
      </c>
      <c r="O351" s="234" t="s">
        <v>1911</v>
      </c>
      <c r="P351" s="261" t="s">
        <v>3535</v>
      </c>
      <c r="Q351" s="261" t="s">
        <v>3539</v>
      </c>
    </row>
    <row r="352" spans="1:17" ht="15.75" thickBot="1" x14ac:dyDescent="0.3">
      <c r="A352" s="82" t="s">
        <v>4695</v>
      </c>
      <c r="B352" s="82" t="s">
        <v>4695</v>
      </c>
      <c r="C352" s="82" t="str">
        <f t="shared" si="16"/>
        <v>X</v>
      </c>
      <c r="D352" s="83" t="s">
        <v>1657</v>
      </c>
      <c r="E352" s="83"/>
      <c r="F352" s="83"/>
      <c r="G352" s="161"/>
      <c r="H352" s="82" t="str">
        <f t="shared" si="17"/>
        <v/>
      </c>
      <c r="I352" s="286">
        <v>32713.509999999995</v>
      </c>
      <c r="J352" s="162"/>
      <c r="K352" s="162"/>
      <c r="L352" s="284">
        <v>2022</v>
      </c>
      <c r="M352" s="234" t="s">
        <v>1909</v>
      </c>
      <c r="N352" s="234" t="s">
        <v>1910</v>
      </c>
      <c r="O352" s="234" t="s">
        <v>1911</v>
      </c>
      <c r="P352" s="261" t="s">
        <v>3535</v>
      </c>
      <c r="Q352" s="261" t="s">
        <v>3539</v>
      </c>
    </row>
    <row r="353" spans="1:17" ht="15.75" thickBot="1" x14ac:dyDescent="0.3">
      <c r="A353" s="82" t="s">
        <v>4695</v>
      </c>
      <c r="B353" s="82" t="s">
        <v>4695</v>
      </c>
      <c r="C353" s="82" t="str">
        <f t="shared" si="16"/>
        <v>X</v>
      </c>
      <c r="D353" s="83" t="s">
        <v>3003</v>
      </c>
      <c r="E353" s="83"/>
      <c r="F353" s="83"/>
      <c r="G353" s="161"/>
      <c r="H353" s="82" t="str">
        <f t="shared" si="17"/>
        <v/>
      </c>
      <c r="I353" s="286">
        <v>8886.8900000000012</v>
      </c>
      <c r="J353" s="162"/>
      <c r="K353" s="162"/>
      <c r="L353" s="284">
        <v>2022</v>
      </c>
      <c r="M353" s="234" t="s">
        <v>1909</v>
      </c>
      <c r="N353" s="234" t="s">
        <v>1910</v>
      </c>
      <c r="O353" s="234" t="s">
        <v>1911</v>
      </c>
      <c r="P353" s="261" t="s">
        <v>3535</v>
      </c>
      <c r="Q353" s="261" t="s">
        <v>3539</v>
      </c>
    </row>
    <row r="354" spans="1:17" ht="15.75" thickBot="1" x14ac:dyDescent="0.3">
      <c r="A354" s="82" t="s">
        <v>4695</v>
      </c>
      <c r="B354" s="82" t="s">
        <v>4695</v>
      </c>
      <c r="C354" s="82" t="str">
        <f t="shared" si="16"/>
        <v>X</v>
      </c>
      <c r="D354" s="83" t="s">
        <v>3003</v>
      </c>
      <c r="E354" s="83"/>
      <c r="F354" s="83"/>
      <c r="G354" s="161"/>
      <c r="H354" s="82" t="str">
        <f t="shared" si="17"/>
        <v/>
      </c>
      <c r="I354" s="286">
        <v>485.25000000000006</v>
      </c>
      <c r="J354" s="162"/>
      <c r="K354" s="162"/>
      <c r="L354" s="284">
        <v>2022</v>
      </c>
      <c r="M354" s="234" t="s">
        <v>1909</v>
      </c>
      <c r="N354" s="234" t="s">
        <v>1910</v>
      </c>
      <c r="O354" s="234" t="s">
        <v>1911</v>
      </c>
      <c r="P354" s="261" t="s">
        <v>3535</v>
      </c>
      <c r="Q354" s="261" t="s">
        <v>3539</v>
      </c>
    </row>
    <row r="355" spans="1:17" ht="15.75" thickBot="1" x14ac:dyDescent="0.3">
      <c r="A355" s="82" t="s">
        <v>4695</v>
      </c>
      <c r="B355" s="82" t="s">
        <v>4695</v>
      </c>
      <c r="C355" s="82" t="str">
        <f t="shared" si="16"/>
        <v>X</v>
      </c>
      <c r="D355" s="83" t="s">
        <v>1659</v>
      </c>
      <c r="E355" s="83"/>
      <c r="F355" s="83"/>
      <c r="G355" s="161"/>
      <c r="H355" s="82" t="str">
        <f t="shared" si="17"/>
        <v/>
      </c>
      <c r="I355" s="286">
        <v>40.57</v>
      </c>
      <c r="J355" s="162"/>
      <c r="K355" s="162"/>
      <c r="L355" s="284">
        <v>2022</v>
      </c>
      <c r="M355" s="234" t="s">
        <v>1909</v>
      </c>
      <c r="N355" s="234" t="s">
        <v>1910</v>
      </c>
      <c r="O355" s="234" t="s">
        <v>1911</v>
      </c>
      <c r="P355" s="261" t="s">
        <v>3535</v>
      </c>
      <c r="Q355" s="261" t="s">
        <v>3539</v>
      </c>
    </row>
    <row r="356" spans="1:17" ht="15.75" thickBot="1" x14ac:dyDescent="0.3">
      <c r="A356" s="82" t="s">
        <v>4695</v>
      </c>
      <c r="B356" s="82" t="s">
        <v>4695</v>
      </c>
      <c r="C356" s="82" t="str">
        <f t="shared" si="16"/>
        <v>X</v>
      </c>
      <c r="D356" s="83" t="s">
        <v>1675</v>
      </c>
      <c r="E356" s="83"/>
      <c r="F356" s="83"/>
      <c r="G356" s="161"/>
      <c r="H356" s="82" t="str">
        <f t="shared" si="17"/>
        <v/>
      </c>
      <c r="I356" s="286">
        <v>3303.78</v>
      </c>
      <c r="J356" s="162"/>
      <c r="K356" s="162"/>
      <c r="L356" s="284">
        <v>2022</v>
      </c>
      <c r="M356" s="234" t="s">
        <v>1909</v>
      </c>
      <c r="N356" s="234" t="s">
        <v>1910</v>
      </c>
      <c r="O356" s="234" t="s">
        <v>1911</v>
      </c>
      <c r="P356" s="261" t="s">
        <v>3535</v>
      </c>
      <c r="Q356" s="261" t="s">
        <v>3539</v>
      </c>
    </row>
    <row r="357" spans="1:17" ht="15.75" thickBot="1" x14ac:dyDescent="0.3">
      <c r="A357" s="82" t="s">
        <v>4695</v>
      </c>
      <c r="B357" s="82" t="s">
        <v>4695</v>
      </c>
      <c r="C357" s="82" t="str">
        <f t="shared" si="16"/>
        <v>X</v>
      </c>
      <c r="D357" s="83" t="s">
        <v>1659</v>
      </c>
      <c r="E357" s="83"/>
      <c r="F357" s="83"/>
      <c r="G357" s="161"/>
      <c r="H357" s="82" t="str">
        <f t="shared" si="17"/>
        <v/>
      </c>
      <c r="I357" s="286">
        <v>2275.23</v>
      </c>
      <c r="J357" s="162"/>
      <c r="K357" s="162"/>
      <c r="L357" s="284">
        <v>2022</v>
      </c>
      <c r="M357" s="234" t="s">
        <v>1909</v>
      </c>
      <c r="N357" s="234" t="s">
        <v>1910</v>
      </c>
      <c r="O357" s="234" t="s">
        <v>1911</v>
      </c>
      <c r="P357" s="261" t="s">
        <v>3535</v>
      </c>
      <c r="Q357" s="261" t="s">
        <v>3539</v>
      </c>
    </row>
    <row r="358" spans="1:17" ht="15.75" thickBot="1" x14ac:dyDescent="0.3">
      <c r="A358" s="82" t="s">
        <v>4695</v>
      </c>
      <c r="B358" s="82" t="s">
        <v>4695</v>
      </c>
      <c r="C358" s="82" t="str">
        <f t="shared" si="16"/>
        <v>X</v>
      </c>
      <c r="D358" s="83" t="s">
        <v>1659</v>
      </c>
      <c r="E358" s="83"/>
      <c r="F358" s="83"/>
      <c r="G358" s="161"/>
      <c r="H358" s="82" t="str">
        <f t="shared" si="17"/>
        <v/>
      </c>
      <c r="I358" s="286">
        <v>2246.7299999999996</v>
      </c>
      <c r="J358" s="162"/>
      <c r="K358" s="162"/>
      <c r="L358" s="284">
        <v>2022</v>
      </c>
      <c r="M358" s="234" t="s">
        <v>1909</v>
      </c>
      <c r="N358" s="234" t="s">
        <v>1910</v>
      </c>
      <c r="O358" s="234" t="s">
        <v>1911</v>
      </c>
      <c r="P358" s="261" t="s">
        <v>3535</v>
      </c>
      <c r="Q358" s="261" t="s">
        <v>3539</v>
      </c>
    </row>
    <row r="359" spans="1:17" ht="15.75" thickBot="1" x14ac:dyDescent="0.3">
      <c r="A359" s="82" t="s">
        <v>4695</v>
      </c>
      <c r="B359" s="82" t="s">
        <v>4695</v>
      </c>
      <c r="C359" s="82" t="str">
        <f t="shared" ref="C359:C423" si="18">IF(A359=B359,"X",RIGHT(A359,LEN(A359)-LEN(B359)-3))</f>
        <v>X</v>
      </c>
      <c r="D359" s="162" t="s">
        <v>1661</v>
      </c>
      <c r="E359" s="83"/>
      <c r="F359" s="83"/>
      <c r="G359" s="161"/>
      <c r="H359" s="82" t="str">
        <f t="shared" si="17"/>
        <v/>
      </c>
      <c r="I359" s="286">
        <v>396350</v>
      </c>
      <c r="J359" s="162"/>
      <c r="K359" s="162"/>
      <c r="L359" s="284">
        <v>2022</v>
      </c>
      <c r="M359" s="234" t="s">
        <v>1909</v>
      </c>
      <c r="N359" s="234" t="s">
        <v>1910</v>
      </c>
      <c r="O359" s="234" t="s">
        <v>1911</v>
      </c>
      <c r="P359" s="261" t="s">
        <v>3535</v>
      </c>
      <c r="Q359" s="261" t="s">
        <v>3539</v>
      </c>
    </row>
    <row r="360" spans="1:17" ht="15.75" thickBot="1" x14ac:dyDescent="0.3">
      <c r="A360" s="289" t="s">
        <v>2836</v>
      </c>
      <c r="B360" s="289" t="s">
        <v>2836</v>
      </c>
      <c r="C360" s="82" t="str">
        <f t="shared" si="18"/>
        <v>X</v>
      </c>
      <c r="D360" s="162" t="s">
        <v>1662</v>
      </c>
      <c r="I360" s="361">
        <v>452303</v>
      </c>
      <c r="L360" s="284">
        <v>2022</v>
      </c>
      <c r="M360" s="234" t="s">
        <v>1909</v>
      </c>
      <c r="N360" s="234" t="s">
        <v>1910</v>
      </c>
      <c r="O360" s="234" t="s">
        <v>1911</v>
      </c>
      <c r="P360" s="261" t="s">
        <v>3535</v>
      </c>
      <c r="Q360" s="261" t="s">
        <v>3539</v>
      </c>
    </row>
    <row r="361" spans="1:17" ht="15.75" thickBot="1" x14ac:dyDescent="0.3">
      <c r="A361" s="289" t="s">
        <v>2836</v>
      </c>
      <c r="B361" s="289" t="s">
        <v>2836</v>
      </c>
      <c r="C361" s="82" t="str">
        <f t="shared" si="18"/>
        <v>X</v>
      </c>
      <c r="D361" s="162" t="s">
        <v>1681</v>
      </c>
      <c r="E361" s="83">
        <v>116</v>
      </c>
      <c r="F361" s="85" t="s">
        <v>586</v>
      </c>
      <c r="G361" s="82">
        <v>64</v>
      </c>
      <c r="I361" s="361">
        <v>45325.91</v>
      </c>
      <c r="L361" s="284">
        <v>2022</v>
      </c>
      <c r="M361" s="234" t="s">
        <v>1909</v>
      </c>
      <c r="N361" s="234" t="s">
        <v>1910</v>
      </c>
      <c r="O361" s="234" t="s">
        <v>1911</v>
      </c>
      <c r="P361" s="261" t="s">
        <v>3535</v>
      </c>
      <c r="Q361" s="261" t="s">
        <v>3539</v>
      </c>
    </row>
    <row r="362" spans="1:17" ht="15.75" thickBot="1" x14ac:dyDescent="0.3">
      <c r="A362" s="289" t="s">
        <v>2836</v>
      </c>
      <c r="B362" s="289" t="s">
        <v>2836</v>
      </c>
      <c r="C362" s="82" t="str">
        <f t="shared" si="18"/>
        <v>X</v>
      </c>
      <c r="D362" s="162" t="s">
        <v>1661</v>
      </c>
      <c r="E362" s="83"/>
      <c r="F362" s="85"/>
      <c r="G362" s="82"/>
      <c r="I362" s="361">
        <v>89312.86</v>
      </c>
      <c r="L362" s="284">
        <v>2022</v>
      </c>
      <c r="M362" s="234" t="s">
        <v>1909</v>
      </c>
      <c r="N362" s="234" t="s">
        <v>1910</v>
      </c>
      <c r="O362" s="234" t="s">
        <v>1911</v>
      </c>
      <c r="P362" s="261" t="s">
        <v>3535</v>
      </c>
      <c r="Q362" s="261" t="s">
        <v>3539</v>
      </c>
    </row>
    <row r="363" spans="1:17" ht="15.75" thickBot="1" x14ac:dyDescent="0.3">
      <c r="A363" s="289" t="s">
        <v>2836</v>
      </c>
      <c r="B363" s="289" t="s">
        <v>2836</v>
      </c>
      <c r="C363" s="82" t="str">
        <f t="shared" si="18"/>
        <v>X</v>
      </c>
      <c r="D363" s="162" t="s">
        <v>1653</v>
      </c>
      <c r="E363" s="83">
        <v>19</v>
      </c>
      <c r="F363" s="85" t="s">
        <v>586</v>
      </c>
      <c r="G363" s="82">
        <v>30</v>
      </c>
      <c r="I363" s="361">
        <v>5292.59</v>
      </c>
      <c r="L363" s="284">
        <v>2022</v>
      </c>
      <c r="M363" s="234" t="s">
        <v>1909</v>
      </c>
      <c r="N363" s="234" t="s">
        <v>1910</v>
      </c>
      <c r="O363" s="234" t="s">
        <v>1911</v>
      </c>
      <c r="P363" s="261" t="s">
        <v>3535</v>
      </c>
      <c r="Q363" s="261" t="s">
        <v>3539</v>
      </c>
    </row>
    <row r="364" spans="1:17" ht="15.75" thickBot="1" x14ac:dyDescent="0.3">
      <c r="A364" s="289" t="s">
        <v>2836</v>
      </c>
      <c r="B364" s="289" t="s">
        <v>2836</v>
      </c>
      <c r="C364" s="82" t="str">
        <f t="shared" si="18"/>
        <v>X</v>
      </c>
      <c r="D364" s="162" t="s">
        <v>1654</v>
      </c>
      <c r="I364" s="361"/>
      <c r="L364" s="284">
        <v>2022</v>
      </c>
      <c r="M364" s="234" t="s">
        <v>1909</v>
      </c>
      <c r="N364" s="234" t="s">
        <v>1910</v>
      </c>
      <c r="O364" s="234" t="s">
        <v>1911</v>
      </c>
      <c r="P364" s="261" t="s">
        <v>3535</v>
      </c>
      <c r="Q364" s="261" t="s">
        <v>3539</v>
      </c>
    </row>
    <row r="365" spans="1:17" ht="15.75" thickBot="1" x14ac:dyDescent="0.3">
      <c r="A365" s="289" t="s">
        <v>2836</v>
      </c>
      <c r="B365" s="289" t="s">
        <v>2836</v>
      </c>
      <c r="C365" s="82" t="str">
        <f t="shared" si="18"/>
        <v>X</v>
      </c>
      <c r="D365" s="162" t="s">
        <v>1655</v>
      </c>
      <c r="I365" s="361"/>
      <c r="L365" s="284">
        <v>2022</v>
      </c>
      <c r="M365" s="234" t="s">
        <v>1909</v>
      </c>
      <c r="N365" s="234" t="s">
        <v>1910</v>
      </c>
      <c r="O365" s="234" t="s">
        <v>1911</v>
      </c>
      <c r="P365" s="261" t="s">
        <v>3535</v>
      </c>
      <c r="Q365" s="261" t="s">
        <v>3539</v>
      </c>
    </row>
    <row r="366" spans="1:17" ht="15.75" thickBot="1" x14ac:dyDescent="0.3">
      <c r="A366" s="289" t="s">
        <v>2836</v>
      </c>
      <c r="B366" s="289" t="s">
        <v>2836</v>
      </c>
      <c r="C366" s="82" t="str">
        <f t="shared" si="18"/>
        <v>X</v>
      </c>
      <c r="D366" s="162" t="s">
        <v>1656</v>
      </c>
      <c r="I366" s="361"/>
      <c r="L366" s="284">
        <v>2022</v>
      </c>
      <c r="M366" s="234" t="s">
        <v>1909</v>
      </c>
      <c r="N366" s="234" t="s">
        <v>1910</v>
      </c>
      <c r="O366" s="234" t="s">
        <v>1911</v>
      </c>
      <c r="P366" s="261" t="s">
        <v>3535</v>
      </c>
      <c r="Q366" s="261" t="s">
        <v>3539</v>
      </c>
    </row>
    <row r="367" spans="1:17" ht="15.75" thickBot="1" x14ac:dyDescent="0.3">
      <c r="A367" s="289" t="s">
        <v>2836</v>
      </c>
      <c r="B367" s="289" t="s">
        <v>2836</v>
      </c>
      <c r="C367" s="82" t="str">
        <f t="shared" si="18"/>
        <v>X</v>
      </c>
      <c r="D367" s="162" t="s">
        <v>1657</v>
      </c>
      <c r="I367" s="361">
        <v>31640.61</v>
      </c>
      <c r="L367" s="284">
        <v>2022</v>
      </c>
      <c r="M367" s="234" t="s">
        <v>1909</v>
      </c>
      <c r="N367" s="234" t="s">
        <v>1910</v>
      </c>
      <c r="O367" s="234" t="s">
        <v>1911</v>
      </c>
      <c r="P367" s="261" t="s">
        <v>3535</v>
      </c>
      <c r="Q367" s="261" t="s">
        <v>3539</v>
      </c>
    </row>
    <row r="368" spans="1:17" ht="15.75" thickBot="1" x14ac:dyDescent="0.3">
      <c r="A368" s="289" t="s">
        <v>2836</v>
      </c>
      <c r="B368" s="289" t="s">
        <v>2836</v>
      </c>
      <c r="C368" s="82" t="str">
        <f t="shared" si="18"/>
        <v>X</v>
      </c>
      <c r="D368" s="162" t="s">
        <v>1670</v>
      </c>
      <c r="I368" s="361"/>
      <c r="L368" s="284">
        <v>2022</v>
      </c>
      <c r="M368" s="234" t="s">
        <v>1909</v>
      </c>
      <c r="N368" s="234" t="s">
        <v>1910</v>
      </c>
      <c r="O368" s="234" t="s">
        <v>1911</v>
      </c>
      <c r="P368" s="261" t="s">
        <v>3535</v>
      </c>
      <c r="Q368" s="261" t="s">
        <v>3539</v>
      </c>
    </row>
    <row r="369" spans="1:17" ht="15.75" thickBot="1" x14ac:dyDescent="0.3">
      <c r="A369" s="289" t="s">
        <v>2836</v>
      </c>
      <c r="B369" s="289" t="s">
        <v>2836</v>
      </c>
      <c r="C369" s="82" t="str">
        <f t="shared" si="18"/>
        <v>X</v>
      </c>
      <c r="D369" s="83" t="s">
        <v>3003</v>
      </c>
      <c r="I369" s="361">
        <v>129308.11</v>
      </c>
      <c r="L369" s="284">
        <v>2022</v>
      </c>
      <c r="M369" s="234" t="s">
        <v>1909</v>
      </c>
      <c r="N369" s="234" t="s">
        <v>1910</v>
      </c>
      <c r="O369" s="234" t="s">
        <v>1911</v>
      </c>
      <c r="P369" s="261" t="s">
        <v>3535</v>
      </c>
      <c r="Q369" s="261" t="s">
        <v>3539</v>
      </c>
    </row>
    <row r="370" spans="1:17" ht="15.75" thickBot="1" x14ac:dyDescent="0.3">
      <c r="A370" s="289" t="s">
        <v>2836</v>
      </c>
      <c r="B370" s="289" t="s">
        <v>2836</v>
      </c>
      <c r="C370" s="82" t="str">
        <f t="shared" si="18"/>
        <v>X</v>
      </c>
      <c r="D370" s="162" t="s">
        <v>1658</v>
      </c>
      <c r="I370" s="361"/>
      <c r="L370" s="284">
        <v>2022</v>
      </c>
      <c r="M370" s="234" t="s">
        <v>1909</v>
      </c>
      <c r="N370" s="234" t="s">
        <v>1910</v>
      </c>
      <c r="O370" s="234" t="s">
        <v>1911</v>
      </c>
      <c r="P370" s="261" t="s">
        <v>3535</v>
      </c>
      <c r="Q370" s="261" t="s">
        <v>3539</v>
      </c>
    </row>
    <row r="371" spans="1:17" ht="15.75" thickBot="1" x14ac:dyDescent="0.3">
      <c r="A371" s="82" t="s">
        <v>4692</v>
      </c>
      <c r="B371" s="82" t="s">
        <v>4692</v>
      </c>
      <c r="C371" s="82" t="str">
        <f t="shared" si="18"/>
        <v>X</v>
      </c>
      <c r="D371" s="83" t="s">
        <v>1681</v>
      </c>
      <c r="I371" s="361"/>
      <c r="L371" s="284">
        <v>2022</v>
      </c>
      <c r="M371" s="234" t="s">
        <v>1909</v>
      </c>
      <c r="N371" s="299" t="s">
        <v>1910</v>
      </c>
      <c r="O371" s="234" t="s">
        <v>1911</v>
      </c>
      <c r="P371" s="261" t="s">
        <v>3535</v>
      </c>
      <c r="Q371" s="261" t="s">
        <v>3539</v>
      </c>
    </row>
    <row r="372" spans="1:17" ht="15.75" thickBot="1" x14ac:dyDescent="0.3">
      <c r="A372" s="82" t="s">
        <v>4692</v>
      </c>
      <c r="B372" s="82" t="s">
        <v>4692</v>
      </c>
      <c r="C372" s="82" t="str">
        <f t="shared" si="18"/>
        <v>X</v>
      </c>
      <c r="D372" s="83" t="s">
        <v>1661</v>
      </c>
      <c r="I372" s="361">
        <v>14426.6</v>
      </c>
      <c r="L372" s="284">
        <v>2022</v>
      </c>
      <c r="M372" s="234" t="s">
        <v>1909</v>
      </c>
      <c r="N372" s="299" t="s">
        <v>1910</v>
      </c>
      <c r="O372" s="234" t="s">
        <v>1911</v>
      </c>
      <c r="P372" s="261" t="s">
        <v>3535</v>
      </c>
      <c r="Q372" s="261" t="s">
        <v>3539</v>
      </c>
    </row>
    <row r="373" spans="1:17" ht="15.75" thickBot="1" x14ac:dyDescent="0.3">
      <c r="A373" s="82" t="s">
        <v>4692</v>
      </c>
      <c r="B373" s="82" t="s">
        <v>4692</v>
      </c>
      <c r="C373" s="82" t="str">
        <f t="shared" si="18"/>
        <v>X</v>
      </c>
      <c r="D373" s="83" t="s">
        <v>1653</v>
      </c>
      <c r="I373" s="361"/>
      <c r="L373" s="284">
        <v>2022</v>
      </c>
      <c r="M373" s="234" t="s">
        <v>1909</v>
      </c>
      <c r="N373" s="299" t="s">
        <v>1910</v>
      </c>
      <c r="O373" s="234" t="s">
        <v>1911</v>
      </c>
      <c r="P373" s="261" t="s">
        <v>3535</v>
      </c>
      <c r="Q373" s="261" t="s">
        <v>3539</v>
      </c>
    </row>
    <row r="374" spans="1:17" ht="15.75" thickBot="1" x14ac:dyDescent="0.3">
      <c r="A374" s="82" t="s">
        <v>4692</v>
      </c>
      <c r="B374" s="82" t="s">
        <v>4692</v>
      </c>
      <c r="C374" s="82" t="str">
        <f t="shared" si="18"/>
        <v>X</v>
      </c>
      <c r="D374" s="83" t="s">
        <v>1654</v>
      </c>
      <c r="I374" s="361"/>
      <c r="L374" s="284">
        <v>2022</v>
      </c>
      <c r="M374" s="234" t="s">
        <v>1909</v>
      </c>
      <c r="N374" s="299" t="s">
        <v>1910</v>
      </c>
      <c r="O374" s="234" t="s">
        <v>1911</v>
      </c>
      <c r="P374" s="261" t="s">
        <v>3535</v>
      </c>
      <c r="Q374" s="261" t="s">
        <v>3539</v>
      </c>
    </row>
    <row r="375" spans="1:17" ht="15.75" thickBot="1" x14ac:dyDescent="0.3">
      <c r="A375" s="82" t="s">
        <v>4692</v>
      </c>
      <c r="B375" s="82" t="s">
        <v>4692</v>
      </c>
      <c r="C375" s="82" t="str">
        <f t="shared" si="18"/>
        <v>X</v>
      </c>
      <c r="D375" s="83" t="s">
        <v>1655</v>
      </c>
      <c r="I375" s="361"/>
      <c r="L375" s="284">
        <v>2022</v>
      </c>
      <c r="M375" s="234" t="s">
        <v>1909</v>
      </c>
      <c r="N375" s="299" t="s">
        <v>1910</v>
      </c>
      <c r="O375" s="234" t="s">
        <v>1911</v>
      </c>
      <c r="P375" s="261" t="s">
        <v>3535</v>
      </c>
      <c r="Q375" s="261" t="s">
        <v>3539</v>
      </c>
    </row>
    <row r="376" spans="1:17" ht="15.75" thickBot="1" x14ac:dyDescent="0.3">
      <c r="A376" s="82" t="s">
        <v>4692</v>
      </c>
      <c r="B376" s="82" t="s">
        <v>4692</v>
      </c>
      <c r="C376" s="82" t="str">
        <f t="shared" si="18"/>
        <v>X</v>
      </c>
      <c r="D376" s="83" t="s">
        <v>1656</v>
      </c>
      <c r="I376" s="361"/>
      <c r="L376" s="284">
        <v>2022</v>
      </c>
      <c r="M376" s="234" t="s">
        <v>1909</v>
      </c>
      <c r="N376" s="299" t="s">
        <v>1910</v>
      </c>
      <c r="O376" s="234" t="s">
        <v>1911</v>
      </c>
      <c r="P376" s="261" t="s">
        <v>3535</v>
      </c>
      <c r="Q376" s="261" t="s">
        <v>3539</v>
      </c>
    </row>
    <row r="377" spans="1:17" ht="15.75" thickBot="1" x14ac:dyDescent="0.3">
      <c r="A377" s="82" t="s">
        <v>4692</v>
      </c>
      <c r="B377" s="82" t="s">
        <v>4692</v>
      </c>
      <c r="C377" s="82" t="str">
        <f t="shared" si="18"/>
        <v>X</v>
      </c>
      <c r="D377" s="83" t="s">
        <v>1657</v>
      </c>
      <c r="I377" s="361">
        <v>404.39</v>
      </c>
      <c r="L377" s="284">
        <v>2022</v>
      </c>
      <c r="M377" s="234" t="s">
        <v>1909</v>
      </c>
      <c r="N377" s="299" t="s">
        <v>1910</v>
      </c>
      <c r="O377" s="234" t="s">
        <v>1911</v>
      </c>
      <c r="P377" s="261" t="s">
        <v>3535</v>
      </c>
      <c r="Q377" s="261" t="s">
        <v>3539</v>
      </c>
    </row>
    <row r="378" spans="1:17" ht="15.75" thickBot="1" x14ac:dyDescent="0.3">
      <c r="A378" s="82" t="s">
        <v>4692</v>
      </c>
      <c r="B378" s="82" t="s">
        <v>4692</v>
      </c>
      <c r="C378" s="82" t="str">
        <f t="shared" si="18"/>
        <v>X</v>
      </c>
      <c r="D378" s="83" t="s">
        <v>1670</v>
      </c>
      <c r="I378" s="361"/>
      <c r="L378" s="284">
        <v>2022</v>
      </c>
      <c r="M378" s="234" t="s">
        <v>1909</v>
      </c>
      <c r="N378" s="299" t="s">
        <v>1910</v>
      </c>
      <c r="O378" s="234" t="s">
        <v>1911</v>
      </c>
      <c r="P378" s="261" t="s">
        <v>3535</v>
      </c>
      <c r="Q378" s="261" t="s">
        <v>3539</v>
      </c>
    </row>
    <row r="379" spans="1:17" ht="15.75" thickBot="1" x14ac:dyDescent="0.3">
      <c r="A379" s="82" t="s">
        <v>4692</v>
      </c>
      <c r="B379" s="82" t="s">
        <v>4692</v>
      </c>
      <c r="C379" s="82" t="str">
        <f t="shared" si="18"/>
        <v>X</v>
      </c>
      <c r="D379" s="83" t="s">
        <v>3003</v>
      </c>
      <c r="I379" s="361">
        <v>19947.91</v>
      </c>
      <c r="L379" s="284">
        <v>2022</v>
      </c>
      <c r="M379" s="234" t="s">
        <v>1909</v>
      </c>
      <c r="N379" s="299" t="s">
        <v>1910</v>
      </c>
      <c r="O379" s="234" t="s">
        <v>1911</v>
      </c>
      <c r="P379" s="261" t="s">
        <v>3535</v>
      </c>
      <c r="Q379" s="261" t="s">
        <v>3539</v>
      </c>
    </row>
    <row r="380" spans="1:17" ht="15.75" thickBot="1" x14ac:dyDescent="0.3">
      <c r="A380" s="82" t="s">
        <v>4692</v>
      </c>
      <c r="B380" s="82" t="s">
        <v>4692</v>
      </c>
      <c r="C380" s="82" t="str">
        <f t="shared" si="18"/>
        <v>X</v>
      </c>
      <c r="D380" s="83" t="s">
        <v>1658</v>
      </c>
      <c r="I380" s="361"/>
      <c r="L380" s="284">
        <v>2022</v>
      </c>
      <c r="M380" s="234" t="s">
        <v>1909</v>
      </c>
      <c r="N380" s="299" t="s">
        <v>1910</v>
      </c>
      <c r="O380" s="234" t="s">
        <v>1911</v>
      </c>
      <c r="P380" s="261" t="s">
        <v>3535</v>
      </c>
      <c r="Q380" s="261" t="s">
        <v>3539</v>
      </c>
    </row>
    <row r="381" spans="1:17" ht="15.75" thickBot="1" x14ac:dyDescent="0.3">
      <c r="A381" s="82" t="s">
        <v>4692</v>
      </c>
      <c r="B381" s="82" t="s">
        <v>4692</v>
      </c>
      <c r="C381" s="82" t="str">
        <f t="shared" si="18"/>
        <v>X</v>
      </c>
      <c r="D381" s="83" t="s">
        <v>1675</v>
      </c>
      <c r="I381" s="361"/>
      <c r="L381" s="284">
        <v>2022</v>
      </c>
      <c r="M381" s="234" t="s">
        <v>1909</v>
      </c>
      <c r="N381" s="299" t="s">
        <v>1910</v>
      </c>
      <c r="O381" s="234" t="s">
        <v>1911</v>
      </c>
      <c r="P381" s="261" t="s">
        <v>3535</v>
      </c>
      <c r="Q381" s="261" t="s">
        <v>3539</v>
      </c>
    </row>
    <row r="382" spans="1:17" ht="15.75" thickBot="1" x14ac:dyDescent="0.3">
      <c r="A382" s="82" t="s">
        <v>4692</v>
      </c>
      <c r="B382" s="82" t="s">
        <v>4692</v>
      </c>
      <c r="C382" s="82" t="str">
        <f t="shared" si="18"/>
        <v>X</v>
      </c>
      <c r="D382" s="83" t="s">
        <v>1659</v>
      </c>
      <c r="I382" s="361"/>
      <c r="L382" s="284">
        <v>2022</v>
      </c>
      <c r="M382" s="234" t="s">
        <v>1909</v>
      </c>
      <c r="N382" s="299" t="s">
        <v>1910</v>
      </c>
      <c r="O382" s="234" t="s">
        <v>1911</v>
      </c>
      <c r="P382" s="261" t="s">
        <v>3535</v>
      </c>
      <c r="Q382" s="261" t="s">
        <v>3539</v>
      </c>
    </row>
    <row r="383" spans="1:17" ht="15.75" thickBot="1" x14ac:dyDescent="0.3">
      <c r="A383" s="82" t="s">
        <v>4693</v>
      </c>
      <c r="B383" s="82" t="s">
        <v>4693</v>
      </c>
      <c r="C383" s="82" t="str">
        <f t="shared" si="18"/>
        <v>X</v>
      </c>
      <c r="D383" s="83" t="s">
        <v>1653</v>
      </c>
      <c r="E383" s="287">
        <v>83</v>
      </c>
      <c r="F383" s="85" t="s">
        <v>586</v>
      </c>
      <c r="G383" s="82"/>
      <c r="H383" s="82"/>
      <c r="I383" s="361">
        <v>14932.050000000001</v>
      </c>
      <c r="J383" s="83"/>
      <c r="K383" s="83"/>
      <c r="L383" s="284">
        <v>2022</v>
      </c>
      <c r="M383" s="234" t="s">
        <v>1909</v>
      </c>
      <c r="N383" s="234" t="s">
        <v>1910</v>
      </c>
      <c r="O383" s="234" t="s">
        <v>1911</v>
      </c>
      <c r="P383" s="261" t="s">
        <v>3535</v>
      </c>
      <c r="Q383" s="261" t="s">
        <v>3539</v>
      </c>
    </row>
    <row r="384" spans="1:17" ht="15.75" thickBot="1" x14ac:dyDescent="0.3">
      <c r="A384" s="82" t="s">
        <v>4693</v>
      </c>
      <c r="B384" s="82" t="s">
        <v>4693</v>
      </c>
      <c r="C384" s="82" t="str">
        <f t="shared" si="18"/>
        <v>X</v>
      </c>
      <c r="D384" s="83" t="s">
        <v>1653</v>
      </c>
      <c r="E384" s="287">
        <v>48</v>
      </c>
      <c r="F384" s="85" t="s">
        <v>586</v>
      </c>
      <c r="G384" s="82"/>
      <c r="H384" s="82"/>
      <c r="I384" s="361">
        <v>1695.45</v>
      </c>
      <c r="J384" s="83"/>
      <c r="K384" s="83"/>
      <c r="L384" s="284">
        <v>2022</v>
      </c>
      <c r="M384" s="234" t="s">
        <v>1909</v>
      </c>
      <c r="N384" s="234" t="s">
        <v>1910</v>
      </c>
      <c r="O384" s="234" t="s">
        <v>1911</v>
      </c>
      <c r="P384" s="261" t="s">
        <v>3535</v>
      </c>
      <c r="Q384" s="261" t="s">
        <v>3539</v>
      </c>
    </row>
    <row r="385" spans="1:17" ht="15.75" thickBot="1" x14ac:dyDescent="0.3">
      <c r="A385" s="82" t="s">
        <v>4693</v>
      </c>
      <c r="B385" s="82" t="s">
        <v>4693</v>
      </c>
      <c r="C385" s="82" t="str">
        <f t="shared" si="18"/>
        <v>X</v>
      </c>
      <c r="D385" s="83" t="s">
        <v>1653</v>
      </c>
      <c r="E385" s="287">
        <v>28</v>
      </c>
      <c r="F385" s="85" t="s">
        <v>586</v>
      </c>
      <c r="G385" s="82"/>
      <c r="H385" s="82"/>
      <c r="I385" s="361">
        <v>104.08</v>
      </c>
      <c r="J385" s="83"/>
      <c r="K385" s="83"/>
      <c r="L385" s="284">
        <v>2022</v>
      </c>
      <c r="M385" s="234" t="s">
        <v>1909</v>
      </c>
      <c r="N385" s="234" t="s">
        <v>1910</v>
      </c>
      <c r="O385" s="234" t="s">
        <v>1911</v>
      </c>
      <c r="P385" s="261" t="s">
        <v>3535</v>
      </c>
      <c r="Q385" s="261" t="s">
        <v>3539</v>
      </c>
    </row>
    <row r="386" spans="1:17" ht="15.75" thickBot="1" x14ac:dyDescent="0.3">
      <c r="A386" s="82" t="s">
        <v>4693</v>
      </c>
      <c r="B386" s="82" t="s">
        <v>4693</v>
      </c>
      <c r="C386" s="82" t="str">
        <f t="shared" si="18"/>
        <v>X</v>
      </c>
      <c r="D386" s="83" t="s">
        <v>1654</v>
      </c>
      <c r="E386" s="287">
        <v>3271.2000000000003</v>
      </c>
      <c r="F386" s="85" t="s">
        <v>586</v>
      </c>
      <c r="G386" s="82"/>
      <c r="H386" s="82"/>
      <c r="I386" s="361">
        <v>22405.699999999993</v>
      </c>
      <c r="J386" s="83" t="s">
        <v>3052</v>
      </c>
      <c r="K386" s="83" t="s">
        <v>3052</v>
      </c>
      <c r="L386" s="284">
        <v>2022</v>
      </c>
      <c r="M386" s="234" t="s">
        <v>1909</v>
      </c>
      <c r="N386" s="234" t="s">
        <v>1910</v>
      </c>
      <c r="O386" s="234" t="s">
        <v>1911</v>
      </c>
      <c r="P386" s="261" t="s">
        <v>3535</v>
      </c>
      <c r="Q386" s="261" t="s">
        <v>3539</v>
      </c>
    </row>
    <row r="387" spans="1:17" ht="15.75" thickBot="1" x14ac:dyDescent="0.3">
      <c r="A387" s="82" t="s">
        <v>4693</v>
      </c>
      <c r="B387" s="82" t="s">
        <v>4693</v>
      </c>
      <c r="C387" s="82" t="str">
        <f t="shared" si="18"/>
        <v>X</v>
      </c>
      <c r="D387" s="83" t="s">
        <v>3003</v>
      </c>
      <c r="E387" s="287">
        <v>789</v>
      </c>
      <c r="F387" s="85" t="s">
        <v>586</v>
      </c>
      <c r="G387" s="82"/>
      <c r="H387" s="82"/>
      <c r="I387" s="361">
        <v>14903.85</v>
      </c>
      <c r="J387" s="83" t="s">
        <v>3053</v>
      </c>
      <c r="K387" s="83" t="s">
        <v>3053</v>
      </c>
      <c r="L387" s="284">
        <v>2022</v>
      </c>
      <c r="M387" s="234" t="s">
        <v>1909</v>
      </c>
      <c r="N387" s="234" t="s">
        <v>1910</v>
      </c>
      <c r="O387" s="234" t="s">
        <v>1911</v>
      </c>
      <c r="P387" s="261" t="s">
        <v>3535</v>
      </c>
      <c r="Q387" s="261" t="s">
        <v>3539</v>
      </c>
    </row>
    <row r="388" spans="1:17" ht="15.75" thickBot="1" x14ac:dyDescent="0.3">
      <c r="A388" s="82" t="s">
        <v>4693</v>
      </c>
      <c r="B388" s="82" t="s">
        <v>4693</v>
      </c>
      <c r="C388" s="82" t="str">
        <f t="shared" si="18"/>
        <v>X</v>
      </c>
      <c r="D388" s="83" t="s">
        <v>3003</v>
      </c>
      <c r="E388" s="287">
        <v>147</v>
      </c>
      <c r="F388" s="85" t="s">
        <v>586</v>
      </c>
      <c r="G388" s="82"/>
      <c r="H388" s="82"/>
      <c r="I388" s="361">
        <v>5737.57</v>
      </c>
      <c r="J388" s="83" t="s">
        <v>3054</v>
      </c>
      <c r="K388" s="83" t="s">
        <v>3054</v>
      </c>
      <c r="L388" s="284">
        <v>2022</v>
      </c>
      <c r="M388" s="234" t="s">
        <v>1909</v>
      </c>
      <c r="N388" s="234" t="s">
        <v>1910</v>
      </c>
      <c r="O388" s="234" t="s">
        <v>1911</v>
      </c>
      <c r="P388" s="261" t="s">
        <v>3535</v>
      </c>
      <c r="Q388" s="261" t="s">
        <v>3539</v>
      </c>
    </row>
    <row r="389" spans="1:17" ht="15.75" thickBot="1" x14ac:dyDescent="0.3">
      <c r="A389" s="82" t="s">
        <v>4693</v>
      </c>
      <c r="B389" s="82" t="s">
        <v>4693</v>
      </c>
      <c r="C389" s="82" t="str">
        <f t="shared" si="18"/>
        <v>X</v>
      </c>
      <c r="D389" s="83" t="s">
        <v>1659</v>
      </c>
      <c r="E389" s="287">
        <v>60</v>
      </c>
      <c r="F389" s="85" t="s">
        <v>586</v>
      </c>
      <c r="G389" s="288"/>
      <c r="H389" s="82"/>
      <c r="I389" s="361">
        <v>39.6</v>
      </c>
      <c r="J389" s="83" t="s">
        <v>3055</v>
      </c>
      <c r="K389" s="83" t="s">
        <v>3055</v>
      </c>
      <c r="L389" s="284">
        <v>2022</v>
      </c>
      <c r="M389" s="234" t="s">
        <v>1909</v>
      </c>
      <c r="N389" s="234" t="s">
        <v>1910</v>
      </c>
      <c r="O389" s="234" t="s">
        <v>1911</v>
      </c>
      <c r="P389" s="261" t="s">
        <v>3535</v>
      </c>
      <c r="Q389" s="261" t="s">
        <v>3539</v>
      </c>
    </row>
    <row r="390" spans="1:17" ht="15.75" thickBot="1" x14ac:dyDescent="0.3">
      <c r="A390" s="82" t="s">
        <v>4693</v>
      </c>
      <c r="B390" s="82" t="s">
        <v>4693</v>
      </c>
      <c r="C390" s="82" t="str">
        <f t="shared" si="18"/>
        <v>X</v>
      </c>
      <c r="D390" s="83" t="s">
        <v>1659</v>
      </c>
      <c r="E390" s="287">
        <v>8807.44</v>
      </c>
      <c r="F390" s="85" t="s">
        <v>586</v>
      </c>
      <c r="G390" s="82"/>
      <c r="H390" s="82"/>
      <c r="I390" s="361">
        <v>85412.43</v>
      </c>
      <c r="J390" s="83" t="s">
        <v>3056</v>
      </c>
      <c r="K390" s="83" t="s">
        <v>3056</v>
      </c>
      <c r="L390" s="284">
        <v>2022</v>
      </c>
      <c r="M390" s="234" t="s">
        <v>1909</v>
      </c>
      <c r="N390" s="234" t="s">
        <v>1910</v>
      </c>
      <c r="O390" s="234" t="s">
        <v>1911</v>
      </c>
      <c r="P390" s="261" t="s">
        <v>3535</v>
      </c>
      <c r="Q390" s="261" t="s">
        <v>3539</v>
      </c>
    </row>
    <row r="391" spans="1:17" ht="15.75" thickBot="1" x14ac:dyDescent="0.3">
      <c r="A391" s="82" t="s">
        <v>4693</v>
      </c>
      <c r="B391" s="82" t="s">
        <v>4693</v>
      </c>
      <c r="C391" s="82" t="str">
        <f t="shared" si="18"/>
        <v>X</v>
      </c>
      <c r="D391" s="83" t="s">
        <v>1659</v>
      </c>
      <c r="E391" s="287">
        <v>2</v>
      </c>
      <c r="F391" s="85" t="s">
        <v>586</v>
      </c>
      <c r="G391" s="82"/>
      <c r="H391" s="82"/>
      <c r="I391" s="361">
        <v>2146.79</v>
      </c>
      <c r="J391" s="83" t="s">
        <v>3057</v>
      </c>
      <c r="K391" s="83" t="s">
        <v>3057</v>
      </c>
      <c r="L391" s="284">
        <v>2022</v>
      </c>
      <c r="M391" s="234" t="s">
        <v>1909</v>
      </c>
      <c r="N391" s="234" t="s">
        <v>1910</v>
      </c>
      <c r="O391" s="234" t="s">
        <v>1911</v>
      </c>
      <c r="P391" s="261" t="s">
        <v>3535</v>
      </c>
      <c r="Q391" s="261" t="s">
        <v>3539</v>
      </c>
    </row>
    <row r="392" spans="1:17" ht="15.75" thickBot="1" x14ac:dyDescent="0.3">
      <c r="A392" s="82" t="s">
        <v>4693</v>
      </c>
      <c r="B392" s="82" t="s">
        <v>4693</v>
      </c>
      <c r="C392" s="82" t="str">
        <f t="shared" si="18"/>
        <v>X</v>
      </c>
      <c r="D392" s="83" t="s">
        <v>1659</v>
      </c>
      <c r="E392" s="287">
        <v>184</v>
      </c>
      <c r="F392" s="85" t="s">
        <v>586</v>
      </c>
      <c r="G392" s="82"/>
      <c r="H392" s="82"/>
      <c r="I392" s="361">
        <v>9683.4999999999964</v>
      </c>
      <c r="J392" s="83" t="s">
        <v>3058</v>
      </c>
      <c r="K392" s="83" t="s">
        <v>3058</v>
      </c>
      <c r="L392" s="284">
        <v>2022</v>
      </c>
      <c r="M392" s="234" t="s">
        <v>1909</v>
      </c>
      <c r="N392" s="234" t="s">
        <v>1910</v>
      </c>
      <c r="O392" s="234" t="s">
        <v>1911</v>
      </c>
      <c r="P392" s="261" t="s">
        <v>3535</v>
      </c>
      <c r="Q392" s="261" t="s">
        <v>3539</v>
      </c>
    </row>
    <row r="393" spans="1:17" ht="15.75" thickBot="1" x14ac:dyDescent="0.3">
      <c r="A393" s="82" t="s">
        <v>4693</v>
      </c>
      <c r="B393" s="82" t="s">
        <v>4693</v>
      </c>
      <c r="C393" s="82" t="str">
        <f t="shared" si="18"/>
        <v>X</v>
      </c>
      <c r="D393" s="83" t="s">
        <v>1659</v>
      </c>
      <c r="E393" s="287">
        <v>2472</v>
      </c>
      <c r="F393" s="85" t="s">
        <v>586</v>
      </c>
      <c r="G393" s="82"/>
      <c r="H393" s="82"/>
      <c r="I393" s="361">
        <v>3650.6800000000007</v>
      </c>
      <c r="J393" s="83" t="s">
        <v>3059</v>
      </c>
      <c r="K393" s="83" t="s">
        <v>3059</v>
      </c>
      <c r="L393" s="284">
        <v>2022</v>
      </c>
      <c r="M393" s="234" t="s">
        <v>1909</v>
      </c>
      <c r="N393" s="234" t="s">
        <v>1910</v>
      </c>
      <c r="O393" s="234" t="s">
        <v>1911</v>
      </c>
      <c r="P393" s="261" t="s">
        <v>3535</v>
      </c>
      <c r="Q393" s="261" t="s">
        <v>3539</v>
      </c>
    </row>
    <row r="394" spans="1:17" ht="15.75" thickBot="1" x14ac:dyDescent="0.3">
      <c r="A394" s="82" t="s">
        <v>4693</v>
      </c>
      <c r="B394" s="82" t="s">
        <v>4693</v>
      </c>
      <c r="C394" s="82" t="str">
        <f t="shared" si="18"/>
        <v>X</v>
      </c>
      <c r="D394" s="83" t="s">
        <v>1659</v>
      </c>
      <c r="E394" s="287">
        <v>2</v>
      </c>
      <c r="F394" s="85" t="s">
        <v>586</v>
      </c>
      <c r="G394" s="82"/>
      <c r="H394" s="82"/>
      <c r="I394" s="361">
        <v>23.94</v>
      </c>
      <c r="J394" s="83"/>
      <c r="K394" s="83"/>
      <c r="L394" s="284">
        <v>2022</v>
      </c>
      <c r="M394" s="234" t="s">
        <v>1909</v>
      </c>
      <c r="N394" s="234" t="s">
        <v>1910</v>
      </c>
      <c r="O394" s="234" t="s">
        <v>1911</v>
      </c>
      <c r="P394" s="261" t="s">
        <v>3535</v>
      </c>
      <c r="Q394" s="261" t="s">
        <v>3539</v>
      </c>
    </row>
    <row r="395" spans="1:17" ht="15.75" thickBot="1" x14ac:dyDescent="0.3">
      <c r="A395" s="82" t="s">
        <v>4693</v>
      </c>
      <c r="B395" s="82" t="s">
        <v>4693</v>
      </c>
      <c r="C395" s="82" t="str">
        <f t="shared" si="18"/>
        <v>X</v>
      </c>
      <c r="D395" s="83" t="s">
        <v>1659</v>
      </c>
      <c r="E395" s="287">
        <v>11</v>
      </c>
      <c r="F395" s="85" t="s">
        <v>586</v>
      </c>
      <c r="G395" s="82"/>
      <c r="H395" s="82"/>
      <c r="I395" s="361">
        <v>2832.8</v>
      </c>
      <c r="J395" s="83" t="s">
        <v>3060</v>
      </c>
      <c r="K395" s="83" t="s">
        <v>3060</v>
      </c>
      <c r="L395" s="284">
        <v>2022</v>
      </c>
      <c r="M395" s="234" t="s">
        <v>1909</v>
      </c>
      <c r="N395" s="234" t="s">
        <v>1910</v>
      </c>
      <c r="O395" s="234" t="s">
        <v>1911</v>
      </c>
      <c r="P395" s="261" t="s">
        <v>3535</v>
      </c>
      <c r="Q395" s="261" t="s">
        <v>3539</v>
      </c>
    </row>
    <row r="396" spans="1:17" ht="15.75" thickBot="1" x14ac:dyDescent="0.3">
      <c r="A396" s="82" t="s">
        <v>4693</v>
      </c>
      <c r="B396" s="82" t="s">
        <v>4693</v>
      </c>
      <c r="C396" s="82" t="str">
        <f t="shared" si="18"/>
        <v>X</v>
      </c>
      <c r="D396" s="83" t="s">
        <v>1654</v>
      </c>
      <c r="E396" s="287">
        <v>403</v>
      </c>
      <c r="F396" s="85" t="s">
        <v>586</v>
      </c>
      <c r="G396" s="82"/>
      <c r="H396" s="82"/>
      <c r="I396" s="361">
        <v>87.820000000000007</v>
      </c>
      <c r="J396" s="83" t="s">
        <v>3061</v>
      </c>
      <c r="K396" s="83" t="s">
        <v>3061</v>
      </c>
      <c r="L396" s="284">
        <v>2022</v>
      </c>
      <c r="M396" s="234" t="s">
        <v>1909</v>
      </c>
      <c r="N396" s="234" t="s">
        <v>1910</v>
      </c>
      <c r="O396" s="234" t="s">
        <v>1911</v>
      </c>
      <c r="P396" s="261" t="s">
        <v>3535</v>
      </c>
      <c r="Q396" s="261" t="s">
        <v>3539</v>
      </c>
    </row>
    <row r="397" spans="1:17" ht="15.75" thickBot="1" x14ac:dyDescent="0.3">
      <c r="A397" s="82" t="s">
        <v>4693</v>
      </c>
      <c r="B397" s="82" t="s">
        <v>4693</v>
      </c>
      <c r="C397" s="82" t="str">
        <f t="shared" si="18"/>
        <v>X</v>
      </c>
      <c r="D397" s="83" t="s">
        <v>1656</v>
      </c>
      <c r="E397" s="287">
        <v>358.72</v>
      </c>
      <c r="F397" s="85" t="s">
        <v>586</v>
      </c>
      <c r="G397" s="82"/>
      <c r="H397" s="82"/>
      <c r="I397" s="361">
        <v>1200.17</v>
      </c>
      <c r="J397" s="83" t="s">
        <v>3062</v>
      </c>
      <c r="K397" s="83" t="s">
        <v>3062</v>
      </c>
      <c r="L397" s="284">
        <v>2022</v>
      </c>
      <c r="M397" s="234" t="s">
        <v>1909</v>
      </c>
      <c r="N397" s="234" t="s">
        <v>1910</v>
      </c>
      <c r="O397" s="234" t="s">
        <v>1911</v>
      </c>
      <c r="P397" s="261" t="s">
        <v>3535</v>
      </c>
      <c r="Q397" s="261" t="s">
        <v>3539</v>
      </c>
    </row>
    <row r="398" spans="1:17" ht="15.75" thickBot="1" x14ac:dyDescent="0.3">
      <c r="A398" s="82" t="s">
        <v>4693</v>
      </c>
      <c r="B398" s="82" t="s">
        <v>4693</v>
      </c>
      <c r="C398" s="82" t="str">
        <f t="shared" si="18"/>
        <v>X</v>
      </c>
      <c r="D398" s="83" t="s">
        <v>1658</v>
      </c>
      <c r="E398" s="287">
        <v>97197.28</v>
      </c>
      <c r="F398" s="85" t="s">
        <v>586</v>
      </c>
      <c r="G398" s="82"/>
      <c r="H398" s="82"/>
      <c r="I398" s="361">
        <v>294930.30000000005</v>
      </c>
      <c r="J398" s="83" t="s">
        <v>3063</v>
      </c>
      <c r="K398" s="83" t="s">
        <v>3063</v>
      </c>
      <c r="L398" s="284">
        <v>2022</v>
      </c>
      <c r="M398" s="234" t="s">
        <v>1909</v>
      </c>
      <c r="N398" s="234" t="s">
        <v>1910</v>
      </c>
      <c r="O398" s="234" t="s">
        <v>1911</v>
      </c>
      <c r="P398" s="261" t="s">
        <v>3535</v>
      </c>
      <c r="Q398" s="261" t="s">
        <v>3539</v>
      </c>
    </row>
    <row r="399" spans="1:17" ht="15.75" thickBot="1" x14ac:dyDescent="0.3">
      <c r="A399" s="82" t="s">
        <v>4693</v>
      </c>
      <c r="B399" s="82" t="s">
        <v>4693</v>
      </c>
      <c r="C399" s="82" t="str">
        <f t="shared" si="18"/>
        <v>X</v>
      </c>
      <c r="D399" s="83" t="s">
        <v>1658</v>
      </c>
      <c r="E399" s="287">
        <v>39</v>
      </c>
      <c r="F399" s="85" t="s">
        <v>586</v>
      </c>
      <c r="G399" s="82"/>
      <c r="H399" s="82"/>
      <c r="I399" s="361">
        <v>819.41000000000008</v>
      </c>
      <c r="J399" s="83" t="s">
        <v>3064</v>
      </c>
      <c r="K399" s="83" t="s">
        <v>3064</v>
      </c>
      <c r="L399" s="284">
        <v>2022</v>
      </c>
      <c r="M399" s="234" t="s">
        <v>1909</v>
      </c>
      <c r="N399" s="234" t="s">
        <v>1910</v>
      </c>
      <c r="O399" s="234" t="s">
        <v>1911</v>
      </c>
      <c r="P399" s="261" t="s">
        <v>3535</v>
      </c>
      <c r="Q399" s="261" t="s">
        <v>3539</v>
      </c>
    </row>
    <row r="400" spans="1:17" ht="15.75" thickBot="1" x14ac:dyDescent="0.3">
      <c r="A400" s="82" t="s">
        <v>4693</v>
      </c>
      <c r="B400" s="82" t="s">
        <v>4693</v>
      </c>
      <c r="C400" s="82" t="str">
        <f t="shared" si="18"/>
        <v>X</v>
      </c>
      <c r="D400" s="83" t="s">
        <v>1658</v>
      </c>
      <c r="E400" s="287">
        <v>1299</v>
      </c>
      <c r="F400" s="85" t="s">
        <v>586</v>
      </c>
      <c r="G400" s="82"/>
      <c r="H400" s="82"/>
      <c r="I400" s="361">
        <v>60198.35000000002</v>
      </c>
      <c r="J400" s="83" t="s">
        <v>3065</v>
      </c>
      <c r="K400" s="83" t="s">
        <v>3065</v>
      </c>
      <c r="L400" s="284">
        <v>2022</v>
      </c>
      <c r="M400" s="234" t="s">
        <v>1909</v>
      </c>
      <c r="N400" s="234" t="s">
        <v>1910</v>
      </c>
      <c r="O400" s="234" t="s">
        <v>1911</v>
      </c>
      <c r="P400" s="261" t="s">
        <v>3535</v>
      </c>
      <c r="Q400" s="261" t="s">
        <v>3539</v>
      </c>
    </row>
    <row r="401" spans="1:17" ht="15.75" thickBot="1" x14ac:dyDescent="0.3">
      <c r="A401" s="82" t="s">
        <v>4693</v>
      </c>
      <c r="B401" s="82" t="s">
        <v>4693</v>
      </c>
      <c r="C401" s="82" t="str">
        <f t="shared" si="18"/>
        <v>X</v>
      </c>
      <c r="D401" s="83" t="s">
        <v>1658</v>
      </c>
      <c r="E401" s="287">
        <v>1509.4</v>
      </c>
      <c r="F401" s="85" t="s">
        <v>586</v>
      </c>
      <c r="G401" s="82"/>
      <c r="H401" s="82"/>
      <c r="I401" s="361">
        <v>4995.74</v>
      </c>
      <c r="J401" s="83" t="s">
        <v>3066</v>
      </c>
      <c r="K401" s="83" t="s">
        <v>3066</v>
      </c>
      <c r="L401" s="284">
        <v>2022</v>
      </c>
      <c r="M401" s="234" t="s">
        <v>1909</v>
      </c>
      <c r="N401" s="234" t="s">
        <v>1910</v>
      </c>
      <c r="O401" s="234" t="s">
        <v>1911</v>
      </c>
      <c r="P401" s="261" t="s">
        <v>3535</v>
      </c>
      <c r="Q401" s="261" t="s">
        <v>3539</v>
      </c>
    </row>
    <row r="402" spans="1:17" ht="15.75" thickBot="1" x14ac:dyDescent="0.3">
      <c r="A402" s="82" t="s">
        <v>4693</v>
      </c>
      <c r="B402" s="82" t="s">
        <v>4693</v>
      </c>
      <c r="C402" s="82" t="str">
        <f t="shared" si="18"/>
        <v>X</v>
      </c>
      <c r="D402" s="83" t="s">
        <v>1657</v>
      </c>
      <c r="E402" s="287">
        <v>24248.190000000002</v>
      </c>
      <c r="F402" s="85" t="s">
        <v>586</v>
      </c>
      <c r="G402" s="82"/>
      <c r="H402" s="82"/>
      <c r="I402" s="361">
        <v>85432.74</v>
      </c>
      <c r="J402" s="83"/>
      <c r="K402" s="83"/>
      <c r="L402" s="284">
        <v>2022</v>
      </c>
      <c r="M402" s="234" t="s">
        <v>1909</v>
      </c>
      <c r="N402" s="234" t="s">
        <v>1910</v>
      </c>
      <c r="O402" s="234" t="s">
        <v>1911</v>
      </c>
      <c r="P402" s="261" t="s">
        <v>3535</v>
      </c>
      <c r="Q402" s="261" t="s">
        <v>3539</v>
      </c>
    </row>
    <row r="403" spans="1:17" ht="15.75" thickBot="1" x14ac:dyDescent="0.3">
      <c r="A403" s="82" t="s">
        <v>4693</v>
      </c>
      <c r="B403" s="82" t="s">
        <v>4693</v>
      </c>
      <c r="C403" s="82" t="str">
        <f t="shared" si="18"/>
        <v>X</v>
      </c>
      <c r="D403" s="83" t="s">
        <v>1659</v>
      </c>
      <c r="E403" s="287">
        <v>2095</v>
      </c>
      <c r="F403" s="85" t="s">
        <v>586</v>
      </c>
      <c r="G403" s="82"/>
      <c r="H403" s="82"/>
      <c r="I403" s="361">
        <v>1943.8099999999995</v>
      </c>
      <c r="J403" s="83" t="s">
        <v>3067</v>
      </c>
      <c r="K403" s="83" t="s">
        <v>3067</v>
      </c>
      <c r="L403" s="284">
        <v>2022</v>
      </c>
      <c r="M403" s="234" t="s">
        <v>1909</v>
      </c>
      <c r="N403" s="234" t="s">
        <v>1910</v>
      </c>
      <c r="O403" s="234" t="s">
        <v>1911</v>
      </c>
      <c r="P403" s="261" t="s">
        <v>3535</v>
      </c>
      <c r="Q403" s="261" t="s">
        <v>3539</v>
      </c>
    </row>
    <row r="404" spans="1:17" ht="15.75" thickBot="1" x14ac:dyDescent="0.3">
      <c r="A404" s="82" t="s">
        <v>4693</v>
      </c>
      <c r="B404" s="82" t="s">
        <v>4693</v>
      </c>
      <c r="C404" s="82" t="str">
        <f t="shared" si="18"/>
        <v>X</v>
      </c>
      <c r="D404" s="83" t="s">
        <v>1659</v>
      </c>
      <c r="E404" s="287">
        <v>4955</v>
      </c>
      <c r="F404" s="85" t="s">
        <v>586</v>
      </c>
      <c r="G404" s="82"/>
      <c r="H404" s="82"/>
      <c r="I404" s="361">
        <v>4146.829999999999</v>
      </c>
      <c r="J404" s="83" t="s">
        <v>3068</v>
      </c>
      <c r="K404" s="83" t="s">
        <v>3068</v>
      </c>
      <c r="L404" s="284">
        <v>2022</v>
      </c>
      <c r="M404" s="234" t="s">
        <v>1909</v>
      </c>
      <c r="N404" s="234" t="s">
        <v>1910</v>
      </c>
      <c r="O404" s="234" t="s">
        <v>1911</v>
      </c>
      <c r="P404" s="261" t="s">
        <v>3535</v>
      </c>
      <c r="Q404" s="261" t="s">
        <v>3539</v>
      </c>
    </row>
    <row r="405" spans="1:17" ht="15.75" thickBot="1" x14ac:dyDescent="0.3">
      <c r="A405" s="82" t="s">
        <v>4693</v>
      </c>
      <c r="B405" s="82" t="s">
        <v>4693</v>
      </c>
      <c r="C405" s="82" t="str">
        <f t="shared" si="18"/>
        <v>X</v>
      </c>
      <c r="D405" s="83" t="s">
        <v>1654</v>
      </c>
      <c r="E405" s="287">
        <v>1653.4</v>
      </c>
      <c r="F405" s="85" t="s">
        <v>586</v>
      </c>
      <c r="G405" s="82"/>
      <c r="H405" s="82"/>
      <c r="I405" s="361">
        <v>27256.999999999993</v>
      </c>
      <c r="J405" s="83" t="s">
        <v>3069</v>
      </c>
      <c r="K405" s="83" t="s">
        <v>3069</v>
      </c>
      <c r="L405" s="284">
        <v>2022</v>
      </c>
      <c r="M405" s="234" t="s">
        <v>1909</v>
      </c>
      <c r="N405" s="234" t="s">
        <v>1910</v>
      </c>
      <c r="O405" s="234" t="s">
        <v>1911</v>
      </c>
      <c r="P405" s="261" t="s">
        <v>3535</v>
      </c>
      <c r="Q405" s="261" t="s">
        <v>3539</v>
      </c>
    </row>
    <row r="406" spans="1:17" ht="15.75" thickBot="1" x14ac:dyDescent="0.3">
      <c r="A406" s="82" t="s">
        <v>4693</v>
      </c>
      <c r="B406" s="82" t="s">
        <v>4693</v>
      </c>
      <c r="C406" s="82" t="str">
        <f t="shared" si="18"/>
        <v>X</v>
      </c>
      <c r="D406" s="83" t="s">
        <v>1654</v>
      </c>
      <c r="E406" s="287">
        <v>5</v>
      </c>
      <c r="F406" s="85" t="s">
        <v>586</v>
      </c>
      <c r="G406" s="82"/>
      <c r="H406" s="82"/>
      <c r="I406" s="361">
        <v>132.5</v>
      </c>
      <c r="J406" s="83" t="s">
        <v>3070</v>
      </c>
      <c r="K406" s="83" t="s">
        <v>3070</v>
      </c>
      <c r="L406" s="284">
        <v>2022</v>
      </c>
      <c r="M406" s="234" t="s">
        <v>1909</v>
      </c>
      <c r="N406" s="234" t="s">
        <v>1910</v>
      </c>
      <c r="O406" s="234" t="s">
        <v>1911</v>
      </c>
      <c r="P406" s="261" t="s">
        <v>3535</v>
      </c>
      <c r="Q406" s="261" t="s">
        <v>3539</v>
      </c>
    </row>
    <row r="407" spans="1:17" ht="15.75" thickBot="1" x14ac:dyDescent="0.3">
      <c r="A407" s="82" t="s">
        <v>4693</v>
      </c>
      <c r="B407" s="82" t="s">
        <v>4693</v>
      </c>
      <c r="C407" s="82" t="str">
        <f t="shared" si="18"/>
        <v>X</v>
      </c>
      <c r="D407" s="83" t="s">
        <v>1654</v>
      </c>
      <c r="E407" s="287">
        <v>205</v>
      </c>
      <c r="F407" s="85" t="s">
        <v>586</v>
      </c>
      <c r="G407" s="82"/>
      <c r="H407" s="82"/>
      <c r="I407" s="361">
        <v>30.810000000000002</v>
      </c>
      <c r="J407" s="83"/>
      <c r="K407" s="83"/>
      <c r="L407" s="284">
        <v>2022</v>
      </c>
      <c r="M407" s="234" t="s">
        <v>1909</v>
      </c>
      <c r="N407" s="234" t="s">
        <v>1910</v>
      </c>
      <c r="O407" s="234" t="s">
        <v>1911</v>
      </c>
      <c r="P407" s="261" t="s">
        <v>3535</v>
      </c>
      <c r="Q407" s="261" t="s">
        <v>3539</v>
      </c>
    </row>
    <row r="408" spans="1:17" ht="15.75" thickBot="1" x14ac:dyDescent="0.3">
      <c r="A408" s="82" t="s">
        <v>4693</v>
      </c>
      <c r="B408" s="82" t="s">
        <v>4693</v>
      </c>
      <c r="C408" s="82" t="str">
        <f t="shared" si="18"/>
        <v>X</v>
      </c>
      <c r="D408" s="83" t="s">
        <v>1654</v>
      </c>
      <c r="E408" s="287">
        <v>13400</v>
      </c>
      <c r="F408" s="85" t="s">
        <v>586</v>
      </c>
      <c r="G408" s="82"/>
      <c r="H408" s="82"/>
      <c r="I408" s="361">
        <v>862.45999999999992</v>
      </c>
      <c r="J408" s="83" t="s">
        <v>3071</v>
      </c>
      <c r="K408" s="83" t="s">
        <v>3071</v>
      </c>
      <c r="L408" s="284">
        <v>2022</v>
      </c>
      <c r="M408" s="234" t="s">
        <v>1909</v>
      </c>
      <c r="N408" s="234" t="s">
        <v>1910</v>
      </c>
      <c r="O408" s="234" t="s">
        <v>1911</v>
      </c>
      <c r="P408" s="261" t="s">
        <v>3535</v>
      </c>
      <c r="Q408" s="261" t="s">
        <v>3539</v>
      </c>
    </row>
    <row r="409" spans="1:17" ht="15.75" thickBot="1" x14ac:dyDescent="0.3">
      <c r="A409" s="82" t="s">
        <v>4693</v>
      </c>
      <c r="B409" s="82" t="s">
        <v>4693</v>
      </c>
      <c r="C409" s="82" t="str">
        <f t="shared" si="18"/>
        <v>X</v>
      </c>
      <c r="D409" s="83" t="s">
        <v>1654</v>
      </c>
      <c r="E409" s="287">
        <v>616</v>
      </c>
      <c r="F409" s="85" t="s">
        <v>586</v>
      </c>
      <c r="G409" s="82"/>
      <c r="H409" s="82"/>
      <c r="I409" s="361">
        <v>1235.2</v>
      </c>
      <c r="J409" s="83" t="s">
        <v>3072</v>
      </c>
      <c r="K409" s="83" t="s">
        <v>3072</v>
      </c>
      <c r="L409" s="284">
        <v>2022</v>
      </c>
      <c r="M409" s="234" t="s">
        <v>1909</v>
      </c>
      <c r="N409" s="234" t="s">
        <v>1910</v>
      </c>
      <c r="O409" s="234" t="s">
        <v>1911</v>
      </c>
      <c r="P409" s="261" t="s">
        <v>3535</v>
      </c>
      <c r="Q409" s="261" t="s">
        <v>3539</v>
      </c>
    </row>
    <row r="410" spans="1:17" ht="15.75" thickBot="1" x14ac:dyDescent="0.3">
      <c r="A410" s="82" t="s">
        <v>4693</v>
      </c>
      <c r="B410" s="82" t="s">
        <v>4693</v>
      </c>
      <c r="C410" s="82" t="str">
        <f t="shared" si="18"/>
        <v>X</v>
      </c>
      <c r="D410" s="83" t="s">
        <v>1654</v>
      </c>
      <c r="E410" s="287">
        <v>358</v>
      </c>
      <c r="F410" s="85" t="s">
        <v>586</v>
      </c>
      <c r="G410" s="82"/>
      <c r="H410" s="82"/>
      <c r="I410" s="361">
        <v>2316.54</v>
      </c>
      <c r="J410" s="83" t="s">
        <v>3073</v>
      </c>
      <c r="K410" s="83" t="s">
        <v>3073</v>
      </c>
      <c r="L410" s="284">
        <v>2022</v>
      </c>
      <c r="M410" s="234" t="s">
        <v>1909</v>
      </c>
      <c r="N410" s="234" t="s">
        <v>1910</v>
      </c>
      <c r="O410" s="234" t="s">
        <v>1911</v>
      </c>
      <c r="P410" s="261" t="s">
        <v>3535</v>
      </c>
      <c r="Q410" s="261" t="s">
        <v>3539</v>
      </c>
    </row>
    <row r="411" spans="1:17" ht="15.75" thickBot="1" x14ac:dyDescent="0.3">
      <c r="A411" s="82" t="s">
        <v>4693</v>
      </c>
      <c r="B411" s="82" t="s">
        <v>4693</v>
      </c>
      <c r="C411" s="82" t="str">
        <f t="shared" si="18"/>
        <v>X</v>
      </c>
      <c r="D411" s="83" t="s">
        <v>1654</v>
      </c>
      <c r="E411" s="287">
        <v>335</v>
      </c>
      <c r="F411" s="85" t="s">
        <v>586</v>
      </c>
      <c r="G411" s="82"/>
      <c r="H411" s="82"/>
      <c r="I411" s="361">
        <v>7609.5700000000015</v>
      </c>
      <c r="J411" s="83" t="s">
        <v>3074</v>
      </c>
      <c r="K411" s="83" t="s">
        <v>3074</v>
      </c>
      <c r="L411" s="284">
        <v>2022</v>
      </c>
      <c r="M411" s="234" t="s">
        <v>1909</v>
      </c>
      <c r="N411" s="234" t="s">
        <v>1910</v>
      </c>
      <c r="O411" s="234" t="s">
        <v>1911</v>
      </c>
      <c r="P411" s="261" t="s">
        <v>3535</v>
      </c>
      <c r="Q411" s="261" t="s">
        <v>3539</v>
      </c>
    </row>
    <row r="412" spans="1:17" ht="15.75" thickBot="1" x14ac:dyDescent="0.3">
      <c r="A412" s="82" t="s">
        <v>4693</v>
      </c>
      <c r="B412" s="82" t="s">
        <v>4693</v>
      </c>
      <c r="C412" s="82" t="str">
        <f t="shared" si="18"/>
        <v>X</v>
      </c>
      <c r="D412" s="83" t="s">
        <v>1654</v>
      </c>
      <c r="E412" s="287">
        <v>1450</v>
      </c>
      <c r="F412" s="85" t="s">
        <v>586</v>
      </c>
      <c r="G412" s="82"/>
      <c r="H412" s="82"/>
      <c r="I412" s="361">
        <v>8398.7499999999982</v>
      </c>
      <c r="J412" s="83" t="s">
        <v>3075</v>
      </c>
      <c r="K412" s="83" t="s">
        <v>3075</v>
      </c>
      <c r="L412" s="284">
        <v>2022</v>
      </c>
      <c r="M412" s="234" t="s">
        <v>1909</v>
      </c>
      <c r="N412" s="234" t="s">
        <v>1910</v>
      </c>
      <c r="O412" s="234" t="s">
        <v>1911</v>
      </c>
      <c r="P412" s="261" t="s">
        <v>3535</v>
      </c>
      <c r="Q412" s="261" t="s">
        <v>3539</v>
      </c>
    </row>
    <row r="413" spans="1:17" ht="15.75" thickBot="1" x14ac:dyDescent="0.3">
      <c r="A413" s="82" t="s">
        <v>4693</v>
      </c>
      <c r="B413" s="82" t="s">
        <v>4693</v>
      </c>
      <c r="C413" s="82" t="str">
        <f t="shared" si="18"/>
        <v>X</v>
      </c>
      <c r="D413" s="83" t="s">
        <v>1654</v>
      </c>
      <c r="E413" s="287">
        <v>3060</v>
      </c>
      <c r="F413" s="85" t="s">
        <v>586</v>
      </c>
      <c r="G413" s="82"/>
      <c r="H413" s="82"/>
      <c r="I413" s="361">
        <v>6640.4800000000005</v>
      </c>
      <c r="J413" s="83" t="s">
        <v>3076</v>
      </c>
      <c r="K413" s="83" t="s">
        <v>3076</v>
      </c>
      <c r="L413" s="284">
        <v>2022</v>
      </c>
      <c r="M413" s="234" t="s">
        <v>1909</v>
      </c>
      <c r="N413" s="234" t="s">
        <v>1910</v>
      </c>
      <c r="O413" s="234" t="s">
        <v>1911</v>
      </c>
      <c r="P413" s="261" t="s">
        <v>3535</v>
      </c>
      <c r="Q413" s="261" t="s">
        <v>3539</v>
      </c>
    </row>
    <row r="414" spans="1:17" ht="15.75" thickBot="1" x14ac:dyDescent="0.3">
      <c r="A414" s="82" t="s">
        <v>4693</v>
      </c>
      <c r="B414" s="82" t="s">
        <v>4693</v>
      </c>
      <c r="C414" s="82" t="str">
        <f t="shared" si="18"/>
        <v>X</v>
      </c>
      <c r="D414" s="83" t="s">
        <v>1654</v>
      </c>
      <c r="E414" s="287">
        <v>86</v>
      </c>
      <c r="F414" s="85" t="s">
        <v>586</v>
      </c>
      <c r="G414" s="82"/>
      <c r="H414" s="82"/>
      <c r="I414" s="361">
        <v>65.33</v>
      </c>
      <c r="J414" s="83" t="s">
        <v>3077</v>
      </c>
      <c r="K414" s="83" t="s">
        <v>3077</v>
      </c>
      <c r="L414" s="284">
        <v>2022</v>
      </c>
      <c r="M414" s="234" t="s">
        <v>1909</v>
      </c>
      <c r="N414" s="234" t="s">
        <v>1910</v>
      </c>
      <c r="O414" s="234" t="s">
        <v>1911</v>
      </c>
      <c r="P414" s="261" t="s">
        <v>3535</v>
      </c>
      <c r="Q414" s="261" t="s">
        <v>3539</v>
      </c>
    </row>
    <row r="415" spans="1:17" ht="15.75" thickBot="1" x14ac:dyDescent="0.3">
      <c r="A415" s="82" t="s">
        <v>4693</v>
      </c>
      <c r="B415" s="82" t="s">
        <v>4693</v>
      </c>
      <c r="C415" s="82" t="str">
        <f t="shared" si="18"/>
        <v>X</v>
      </c>
      <c r="D415" s="83" t="s">
        <v>1681</v>
      </c>
      <c r="E415" s="287">
        <v>1385</v>
      </c>
      <c r="F415" s="85" t="s">
        <v>586</v>
      </c>
      <c r="G415" s="82"/>
      <c r="H415" s="82"/>
      <c r="I415" s="361">
        <v>211098.91</v>
      </c>
      <c r="J415" s="83"/>
      <c r="K415" s="83"/>
      <c r="L415" s="284">
        <v>2022</v>
      </c>
      <c r="M415" s="234" t="s">
        <v>1909</v>
      </c>
      <c r="N415" s="234" t="s">
        <v>1910</v>
      </c>
      <c r="O415" s="234" t="s">
        <v>1911</v>
      </c>
      <c r="P415" s="261" t="s">
        <v>3535</v>
      </c>
      <c r="Q415" s="261" t="s">
        <v>3539</v>
      </c>
    </row>
    <row r="416" spans="1:17" ht="15.75" thickBot="1" x14ac:dyDescent="0.3">
      <c r="A416" s="82" t="s">
        <v>4693</v>
      </c>
      <c r="B416" s="82" t="s">
        <v>4693</v>
      </c>
      <c r="C416" s="82" t="str">
        <f t="shared" si="18"/>
        <v>X</v>
      </c>
      <c r="D416" s="83" t="s">
        <v>1657</v>
      </c>
      <c r="E416" s="287">
        <v>162934.20600000001</v>
      </c>
      <c r="F416" s="85" t="s">
        <v>630</v>
      </c>
      <c r="G416" s="82"/>
      <c r="H416" s="82"/>
      <c r="I416" s="361">
        <v>186425.38999999984</v>
      </c>
      <c r="J416" s="83" t="s">
        <v>3078</v>
      </c>
      <c r="K416" s="83" t="s">
        <v>3078</v>
      </c>
      <c r="L416" s="284">
        <v>2022</v>
      </c>
      <c r="M416" s="234" t="s">
        <v>1909</v>
      </c>
      <c r="N416" s="234" t="s">
        <v>1910</v>
      </c>
      <c r="O416" s="234" t="s">
        <v>1911</v>
      </c>
      <c r="P416" s="261" t="s">
        <v>3535</v>
      </c>
      <c r="Q416" s="261" t="s">
        <v>3539</v>
      </c>
    </row>
    <row r="417" spans="1:17" ht="15.75" thickBot="1" x14ac:dyDescent="0.3">
      <c r="A417" s="82" t="s">
        <v>4693</v>
      </c>
      <c r="B417" s="82" t="s">
        <v>4693</v>
      </c>
      <c r="C417" s="82" t="str">
        <f t="shared" si="18"/>
        <v>X</v>
      </c>
      <c r="D417" s="83" t="s">
        <v>1657</v>
      </c>
      <c r="E417" s="287">
        <v>63</v>
      </c>
      <c r="F417" s="85" t="s">
        <v>586</v>
      </c>
      <c r="G417" s="82"/>
      <c r="H417" s="82"/>
      <c r="I417" s="361">
        <v>1584.26</v>
      </c>
      <c r="J417" s="83"/>
      <c r="K417" s="83"/>
      <c r="L417" s="284">
        <v>2022</v>
      </c>
      <c r="M417" s="234" t="s">
        <v>1909</v>
      </c>
      <c r="N417" s="234" t="s">
        <v>1910</v>
      </c>
      <c r="O417" s="234" t="s">
        <v>1911</v>
      </c>
      <c r="P417" s="261" t="s">
        <v>3535</v>
      </c>
      <c r="Q417" s="261" t="s">
        <v>3539</v>
      </c>
    </row>
    <row r="418" spans="1:17" ht="15.75" thickBot="1" x14ac:dyDescent="0.3">
      <c r="A418" s="82" t="s">
        <v>4693</v>
      </c>
      <c r="B418" s="82" t="s">
        <v>4693</v>
      </c>
      <c r="C418" s="82" t="str">
        <f t="shared" si="18"/>
        <v>X</v>
      </c>
      <c r="D418" s="83" t="s">
        <v>1655</v>
      </c>
      <c r="E418" s="287">
        <v>447</v>
      </c>
      <c r="F418" s="85" t="s">
        <v>586</v>
      </c>
      <c r="G418" s="82"/>
      <c r="H418" s="82"/>
      <c r="I418" s="361">
        <v>97554.950000000041</v>
      </c>
      <c r="J418" s="83"/>
      <c r="K418" s="83"/>
      <c r="L418" s="284">
        <v>2022</v>
      </c>
      <c r="M418" s="234" t="s">
        <v>1909</v>
      </c>
      <c r="N418" s="234" t="s">
        <v>1910</v>
      </c>
      <c r="O418" s="234" t="s">
        <v>1911</v>
      </c>
      <c r="P418" s="261" t="s">
        <v>3535</v>
      </c>
      <c r="Q418" s="261" t="s">
        <v>3539</v>
      </c>
    </row>
    <row r="419" spans="1:17" ht="15.75" thickBot="1" x14ac:dyDescent="0.3">
      <c r="A419" s="82" t="s">
        <v>4693</v>
      </c>
      <c r="B419" s="82" t="s">
        <v>4693</v>
      </c>
      <c r="C419" s="82" t="str">
        <f t="shared" si="18"/>
        <v>X</v>
      </c>
      <c r="D419" s="162" t="s">
        <v>1661</v>
      </c>
      <c r="E419" s="287">
        <v>36</v>
      </c>
      <c r="F419" s="85" t="s">
        <v>586</v>
      </c>
      <c r="G419" s="82"/>
      <c r="H419" s="82"/>
      <c r="I419" s="361">
        <v>2982.63</v>
      </c>
      <c r="J419" s="83" t="s">
        <v>3079</v>
      </c>
      <c r="K419" s="83" t="s">
        <v>3079</v>
      </c>
      <c r="L419" s="284">
        <v>2022</v>
      </c>
      <c r="M419" s="234" t="s">
        <v>1909</v>
      </c>
      <c r="N419" s="234" t="s">
        <v>1910</v>
      </c>
      <c r="O419" s="234" t="s">
        <v>1911</v>
      </c>
      <c r="P419" s="261" t="s">
        <v>3535</v>
      </c>
      <c r="Q419" s="261" t="s">
        <v>3539</v>
      </c>
    </row>
    <row r="420" spans="1:17" ht="15.75" thickBot="1" x14ac:dyDescent="0.3">
      <c r="A420" s="82" t="s">
        <v>4693</v>
      </c>
      <c r="B420" s="82" t="s">
        <v>4693</v>
      </c>
      <c r="C420" s="82" t="str">
        <f t="shared" si="18"/>
        <v>X</v>
      </c>
      <c r="D420" s="162" t="s">
        <v>1661</v>
      </c>
      <c r="E420" s="287">
        <v>457</v>
      </c>
      <c r="F420" s="85" t="s">
        <v>586</v>
      </c>
      <c r="G420" s="82"/>
      <c r="H420" s="82"/>
      <c r="I420" s="361">
        <v>5385.72</v>
      </c>
      <c r="J420" s="83" t="s">
        <v>3080</v>
      </c>
      <c r="K420" s="83" t="s">
        <v>3080</v>
      </c>
      <c r="L420" s="284">
        <v>2022</v>
      </c>
      <c r="M420" s="234" t="s">
        <v>1909</v>
      </c>
      <c r="N420" s="234" t="s">
        <v>1910</v>
      </c>
      <c r="O420" s="234" t="s">
        <v>1911</v>
      </c>
      <c r="P420" s="261" t="s">
        <v>3535</v>
      </c>
      <c r="Q420" s="261" t="s">
        <v>3539</v>
      </c>
    </row>
    <row r="421" spans="1:17" ht="15.75" thickBot="1" x14ac:dyDescent="0.3">
      <c r="A421" s="82" t="s">
        <v>4693</v>
      </c>
      <c r="B421" s="82" t="s">
        <v>4693</v>
      </c>
      <c r="C421" s="82" t="str">
        <f t="shared" si="18"/>
        <v>X</v>
      </c>
      <c r="D421" s="162" t="s">
        <v>1661</v>
      </c>
      <c r="E421" s="287">
        <v>60</v>
      </c>
      <c r="F421" s="85" t="s">
        <v>586</v>
      </c>
      <c r="G421" s="82"/>
      <c r="H421" s="82"/>
      <c r="I421" s="361">
        <v>31650.2</v>
      </c>
      <c r="J421" s="83" t="s">
        <v>3081</v>
      </c>
      <c r="K421" s="83" t="s">
        <v>3081</v>
      </c>
      <c r="L421" s="284">
        <v>2022</v>
      </c>
      <c r="M421" s="234" t="s">
        <v>1909</v>
      </c>
      <c r="N421" s="234" t="s">
        <v>1910</v>
      </c>
      <c r="O421" s="234" t="s">
        <v>1911</v>
      </c>
      <c r="P421" s="261" t="s">
        <v>3535</v>
      </c>
      <c r="Q421" s="261" t="s">
        <v>3539</v>
      </c>
    </row>
    <row r="422" spans="1:17" ht="15.75" thickBot="1" x14ac:dyDescent="0.3">
      <c r="A422" s="82" t="s">
        <v>4693</v>
      </c>
      <c r="B422" s="82" t="s">
        <v>4693</v>
      </c>
      <c r="C422" s="82" t="str">
        <f t="shared" si="18"/>
        <v>X</v>
      </c>
      <c r="D422" s="162" t="s">
        <v>1661</v>
      </c>
      <c r="E422" s="287">
        <v>228</v>
      </c>
      <c r="F422" s="85" t="s">
        <v>586</v>
      </c>
      <c r="G422" s="82"/>
      <c r="H422" s="82"/>
      <c r="I422" s="361">
        <v>156124.98000000001</v>
      </c>
      <c r="J422" s="83" t="s">
        <v>3082</v>
      </c>
      <c r="K422" s="83" t="s">
        <v>3082</v>
      </c>
      <c r="L422" s="284">
        <v>2022</v>
      </c>
      <c r="M422" s="234" t="s">
        <v>1909</v>
      </c>
      <c r="N422" s="234" t="s">
        <v>1910</v>
      </c>
      <c r="O422" s="234" t="s">
        <v>1911</v>
      </c>
      <c r="P422" s="261" t="s">
        <v>3535</v>
      </c>
      <c r="Q422" s="261" t="s">
        <v>3539</v>
      </c>
    </row>
    <row r="423" spans="1:17" ht="15.75" thickBot="1" x14ac:dyDescent="0.3">
      <c r="A423" s="82" t="s">
        <v>4705</v>
      </c>
      <c r="B423" s="82" t="s">
        <v>4705</v>
      </c>
      <c r="C423" s="82" t="str">
        <f t="shared" si="18"/>
        <v>X</v>
      </c>
      <c r="D423" s="83" t="s">
        <v>1661</v>
      </c>
      <c r="I423" s="361">
        <v>7350000</v>
      </c>
      <c r="J423" s="83" t="s">
        <v>3562</v>
      </c>
      <c r="L423" s="284">
        <v>2022</v>
      </c>
      <c r="M423" s="234" t="s">
        <v>1909</v>
      </c>
      <c r="N423" s="299" t="s">
        <v>1910</v>
      </c>
      <c r="O423" s="234" t="s">
        <v>1911</v>
      </c>
      <c r="P423" s="261" t="s">
        <v>3535</v>
      </c>
      <c r="Q423" s="261" t="s">
        <v>3539</v>
      </c>
    </row>
    <row r="424" spans="1:17" ht="15.75" thickBot="1" x14ac:dyDescent="0.3">
      <c r="A424" s="82" t="s">
        <v>4705</v>
      </c>
      <c r="B424" s="82" t="s">
        <v>4705</v>
      </c>
      <c r="C424" s="82" t="str">
        <f t="shared" ref="C424:C476" si="19">IF(A424=B424,"X",RIGHT(A424,LEN(A424)-LEN(B424)-3))</f>
        <v>X</v>
      </c>
      <c r="D424" s="83" t="s">
        <v>1661</v>
      </c>
      <c r="I424" s="361">
        <v>378258.92000000004</v>
      </c>
      <c r="J424" s="83" t="s">
        <v>3563</v>
      </c>
      <c r="L424" s="284">
        <v>2022</v>
      </c>
      <c r="M424" s="234" t="s">
        <v>1909</v>
      </c>
      <c r="N424" s="299" t="s">
        <v>1910</v>
      </c>
      <c r="O424" s="234" t="s">
        <v>1911</v>
      </c>
      <c r="P424" s="261" t="s">
        <v>3535</v>
      </c>
      <c r="Q424" s="261" t="s">
        <v>3539</v>
      </c>
    </row>
    <row r="425" spans="1:17" ht="15.75" thickBot="1" x14ac:dyDescent="0.3">
      <c r="A425" s="82" t="s">
        <v>4705</v>
      </c>
      <c r="B425" s="82" t="s">
        <v>4705</v>
      </c>
      <c r="C425" s="82" t="str">
        <f t="shared" si="19"/>
        <v>X</v>
      </c>
      <c r="D425" s="83" t="s">
        <v>1661</v>
      </c>
      <c r="I425" s="361">
        <v>40612.600000000013</v>
      </c>
      <c r="J425" s="83" t="s">
        <v>3564</v>
      </c>
      <c r="L425" s="284">
        <v>2022</v>
      </c>
      <c r="M425" s="234" t="s">
        <v>1909</v>
      </c>
      <c r="N425" s="299" t="s">
        <v>1910</v>
      </c>
      <c r="O425" s="234" t="s">
        <v>1911</v>
      </c>
      <c r="P425" s="261" t="s">
        <v>3535</v>
      </c>
      <c r="Q425" s="261" t="s">
        <v>3539</v>
      </c>
    </row>
    <row r="426" spans="1:17" ht="15.75" thickBot="1" x14ac:dyDescent="0.3">
      <c r="A426" s="82" t="s">
        <v>4705</v>
      </c>
      <c r="B426" s="82" t="s">
        <v>4705</v>
      </c>
      <c r="C426" s="82" t="str">
        <f t="shared" si="19"/>
        <v>X</v>
      </c>
      <c r="D426" s="83" t="s">
        <v>1661</v>
      </c>
      <c r="I426" s="361">
        <v>19307.949999999986</v>
      </c>
      <c r="J426" s="83" t="s">
        <v>3565</v>
      </c>
      <c r="L426" s="284">
        <v>2022</v>
      </c>
      <c r="M426" s="234" t="s">
        <v>1909</v>
      </c>
      <c r="N426" s="299" t="s">
        <v>1910</v>
      </c>
      <c r="O426" s="234" t="s">
        <v>1911</v>
      </c>
      <c r="P426" s="261" t="s">
        <v>3535</v>
      </c>
      <c r="Q426" s="261" t="s">
        <v>3539</v>
      </c>
    </row>
    <row r="427" spans="1:17" ht="15.75" thickBot="1" x14ac:dyDescent="0.3">
      <c r="A427" s="82" t="s">
        <v>4705</v>
      </c>
      <c r="B427" s="82" t="s">
        <v>4705</v>
      </c>
      <c r="C427" s="82" t="str">
        <f t="shared" si="19"/>
        <v>X</v>
      </c>
      <c r="D427" s="83" t="s">
        <v>1661</v>
      </c>
      <c r="I427" s="361">
        <v>515420.78999999992</v>
      </c>
      <c r="J427" s="83" t="s">
        <v>3566</v>
      </c>
      <c r="L427" s="284">
        <v>2022</v>
      </c>
      <c r="M427" s="234" t="s">
        <v>1909</v>
      </c>
      <c r="N427" s="299" t="s">
        <v>1910</v>
      </c>
      <c r="O427" s="234" t="s">
        <v>1911</v>
      </c>
      <c r="P427" s="261" t="s">
        <v>3535</v>
      </c>
      <c r="Q427" s="261" t="s">
        <v>3539</v>
      </c>
    </row>
    <row r="428" spans="1:17" ht="15.75" thickBot="1" x14ac:dyDescent="0.3">
      <c r="A428" s="82" t="s">
        <v>4705</v>
      </c>
      <c r="B428" s="82" t="s">
        <v>4705</v>
      </c>
      <c r="C428" s="82" t="str">
        <f t="shared" si="19"/>
        <v>X</v>
      </c>
      <c r="D428" s="83" t="s">
        <v>1661</v>
      </c>
      <c r="I428" s="361">
        <v>752843.5199999999</v>
      </c>
      <c r="J428" s="83" t="s">
        <v>3567</v>
      </c>
      <c r="L428" s="284">
        <v>2022</v>
      </c>
      <c r="M428" s="234" t="s">
        <v>1909</v>
      </c>
      <c r="N428" s="299" t="s">
        <v>1910</v>
      </c>
      <c r="O428" s="234" t="s">
        <v>1911</v>
      </c>
      <c r="P428" s="261" t="s">
        <v>3535</v>
      </c>
      <c r="Q428" s="261" t="s">
        <v>3539</v>
      </c>
    </row>
    <row r="429" spans="1:17" ht="15.75" thickBot="1" x14ac:dyDescent="0.3">
      <c r="A429" s="82" t="s">
        <v>4705</v>
      </c>
      <c r="B429" s="82" t="s">
        <v>4705</v>
      </c>
      <c r="C429" s="82" t="str">
        <f t="shared" si="19"/>
        <v>X</v>
      </c>
      <c r="D429" s="83" t="s">
        <v>1661</v>
      </c>
      <c r="I429" s="361">
        <v>215362.24</v>
      </c>
      <c r="J429" s="83" t="s">
        <v>3568</v>
      </c>
      <c r="L429" s="284">
        <v>2022</v>
      </c>
      <c r="M429" s="234" t="s">
        <v>1909</v>
      </c>
      <c r="N429" s="299" t="s">
        <v>1910</v>
      </c>
      <c r="O429" s="234" t="s">
        <v>1911</v>
      </c>
      <c r="P429" s="261" t="s">
        <v>3535</v>
      </c>
      <c r="Q429" s="261" t="s">
        <v>3539</v>
      </c>
    </row>
    <row r="430" spans="1:17" ht="15.75" thickBot="1" x14ac:dyDescent="0.3">
      <c r="A430" s="82" t="s">
        <v>4705</v>
      </c>
      <c r="B430" s="82" t="s">
        <v>4705</v>
      </c>
      <c r="C430" s="82" t="str">
        <f t="shared" si="19"/>
        <v>X</v>
      </c>
      <c r="D430" s="83" t="s">
        <v>1661</v>
      </c>
      <c r="I430" s="361">
        <v>489419.75999999995</v>
      </c>
      <c r="J430" s="83" t="s">
        <v>3569</v>
      </c>
      <c r="L430" s="284">
        <v>2022</v>
      </c>
      <c r="M430" s="234" t="s">
        <v>1909</v>
      </c>
      <c r="N430" s="299" t="s">
        <v>1910</v>
      </c>
      <c r="O430" s="234" t="s">
        <v>1911</v>
      </c>
      <c r="P430" s="261" t="s">
        <v>3535</v>
      </c>
      <c r="Q430" s="261" t="s">
        <v>3539</v>
      </c>
    </row>
    <row r="431" spans="1:17" ht="15.75" thickBot="1" x14ac:dyDescent="0.3">
      <c r="A431" s="82" t="s">
        <v>4705</v>
      </c>
      <c r="B431" s="82" t="s">
        <v>4705</v>
      </c>
      <c r="C431" s="82" t="str">
        <f t="shared" si="19"/>
        <v>X</v>
      </c>
      <c r="D431" s="83" t="s">
        <v>1661</v>
      </c>
      <c r="I431" s="361">
        <v>384587.45999999996</v>
      </c>
      <c r="J431" s="83" t="s">
        <v>3570</v>
      </c>
      <c r="L431" s="284">
        <v>2022</v>
      </c>
      <c r="M431" s="234" t="s">
        <v>1909</v>
      </c>
      <c r="N431" s="299" t="s">
        <v>1910</v>
      </c>
      <c r="O431" s="234" t="s">
        <v>1911</v>
      </c>
      <c r="P431" s="261" t="s">
        <v>3535</v>
      </c>
      <c r="Q431" s="261" t="s">
        <v>3539</v>
      </c>
    </row>
    <row r="432" spans="1:17" ht="15.75" thickBot="1" x14ac:dyDescent="0.3">
      <c r="A432" s="82" t="s">
        <v>4705</v>
      </c>
      <c r="B432" s="82" t="s">
        <v>4705</v>
      </c>
      <c r="C432" s="82" t="str">
        <f t="shared" si="19"/>
        <v>X</v>
      </c>
      <c r="D432" s="83" t="s">
        <v>1661</v>
      </c>
      <c r="I432" s="361">
        <v>977824.06</v>
      </c>
      <c r="J432" s="83" t="s">
        <v>3571</v>
      </c>
      <c r="L432" s="284">
        <v>2022</v>
      </c>
      <c r="M432" s="234" t="s">
        <v>1909</v>
      </c>
      <c r="N432" s="299" t="s">
        <v>1910</v>
      </c>
      <c r="O432" s="234" t="s">
        <v>1911</v>
      </c>
      <c r="P432" s="261" t="s">
        <v>3535</v>
      </c>
      <c r="Q432" s="261" t="s">
        <v>3539</v>
      </c>
    </row>
    <row r="433" spans="1:17" ht="15.75" thickBot="1" x14ac:dyDescent="0.3">
      <c r="A433" s="82" t="s">
        <v>4705</v>
      </c>
      <c r="B433" s="82" t="s">
        <v>4705</v>
      </c>
      <c r="C433" s="82" t="str">
        <f t="shared" si="19"/>
        <v>X</v>
      </c>
      <c r="D433" s="83" t="s">
        <v>1661</v>
      </c>
      <c r="I433" s="361">
        <v>648000</v>
      </c>
      <c r="J433" s="83" t="s">
        <v>3572</v>
      </c>
      <c r="L433" s="284">
        <v>2022</v>
      </c>
      <c r="M433" s="234" t="s">
        <v>1909</v>
      </c>
      <c r="N433" s="299" t="s">
        <v>1910</v>
      </c>
      <c r="O433" s="234" t="s">
        <v>1911</v>
      </c>
      <c r="P433" s="261" t="s">
        <v>3535</v>
      </c>
      <c r="Q433" s="261" t="s">
        <v>3539</v>
      </c>
    </row>
    <row r="434" spans="1:17" ht="15.75" thickBot="1" x14ac:dyDescent="0.3">
      <c r="A434" s="82" t="s">
        <v>4705</v>
      </c>
      <c r="B434" s="82" t="s">
        <v>4705</v>
      </c>
      <c r="C434" s="82" t="str">
        <f t="shared" si="19"/>
        <v>X</v>
      </c>
      <c r="D434" s="83" t="s">
        <v>1661</v>
      </c>
      <c r="I434" s="361">
        <v>99000</v>
      </c>
      <c r="J434" s="83" t="s">
        <v>3573</v>
      </c>
      <c r="L434" s="284">
        <v>2022</v>
      </c>
      <c r="M434" s="234" t="s">
        <v>1909</v>
      </c>
      <c r="N434" s="299" t="s">
        <v>1910</v>
      </c>
      <c r="O434" s="234" t="s">
        <v>1911</v>
      </c>
      <c r="P434" s="261" t="s">
        <v>3535</v>
      </c>
      <c r="Q434" s="261" t="s">
        <v>3539</v>
      </c>
    </row>
    <row r="435" spans="1:17" ht="15.75" thickBot="1" x14ac:dyDescent="0.3">
      <c r="A435" s="82" t="s">
        <v>4705</v>
      </c>
      <c r="B435" s="82" t="s">
        <v>4705</v>
      </c>
      <c r="C435" s="82" t="str">
        <f t="shared" si="19"/>
        <v>X</v>
      </c>
      <c r="D435" s="83" t="s">
        <v>1661</v>
      </c>
      <c r="I435" s="361">
        <v>691861.25999999989</v>
      </c>
      <c r="J435" s="83" t="s">
        <v>3574</v>
      </c>
      <c r="L435" s="284">
        <v>2022</v>
      </c>
      <c r="M435" s="234" t="s">
        <v>1909</v>
      </c>
      <c r="N435" s="299" t="s">
        <v>1910</v>
      </c>
      <c r="O435" s="234" t="s">
        <v>1911</v>
      </c>
      <c r="P435" s="261" t="s">
        <v>3535</v>
      </c>
      <c r="Q435" s="261" t="s">
        <v>3539</v>
      </c>
    </row>
    <row r="436" spans="1:17" ht="15.75" thickBot="1" x14ac:dyDescent="0.3">
      <c r="A436" s="82" t="s">
        <v>4705</v>
      </c>
      <c r="B436" s="82" t="s">
        <v>4705</v>
      </c>
      <c r="C436" s="82" t="str">
        <f t="shared" si="19"/>
        <v>X</v>
      </c>
      <c r="D436" s="83" t="s">
        <v>1661</v>
      </c>
      <c r="I436" s="361">
        <v>391675.68000000011</v>
      </c>
      <c r="J436" s="83" t="s">
        <v>3575</v>
      </c>
      <c r="L436" s="284">
        <v>2022</v>
      </c>
      <c r="M436" s="234" t="s">
        <v>1909</v>
      </c>
      <c r="N436" s="299" t="s">
        <v>1910</v>
      </c>
      <c r="O436" s="234" t="s">
        <v>1911</v>
      </c>
      <c r="P436" s="261" t="s">
        <v>3535</v>
      </c>
      <c r="Q436" s="261" t="s">
        <v>3539</v>
      </c>
    </row>
    <row r="437" spans="1:17" ht="15.75" thickBot="1" x14ac:dyDescent="0.3">
      <c r="A437" s="82" t="s">
        <v>4705</v>
      </c>
      <c r="B437" s="82" t="s">
        <v>4705</v>
      </c>
      <c r="C437" s="82" t="str">
        <f t="shared" si="19"/>
        <v>X</v>
      </c>
      <c r="D437" s="83" t="s">
        <v>1661</v>
      </c>
      <c r="I437" s="361">
        <v>429531.96000000014</v>
      </c>
      <c r="J437" s="83" t="s">
        <v>3576</v>
      </c>
      <c r="L437" s="284">
        <v>2022</v>
      </c>
      <c r="M437" s="234" t="s">
        <v>1909</v>
      </c>
      <c r="N437" s="299" t="s">
        <v>1910</v>
      </c>
      <c r="O437" s="234" t="s">
        <v>1911</v>
      </c>
      <c r="P437" s="261" t="s">
        <v>3535</v>
      </c>
      <c r="Q437" s="261" t="s">
        <v>3539</v>
      </c>
    </row>
    <row r="438" spans="1:17" ht="15.75" thickBot="1" x14ac:dyDescent="0.3">
      <c r="A438" s="82" t="s">
        <v>4705</v>
      </c>
      <c r="B438" s="82" t="s">
        <v>4705</v>
      </c>
      <c r="C438" s="82" t="str">
        <f t="shared" si="19"/>
        <v>X</v>
      </c>
      <c r="D438" s="83" t="s">
        <v>1661</v>
      </c>
      <c r="I438" s="361">
        <v>16587.760000000002</v>
      </c>
      <c r="J438" s="83" t="s">
        <v>3577</v>
      </c>
      <c r="L438" s="284">
        <v>2022</v>
      </c>
      <c r="M438" s="234" t="s">
        <v>1909</v>
      </c>
      <c r="N438" s="299" t="s">
        <v>1910</v>
      </c>
      <c r="O438" s="234" t="s">
        <v>1911</v>
      </c>
      <c r="P438" s="261" t="s">
        <v>3535</v>
      </c>
      <c r="Q438" s="261" t="s">
        <v>3539</v>
      </c>
    </row>
    <row r="439" spans="1:17" ht="15.75" thickBot="1" x14ac:dyDescent="0.3">
      <c r="A439" s="82" t="s">
        <v>4705</v>
      </c>
      <c r="B439" s="82" t="s">
        <v>4705</v>
      </c>
      <c r="C439" s="82" t="str">
        <f t="shared" si="19"/>
        <v>X</v>
      </c>
      <c r="D439" s="83" t="s">
        <v>1661</v>
      </c>
      <c r="I439" s="361">
        <v>-34115.839999999997</v>
      </c>
      <c r="J439" s="83" t="s">
        <v>3578</v>
      </c>
      <c r="L439" s="284">
        <v>2022</v>
      </c>
      <c r="M439" s="234" t="s">
        <v>1909</v>
      </c>
      <c r="N439" s="299" t="s">
        <v>1910</v>
      </c>
      <c r="O439" s="234" t="s">
        <v>1911</v>
      </c>
      <c r="P439" s="261" t="s">
        <v>3535</v>
      </c>
      <c r="Q439" s="261" t="s">
        <v>3539</v>
      </c>
    </row>
    <row r="440" spans="1:17" ht="15.75" thickBot="1" x14ac:dyDescent="0.3">
      <c r="A440" s="82" t="s">
        <v>4705</v>
      </c>
      <c r="B440" s="82" t="s">
        <v>4705</v>
      </c>
      <c r="C440" s="82" t="str">
        <f t="shared" si="19"/>
        <v>X</v>
      </c>
      <c r="D440" s="83" t="s">
        <v>1661</v>
      </c>
      <c r="I440" s="361">
        <v>212336.26</v>
      </c>
      <c r="J440" s="83" t="s">
        <v>3579</v>
      </c>
      <c r="L440" s="284">
        <v>2022</v>
      </c>
      <c r="M440" s="234" t="s">
        <v>1909</v>
      </c>
      <c r="N440" s="299" t="s">
        <v>1910</v>
      </c>
      <c r="O440" s="234" t="s">
        <v>1911</v>
      </c>
      <c r="P440" s="261" t="s">
        <v>3535</v>
      </c>
      <c r="Q440" s="261" t="s">
        <v>3539</v>
      </c>
    </row>
    <row r="441" spans="1:17" ht="15.75" thickBot="1" x14ac:dyDescent="0.3">
      <c r="A441" s="82" t="s">
        <v>4705</v>
      </c>
      <c r="B441" s="82" t="s">
        <v>4705</v>
      </c>
      <c r="C441" s="82" t="str">
        <f t="shared" si="19"/>
        <v>X</v>
      </c>
      <c r="D441" s="83" t="s">
        <v>1661</v>
      </c>
      <c r="I441" s="361">
        <v>29157.9</v>
      </c>
      <c r="J441" s="83" t="s">
        <v>3580</v>
      </c>
      <c r="L441" s="284">
        <v>2022</v>
      </c>
      <c r="M441" s="234" t="s">
        <v>1909</v>
      </c>
      <c r="N441" s="299" t="s">
        <v>1910</v>
      </c>
      <c r="O441" s="234" t="s">
        <v>1911</v>
      </c>
      <c r="P441" s="261" t="s">
        <v>3535</v>
      </c>
      <c r="Q441" s="261" t="s">
        <v>3539</v>
      </c>
    </row>
    <row r="442" spans="1:17" ht="15.75" thickBot="1" x14ac:dyDescent="0.3">
      <c r="A442" s="82" t="s">
        <v>4705</v>
      </c>
      <c r="B442" s="82" t="s">
        <v>4705</v>
      </c>
      <c r="C442" s="82" t="str">
        <f t="shared" si="19"/>
        <v>X</v>
      </c>
      <c r="D442" s="83" t="s">
        <v>1661</v>
      </c>
      <c r="I442" s="361">
        <v>30357.429999999997</v>
      </c>
      <c r="J442" s="83" t="s">
        <v>3581</v>
      </c>
      <c r="L442" s="284">
        <v>2022</v>
      </c>
      <c r="M442" s="234" t="s">
        <v>1909</v>
      </c>
      <c r="N442" s="299" t="s">
        <v>1910</v>
      </c>
      <c r="O442" s="234" t="s">
        <v>1911</v>
      </c>
      <c r="P442" s="261" t="s">
        <v>3535</v>
      </c>
      <c r="Q442" s="261" t="s">
        <v>3539</v>
      </c>
    </row>
    <row r="443" spans="1:17" ht="15.75" thickBot="1" x14ac:dyDescent="0.3">
      <c r="A443" s="82" t="s">
        <v>4705</v>
      </c>
      <c r="B443" s="82" t="s">
        <v>4705</v>
      </c>
      <c r="C443" s="82" t="str">
        <f t="shared" si="19"/>
        <v>X</v>
      </c>
      <c r="D443" s="83" t="s">
        <v>1661</v>
      </c>
      <c r="I443" s="361">
        <v>6391.75</v>
      </c>
      <c r="J443" s="83" t="s">
        <v>3582</v>
      </c>
      <c r="L443" s="284">
        <v>2022</v>
      </c>
      <c r="M443" s="234" t="s">
        <v>1909</v>
      </c>
      <c r="N443" s="299" t="s">
        <v>1910</v>
      </c>
      <c r="O443" s="234" t="s">
        <v>1911</v>
      </c>
      <c r="P443" s="261" t="s">
        <v>3535</v>
      </c>
      <c r="Q443" s="261" t="s">
        <v>3539</v>
      </c>
    </row>
    <row r="444" spans="1:17" ht="15.75" thickBot="1" x14ac:dyDescent="0.3">
      <c r="A444" s="82" t="s">
        <v>4705</v>
      </c>
      <c r="B444" s="82" t="s">
        <v>4705</v>
      </c>
      <c r="C444" s="82" t="str">
        <f t="shared" si="19"/>
        <v>X</v>
      </c>
      <c r="D444" s="83" t="s">
        <v>1661</v>
      </c>
      <c r="I444" s="361">
        <v>2594.5</v>
      </c>
      <c r="J444" s="83" t="s">
        <v>3583</v>
      </c>
      <c r="L444" s="284">
        <v>2022</v>
      </c>
      <c r="M444" s="234" t="s">
        <v>1909</v>
      </c>
      <c r="N444" s="299" t="s">
        <v>1910</v>
      </c>
      <c r="O444" s="234" t="s">
        <v>1911</v>
      </c>
      <c r="P444" s="261" t="s">
        <v>3535</v>
      </c>
      <c r="Q444" s="261" t="s">
        <v>3539</v>
      </c>
    </row>
    <row r="445" spans="1:17" ht="15.75" thickBot="1" x14ac:dyDescent="0.3">
      <c r="A445" s="82" t="s">
        <v>4705</v>
      </c>
      <c r="B445" s="82" t="s">
        <v>4705</v>
      </c>
      <c r="C445" s="82" t="str">
        <f t="shared" si="19"/>
        <v>X</v>
      </c>
      <c r="D445" s="83" t="s">
        <v>1661</v>
      </c>
      <c r="I445" s="361">
        <v>13.54</v>
      </c>
      <c r="J445" s="83" t="s">
        <v>3584</v>
      </c>
      <c r="L445" s="284">
        <v>2022</v>
      </c>
      <c r="M445" s="234" t="s">
        <v>1909</v>
      </c>
      <c r="N445" s="299" t="s">
        <v>1910</v>
      </c>
      <c r="O445" s="234" t="s">
        <v>1911</v>
      </c>
      <c r="P445" s="261" t="s">
        <v>3535</v>
      </c>
      <c r="Q445" s="261" t="s">
        <v>3539</v>
      </c>
    </row>
    <row r="446" spans="1:17" ht="15.75" thickBot="1" x14ac:dyDescent="0.3">
      <c r="A446" s="82" t="s">
        <v>4705</v>
      </c>
      <c r="B446" s="82" t="s">
        <v>4705</v>
      </c>
      <c r="C446" s="82" t="str">
        <f t="shared" si="19"/>
        <v>X</v>
      </c>
      <c r="D446" s="83" t="s">
        <v>1661</v>
      </c>
      <c r="I446" s="361">
        <v>6137.62</v>
      </c>
      <c r="J446" s="83" t="s">
        <v>3585</v>
      </c>
      <c r="L446" s="284">
        <v>2022</v>
      </c>
      <c r="M446" s="234" t="s">
        <v>1909</v>
      </c>
      <c r="N446" s="299" t="s">
        <v>1910</v>
      </c>
      <c r="O446" s="234" t="s">
        <v>1911</v>
      </c>
      <c r="P446" s="261" t="s">
        <v>3535</v>
      </c>
      <c r="Q446" s="261" t="s">
        <v>3539</v>
      </c>
    </row>
    <row r="447" spans="1:17" ht="15.75" thickBot="1" x14ac:dyDescent="0.3">
      <c r="A447" s="82" t="s">
        <v>4705</v>
      </c>
      <c r="B447" s="82" t="s">
        <v>4705</v>
      </c>
      <c r="C447" s="82" t="str">
        <f t="shared" si="19"/>
        <v>X</v>
      </c>
      <c r="D447" s="83" t="s">
        <v>1661</v>
      </c>
      <c r="I447" s="361">
        <v>61621.67</v>
      </c>
      <c r="J447" s="83" t="s">
        <v>3586</v>
      </c>
      <c r="L447" s="284">
        <v>2022</v>
      </c>
      <c r="M447" s="234" t="s">
        <v>1909</v>
      </c>
      <c r="N447" s="299" t="s">
        <v>1910</v>
      </c>
      <c r="O447" s="234" t="s">
        <v>1911</v>
      </c>
      <c r="P447" s="261" t="s">
        <v>3535</v>
      </c>
      <c r="Q447" s="261" t="s">
        <v>3539</v>
      </c>
    </row>
    <row r="448" spans="1:17" ht="15.75" thickBot="1" x14ac:dyDescent="0.3">
      <c r="A448" s="82" t="s">
        <v>4705</v>
      </c>
      <c r="B448" s="82" t="s">
        <v>4705</v>
      </c>
      <c r="C448" s="82" t="str">
        <f t="shared" si="19"/>
        <v>X</v>
      </c>
      <c r="D448" s="83" t="s">
        <v>3003</v>
      </c>
      <c r="I448" s="361">
        <v>45941.06</v>
      </c>
      <c r="J448" s="83" t="s">
        <v>3587</v>
      </c>
      <c r="L448" s="284">
        <v>2022</v>
      </c>
      <c r="M448" s="234" t="s">
        <v>1909</v>
      </c>
      <c r="N448" s="299" t="s">
        <v>1910</v>
      </c>
      <c r="O448" s="234" t="s">
        <v>1911</v>
      </c>
      <c r="P448" s="261" t="s">
        <v>3535</v>
      </c>
      <c r="Q448" s="261" t="s">
        <v>3539</v>
      </c>
    </row>
    <row r="449" spans="1:17" ht="15.75" thickBot="1" x14ac:dyDescent="0.3">
      <c r="A449" s="82" t="s">
        <v>4705</v>
      </c>
      <c r="B449" s="82" t="s">
        <v>4705</v>
      </c>
      <c r="C449" s="82" t="str">
        <f t="shared" si="19"/>
        <v>X</v>
      </c>
      <c r="D449" s="83" t="s">
        <v>3003</v>
      </c>
      <c r="I449" s="361">
        <v>37854.86</v>
      </c>
      <c r="J449" s="83" t="s">
        <v>3588</v>
      </c>
      <c r="L449" s="284">
        <v>2022</v>
      </c>
      <c r="M449" s="234" t="s">
        <v>1909</v>
      </c>
      <c r="N449" s="299" t="s">
        <v>1910</v>
      </c>
      <c r="O449" s="234" t="s">
        <v>1911</v>
      </c>
      <c r="P449" s="261" t="s">
        <v>3535</v>
      </c>
      <c r="Q449" s="261" t="s">
        <v>3539</v>
      </c>
    </row>
    <row r="450" spans="1:17" ht="15.75" thickBot="1" x14ac:dyDescent="0.3">
      <c r="A450" s="82" t="s">
        <v>4705</v>
      </c>
      <c r="B450" s="82" t="s">
        <v>4705</v>
      </c>
      <c r="C450" s="82" t="str">
        <f t="shared" si="19"/>
        <v>X</v>
      </c>
      <c r="D450" s="83" t="s">
        <v>3003</v>
      </c>
      <c r="I450" s="361">
        <v>7341.8899999999985</v>
      </c>
      <c r="J450" s="83" t="s">
        <v>3589</v>
      </c>
      <c r="L450" s="284">
        <v>2022</v>
      </c>
      <c r="M450" s="234" t="s">
        <v>1909</v>
      </c>
      <c r="N450" s="299" t="s">
        <v>1910</v>
      </c>
      <c r="O450" s="234" t="s">
        <v>1911</v>
      </c>
      <c r="P450" s="261" t="s">
        <v>3535</v>
      </c>
      <c r="Q450" s="261" t="s">
        <v>3539</v>
      </c>
    </row>
    <row r="451" spans="1:17" ht="15.75" thickBot="1" x14ac:dyDescent="0.3">
      <c r="A451" s="82" t="s">
        <v>4705</v>
      </c>
      <c r="B451" s="82" t="s">
        <v>4705</v>
      </c>
      <c r="C451" s="82" t="str">
        <f t="shared" si="19"/>
        <v>X</v>
      </c>
      <c r="D451" s="83" t="s">
        <v>3003</v>
      </c>
      <c r="I451" s="361">
        <v>6600</v>
      </c>
      <c r="J451" s="83" t="s">
        <v>3590</v>
      </c>
      <c r="L451" s="284">
        <v>2022</v>
      </c>
      <c r="M451" s="234" t="s">
        <v>1909</v>
      </c>
      <c r="N451" s="299" t="s">
        <v>1910</v>
      </c>
      <c r="O451" s="234" t="s">
        <v>1911</v>
      </c>
      <c r="P451" s="261" t="s">
        <v>3535</v>
      </c>
      <c r="Q451" s="261" t="s">
        <v>3539</v>
      </c>
    </row>
    <row r="452" spans="1:17" ht="15.75" thickBot="1" x14ac:dyDescent="0.3">
      <c r="A452" s="82" t="s">
        <v>4705</v>
      </c>
      <c r="B452" s="82" t="s">
        <v>4705</v>
      </c>
      <c r="C452" s="82" t="str">
        <f t="shared" si="19"/>
        <v>X</v>
      </c>
      <c r="D452" s="83" t="s">
        <v>3003</v>
      </c>
      <c r="I452" s="361">
        <v>33.67</v>
      </c>
      <c r="J452" s="83" t="s">
        <v>3591</v>
      </c>
      <c r="L452" s="284">
        <v>2022</v>
      </c>
      <c r="M452" s="234" t="s">
        <v>1909</v>
      </c>
      <c r="N452" s="299" t="s">
        <v>1910</v>
      </c>
      <c r="O452" s="234" t="s">
        <v>1911</v>
      </c>
      <c r="P452" s="261" t="s">
        <v>3535</v>
      </c>
      <c r="Q452" s="261" t="s">
        <v>3539</v>
      </c>
    </row>
    <row r="453" spans="1:17" ht="15.75" thickBot="1" x14ac:dyDescent="0.3">
      <c r="A453" s="82" t="s">
        <v>4705</v>
      </c>
      <c r="B453" s="82" t="s">
        <v>4705</v>
      </c>
      <c r="C453" s="82" t="str">
        <f t="shared" si="19"/>
        <v>X</v>
      </c>
      <c r="D453" s="83" t="s">
        <v>3003</v>
      </c>
      <c r="I453" s="361">
        <v>169139.93</v>
      </c>
      <c r="J453" s="83" t="s">
        <v>3592</v>
      </c>
      <c r="L453" s="284">
        <v>2022</v>
      </c>
      <c r="M453" s="234" t="s">
        <v>1909</v>
      </c>
      <c r="N453" s="299" t="s">
        <v>1910</v>
      </c>
      <c r="O453" s="234" t="s">
        <v>1911</v>
      </c>
      <c r="P453" s="261" t="s">
        <v>3535</v>
      </c>
      <c r="Q453" s="261" t="s">
        <v>3539</v>
      </c>
    </row>
    <row r="454" spans="1:17" ht="15.75" thickBot="1" x14ac:dyDescent="0.3">
      <c r="A454" s="82" t="s">
        <v>4705</v>
      </c>
      <c r="B454" s="82" t="s">
        <v>4705</v>
      </c>
      <c r="C454" s="82" t="str">
        <f t="shared" si="19"/>
        <v>X</v>
      </c>
      <c r="D454" s="83" t="s">
        <v>1661</v>
      </c>
      <c r="I454" s="361">
        <v>36992.04</v>
      </c>
      <c r="J454" s="83" t="s">
        <v>3593</v>
      </c>
      <c r="L454" s="284">
        <v>2022</v>
      </c>
      <c r="M454" s="234" t="s">
        <v>1909</v>
      </c>
      <c r="N454" s="299" t="s">
        <v>1910</v>
      </c>
      <c r="O454" s="234" t="s">
        <v>1911</v>
      </c>
      <c r="P454" s="261" t="s">
        <v>3535</v>
      </c>
      <c r="Q454" s="261" t="s">
        <v>3539</v>
      </c>
    </row>
    <row r="455" spans="1:17" ht="15.75" thickBot="1" x14ac:dyDescent="0.3">
      <c r="A455" s="82" t="s">
        <v>4705</v>
      </c>
      <c r="B455" s="82" t="s">
        <v>4705</v>
      </c>
      <c r="C455" s="82" t="str">
        <f t="shared" si="19"/>
        <v>X</v>
      </c>
      <c r="D455" s="83" t="s">
        <v>1661</v>
      </c>
      <c r="I455" s="361">
        <v>237273.28</v>
      </c>
      <c r="J455" s="83" t="s">
        <v>3594</v>
      </c>
      <c r="L455" s="284">
        <v>2022</v>
      </c>
      <c r="M455" s="234" t="s">
        <v>1909</v>
      </c>
      <c r="N455" s="299" t="s">
        <v>1910</v>
      </c>
      <c r="O455" s="234" t="s">
        <v>1911</v>
      </c>
      <c r="P455" s="261" t="s">
        <v>3535</v>
      </c>
      <c r="Q455" s="261" t="s">
        <v>3539</v>
      </c>
    </row>
    <row r="456" spans="1:17" ht="15.75" thickBot="1" x14ac:dyDescent="0.3">
      <c r="A456" s="82" t="s">
        <v>4705</v>
      </c>
      <c r="B456" s="82" t="s">
        <v>4705</v>
      </c>
      <c r="C456" s="82" t="str">
        <f t="shared" si="19"/>
        <v>X</v>
      </c>
      <c r="D456" s="83" t="s">
        <v>1661</v>
      </c>
      <c r="I456" s="361">
        <v>223266.74</v>
      </c>
      <c r="J456" s="83" t="s">
        <v>3595</v>
      </c>
      <c r="L456" s="284">
        <v>2022</v>
      </c>
      <c r="M456" s="234" t="s">
        <v>1909</v>
      </c>
      <c r="N456" s="299" t="s">
        <v>1910</v>
      </c>
      <c r="O456" s="234" t="s">
        <v>1911</v>
      </c>
      <c r="P456" s="261" t="s">
        <v>3535</v>
      </c>
      <c r="Q456" s="261" t="s">
        <v>3539</v>
      </c>
    </row>
    <row r="457" spans="1:17" ht="15.75" thickBot="1" x14ac:dyDescent="0.3">
      <c r="A457" s="82" t="s">
        <v>4705</v>
      </c>
      <c r="B457" s="82" t="s">
        <v>4705</v>
      </c>
      <c r="C457" s="82" t="str">
        <f t="shared" si="19"/>
        <v>X</v>
      </c>
      <c r="D457" s="83" t="s">
        <v>1661</v>
      </c>
      <c r="I457" s="361">
        <v>11588.35</v>
      </c>
      <c r="J457" s="83" t="s">
        <v>3596</v>
      </c>
      <c r="L457" s="284">
        <v>2022</v>
      </c>
      <c r="M457" s="234" t="s">
        <v>1909</v>
      </c>
      <c r="N457" s="299" t="s">
        <v>1910</v>
      </c>
      <c r="O457" s="234" t="s">
        <v>1911</v>
      </c>
      <c r="P457" s="261" t="s">
        <v>3535</v>
      </c>
      <c r="Q457" s="261" t="s">
        <v>3539</v>
      </c>
    </row>
    <row r="458" spans="1:17" ht="15.75" thickBot="1" x14ac:dyDescent="0.3">
      <c r="A458" s="82" t="s">
        <v>4701</v>
      </c>
      <c r="B458" s="82" t="s">
        <v>4701</v>
      </c>
      <c r="C458" s="82" t="str">
        <f t="shared" si="19"/>
        <v>X</v>
      </c>
      <c r="D458" s="83" t="s">
        <v>1661</v>
      </c>
      <c r="I458" s="361">
        <v>267563.90000000002</v>
      </c>
      <c r="L458" s="284">
        <v>2022</v>
      </c>
      <c r="M458" s="234" t="s">
        <v>1909</v>
      </c>
      <c r="N458" s="234" t="s">
        <v>1910</v>
      </c>
      <c r="O458" s="234" t="s">
        <v>1911</v>
      </c>
      <c r="P458" s="261" t="s">
        <v>3535</v>
      </c>
      <c r="Q458" s="261" t="s">
        <v>3539</v>
      </c>
    </row>
    <row r="459" spans="1:17" ht="15.75" thickBot="1" x14ac:dyDescent="0.3">
      <c r="A459" s="82" t="s">
        <v>4701</v>
      </c>
      <c r="B459" s="82" t="s">
        <v>4701</v>
      </c>
      <c r="C459" s="82" t="str">
        <f t="shared" si="19"/>
        <v>X</v>
      </c>
      <c r="D459" s="83" t="s">
        <v>1681</v>
      </c>
      <c r="I459" s="361">
        <v>80179.08</v>
      </c>
      <c r="L459" s="284">
        <v>2022</v>
      </c>
      <c r="M459" s="234" t="s">
        <v>1909</v>
      </c>
      <c r="N459" s="234" t="s">
        <v>1910</v>
      </c>
      <c r="O459" s="234" t="s">
        <v>1911</v>
      </c>
      <c r="P459" s="261" t="s">
        <v>3535</v>
      </c>
      <c r="Q459" s="261" t="s">
        <v>3539</v>
      </c>
    </row>
    <row r="460" spans="1:17" ht="15.75" thickBot="1" x14ac:dyDescent="0.3">
      <c r="A460" s="82" t="s">
        <v>4701</v>
      </c>
      <c r="B460" s="82" t="s">
        <v>4701</v>
      </c>
      <c r="C460" s="82" t="str">
        <f t="shared" si="19"/>
        <v>X</v>
      </c>
      <c r="D460" s="83" t="s">
        <v>1653</v>
      </c>
      <c r="I460" s="361">
        <v>9240.4599999999991</v>
      </c>
      <c r="L460" s="284">
        <v>2022</v>
      </c>
      <c r="M460" s="234" t="s">
        <v>1909</v>
      </c>
      <c r="N460" s="234" t="s">
        <v>1910</v>
      </c>
      <c r="O460" s="234" t="s">
        <v>1911</v>
      </c>
      <c r="P460" s="261" t="s">
        <v>3535</v>
      </c>
      <c r="Q460" s="261" t="s">
        <v>3539</v>
      </c>
    </row>
    <row r="461" spans="1:17" ht="15.75" thickBot="1" x14ac:dyDescent="0.3">
      <c r="A461" s="82" t="s">
        <v>4793</v>
      </c>
      <c r="B461" s="82" t="s">
        <v>4793</v>
      </c>
      <c r="C461" s="82" t="str">
        <f t="shared" si="19"/>
        <v>X</v>
      </c>
      <c r="D461" s="83" t="s">
        <v>1661</v>
      </c>
      <c r="I461" s="361">
        <v>86055.34</v>
      </c>
      <c r="L461" s="284">
        <v>2022</v>
      </c>
      <c r="M461" s="234" t="s">
        <v>1909</v>
      </c>
      <c r="N461" s="234" t="s">
        <v>1910</v>
      </c>
      <c r="O461" s="234" t="s">
        <v>1911</v>
      </c>
      <c r="P461" s="261" t="s">
        <v>3535</v>
      </c>
      <c r="Q461" s="261" t="s">
        <v>3539</v>
      </c>
    </row>
    <row r="462" spans="1:17" ht="15.75" thickBot="1" x14ac:dyDescent="0.3">
      <c r="A462" s="82" t="s">
        <v>4793</v>
      </c>
      <c r="B462" s="82" t="s">
        <v>4793</v>
      </c>
      <c r="C462" s="82" t="str">
        <f t="shared" si="19"/>
        <v>X</v>
      </c>
      <c r="D462" s="83" t="s">
        <v>1681</v>
      </c>
      <c r="I462" s="361">
        <v>4310.04</v>
      </c>
      <c r="L462" s="284">
        <v>2022</v>
      </c>
      <c r="M462" s="234" t="s">
        <v>1909</v>
      </c>
      <c r="N462" s="234" t="s">
        <v>1910</v>
      </c>
      <c r="O462" s="234" t="s">
        <v>1911</v>
      </c>
      <c r="P462" s="261" t="s">
        <v>3535</v>
      </c>
      <c r="Q462" s="261" t="s">
        <v>3539</v>
      </c>
    </row>
    <row r="463" spans="1:17" ht="15.75" thickBot="1" x14ac:dyDescent="0.3">
      <c r="A463" s="82" t="s">
        <v>4792</v>
      </c>
      <c r="B463" s="82" t="s">
        <v>4792</v>
      </c>
      <c r="C463" s="82" t="str">
        <f t="shared" si="19"/>
        <v>X</v>
      </c>
      <c r="D463" s="83" t="s">
        <v>1661</v>
      </c>
      <c r="I463" s="361">
        <v>35774.019999999997</v>
      </c>
      <c r="L463" s="284">
        <v>2022</v>
      </c>
      <c r="M463" s="234" t="s">
        <v>1909</v>
      </c>
      <c r="N463" s="234" t="s">
        <v>1910</v>
      </c>
      <c r="O463" s="234" t="s">
        <v>1911</v>
      </c>
      <c r="P463" s="261" t="s">
        <v>3535</v>
      </c>
      <c r="Q463" s="261" t="s">
        <v>3539</v>
      </c>
    </row>
    <row r="464" spans="1:17" ht="15.75" thickBot="1" x14ac:dyDescent="0.3">
      <c r="A464" s="82" t="s">
        <v>4792</v>
      </c>
      <c r="B464" s="82" t="s">
        <v>4792</v>
      </c>
      <c r="C464" s="82" t="str">
        <f t="shared" si="19"/>
        <v>X</v>
      </c>
      <c r="D464" s="83" t="s">
        <v>1681</v>
      </c>
      <c r="I464" s="361">
        <v>5569.99</v>
      </c>
      <c r="L464" s="284">
        <v>2022</v>
      </c>
      <c r="M464" s="234" t="s">
        <v>1909</v>
      </c>
      <c r="N464" s="234" t="s">
        <v>1910</v>
      </c>
      <c r="O464" s="234" t="s">
        <v>1911</v>
      </c>
      <c r="P464" s="261" t="s">
        <v>3535</v>
      </c>
      <c r="Q464" s="261" t="s">
        <v>3539</v>
      </c>
    </row>
    <row r="465" spans="1:17" ht="15.75" thickBot="1" x14ac:dyDescent="0.3">
      <c r="A465" s="82" t="s">
        <v>4792</v>
      </c>
      <c r="B465" s="82" t="s">
        <v>4792</v>
      </c>
      <c r="C465" s="82" t="str">
        <f t="shared" si="19"/>
        <v>X</v>
      </c>
      <c r="D465" s="83" t="s">
        <v>1653</v>
      </c>
      <c r="I465" s="361">
        <v>1786.84</v>
      </c>
      <c r="L465" s="284">
        <v>2022</v>
      </c>
      <c r="M465" s="234" t="s">
        <v>1909</v>
      </c>
      <c r="N465" s="234" t="s">
        <v>1910</v>
      </c>
      <c r="O465" s="234" t="s">
        <v>1911</v>
      </c>
      <c r="P465" s="261" t="s">
        <v>3535</v>
      </c>
      <c r="Q465" s="261" t="s">
        <v>3539</v>
      </c>
    </row>
    <row r="466" spans="1:17" ht="15.75" thickBot="1" x14ac:dyDescent="0.3">
      <c r="A466" s="82" t="s">
        <v>4704</v>
      </c>
      <c r="B466" s="82" t="s">
        <v>4704</v>
      </c>
      <c r="C466" s="82" t="str">
        <f t="shared" si="19"/>
        <v>X</v>
      </c>
      <c r="D466" s="83" t="s">
        <v>1661</v>
      </c>
      <c r="I466" s="361">
        <v>947963.21</v>
      </c>
      <c r="K466" s="83" t="s">
        <v>3916</v>
      </c>
      <c r="L466" s="284">
        <v>2022</v>
      </c>
      <c r="M466" s="234" t="s">
        <v>1909</v>
      </c>
      <c r="N466" s="249" t="s">
        <v>1910</v>
      </c>
      <c r="O466" s="234" t="s">
        <v>1911</v>
      </c>
      <c r="P466" s="261" t="s">
        <v>3535</v>
      </c>
      <c r="Q466" s="261" t="s">
        <v>3539</v>
      </c>
    </row>
    <row r="467" spans="1:17" ht="15.75" thickBot="1" x14ac:dyDescent="0.3">
      <c r="A467" s="82" t="s">
        <v>4704</v>
      </c>
      <c r="B467" s="82" t="s">
        <v>4704</v>
      </c>
      <c r="C467" s="82" t="str">
        <f t="shared" si="19"/>
        <v>X</v>
      </c>
      <c r="D467" s="162" t="s">
        <v>1670</v>
      </c>
      <c r="I467" s="361">
        <v>4030.03</v>
      </c>
      <c r="K467" s="83" t="s">
        <v>1670</v>
      </c>
      <c r="L467" s="284">
        <v>2022</v>
      </c>
      <c r="M467" s="234" t="s">
        <v>1909</v>
      </c>
      <c r="N467" s="249" t="s">
        <v>1910</v>
      </c>
      <c r="O467" s="234" t="s">
        <v>1911</v>
      </c>
      <c r="P467" s="261" t="s">
        <v>3535</v>
      </c>
      <c r="Q467" s="261" t="s">
        <v>3539</v>
      </c>
    </row>
    <row r="468" spans="1:17" ht="15.75" thickBot="1" x14ac:dyDescent="0.3">
      <c r="A468" s="82" t="s">
        <v>4704</v>
      </c>
      <c r="B468" s="82" t="s">
        <v>4704</v>
      </c>
      <c r="C468" s="82" t="str">
        <f t="shared" si="19"/>
        <v>X</v>
      </c>
      <c r="D468" s="83" t="s">
        <v>1659</v>
      </c>
      <c r="I468" s="361">
        <v>1649.18</v>
      </c>
      <c r="K468" s="83" t="s">
        <v>160</v>
      </c>
      <c r="L468" s="284">
        <v>2022</v>
      </c>
      <c r="M468" s="234" t="s">
        <v>1909</v>
      </c>
      <c r="N468" s="249" t="s">
        <v>1910</v>
      </c>
      <c r="O468" s="234" t="s">
        <v>1911</v>
      </c>
      <c r="P468" s="261" t="s">
        <v>3535</v>
      </c>
      <c r="Q468" s="261" t="s">
        <v>3539</v>
      </c>
    </row>
    <row r="469" spans="1:17" ht="15.75" thickBot="1" x14ac:dyDescent="0.3">
      <c r="A469" s="82" t="s">
        <v>4704</v>
      </c>
      <c r="B469" s="82" t="s">
        <v>4704</v>
      </c>
      <c r="C469" s="82" t="str">
        <f t="shared" si="19"/>
        <v>X</v>
      </c>
      <c r="D469" s="83" t="s">
        <v>1657</v>
      </c>
      <c r="I469" s="361">
        <v>12469.18</v>
      </c>
      <c r="K469" s="83" t="s">
        <v>3917</v>
      </c>
      <c r="L469" s="284">
        <v>2022</v>
      </c>
      <c r="M469" s="234" t="s">
        <v>1909</v>
      </c>
      <c r="N469" s="249" t="s">
        <v>1910</v>
      </c>
      <c r="O469" s="234" t="s">
        <v>1911</v>
      </c>
      <c r="P469" s="261" t="s">
        <v>3535</v>
      </c>
      <c r="Q469" s="261" t="s">
        <v>3539</v>
      </c>
    </row>
    <row r="470" spans="1:17" ht="15.75" thickBot="1" x14ac:dyDescent="0.3">
      <c r="A470" s="82" t="s">
        <v>4704</v>
      </c>
      <c r="B470" s="82" t="s">
        <v>4704</v>
      </c>
      <c r="C470" s="82" t="str">
        <f t="shared" si="19"/>
        <v>X</v>
      </c>
      <c r="D470" s="83" t="s">
        <v>1657</v>
      </c>
      <c r="I470" s="361">
        <v>15544.47</v>
      </c>
      <c r="K470" s="83" t="s">
        <v>3918</v>
      </c>
      <c r="L470" s="284">
        <v>2022</v>
      </c>
      <c r="M470" s="234" t="s">
        <v>1909</v>
      </c>
      <c r="N470" s="249" t="s">
        <v>1910</v>
      </c>
      <c r="O470" s="234" t="s">
        <v>1911</v>
      </c>
      <c r="P470" s="261" t="s">
        <v>3535</v>
      </c>
      <c r="Q470" s="261" t="s">
        <v>3539</v>
      </c>
    </row>
    <row r="471" spans="1:17" ht="15.75" thickBot="1" x14ac:dyDescent="0.3">
      <c r="A471" s="82" t="s">
        <v>4704</v>
      </c>
      <c r="B471" s="82" t="s">
        <v>4704</v>
      </c>
      <c r="C471" s="82" t="str">
        <f t="shared" si="19"/>
        <v>X</v>
      </c>
      <c r="D471" s="83" t="s">
        <v>1657</v>
      </c>
      <c r="I471" s="361">
        <v>3485.89</v>
      </c>
      <c r="K471" s="83" t="s">
        <v>3919</v>
      </c>
      <c r="L471" s="284">
        <v>2022</v>
      </c>
      <c r="M471" s="234" t="s">
        <v>1909</v>
      </c>
      <c r="N471" s="249" t="s">
        <v>1910</v>
      </c>
      <c r="O471" s="234" t="s">
        <v>1911</v>
      </c>
      <c r="P471" s="261" t="s">
        <v>3535</v>
      </c>
      <c r="Q471" s="261" t="s">
        <v>3539</v>
      </c>
    </row>
    <row r="472" spans="1:17" ht="15.75" thickBot="1" x14ac:dyDescent="0.3">
      <c r="A472" s="82" t="s">
        <v>4704</v>
      </c>
      <c r="B472" s="82" t="s">
        <v>4704</v>
      </c>
      <c r="C472" s="82" t="str">
        <f t="shared" si="19"/>
        <v>X</v>
      </c>
      <c r="D472" s="83" t="s">
        <v>1657</v>
      </c>
      <c r="I472" s="361">
        <v>297166.34999999998</v>
      </c>
      <c r="K472" s="83" t="s">
        <v>3920</v>
      </c>
      <c r="L472" s="284">
        <v>2022</v>
      </c>
      <c r="M472" s="234" t="s">
        <v>1909</v>
      </c>
      <c r="N472" s="249" t="s">
        <v>1910</v>
      </c>
      <c r="O472" s="234" t="s">
        <v>1911</v>
      </c>
      <c r="P472" s="261" t="s">
        <v>3535</v>
      </c>
      <c r="Q472" s="261" t="s">
        <v>3539</v>
      </c>
    </row>
    <row r="473" spans="1:17" ht="15.75" thickBot="1" x14ac:dyDescent="0.3">
      <c r="A473" t="s">
        <v>4703</v>
      </c>
      <c r="B473" t="s">
        <v>4703</v>
      </c>
      <c r="C473" s="82" t="str">
        <f t="shared" si="19"/>
        <v>X</v>
      </c>
      <c r="D473" s="83" t="s">
        <v>1661</v>
      </c>
      <c r="I473" s="361">
        <v>813840.78</v>
      </c>
      <c r="K473" s="83" t="s">
        <v>3916</v>
      </c>
      <c r="L473" s="284">
        <v>2022</v>
      </c>
      <c r="M473" s="234" t="s">
        <v>1909</v>
      </c>
      <c r="N473" s="249" t="s">
        <v>1910</v>
      </c>
      <c r="O473" s="234" t="s">
        <v>1911</v>
      </c>
      <c r="P473" s="261" t="s">
        <v>3535</v>
      </c>
      <c r="Q473" s="261" t="s">
        <v>3539</v>
      </c>
    </row>
    <row r="474" spans="1:17" ht="15.75" thickBot="1" x14ac:dyDescent="0.3">
      <c r="A474" t="s">
        <v>4703</v>
      </c>
      <c r="B474" t="s">
        <v>4703</v>
      </c>
      <c r="C474" s="82" t="str">
        <f t="shared" si="19"/>
        <v>X</v>
      </c>
      <c r="D474" s="83" t="s">
        <v>3003</v>
      </c>
      <c r="I474" s="361">
        <v>2289.79</v>
      </c>
      <c r="K474" s="83" t="s">
        <v>3954</v>
      </c>
      <c r="L474" s="284">
        <v>2022</v>
      </c>
      <c r="M474" s="234" t="s">
        <v>1909</v>
      </c>
      <c r="N474" s="249" t="s">
        <v>1910</v>
      </c>
      <c r="O474" s="234" t="s">
        <v>1911</v>
      </c>
      <c r="P474" s="261" t="s">
        <v>3535</v>
      </c>
      <c r="Q474" s="261" t="s">
        <v>3539</v>
      </c>
    </row>
    <row r="475" spans="1:17" ht="15.75" thickBot="1" x14ac:dyDescent="0.3">
      <c r="A475" t="s">
        <v>4703</v>
      </c>
      <c r="B475" t="s">
        <v>4703</v>
      </c>
      <c r="C475" s="82" t="str">
        <f t="shared" si="19"/>
        <v>X</v>
      </c>
      <c r="D475" s="83" t="s">
        <v>1657</v>
      </c>
      <c r="I475" s="361">
        <v>8121.31</v>
      </c>
      <c r="K475" s="83" t="s">
        <v>3917</v>
      </c>
      <c r="L475" s="284">
        <v>2022</v>
      </c>
      <c r="M475" s="234" t="s">
        <v>1909</v>
      </c>
      <c r="N475" s="249" t="s">
        <v>1910</v>
      </c>
      <c r="O475" s="234" t="s">
        <v>1911</v>
      </c>
      <c r="P475" s="261" t="s">
        <v>3535</v>
      </c>
      <c r="Q475" s="261" t="s">
        <v>3539</v>
      </c>
    </row>
    <row r="476" spans="1:17" ht="15.75" thickBot="1" x14ac:dyDescent="0.3">
      <c r="A476" t="s">
        <v>4703</v>
      </c>
      <c r="B476" t="s">
        <v>4703</v>
      </c>
      <c r="C476" s="82" t="str">
        <f t="shared" si="19"/>
        <v>X</v>
      </c>
      <c r="D476" s="83" t="s">
        <v>1659</v>
      </c>
      <c r="I476" s="361">
        <v>231620.53</v>
      </c>
      <c r="K476" s="83" t="s">
        <v>3920</v>
      </c>
      <c r="L476" s="284">
        <v>2022</v>
      </c>
      <c r="M476" s="234" t="s">
        <v>1909</v>
      </c>
      <c r="N476" s="249" t="s">
        <v>1910</v>
      </c>
      <c r="O476" s="234" t="s">
        <v>1911</v>
      </c>
      <c r="P476" s="261" t="s">
        <v>3535</v>
      </c>
      <c r="Q476" s="261" t="s">
        <v>3539</v>
      </c>
    </row>
  </sheetData>
  <autoFilter ref="A1:Q457"/>
  <mergeCells count="15">
    <mergeCell ref="P1:P2"/>
    <mergeCell ref="Q1:Q2"/>
    <mergeCell ref="M1:M2"/>
    <mergeCell ref="N1:N2"/>
    <mergeCell ref="O1:O2"/>
    <mergeCell ref="F1:F2"/>
    <mergeCell ref="G1:G2"/>
    <mergeCell ref="I1:I2"/>
    <mergeCell ref="J1:J2"/>
    <mergeCell ref="K1:K2"/>
    <mergeCell ref="A1:A2"/>
    <mergeCell ref="C1:C2"/>
    <mergeCell ref="B1:B2"/>
    <mergeCell ref="D1:D2"/>
    <mergeCell ref="E1:E2"/>
  </mergeCells>
  <dataValidations count="3">
    <dataValidation type="list" allowBlank="1" showInputMessage="1" showErrorMessage="1" sqref="D146:D163 D199:D200 D168:D170 D398:D401 D323:D328 D346:D350 D299:D304 D379 D403:D404 D359:D370 D297 D291:D295 D352:D354 D313:D318 D344 D330:D332 D320:D321 D306:D308 D284:D286 D275:D282 D337:D342 D387:D388 D3:D144 D192 D206:D273 D419:D468 D476 D473:D474">
      <formula1>"Serviço Manutenção, Outros Serviços, Pneus, Componentes/Peças, Vidros, Baterias, Metais, Plásticos, Borrachas, Papel, Contrato Pneus, Outros, Total"</formula1>
    </dataValidation>
    <dataValidation type="list" allowBlank="1" showInputMessage="1" showErrorMessage="1" sqref="D145 D164:D167 D175">
      <formula1>"Serviço Manutenção, Outros Serviços, Pneus, Componentes/Peças, Vidros, Baterias, Metais, Plásticos, Borrachas, Papel, Contrato Pneus, Outros"</formula1>
    </dataValidation>
    <dataValidation type="list" allowBlank="1" showInputMessage="1" showErrorMessage="1" sqref="F383:F422 I147:I150 F246 F338 F314 F292 F270 F361:F363 F3:F5 F7:F28">
      <formula1>"unidades, paletes, contentores, kWh, l (litros), kg (quilos), ton (toneladas), Nm3 (metros cubicos norm.), Outro/NA"</formula1>
    </dataValidation>
  </dataValidations>
  <pageMargins left="0.7" right="0.7" top="0.75" bottom="0.75" header="0.3" footer="0.3"/>
  <customProperties>
    <customPr name="GUID" r:id="rId1"/>
  </customPropertie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3"/>
  <dimension ref="B6:AA86"/>
  <sheetViews>
    <sheetView topLeftCell="A52" workbookViewId="0">
      <selection activeCell="C30" sqref="C30:C84"/>
    </sheetView>
    <sheetView workbookViewId="1"/>
  </sheetViews>
  <sheetFormatPr defaultRowHeight="15" x14ac:dyDescent="0.25"/>
  <cols>
    <col min="2" max="2" width="54.7109375" customWidth="1"/>
    <col min="3" max="3" width="35.7109375" customWidth="1"/>
    <col min="4" max="5" width="25.7109375" customWidth="1"/>
    <col min="6" max="6" width="28.5703125" customWidth="1"/>
    <col min="7" max="7" width="25.7109375" customWidth="1"/>
    <col min="8" max="9" width="25.7109375" style="174" customWidth="1"/>
    <col min="10" max="11" width="25.7109375" customWidth="1"/>
    <col min="12" max="12" width="30.5703125" style="172" customWidth="1"/>
    <col min="13" max="13" width="30.5703125" customWidth="1"/>
    <col min="14" max="14" width="43.28515625" customWidth="1"/>
    <col min="15" max="15" width="26.5703125" customWidth="1"/>
    <col min="16" max="16" width="35.7109375" bestFit="1" customWidth="1"/>
    <col min="19" max="19" width="31.85546875" bestFit="1" customWidth="1"/>
    <col min="20" max="24" width="18.7109375" style="1" customWidth="1"/>
    <col min="25" max="25" width="19" style="1" customWidth="1"/>
    <col min="26" max="26" width="9.140625" style="1"/>
  </cols>
  <sheetData>
    <row r="6" spans="2:27" ht="15.75" thickBot="1" x14ac:dyDescent="0.3"/>
    <row r="7" spans="2:27" x14ac:dyDescent="0.25">
      <c r="B7" s="78" t="s">
        <v>118</v>
      </c>
      <c r="C7" s="79"/>
    </row>
    <row r="9" spans="2:27" x14ac:dyDescent="0.25">
      <c r="B9" s="516" t="str">
        <f>"Grupo Barraqueiro: "&amp;'Folha de Rosto'!C6&amp;" "&amp;'Folha de Rosto'!I6&amp;" - Emissões de GEE de Âmbito 3"</f>
        <v>Grupo Barraqueiro: PEGADA DE CARBONO 2022 - Emissões de GEE de Âmbito 3</v>
      </c>
      <c r="C9" s="516"/>
      <c r="D9" s="516"/>
      <c r="E9" s="516"/>
      <c r="F9" s="516"/>
      <c r="G9" s="516"/>
      <c r="H9" s="516"/>
      <c r="I9" s="516"/>
      <c r="J9" s="516"/>
      <c r="K9" s="516"/>
      <c r="L9" s="516"/>
      <c r="M9" s="516"/>
      <c r="N9" s="516"/>
      <c r="O9" s="516"/>
      <c r="P9" s="516"/>
      <c r="Q9" s="516"/>
      <c r="R9" s="516"/>
      <c r="S9" s="516"/>
      <c r="T9" s="516"/>
      <c r="U9" s="516"/>
      <c r="V9" s="516"/>
      <c r="W9" s="516"/>
      <c r="X9" s="516"/>
      <c r="Y9" s="516"/>
      <c r="Z9" s="516"/>
      <c r="AA9" s="516"/>
    </row>
    <row r="10" spans="2:27" ht="15.75" thickBot="1" x14ac:dyDescent="0.3"/>
    <row r="11" spans="2:27" ht="33.6" customHeight="1" thickBot="1" x14ac:dyDescent="0.3">
      <c r="B11" s="512" t="s">
        <v>119</v>
      </c>
      <c r="C11" s="512"/>
      <c r="D11" s="518" t="s">
        <v>522</v>
      </c>
      <c r="E11" s="518"/>
      <c r="F11" s="518"/>
      <c r="G11" s="518"/>
      <c r="H11" s="518"/>
      <c r="I11" s="518"/>
      <c r="J11" s="519"/>
      <c r="K11" s="519"/>
      <c r="L11" s="519"/>
      <c r="M11" s="519"/>
      <c r="N11" s="519"/>
      <c r="O11" s="519"/>
      <c r="P11" s="519"/>
      <c r="Q11" s="519"/>
      <c r="R11" s="519"/>
      <c r="S11" s="519"/>
      <c r="T11" s="520"/>
    </row>
    <row r="12" spans="2:27" ht="60.95" customHeight="1" thickBot="1" x14ac:dyDescent="0.3">
      <c r="B12" s="512" t="s">
        <v>120</v>
      </c>
      <c r="C12" s="512"/>
      <c r="D12" s="521" t="s">
        <v>451</v>
      </c>
      <c r="E12" s="521"/>
      <c r="F12" s="521"/>
      <c r="G12" s="521"/>
      <c r="H12" s="521"/>
      <c r="I12" s="521"/>
      <c r="J12" s="522"/>
      <c r="K12" s="522"/>
      <c r="L12" s="522"/>
      <c r="M12" s="522"/>
      <c r="N12" s="522"/>
      <c r="O12" s="522"/>
      <c r="P12" s="522"/>
      <c r="Q12" s="522"/>
      <c r="R12" s="522"/>
      <c r="S12" s="522"/>
      <c r="T12" s="523"/>
    </row>
    <row r="13" spans="2:27" ht="60.95" customHeight="1" thickBot="1" x14ac:dyDescent="0.3">
      <c r="B13" s="512" t="s">
        <v>121</v>
      </c>
      <c r="C13" s="512"/>
      <c r="D13" s="513" t="s">
        <v>1529</v>
      </c>
      <c r="E13" s="513"/>
      <c r="F13" s="513"/>
      <c r="G13" s="513"/>
      <c r="H13" s="513"/>
      <c r="I13" s="513"/>
      <c r="J13" s="514"/>
      <c r="K13" s="514"/>
      <c r="L13" s="514"/>
      <c r="M13" s="514"/>
      <c r="N13" s="514"/>
      <c r="O13" s="514"/>
      <c r="P13" s="514"/>
      <c r="Q13" s="514"/>
      <c r="R13" s="514"/>
      <c r="S13" s="514"/>
      <c r="T13" s="515"/>
    </row>
    <row r="14" spans="2:27" ht="60.95" customHeight="1" thickBot="1" x14ac:dyDescent="0.3">
      <c r="B14" s="512" t="s">
        <v>122</v>
      </c>
      <c r="C14" s="512"/>
      <c r="D14" s="513" t="s">
        <v>123</v>
      </c>
      <c r="E14" s="513"/>
      <c r="F14" s="513"/>
      <c r="G14" s="513"/>
      <c r="H14" s="513"/>
      <c r="I14" s="513"/>
      <c r="J14" s="514"/>
      <c r="K14" s="514"/>
      <c r="L14" s="514"/>
      <c r="M14" s="514"/>
      <c r="N14" s="514"/>
      <c r="O14" s="514"/>
      <c r="P14" s="514"/>
      <c r="Q14" s="514"/>
      <c r="R14" s="514"/>
      <c r="S14" s="514"/>
      <c r="T14" s="515"/>
    </row>
    <row r="15" spans="2:27" ht="60" customHeight="1" thickBot="1" x14ac:dyDescent="0.3">
      <c r="B15" s="512" t="s">
        <v>128</v>
      </c>
      <c r="C15" s="512"/>
      <c r="D15" s="547" t="s">
        <v>129</v>
      </c>
      <c r="E15" s="548"/>
      <c r="F15" s="548"/>
      <c r="G15" s="548"/>
      <c r="H15" s="548"/>
      <c r="I15" s="548"/>
      <c r="J15" s="548"/>
      <c r="K15" s="548"/>
      <c r="L15" s="548"/>
      <c r="M15" s="548"/>
      <c r="N15" s="548"/>
      <c r="O15" s="548"/>
      <c r="P15" s="548"/>
      <c r="Q15" s="548"/>
      <c r="R15" s="548"/>
      <c r="S15" s="548"/>
      <c r="T15" s="513"/>
    </row>
    <row r="17" spans="2:27" x14ac:dyDescent="0.25">
      <c r="B17" s="516" t="s">
        <v>1819</v>
      </c>
      <c r="C17" s="516"/>
      <c r="D17" s="516"/>
      <c r="E17" s="516"/>
      <c r="F17" s="516"/>
      <c r="G17" s="516"/>
      <c r="H17" s="516"/>
      <c r="I17" s="516"/>
      <c r="J17" s="516"/>
      <c r="K17" s="516"/>
      <c r="L17" s="516"/>
      <c r="M17" s="516"/>
      <c r="N17" s="516"/>
      <c r="O17" s="516"/>
      <c r="P17" s="516"/>
      <c r="Q17" s="516"/>
      <c r="R17" s="516"/>
      <c r="S17" s="516"/>
      <c r="T17" s="516"/>
      <c r="U17" s="516"/>
      <c r="V17" s="516"/>
      <c r="W17" s="516"/>
      <c r="X17" s="516"/>
      <c r="Y17" s="516"/>
      <c r="Z17" s="516"/>
      <c r="AA17" s="516"/>
    </row>
    <row r="18" spans="2:27" x14ac:dyDescent="0.25">
      <c r="B18" t="s">
        <v>130</v>
      </c>
    </row>
    <row r="20" spans="2:27" x14ac:dyDescent="0.25">
      <c r="B20" s="81" t="s">
        <v>135</v>
      </c>
    </row>
    <row r="21" spans="2:27" x14ac:dyDescent="0.25">
      <c r="B21" s="517" t="s">
        <v>1749</v>
      </c>
      <c r="C21" s="517"/>
      <c r="D21" s="517"/>
      <c r="E21" s="517"/>
      <c r="F21" s="517"/>
      <c r="G21" s="517"/>
      <c r="H21" s="517"/>
      <c r="I21" s="517"/>
      <c r="J21" s="517"/>
      <c r="K21" s="517"/>
      <c r="L21" s="517"/>
      <c r="M21" s="517"/>
      <c r="N21" s="517"/>
      <c r="O21" s="517"/>
      <c r="P21" s="517"/>
      <c r="Q21" s="517"/>
      <c r="R21" s="517"/>
      <c r="S21" s="517"/>
      <c r="T21" s="517"/>
      <c r="U21" s="517"/>
      <c r="V21" s="517"/>
      <c r="W21" s="517"/>
      <c r="X21" s="517"/>
      <c r="Y21" s="517"/>
    </row>
    <row r="22" spans="2:27" x14ac:dyDescent="0.25">
      <c r="B22" s="517"/>
      <c r="C22" s="517"/>
      <c r="D22" s="517"/>
      <c r="E22" s="517"/>
      <c r="F22" s="517"/>
      <c r="G22" s="517"/>
      <c r="H22" s="517"/>
      <c r="I22" s="517"/>
      <c r="J22" s="517"/>
      <c r="K22" s="517"/>
      <c r="L22" s="517"/>
      <c r="M22" s="517"/>
      <c r="N22" s="517"/>
      <c r="O22" s="517"/>
      <c r="P22" s="517"/>
      <c r="Q22" s="517"/>
      <c r="R22" s="517"/>
      <c r="S22" s="517"/>
      <c r="T22" s="517"/>
      <c r="U22" s="517"/>
      <c r="V22" s="517"/>
      <c r="W22" s="517"/>
      <c r="X22" s="517"/>
      <c r="Y22" s="517"/>
    </row>
    <row r="24" spans="2:27" ht="15" customHeight="1" x14ac:dyDescent="0.25">
      <c r="B24" s="81" t="s">
        <v>136</v>
      </c>
    </row>
    <row r="25" spans="2:27" x14ac:dyDescent="0.25">
      <c r="B25" s="517"/>
      <c r="C25" s="517"/>
      <c r="D25" s="517"/>
      <c r="E25" s="517"/>
      <c r="F25" s="517"/>
      <c r="G25" s="517"/>
      <c r="H25" s="517"/>
      <c r="I25" s="517"/>
      <c r="J25" s="517"/>
      <c r="K25" s="517"/>
      <c r="L25" s="517"/>
      <c r="M25" s="517"/>
      <c r="N25" s="517"/>
      <c r="O25" s="517"/>
      <c r="P25" s="517"/>
      <c r="Q25" s="517"/>
      <c r="R25" s="517"/>
      <c r="S25" s="517"/>
      <c r="T25" s="517"/>
      <c r="U25" s="517"/>
      <c r="V25" s="517"/>
      <c r="W25" s="517"/>
      <c r="X25" s="517"/>
      <c r="Y25" s="517"/>
    </row>
    <row r="26" spans="2:27" x14ac:dyDescent="0.25">
      <c r="B26" s="517"/>
      <c r="C26" s="517"/>
      <c r="D26" s="517"/>
      <c r="E26" s="517"/>
      <c r="F26" s="517"/>
      <c r="G26" s="517"/>
      <c r="H26" s="517"/>
      <c r="I26" s="517"/>
      <c r="J26" s="517"/>
      <c r="K26" s="517"/>
      <c r="L26" s="517"/>
      <c r="M26" s="517"/>
      <c r="N26" s="517"/>
      <c r="O26" s="517"/>
      <c r="P26" s="517"/>
      <c r="Q26" s="517"/>
      <c r="R26" s="517"/>
      <c r="S26" s="517"/>
      <c r="T26" s="517"/>
      <c r="U26" s="517"/>
      <c r="V26" s="517"/>
      <c r="W26" s="517"/>
      <c r="X26" s="517"/>
      <c r="Y26" s="517"/>
    </row>
    <row r="27" spans="2:27" ht="15.75" thickBot="1" x14ac:dyDescent="0.3"/>
    <row r="28" spans="2:27" s="94" customFormat="1" ht="15.75" customHeight="1" thickBot="1" x14ac:dyDescent="0.3">
      <c r="B28" s="508" t="s">
        <v>131</v>
      </c>
      <c r="C28" s="508" t="s">
        <v>442</v>
      </c>
      <c r="D28" s="510" t="s">
        <v>445</v>
      </c>
      <c r="E28" s="508" t="s">
        <v>449</v>
      </c>
      <c r="F28" s="510" t="s">
        <v>446</v>
      </c>
      <c r="G28" s="510" t="s">
        <v>141</v>
      </c>
      <c r="H28" s="562" t="s">
        <v>1769</v>
      </c>
      <c r="I28" s="563" t="s">
        <v>1791</v>
      </c>
      <c r="J28" s="508" t="s">
        <v>447</v>
      </c>
      <c r="K28" s="508" t="s">
        <v>458</v>
      </c>
      <c r="L28" s="562" t="s">
        <v>448</v>
      </c>
      <c r="M28" s="529" t="s">
        <v>1792</v>
      </c>
      <c r="N28" s="510" t="s">
        <v>1768</v>
      </c>
      <c r="O28" s="510" t="s">
        <v>1770</v>
      </c>
      <c r="P28" s="510" t="s">
        <v>1780</v>
      </c>
      <c r="S28" s="92" t="s">
        <v>1767</v>
      </c>
      <c r="T28" s="169" t="s">
        <v>1752</v>
      </c>
      <c r="U28" s="169" t="s">
        <v>1751</v>
      </c>
      <c r="V28" s="169" t="s">
        <v>1754</v>
      </c>
      <c r="W28" s="169" t="s">
        <v>1750</v>
      </c>
      <c r="X28" s="169" t="s">
        <v>1753</v>
      </c>
      <c r="Y28" s="1"/>
      <c r="Z28" s="1"/>
    </row>
    <row r="29" spans="2:27" s="94" customFormat="1" ht="15" customHeight="1" thickBot="1" x14ac:dyDescent="0.3">
      <c r="B29" s="509"/>
      <c r="C29" s="509"/>
      <c r="D29" s="508"/>
      <c r="E29" s="558"/>
      <c r="F29" s="508"/>
      <c r="G29" s="508"/>
      <c r="H29" s="563"/>
      <c r="I29" s="564"/>
      <c r="J29" s="558"/>
      <c r="K29" s="558"/>
      <c r="L29" s="563"/>
      <c r="M29" s="530"/>
      <c r="N29" s="510"/>
      <c r="O29" s="510"/>
      <c r="P29" s="510"/>
      <c r="S29" s="92" t="s">
        <v>1764</v>
      </c>
      <c r="T29" s="169">
        <v>3.1</v>
      </c>
      <c r="U29" s="169">
        <v>39.9</v>
      </c>
      <c r="V29" s="169">
        <v>39.9</v>
      </c>
      <c r="W29" s="169">
        <v>39.9</v>
      </c>
      <c r="X29" s="169">
        <v>37.6</v>
      </c>
      <c r="Y29" s="1"/>
      <c r="Z29" s="1"/>
    </row>
    <row r="30" spans="2:27" ht="15.75" thickBot="1" x14ac:dyDescent="0.3">
      <c r="B30" s="82" t="s">
        <v>534</v>
      </c>
      <c r="C30" s="82" t="s">
        <v>1653</v>
      </c>
      <c r="D30" s="82" t="s">
        <v>1745</v>
      </c>
      <c r="E30" s="82" t="s">
        <v>1746</v>
      </c>
      <c r="F30" s="82">
        <v>34</v>
      </c>
      <c r="G30" s="82" t="s">
        <v>586</v>
      </c>
      <c r="H30" s="173">
        <v>62</v>
      </c>
      <c r="I30" s="173">
        <f>H30*F30</f>
        <v>2108</v>
      </c>
      <c r="J30" s="82" t="s">
        <v>1747</v>
      </c>
      <c r="K30" s="82" t="s">
        <v>1748</v>
      </c>
      <c r="L30" s="173">
        <f t="shared" ref="L30:L50" si="0">INDEX($T$29:$X$31,MATCH(O30,$S$29:$S$31,0),MATCH(N30,$T$28:$X$28,0))</f>
        <v>3.1</v>
      </c>
      <c r="M30" s="171">
        <f>L30*I30</f>
        <v>6534.8</v>
      </c>
      <c r="N30" s="82" t="s">
        <v>1752</v>
      </c>
      <c r="O30" s="82" t="s">
        <v>1764</v>
      </c>
      <c r="P30" s="82" t="s">
        <v>1759</v>
      </c>
      <c r="S30" s="167" t="s">
        <v>1765</v>
      </c>
      <c r="T30" s="170">
        <v>41</v>
      </c>
      <c r="U30" s="170">
        <v>8.1999999999999993</v>
      </c>
      <c r="V30" s="170">
        <v>8.1999999999999993</v>
      </c>
      <c r="W30" s="170">
        <v>5.8</v>
      </c>
      <c r="X30" s="170">
        <v>10.6</v>
      </c>
    </row>
    <row r="31" spans="2:27" ht="15.75" thickBot="1" x14ac:dyDescent="0.3">
      <c r="B31" s="82" t="s">
        <v>534</v>
      </c>
      <c r="C31" s="82" t="s">
        <v>1653</v>
      </c>
      <c r="D31" s="82" t="s">
        <v>1745</v>
      </c>
      <c r="E31" s="82" t="s">
        <v>1746</v>
      </c>
      <c r="F31" s="82">
        <v>115</v>
      </c>
      <c r="G31" s="82" t="s">
        <v>586</v>
      </c>
      <c r="H31" s="173">
        <v>62</v>
      </c>
      <c r="I31" s="173">
        <f t="shared" ref="I31:I84" si="1">H31*F31</f>
        <v>7130</v>
      </c>
      <c r="J31" s="82" t="s">
        <v>1747</v>
      </c>
      <c r="K31" s="82" t="s">
        <v>1748</v>
      </c>
      <c r="L31" s="173">
        <f t="shared" si="0"/>
        <v>8.1999999999999993</v>
      </c>
      <c r="M31" s="171">
        <f t="shared" ref="M31:M84" si="2">L31*I31</f>
        <v>58465.999999999993</v>
      </c>
      <c r="N31" s="82" t="s">
        <v>1751</v>
      </c>
      <c r="O31" s="82" t="s">
        <v>1765</v>
      </c>
      <c r="P31" s="82" t="s">
        <v>1759</v>
      </c>
      <c r="S31" s="167" t="s">
        <v>1766</v>
      </c>
      <c r="T31" s="170">
        <v>39.299999999999997</v>
      </c>
      <c r="U31" s="170">
        <v>8.1999999999999993</v>
      </c>
      <c r="V31" s="170">
        <v>8.1999999999999993</v>
      </c>
      <c r="W31" s="170">
        <v>10.8</v>
      </c>
      <c r="X31" s="170">
        <v>4.2</v>
      </c>
    </row>
    <row r="32" spans="2:27" ht="15.75" thickBot="1" x14ac:dyDescent="0.3">
      <c r="B32" s="82" t="s">
        <v>534</v>
      </c>
      <c r="C32" s="82" t="s">
        <v>1653</v>
      </c>
      <c r="D32" s="82" t="s">
        <v>1745</v>
      </c>
      <c r="E32" s="82" t="s">
        <v>1746</v>
      </c>
      <c r="F32" s="82">
        <v>256</v>
      </c>
      <c r="G32" s="82" t="s">
        <v>586</v>
      </c>
      <c r="H32" s="173">
        <v>62</v>
      </c>
      <c r="I32" s="173">
        <f t="shared" si="1"/>
        <v>15872</v>
      </c>
      <c r="J32" s="82" t="s">
        <v>1747</v>
      </c>
      <c r="K32" s="82" t="s">
        <v>1748</v>
      </c>
      <c r="L32" s="173">
        <f t="shared" si="0"/>
        <v>39.9</v>
      </c>
      <c r="M32" s="171">
        <f t="shared" si="2"/>
        <v>633292.79999999993</v>
      </c>
      <c r="N32" s="82" t="s">
        <v>1754</v>
      </c>
      <c r="O32" s="82" t="s">
        <v>1764</v>
      </c>
      <c r="P32" s="82" t="s">
        <v>1759</v>
      </c>
    </row>
    <row r="33" spans="2:25" ht="15.75" thickBot="1" x14ac:dyDescent="0.3">
      <c r="B33" s="82" t="s">
        <v>534</v>
      </c>
      <c r="C33" s="82" t="s">
        <v>1653</v>
      </c>
      <c r="D33" s="82" t="s">
        <v>1745</v>
      </c>
      <c r="E33" s="82" t="s">
        <v>1746</v>
      </c>
      <c r="F33" s="82">
        <v>4</v>
      </c>
      <c r="G33" s="82" t="s">
        <v>586</v>
      </c>
      <c r="H33" s="173">
        <v>32</v>
      </c>
      <c r="I33" s="173">
        <f t="shared" si="1"/>
        <v>128</v>
      </c>
      <c r="J33" s="82" t="s">
        <v>1747</v>
      </c>
      <c r="K33" s="82" t="s">
        <v>1748</v>
      </c>
      <c r="L33" s="173">
        <f t="shared" si="0"/>
        <v>3.1</v>
      </c>
      <c r="M33" s="171">
        <f t="shared" si="2"/>
        <v>396.8</v>
      </c>
      <c r="N33" s="82" t="s">
        <v>1752</v>
      </c>
      <c r="O33" s="82" t="s">
        <v>1764</v>
      </c>
      <c r="P33" s="82" t="s">
        <v>1755</v>
      </c>
    </row>
    <row r="34" spans="2:25" ht="15.75" thickBot="1" x14ac:dyDescent="0.3">
      <c r="B34" s="82" t="s">
        <v>534</v>
      </c>
      <c r="C34" s="82" t="s">
        <v>1653</v>
      </c>
      <c r="D34" s="82" t="s">
        <v>1745</v>
      </c>
      <c r="E34" s="82" t="s">
        <v>1746</v>
      </c>
      <c r="F34" s="82">
        <v>1</v>
      </c>
      <c r="G34" s="82" t="s">
        <v>586</v>
      </c>
      <c r="H34" s="173">
        <v>32</v>
      </c>
      <c r="I34" s="173">
        <f t="shared" si="1"/>
        <v>32</v>
      </c>
      <c r="J34" s="82" t="s">
        <v>1747</v>
      </c>
      <c r="K34" s="82" t="s">
        <v>1748</v>
      </c>
      <c r="L34" s="173">
        <f t="shared" si="0"/>
        <v>10.8</v>
      </c>
      <c r="M34" s="171">
        <f t="shared" si="2"/>
        <v>345.6</v>
      </c>
      <c r="N34" s="82" t="s">
        <v>1750</v>
      </c>
      <c r="O34" s="82" t="s">
        <v>1766</v>
      </c>
      <c r="P34" s="82" t="s">
        <v>1755</v>
      </c>
      <c r="S34" s="92" t="s">
        <v>1767</v>
      </c>
      <c r="T34" s="169" t="s">
        <v>1774</v>
      </c>
      <c r="U34" s="169" t="s">
        <v>1775</v>
      </c>
      <c r="V34" s="169" t="s">
        <v>1776</v>
      </c>
      <c r="W34" s="169" t="s">
        <v>1777</v>
      </c>
      <c r="X34" s="169" t="s">
        <v>1778</v>
      </c>
      <c r="Y34" s="1" t="s">
        <v>1779</v>
      </c>
    </row>
    <row r="35" spans="2:25" ht="15.75" thickBot="1" x14ac:dyDescent="0.3">
      <c r="B35" s="82" t="s">
        <v>534</v>
      </c>
      <c r="C35" s="82" t="s">
        <v>1653</v>
      </c>
      <c r="D35" s="82" t="s">
        <v>1745</v>
      </c>
      <c r="E35" s="82" t="s">
        <v>1746</v>
      </c>
      <c r="F35" s="82">
        <v>5</v>
      </c>
      <c r="G35" s="82" t="s">
        <v>586</v>
      </c>
      <c r="H35" s="173">
        <v>32</v>
      </c>
      <c r="I35" s="173">
        <f t="shared" si="1"/>
        <v>160</v>
      </c>
      <c r="J35" s="82" t="s">
        <v>1747</v>
      </c>
      <c r="K35" s="82" t="s">
        <v>1748</v>
      </c>
      <c r="L35" s="173">
        <f t="shared" si="0"/>
        <v>8.1999999999999993</v>
      </c>
      <c r="M35" s="171">
        <f t="shared" si="2"/>
        <v>1312</v>
      </c>
      <c r="N35" s="82" t="s">
        <v>1751</v>
      </c>
      <c r="O35" s="82" t="s">
        <v>1766</v>
      </c>
      <c r="P35" s="82" t="s">
        <v>1755</v>
      </c>
      <c r="S35" s="92" t="s">
        <v>1772</v>
      </c>
      <c r="T35" s="169">
        <v>48.5</v>
      </c>
      <c r="U35" s="169">
        <v>68.599999999999994</v>
      </c>
      <c r="V35" s="169">
        <v>29.9</v>
      </c>
      <c r="W35" s="169">
        <v>47.6</v>
      </c>
      <c r="X35" s="169">
        <v>103</v>
      </c>
      <c r="Y35" s="1">
        <v>4.5</v>
      </c>
    </row>
    <row r="36" spans="2:25" ht="15.75" thickBot="1" x14ac:dyDescent="0.3">
      <c r="B36" s="82" t="s">
        <v>534</v>
      </c>
      <c r="C36" s="82" t="s">
        <v>1653</v>
      </c>
      <c r="D36" s="82" t="s">
        <v>1745</v>
      </c>
      <c r="E36" s="82" t="s">
        <v>1746</v>
      </c>
      <c r="F36" s="82">
        <v>11</v>
      </c>
      <c r="G36" s="82" t="s">
        <v>586</v>
      </c>
      <c r="H36" s="173">
        <v>32</v>
      </c>
      <c r="I36" s="173">
        <f t="shared" si="1"/>
        <v>352</v>
      </c>
      <c r="J36" s="82" t="s">
        <v>1747</v>
      </c>
      <c r="K36" s="82" t="s">
        <v>1748</v>
      </c>
      <c r="L36" s="173">
        <f t="shared" si="0"/>
        <v>8.1999999999999993</v>
      </c>
      <c r="M36" s="171">
        <f t="shared" si="2"/>
        <v>2886.3999999999996</v>
      </c>
      <c r="N36" s="82" t="s">
        <v>1754</v>
      </c>
      <c r="O36" s="82" t="s">
        <v>1765</v>
      </c>
      <c r="P36" s="82" t="s">
        <v>1755</v>
      </c>
      <c r="S36" s="167" t="s">
        <v>1771</v>
      </c>
      <c r="T36" s="170">
        <v>33.1</v>
      </c>
      <c r="U36" s="170">
        <v>30.5</v>
      </c>
      <c r="V36" s="170">
        <v>16.2</v>
      </c>
      <c r="W36" s="170">
        <v>24.5</v>
      </c>
      <c r="X36" s="170">
        <v>128</v>
      </c>
      <c r="Y36" s="170">
        <v>38.5</v>
      </c>
    </row>
    <row r="37" spans="2:25" ht="15.75" thickBot="1" x14ac:dyDescent="0.3">
      <c r="B37" s="82" t="s">
        <v>534</v>
      </c>
      <c r="C37" s="82" t="s">
        <v>1653</v>
      </c>
      <c r="D37" s="82" t="s">
        <v>1745</v>
      </c>
      <c r="E37" s="82" t="s">
        <v>1746</v>
      </c>
      <c r="F37" s="82">
        <v>4</v>
      </c>
      <c r="G37" s="82" t="s">
        <v>586</v>
      </c>
      <c r="H37" s="173">
        <v>44</v>
      </c>
      <c r="I37" s="173">
        <f t="shared" si="1"/>
        <v>176</v>
      </c>
      <c r="J37" s="82" t="s">
        <v>1747</v>
      </c>
      <c r="K37" s="82" t="s">
        <v>1748</v>
      </c>
      <c r="L37" s="173">
        <f t="shared" si="0"/>
        <v>3.1</v>
      </c>
      <c r="M37" s="171">
        <f t="shared" si="2"/>
        <v>545.6</v>
      </c>
      <c r="N37" s="82" t="s">
        <v>1752</v>
      </c>
      <c r="O37" s="82" t="s">
        <v>1764</v>
      </c>
      <c r="P37" s="82" t="s">
        <v>1758</v>
      </c>
      <c r="S37" s="167" t="s">
        <v>1773</v>
      </c>
      <c r="T37" s="170">
        <v>64.099999999999994</v>
      </c>
      <c r="U37" s="170">
        <v>30.3</v>
      </c>
      <c r="V37" s="170">
        <v>41.9</v>
      </c>
      <c r="W37" s="170">
        <v>15.7</v>
      </c>
      <c r="X37" s="170">
        <v>125</v>
      </c>
      <c r="Y37" s="1">
        <v>61.9</v>
      </c>
    </row>
    <row r="38" spans="2:25" ht="15.75" thickBot="1" x14ac:dyDescent="0.3">
      <c r="B38" s="82" t="s">
        <v>534</v>
      </c>
      <c r="C38" s="82" t="s">
        <v>1653</v>
      </c>
      <c r="D38" s="82" t="s">
        <v>1745</v>
      </c>
      <c r="E38" s="82" t="s">
        <v>1746</v>
      </c>
      <c r="F38" s="82">
        <v>4</v>
      </c>
      <c r="G38" s="82" t="s">
        <v>586</v>
      </c>
      <c r="H38" s="173">
        <v>44</v>
      </c>
      <c r="I38" s="173">
        <f t="shared" si="1"/>
        <v>176</v>
      </c>
      <c r="J38" s="82" t="s">
        <v>1747</v>
      </c>
      <c r="K38" s="82" t="s">
        <v>1748</v>
      </c>
      <c r="L38" s="173">
        <f t="shared" si="0"/>
        <v>8.1999999999999993</v>
      </c>
      <c r="M38" s="171">
        <f t="shared" si="2"/>
        <v>1443.1999999999998</v>
      </c>
      <c r="N38" s="82" t="s">
        <v>1751</v>
      </c>
      <c r="O38" s="82" t="s">
        <v>1765</v>
      </c>
      <c r="P38" s="82" t="s">
        <v>1758</v>
      </c>
    </row>
    <row r="39" spans="2:25" ht="15.75" thickBot="1" x14ac:dyDescent="0.3">
      <c r="B39" s="82" t="s">
        <v>534</v>
      </c>
      <c r="C39" s="82" t="s">
        <v>1653</v>
      </c>
      <c r="D39" s="82" t="s">
        <v>1745</v>
      </c>
      <c r="E39" s="82" t="s">
        <v>1746</v>
      </c>
      <c r="F39" s="82">
        <v>5</v>
      </c>
      <c r="G39" s="82" t="s">
        <v>586</v>
      </c>
      <c r="H39" s="173">
        <v>44</v>
      </c>
      <c r="I39" s="173">
        <f t="shared" si="1"/>
        <v>220</v>
      </c>
      <c r="J39" s="82" t="s">
        <v>1747</v>
      </c>
      <c r="K39" s="82" t="s">
        <v>1748</v>
      </c>
      <c r="L39" s="173">
        <f t="shared" si="0"/>
        <v>39.9</v>
      </c>
      <c r="M39" s="171">
        <f t="shared" si="2"/>
        <v>8778</v>
      </c>
      <c r="N39" s="82" t="s">
        <v>1754</v>
      </c>
      <c r="O39" s="82" t="s">
        <v>1764</v>
      </c>
      <c r="P39" s="82" t="s">
        <v>1758</v>
      </c>
    </row>
    <row r="40" spans="2:25" ht="15.75" thickBot="1" x14ac:dyDescent="0.3">
      <c r="B40" s="82" t="s">
        <v>534</v>
      </c>
      <c r="C40" s="82" t="s">
        <v>1653</v>
      </c>
      <c r="D40" s="82" t="s">
        <v>1745</v>
      </c>
      <c r="E40" s="82" t="s">
        <v>1746</v>
      </c>
      <c r="F40" s="82">
        <v>1</v>
      </c>
      <c r="G40" s="82" t="s">
        <v>586</v>
      </c>
      <c r="H40" s="173">
        <v>17.5</v>
      </c>
      <c r="I40" s="173">
        <f t="shared" si="1"/>
        <v>17.5</v>
      </c>
      <c r="J40" s="82" t="s">
        <v>1747</v>
      </c>
      <c r="K40" s="82" t="s">
        <v>1748</v>
      </c>
      <c r="L40" s="173">
        <f t="shared" si="0"/>
        <v>8.1999999999999993</v>
      </c>
      <c r="M40" s="171">
        <f t="shared" si="2"/>
        <v>143.5</v>
      </c>
      <c r="N40" s="82" t="s">
        <v>1754</v>
      </c>
      <c r="O40" s="82" t="s">
        <v>1766</v>
      </c>
      <c r="P40" s="82" t="s">
        <v>1762</v>
      </c>
    </row>
    <row r="41" spans="2:25" ht="15.75" thickBot="1" x14ac:dyDescent="0.3">
      <c r="B41" s="82" t="s">
        <v>534</v>
      </c>
      <c r="C41" s="82" t="s">
        <v>1653</v>
      </c>
      <c r="D41" s="82" t="s">
        <v>1745</v>
      </c>
      <c r="E41" s="82" t="s">
        <v>1746</v>
      </c>
      <c r="F41" s="82">
        <v>8</v>
      </c>
      <c r="G41" s="82" t="s">
        <v>586</v>
      </c>
      <c r="H41" s="173">
        <v>32</v>
      </c>
      <c r="I41" s="173">
        <f t="shared" si="1"/>
        <v>256</v>
      </c>
      <c r="J41" s="82" t="s">
        <v>1747</v>
      </c>
      <c r="K41" s="82" t="s">
        <v>1748</v>
      </c>
      <c r="L41" s="173">
        <f t="shared" si="0"/>
        <v>41</v>
      </c>
      <c r="M41" s="171">
        <f t="shared" si="2"/>
        <v>10496</v>
      </c>
      <c r="N41" s="82" t="s">
        <v>1752</v>
      </c>
      <c r="O41" s="82" t="s">
        <v>1765</v>
      </c>
      <c r="P41" s="82" t="s">
        <v>1755</v>
      </c>
    </row>
    <row r="42" spans="2:25" ht="15.75" thickBot="1" x14ac:dyDescent="0.3">
      <c r="B42" s="82" t="s">
        <v>534</v>
      </c>
      <c r="C42" s="82" t="s">
        <v>1653</v>
      </c>
      <c r="D42" s="82" t="s">
        <v>1745</v>
      </c>
      <c r="E42" s="82" t="s">
        <v>1746</v>
      </c>
      <c r="F42" s="82">
        <v>18</v>
      </c>
      <c r="G42" s="82" t="s">
        <v>586</v>
      </c>
      <c r="H42" s="173">
        <v>32</v>
      </c>
      <c r="I42" s="173">
        <f t="shared" si="1"/>
        <v>576</v>
      </c>
      <c r="J42" s="82" t="s">
        <v>1747</v>
      </c>
      <c r="K42" s="82" t="s">
        <v>1748</v>
      </c>
      <c r="L42" s="173">
        <f t="shared" si="0"/>
        <v>39.9</v>
      </c>
      <c r="M42" s="171">
        <f t="shared" si="2"/>
        <v>22982.399999999998</v>
      </c>
      <c r="N42" s="82" t="s">
        <v>1754</v>
      </c>
      <c r="O42" s="82" t="s">
        <v>1764</v>
      </c>
      <c r="P42" s="82" t="s">
        <v>1755</v>
      </c>
    </row>
    <row r="43" spans="2:25" ht="15.75" thickBot="1" x14ac:dyDescent="0.3">
      <c r="B43" s="82" t="s">
        <v>534</v>
      </c>
      <c r="C43" s="82" t="s">
        <v>1653</v>
      </c>
      <c r="D43" s="82" t="s">
        <v>1745</v>
      </c>
      <c r="E43" s="82" t="s">
        <v>1746</v>
      </c>
      <c r="F43" s="82">
        <v>5</v>
      </c>
      <c r="G43" s="82" t="s">
        <v>586</v>
      </c>
      <c r="H43" s="173">
        <v>29</v>
      </c>
      <c r="I43" s="173">
        <f t="shared" si="1"/>
        <v>145</v>
      </c>
      <c r="J43" s="82" t="s">
        <v>1747</v>
      </c>
      <c r="K43" s="82" t="s">
        <v>1748</v>
      </c>
      <c r="L43" s="173">
        <f t="shared" si="0"/>
        <v>8.1999999999999993</v>
      </c>
      <c r="M43" s="171">
        <f t="shared" si="2"/>
        <v>1189</v>
      </c>
      <c r="N43" s="82" t="s">
        <v>1751</v>
      </c>
      <c r="O43" s="82" t="s">
        <v>1765</v>
      </c>
      <c r="P43" s="82" t="s">
        <v>1757</v>
      </c>
    </row>
    <row r="44" spans="2:25" ht="15.75" thickBot="1" x14ac:dyDescent="0.3">
      <c r="B44" s="82" t="s">
        <v>534</v>
      </c>
      <c r="C44" s="82" t="s">
        <v>1653</v>
      </c>
      <c r="D44" s="82" t="s">
        <v>1745</v>
      </c>
      <c r="E44" s="82" t="s">
        <v>1746</v>
      </c>
      <c r="F44" s="82">
        <v>8</v>
      </c>
      <c r="G44" s="82" t="s">
        <v>586</v>
      </c>
      <c r="H44" s="173">
        <v>29</v>
      </c>
      <c r="I44" s="173">
        <f t="shared" si="1"/>
        <v>232</v>
      </c>
      <c r="J44" s="82" t="s">
        <v>1747</v>
      </c>
      <c r="K44" s="82" t="s">
        <v>1748</v>
      </c>
      <c r="L44" s="173">
        <f t="shared" si="0"/>
        <v>8.1999999999999993</v>
      </c>
      <c r="M44" s="171">
        <f t="shared" si="2"/>
        <v>1902.3999999999999</v>
      </c>
      <c r="N44" s="82" t="s">
        <v>1754</v>
      </c>
      <c r="O44" s="82" t="s">
        <v>1765</v>
      </c>
      <c r="P44" s="82" t="s">
        <v>1757</v>
      </c>
    </row>
    <row r="45" spans="2:25" ht="15.75" thickBot="1" x14ac:dyDescent="0.3">
      <c r="B45" s="82" t="s">
        <v>534</v>
      </c>
      <c r="C45" s="82" t="s">
        <v>1653</v>
      </c>
      <c r="D45" s="82" t="s">
        <v>1745</v>
      </c>
      <c r="E45" s="82" t="s">
        <v>1746</v>
      </c>
      <c r="F45" s="82">
        <v>4</v>
      </c>
      <c r="G45" s="82" t="s">
        <v>586</v>
      </c>
      <c r="H45" s="173">
        <v>12.5</v>
      </c>
      <c r="I45" s="173">
        <f t="shared" si="1"/>
        <v>50</v>
      </c>
      <c r="J45" s="82" t="s">
        <v>1747</v>
      </c>
      <c r="K45" s="82" t="s">
        <v>1748</v>
      </c>
      <c r="L45" s="173">
        <f t="shared" si="0"/>
        <v>4.2</v>
      </c>
      <c r="M45" s="171">
        <f t="shared" si="2"/>
        <v>210</v>
      </c>
      <c r="N45" s="82" t="s">
        <v>1753</v>
      </c>
      <c r="O45" s="82" t="s">
        <v>1766</v>
      </c>
      <c r="P45" s="82" t="s">
        <v>1760</v>
      </c>
    </row>
    <row r="46" spans="2:25" ht="15.75" thickBot="1" x14ac:dyDescent="0.3">
      <c r="B46" s="82" t="s">
        <v>534</v>
      </c>
      <c r="C46" s="82" t="s">
        <v>1653</v>
      </c>
      <c r="D46" s="82" t="s">
        <v>1745</v>
      </c>
      <c r="E46" s="82" t="s">
        <v>1746</v>
      </c>
      <c r="F46" s="82">
        <v>6</v>
      </c>
      <c r="G46" s="82" t="s">
        <v>586</v>
      </c>
      <c r="H46" s="173">
        <v>12.5</v>
      </c>
      <c r="I46" s="173">
        <f t="shared" si="1"/>
        <v>75</v>
      </c>
      <c r="J46" s="82" t="s">
        <v>1747</v>
      </c>
      <c r="K46" s="82" t="s">
        <v>1748</v>
      </c>
      <c r="L46" s="173">
        <f t="shared" si="0"/>
        <v>8.1999999999999993</v>
      </c>
      <c r="M46" s="171">
        <f t="shared" si="2"/>
        <v>615</v>
      </c>
      <c r="N46" s="82" t="s">
        <v>1754</v>
      </c>
      <c r="O46" s="82" t="s">
        <v>1766</v>
      </c>
      <c r="P46" s="82" t="s">
        <v>1760</v>
      </c>
    </row>
    <row r="47" spans="2:25" ht="15.75" thickBot="1" x14ac:dyDescent="0.3">
      <c r="B47" s="82" t="s">
        <v>534</v>
      </c>
      <c r="C47" s="82" t="s">
        <v>1653</v>
      </c>
      <c r="D47" s="82" t="s">
        <v>1745</v>
      </c>
      <c r="E47" s="82" t="s">
        <v>1746</v>
      </c>
      <c r="F47" s="82">
        <v>6</v>
      </c>
      <c r="G47" s="82" t="s">
        <v>586</v>
      </c>
      <c r="H47" s="173">
        <v>29</v>
      </c>
      <c r="I47" s="173">
        <f t="shared" si="1"/>
        <v>174</v>
      </c>
      <c r="J47" s="82" t="s">
        <v>1747</v>
      </c>
      <c r="K47" s="82" t="s">
        <v>1748</v>
      </c>
      <c r="L47" s="173">
        <f t="shared" si="0"/>
        <v>8.1999999999999993</v>
      </c>
      <c r="M47" s="171">
        <f t="shared" si="2"/>
        <v>1426.8</v>
      </c>
      <c r="N47" s="82" t="s">
        <v>1754</v>
      </c>
      <c r="O47" s="82" t="s">
        <v>1765</v>
      </c>
      <c r="P47" s="82" t="s">
        <v>1757</v>
      </c>
    </row>
    <row r="48" spans="2:25" ht="15.75" thickBot="1" x14ac:dyDescent="0.3">
      <c r="B48" s="82" t="s">
        <v>534</v>
      </c>
      <c r="C48" s="82" t="s">
        <v>1653</v>
      </c>
      <c r="D48" s="82" t="s">
        <v>1745</v>
      </c>
      <c r="E48" s="82" t="s">
        <v>1746</v>
      </c>
      <c r="F48" s="82">
        <v>1</v>
      </c>
      <c r="G48" s="82" t="s">
        <v>586</v>
      </c>
      <c r="H48" s="173">
        <v>26.5</v>
      </c>
      <c r="I48" s="173">
        <f t="shared" si="1"/>
        <v>26.5</v>
      </c>
      <c r="J48" s="82" t="s">
        <v>1747</v>
      </c>
      <c r="K48" s="82" t="s">
        <v>1748</v>
      </c>
      <c r="L48" s="173">
        <f t="shared" si="0"/>
        <v>5.8</v>
      </c>
      <c r="M48" s="171">
        <f t="shared" si="2"/>
        <v>153.69999999999999</v>
      </c>
      <c r="N48" s="82" t="s">
        <v>1750</v>
      </c>
      <c r="O48" s="82" t="s">
        <v>1765</v>
      </c>
      <c r="P48" s="82" t="s">
        <v>1756</v>
      </c>
    </row>
    <row r="49" spans="2:24" ht="15.75" thickBot="1" x14ac:dyDescent="0.3">
      <c r="B49" s="82" t="s">
        <v>534</v>
      </c>
      <c r="C49" s="82" t="s">
        <v>1653</v>
      </c>
      <c r="D49" s="82" t="s">
        <v>1745</v>
      </c>
      <c r="E49" s="82" t="s">
        <v>1746</v>
      </c>
      <c r="F49" s="82">
        <v>2</v>
      </c>
      <c r="G49" s="82" t="s">
        <v>586</v>
      </c>
      <c r="H49" s="173">
        <v>19</v>
      </c>
      <c r="I49" s="173">
        <f t="shared" si="1"/>
        <v>38</v>
      </c>
      <c r="J49" s="82" t="s">
        <v>1747</v>
      </c>
      <c r="K49" s="82" t="s">
        <v>1748</v>
      </c>
      <c r="L49" s="173">
        <f t="shared" si="0"/>
        <v>8.1999999999999993</v>
      </c>
      <c r="M49" s="171">
        <f t="shared" si="2"/>
        <v>311.59999999999997</v>
      </c>
      <c r="N49" s="82" t="s">
        <v>1754</v>
      </c>
      <c r="O49" s="82" t="s">
        <v>1766</v>
      </c>
      <c r="P49" s="82" t="s">
        <v>1763</v>
      </c>
    </row>
    <row r="50" spans="2:24" ht="15.75" thickBot="1" x14ac:dyDescent="0.3">
      <c r="B50" s="82" t="s">
        <v>534</v>
      </c>
      <c r="C50" s="82" t="s">
        <v>1653</v>
      </c>
      <c r="D50" s="82" t="s">
        <v>1745</v>
      </c>
      <c r="E50" s="82" t="s">
        <v>1746</v>
      </c>
      <c r="F50" s="83">
        <v>2</v>
      </c>
      <c r="G50" s="82" t="s">
        <v>586</v>
      </c>
      <c r="H50" s="173">
        <v>11</v>
      </c>
      <c r="I50" s="173">
        <f t="shared" si="1"/>
        <v>22</v>
      </c>
      <c r="J50" s="82" t="s">
        <v>1747</v>
      </c>
      <c r="K50" s="82" t="s">
        <v>1748</v>
      </c>
      <c r="L50" s="173">
        <f t="shared" si="0"/>
        <v>8.1999999999999993</v>
      </c>
      <c r="M50" s="171">
        <f t="shared" si="2"/>
        <v>180.39999999999998</v>
      </c>
      <c r="N50" s="83" t="s">
        <v>1754</v>
      </c>
      <c r="O50" s="82" t="s">
        <v>1766</v>
      </c>
      <c r="P50" s="82" t="s">
        <v>1761</v>
      </c>
    </row>
    <row r="51" spans="2:24" ht="15.75" thickBot="1" x14ac:dyDescent="0.3">
      <c r="B51" s="82" t="s">
        <v>534</v>
      </c>
      <c r="C51" s="82" t="s">
        <v>1681</v>
      </c>
      <c r="D51" s="82" t="s">
        <v>1745</v>
      </c>
      <c r="E51" s="82" t="s">
        <v>1746</v>
      </c>
      <c r="F51" s="83">
        <v>16</v>
      </c>
      <c r="G51" s="82" t="s">
        <v>586</v>
      </c>
      <c r="H51" s="175">
        <v>32.5</v>
      </c>
      <c r="I51" s="173">
        <f t="shared" si="1"/>
        <v>520</v>
      </c>
      <c r="J51" s="82" t="s">
        <v>1747</v>
      </c>
      <c r="K51" s="82" t="s">
        <v>1748</v>
      </c>
      <c r="L51" s="173">
        <f t="array" ref="L51">INDEX($T$35:$Y$37,MATCH(O51,$S$35:$S$37,0),MATCH(N51,$T$34:$Y$34,0))</f>
        <v>33.1</v>
      </c>
      <c r="M51" s="171">
        <f>L51*I51</f>
        <v>17212</v>
      </c>
      <c r="N51" s="83" t="s">
        <v>1774</v>
      </c>
      <c r="O51" s="82" t="s">
        <v>1771</v>
      </c>
      <c r="P51" s="82" t="s">
        <v>1781</v>
      </c>
    </row>
    <row r="52" spans="2:24" ht="15.75" thickBot="1" x14ac:dyDescent="0.3">
      <c r="B52" s="82" t="s">
        <v>534</v>
      </c>
      <c r="C52" s="82" t="s">
        <v>1681</v>
      </c>
      <c r="D52" s="82" t="s">
        <v>1745</v>
      </c>
      <c r="E52" s="82" t="s">
        <v>1746</v>
      </c>
      <c r="F52" s="83">
        <v>28</v>
      </c>
      <c r="G52" s="82" t="s">
        <v>586</v>
      </c>
      <c r="H52" s="175">
        <v>38.5</v>
      </c>
      <c r="I52" s="173">
        <f t="shared" si="1"/>
        <v>1078</v>
      </c>
      <c r="J52" s="82" t="s">
        <v>1747</v>
      </c>
      <c r="K52" s="82" t="s">
        <v>1748</v>
      </c>
      <c r="L52" s="173">
        <f t="array" ref="L52">INDEX($T$35:$Y$37,MATCH(O52,$S$35:$S$37,0),MATCH(N52,$T$34:$Y$34,0))</f>
        <v>33.1</v>
      </c>
      <c r="M52" s="171">
        <f t="shared" si="2"/>
        <v>35681.800000000003</v>
      </c>
      <c r="N52" s="83" t="s">
        <v>1774</v>
      </c>
      <c r="O52" s="82" t="s">
        <v>1771</v>
      </c>
      <c r="P52" s="82" t="s">
        <v>1782</v>
      </c>
    </row>
    <row r="53" spans="2:24" ht="15.75" thickBot="1" x14ac:dyDescent="0.3">
      <c r="B53" s="82" t="s">
        <v>534</v>
      </c>
      <c r="C53" s="82" t="s">
        <v>1681</v>
      </c>
      <c r="D53" s="82" t="s">
        <v>1745</v>
      </c>
      <c r="E53" s="82" t="s">
        <v>1746</v>
      </c>
      <c r="F53" s="83">
        <v>138</v>
      </c>
      <c r="G53" s="82" t="s">
        <v>586</v>
      </c>
      <c r="H53" s="175">
        <v>63.5</v>
      </c>
      <c r="I53" s="173">
        <f t="shared" si="1"/>
        <v>8763</v>
      </c>
      <c r="J53" s="82" t="s">
        <v>1747</v>
      </c>
      <c r="K53" s="82" t="s">
        <v>1748</v>
      </c>
      <c r="L53" s="173">
        <f t="array" ref="L53">INDEX($T$35:$Y$37,MATCH(O53,$S$35:$S$37,0),MATCH(N53,$T$34:$Y$34,0))</f>
        <v>33.1</v>
      </c>
      <c r="M53" s="171">
        <f t="shared" si="2"/>
        <v>290055.3</v>
      </c>
      <c r="N53" s="83" t="s">
        <v>1774</v>
      </c>
      <c r="O53" s="82" t="s">
        <v>1771</v>
      </c>
      <c r="P53" s="82" t="s">
        <v>1783</v>
      </c>
    </row>
    <row r="54" spans="2:24" ht="15.75" thickBot="1" x14ac:dyDescent="0.3">
      <c r="B54" s="82" t="s">
        <v>534</v>
      </c>
      <c r="C54" s="82" t="s">
        <v>1681</v>
      </c>
      <c r="D54" s="82" t="s">
        <v>1745</v>
      </c>
      <c r="E54" s="82" t="s">
        <v>1746</v>
      </c>
      <c r="F54" s="83">
        <v>4</v>
      </c>
      <c r="G54" s="82" t="s">
        <v>586</v>
      </c>
      <c r="H54" s="175">
        <v>68</v>
      </c>
      <c r="I54" s="173">
        <f t="shared" si="1"/>
        <v>272</v>
      </c>
      <c r="J54" s="82" t="s">
        <v>1747</v>
      </c>
      <c r="K54" s="82" t="s">
        <v>1748</v>
      </c>
      <c r="L54" s="173">
        <f t="array" ref="L54">INDEX($T$35:$Y$37,MATCH(O54,$S$35:$S$37,0),MATCH(N54,$T$34:$Y$34,0))</f>
        <v>33.1</v>
      </c>
      <c r="M54" s="171">
        <f t="shared" si="2"/>
        <v>9003.2000000000007</v>
      </c>
      <c r="N54" s="83" t="s">
        <v>1774</v>
      </c>
      <c r="O54" s="82" t="s">
        <v>1771</v>
      </c>
      <c r="P54" s="82" t="s">
        <v>1784</v>
      </c>
    </row>
    <row r="55" spans="2:24" ht="15.75" thickBot="1" x14ac:dyDescent="0.3">
      <c r="B55" s="82" t="s">
        <v>534</v>
      </c>
      <c r="C55" s="82" t="s">
        <v>1681</v>
      </c>
      <c r="D55" s="82" t="s">
        <v>1745</v>
      </c>
      <c r="E55" s="82" t="s">
        <v>1746</v>
      </c>
      <c r="F55" s="83">
        <v>44</v>
      </c>
      <c r="G55" s="82" t="s">
        <v>586</v>
      </c>
      <c r="H55" s="175">
        <v>63.5</v>
      </c>
      <c r="I55" s="173">
        <f t="shared" si="1"/>
        <v>2794</v>
      </c>
      <c r="J55" s="82" t="s">
        <v>1747</v>
      </c>
      <c r="K55" s="82" t="s">
        <v>1748</v>
      </c>
      <c r="L55" s="173">
        <f t="array" ref="L55">INDEX($T$35:$Y$37,MATCH(O55,$S$35:$S$37,0),MATCH(N55,$T$34:$Y$34,0))</f>
        <v>30.5</v>
      </c>
      <c r="M55" s="171">
        <f t="shared" si="2"/>
        <v>85217</v>
      </c>
      <c r="N55" s="83" t="s">
        <v>1775</v>
      </c>
      <c r="O55" s="82" t="s">
        <v>1771</v>
      </c>
      <c r="P55" s="82" t="s">
        <v>1783</v>
      </c>
    </row>
    <row r="56" spans="2:24" ht="15.75" thickBot="1" x14ac:dyDescent="0.3">
      <c r="B56" s="82" t="s">
        <v>534</v>
      </c>
      <c r="C56" s="82" t="s">
        <v>1681</v>
      </c>
      <c r="D56" s="82" t="s">
        <v>1745</v>
      </c>
      <c r="E56" s="82" t="s">
        <v>1746</v>
      </c>
      <c r="F56" s="83">
        <v>16</v>
      </c>
      <c r="G56" s="82" t="s">
        <v>586</v>
      </c>
      <c r="H56" s="175">
        <v>38.5</v>
      </c>
      <c r="I56" s="173">
        <f t="shared" si="1"/>
        <v>616</v>
      </c>
      <c r="J56" s="82" t="s">
        <v>1747</v>
      </c>
      <c r="K56" s="82" t="s">
        <v>1748</v>
      </c>
      <c r="L56" s="173">
        <f t="array" ref="L56">INDEX($T$35:$Y$37,MATCH(O56,$S$35:$S$37,0),MATCH(N56,$T$34:$Y$34,0))</f>
        <v>16.2</v>
      </c>
      <c r="M56" s="171">
        <f t="shared" si="2"/>
        <v>9979.1999999999989</v>
      </c>
      <c r="N56" s="83" t="s">
        <v>1776</v>
      </c>
      <c r="O56" s="82" t="s">
        <v>1771</v>
      </c>
      <c r="P56" s="82" t="s">
        <v>1782</v>
      </c>
    </row>
    <row r="57" spans="2:24" ht="15.75" thickBot="1" x14ac:dyDescent="0.3">
      <c r="B57" s="82" t="s">
        <v>534</v>
      </c>
      <c r="C57" s="82" t="s">
        <v>1681</v>
      </c>
      <c r="D57" s="82" t="s">
        <v>1745</v>
      </c>
      <c r="E57" s="82" t="s">
        <v>1746</v>
      </c>
      <c r="F57" s="83">
        <v>194</v>
      </c>
      <c r="G57" s="82" t="s">
        <v>586</v>
      </c>
      <c r="H57" s="175">
        <v>63.5</v>
      </c>
      <c r="I57" s="173">
        <f t="shared" si="1"/>
        <v>12319</v>
      </c>
      <c r="J57" s="82" t="s">
        <v>1747</v>
      </c>
      <c r="K57" s="82" t="s">
        <v>1748</v>
      </c>
      <c r="L57" s="173">
        <f t="array" ref="L57">INDEX($T$35:$Y$37,MATCH(O57,$S$35:$S$37,0),MATCH(N57,$T$34:$Y$34,0))</f>
        <v>16.2</v>
      </c>
      <c r="M57" s="171">
        <f t="shared" si="2"/>
        <v>199567.8</v>
      </c>
      <c r="N57" s="83" t="s">
        <v>1776</v>
      </c>
      <c r="O57" s="82" t="s">
        <v>1771</v>
      </c>
      <c r="P57" s="82" t="s">
        <v>1783</v>
      </c>
      <c r="Q57" s="92"/>
      <c r="R57" s="92"/>
      <c r="S57" s="92"/>
      <c r="T57" s="169"/>
      <c r="U57" s="169"/>
      <c r="V57" s="169"/>
      <c r="W57" s="169"/>
      <c r="X57" s="169"/>
    </row>
    <row r="58" spans="2:24" ht="15.75" thickBot="1" x14ac:dyDescent="0.3">
      <c r="B58" s="82" t="s">
        <v>534</v>
      </c>
      <c r="C58" s="82" t="s">
        <v>1681</v>
      </c>
      <c r="D58" s="82" t="s">
        <v>1745</v>
      </c>
      <c r="E58" s="82" t="s">
        <v>1746</v>
      </c>
      <c r="F58" s="83">
        <v>10</v>
      </c>
      <c r="G58" s="82" t="s">
        <v>586</v>
      </c>
      <c r="H58" s="175">
        <v>68</v>
      </c>
      <c r="I58" s="173">
        <f t="shared" si="1"/>
        <v>680</v>
      </c>
      <c r="J58" s="82" t="s">
        <v>1747</v>
      </c>
      <c r="K58" s="82" t="s">
        <v>1748</v>
      </c>
      <c r="L58" s="173">
        <f t="array" ref="L58">INDEX($T$35:$Y$37,MATCH(O58,$S$35:$S$37,0),MATCH(N58,$T$34:$Y$34,0))</f>
        <v>16.2</v>
      </c>
      <c r="M58" s="171">
        <f t="shared" si="2"/>
        <v>11016</v>
      </c>
      <c r="N58" s="83" t="s">
        <v>1776</v>
      </c>
      <c r="O58" s="82" t="s">
        <v>1771</v>
      </c>
      <c r="P58" s="82" t="s">
        <v>1784</v>
      </c>
      <c r="Q58" s="92"/>
      <c r="R58" s="92"/>
      <c r="S58" s="92"/>
      <c r="T58" s="169"/>
      <c r="U58" s="169"/>
      <c r="V58" s="169"/>
      <c r="W58" s="169"/>
      <c r="X58" s="169"/>
    </row>
    <row r="59" spans="2:24" ht="15.75" thickBot="1" x14ac:dyDescent="0.3">
      <c r="B59" s="82" t="s">
        <v>534</v>
      </c>
      <c r="C59" s="82" t="s">
        <v>1681</v>
      </c>
      <c r="D59" s="82" t="s">
        <v>1745</v>
      </c>
      <c r="E59" s="82" t="s">
        <v>1746</v>
      </c>
      <c r="F59" s="83">
        <v>2</v>
      </c>
      <c r="G59" s="82" t="s">
        <v>586</v>
      </c>
      <c r="H59" s="175">
        <v>14</v>
      </c>
      <c r="I59" s="173">
        <f t="shared" si="1"/>
        <v>28</v>
      </c>
      <c r="J59" s="82" t="s">
        <v>1747</v>
      </c>
      <c r="K59" s="82" t="s">
        <v>1748</v>
      </c>
      <c r="L59" s="173">
        <f t="array" ref="L59">INDEX($T$35:$Y$37,MATCH(O59,$S$35:$S$37,0),MATCH(N59,$T$34:$Y$34,0))</f>
        <v>24.5</v>
      </c>
      <c r="M59" s="171">
        <f t="shared" si="2"/>
        <v>686</v>
      </c>
      <c r="N59" s="83" t="s">
        <v>1777</v>
      </c>
      <c r="O59" s="82" t="s">
        <v>1771</v>
      </c>
      <c r="P59" s="82" t="s">
        <v>1785</v>
      </c>
      <c r="Q59" s="92"/>
      <c r="R59" s="92"/>
      <c r="S59" s="92"/>
      <c r="T59" s="169"/>
      <c r="U59" s="169"/>
      <c r="V59" s="169"/>
      <c r="W59" s="169"/>
      <c r="X59" s="169"/>
    </row>
    <row r="60" spans="2:24" ht="15.75" thickBot="1" x14ac:dyDescent="0.3">
      <c r="B60" s="82" t="s">
        <v>534</v>
      </c>
      <c r="C60" s="82" t="s">
        <v>1681</v>
      </c>
      <c r="D60" s="82" t="s">
        <v>1745</v>
      </c>
      <c r="E60" s="82" t="s">
        <v>1746</v>
      </c>
      <c r="F60" s="83">
        <v>16</v>
      </c>
      <c r="G60" s="82" t="s">
        <v>586</v>
      </c>
      <c r="H60" s="175">
        <v>38.5</v>
      </c>
      <c r="I60" s="173">
        <f t="shared" si="1"/>
        <v>616</v>
      </c>
      <c r="J60" s="82" t="s">
        <v>1747</v>
      </c>
      <c r="K60" s="82" t="s">
        <v>1748</v>
      </c>
      <c r="L60" s="173">
        <f t="array" ref="L60">INDEX($T$35:$Y$37,MATCH(O60,$S$35:$S$37,0),MATCH(N60,$T$34:$Y$34,0))</f>
        <v>24.5</v>
      </c>
      <c r="M60" s="171">
        <f t="shared" si="2"/>
        <v>15092</v>
      </c>
      <c r="N60" s="83" t="s">
        <v>1777</v>
      </c>
      <c r="O60" s="82" t="s">
        <v>1771</v>
      </c>
      <c r="P60" s="82" t="s">
        <v>1782</v>
      </c>
      <c r="Q60" s="168"/>
      <c r="R60" s="168"/>
      <c r="S60" s="168"/>
      <c r="T60" s="170"/>
      <c r="U60" s="170"/>
      <c r="V60" s="170"/>
      <c r="W60" s="170"/>
      <c r="X60" s="170"/>
    </row>
    <row r="61" spans="2:24" ht="15.75" thickBot="1" x14ac:dyDescent="0.3">
      <c r="B61" s="82" t="s">
        <v>534</v>
      </c>
      <c r="C61" s="82" t="s">
        <v>1681</v>
      </c>
      <c r="D61" s="82" t="s">
        <v>1745</v>
      </c>
      <c r="E61" s="82" t="s">
        <v>1746</v>
      </c>
      <c r="F61" s="83">
        <v>550</v>
      </c>
      <c r="G61" s="82" t="s">
        <v>586</v>
      </c>
      <c r="H61" s="175">
        <v>63.5</v>
      </c>
      <c r="I61" s="173">
        <f t="shared" si="1"/>
        <v>34925</v>
      </c>
      <c r="J61" s="82" t="s">
        <v>1747</v>
      </c>
      <c r="K61" s="82" t="s">
        <v>1748</v>
      </c>
      <c r="L61" s="173">
        <f t="array" ref="L61">INDEX($T$35:$Y$37,MATCH(O61,$S$35:$S$37,0),MATCH(N61,$T$34:$Y$34,0))</f>
        <v>24.5</v>
      </c>
      <c r="M61" s="171">
        <f t="shared" si="2"/>
        <v>855662.5</v>
      </c>
      <c r="N61" s="83" t="s">
        <v>1777</v>
      </c>
      <c r="O61" s="82" t="s">
        <v>1771</v>
      </c>
      <c r="P61" s="82" t="s">
        <v>1783</v>
      </c>
      <c r="Q61" s="168"/>
      <c r="R61" s="168"/>
      <c r="S61" s="168"/>
      <c r="T61" s="170"/>
      <c r="U61" s="170"/>
      <c r="V61" s="170"/>
      <c r="W61" s="170"/>
      <c r="X61" s="170"/>
    </row>
    <row r="62" spans="2:24" ht="15.75" thickBot="1" x14ac:dyDescent="0.3">
      <c r="B62" s="82" t="s">
        <v>534</v>
      </c>
      <c r="C62" s="82" t="s">
        <v>1681</v>
      </c>
      <c r="D62" s="82" t="s">
        <v>1745</v>
      </c>
      <c r="E62" s="82" t="s">
        <v>1746</v>
      </c>
      <c r="F62" s="83">
        <v>32</v>
      </c>
      <c r="G62" s="82" t="s">
        <v>586</v>
      </c>
      <c r="H62" s="175">
        <v>68</v>
      </c>
      <c r="I62" s="173">
        <f t="shared" si="1"/>
        <v>2176</v>
      </c>
      <c r="J62" s="82" t="s">
        <v>1747</v>
      </c>
      <c r="K62" s="82" t="s">
        <v>1748</v>
      </c>
      <c r="L62" s="173">
        <f t="array" ref="L62">INDEX($T$35:$Y$37,MATCH(O62,$S$35:$S$37,0),MATCH(N62,$T$34:$Y$34,0))</f>
        <v>24.5</v>
      </c>
      <c r="M62" s="171">
        <f t="shared" si="2"/>
        <v>53312</v>
      </c>
      <c r="N62" s="83" t="s">
        <v>1777</v>
      </c>
      <c r="O62" s="82" t="s">
        <v>1771</v>
      </c>
      <c r="P62" s="82" t="s">
        <v>1784</v>
      </c>
      <c r="Q62" s="168"/>
      <c r="R62" s="168"/>
      <c r="S62" s="168"/>
      <c r="T62" s="170"/>
      <c r="U62" s="170"/>
      <c r="V62" s="170"/>
      <c r="W62" s="170"/>
      <c r="X62" s="170"/>
    </row>
    <row r="63" spans="2:24" ht="15.75" thickBot="1" x14ac:dyDescent="0.3">
      <c r="B63" s="82" t="s">
        <v>534</v>
      </c>
      <c r="C63" s="82" t="s">
        <v>1681</v>
      </c>
      <c r="D63" s="82" t="s">
        <v>1745</v>
      </c>
      <c r="E63" s="82" t="s">
        <v>1746</v>
      </c>
      <c r="F63" s="83">
        <v>2</v>
      </c>
      <c r="G63" s="82" t="s">
        <v>586</v>
      </c>
      <c r="H63" s="175">
        <v>68</v>
      </c>
      <c r="I63" s="173">
        <f t="shared" si="1"/>
        <v>136</v>
      </c>
      <c r="J63" s="82" t="s">
        <v>1747</v>
      </c>
      <c r="K63" s="82" t="s">
        <v>1748</v>
      </c>
      <c r="L63" s="173">
        <f t="array" ref="L63">INDEX($T$35:$Y$37,MATCH(O63,$S$35:$S$37,0),MATCH(N63,$T$34:$Y$34,0))</f>
        <v>38.5</v>
      </c>
      <c r="M63" s="171">
        <f t="shared" si="2"/>
        <v>5236</v>
      </c>
      <c r="N63" s="83" t="s">
        <v>1779</v>
      </c>
      <c r="O63" s="82" t="s">
        <v>1771</v>
      </c>
      <c r="P63" s="82" t="s">
        <v>1784</v>
      </c>
      <c r="Q63" s="168"/>
      <c r="R63" s="168"/>
      <c r="S63" s="168"/>
      <c r="T63" s="170"/>
      <c r="U63" s="170"/>
      <c r="V63" s="170"/>
      <c r="W63" s="170"/>
      <c r="X63" s="170"/>
    </row>
    <row r="64" spans="2:24" ht="15.75" thickBot="1" x14ac:dyDescent="0.3">
      <c r="B64" s="82" t="s">
        <v>534</v>
      </c>
      <c r="C64" s="82" t="s">
        <v>1681</v>
      </c>
      <c r="D64" s="82" t="s">
        <v>1745</v>
      </c>
      <c r="E64" s="82" t="s">
        <v>1746</v>
      </c>
      <c r="F64" s="83">
        <v>34</v>
      </c>
      <c r="G64" s="82" t="s">
        <v>586</v>
      </c>
      <c r="H64" s="175">
        <v>14</v>
      </c>
      <c r="I64" s="173">
        <f t="shared" si="1"/>
        <v>476</v>
      </c>
      <c r="J64" s="82" t="s">
        <v>1747</v>
      </c>
      <c r="K64" s="82" t="s">
        <v>1748</v>
      </c>
      <c r="L64" s="173">
        <f t="array" ref="L64">INDEX($T$35:$Y$37,MATCH(O64,$S$35:$S$37,0),MATCH(N64,$T$34:$Y$34,0))</f>
        <v>48.5</v>
      </c>
      <c r="M64" s="171">
        <f t="shared" si="2"/>
        <v>23086</v>
      </c>
      <c r="N64" s="83" t="s">
        <v>1774</v>
      </c>
      <c r="O64" s="82" t="s">
        <v>1772</v>
      </c>
      <c r="P64" s="82" t="s">
        <v>1785</v>
      </c>
    </row>
    <row r="65" spans="2:16" ht="15.75" thickBot="1" x14ac:dyDescent="0.3">
      <c r="B65" s="82" t="s">
        <v>534</v>
      </c>
      <c r="C65" s="82" t="s">
        <v>1681</v>
      </c>
      <c r="D65" s="82" t="s">
        <v>1745</v>
      </c>
      <c r="E65" s="82" t="s">
        <v>1746</v>
      </c>
      <c r="F65" s="83">
        <v>11</v>
      </c>
      <c r="G65" s="82" t="s">
        <v>586</v>
      </c>
      <c r="H65" s="175">
        <v>16</v>
      </c>
      <c r="I65" s="173">
        <f t="shared" si="1"/>
        <v>176</v>
      </c>
      <c r="J65" s="82" t="s">
        <v>1747</v>
      </c>
      <c r="K65" s="82" t="s">
        <v>1748</v>
      </c>
      <c r="L65" s="173">
        <f t="array" ref="L65">INDEX($T$35:$Y$37,MATCH(O65,$S$35:$S$37,0),MATCH(N65,$T$34:$Y$34,0))</f>
        <v>48.5</v>
      </c>
      <c r="M65" s="171">
        <f t="shared" si="2"/>
        <v>8536</v>
      </c>
      <c r="N65" s="83" t="s">
        <v>1774</v>
      </c>
      <c r="O65" s="82" t="s">
        <v>1772</v>
      </c>
      <c r="P65" s="82" t="s">
        <v>1786</v>
      </c>
    </row>
    <row r="66" spans="2:16" ht="15.75" thickBot="1" x14ac:dyDescent="0.3">
      <c r="B66" s="82" t="s">
        <v>534</v>
      </c>
      <c r="C66" s="82" t="s">
        <v>1681</v>
      </c>
      <c r="D66" s="82" t="s">
        <v>1745</v>
      </c>
      <c r="E66" s="82" t="s">
        <v>1746</v>
      </c>
      <c r="F66" s="83">
        <v>4</v>
      </c>
      <c r="G66" s="82" t="s">
        <v>586</v>
      </c>
      <c r="H66" s="175">
        <v>42</v>
      </c>
      <c r="I66" s="173">
        <f t="shared" si="1"/>
        <v>168</v>
      </c>
      <c r="J66" s="82" t="s">
        <v>1747</v>
      </c>
      <c r="K66" s="82" t="s">
        <v>1748</v>
      </c>
      <c r="L66" s="173">
        <f t="array" ref="L66">INDEX($T$35:$Y$37,MATCH(O66,$S$35:$S$37,0),MATCH(N66,$T$34:$Y$34,0))</f>
        <v>68.599999999999994</v>
      </c>
      <c r="M66" s="171">
        <f t="shared" si="2"/>
        <v>11524.8</v>
      </c>
      <c r="N66" s="83" t="s">
        <v>1775</v>
      </c>
      <c r="O66" s="82" t="s">
        <v>1772</v>
      </c>
      <c r="P66" s="82" t="s">
        <v>1787</v>
      </c>
    </row>
    <row r="67" spans="2:16" ht="15.75" thickBot="1" x14ac:dyDescent="0.3">
      <c r="B67" s="82" t="s">
        <v>534</v>
      </c>
      <c r="C67" s="82" t="s">
        <v>1681</v>
      </c>
      <c r="D67" s="82" t="s">
        <v>1745</v>
      </c>
      <c r="E67" s="82" t="s">
        <v>1746</v>
      </c>
      <c r="F67" s="83">
        <v>27</v>
      </c>
      <c r="G67" s="82" t="s">
        <v>586</v>
      </c>
      <c r="H67" s="175">
        <v>38.5</v>
      </c>
      <c r="I67" s="173">
        <f t="shared" si="1"/>
        <v>1039.5</v>
      </c>
      <c r="J67" s="82" t="s">
        <v>1747</v>
      </c>
      <c r="K67" s="82" t="s">
        <v>1748</v>
      </c>
      <c r="L67" s="173">
        <f t="array" ref="L67">INDEX($T$35:$Y$37,MATCH(O67,$S$35:$S$37,0),MATCH(N67,$T$34:$Y$34,0))</f>
        <v>68.599999999999994</v>
      </c>
      <c r="M67" s="171">
        <f t="shared" si="2"/>
        <v>71309.7</v>
      </c>
      <c r="N67" s="83" t="s">
        <v>1775</v>
      </c>
      <c r="O67" s="82" t="s">
        <v>1772</v>
      </c>
      <c r="P67" s="82" t="s">
        <v>1782</v>
      </c>
    </row>
    <row r="68" spans="2:16" ht="15.75" thickBot="1" x14ac:dyDescent="0.3">
      <c r="B68" s="82" t="s">
        <v>534</v>
      </c>
      <c r="C68" s="82" t="s">
        <v>1681</v>
      </c>
      <c r="D68" s="82" t="s">
        <v>1745</v>
      </c>
      <c r="E68" s="82" t="s">
        <v>1746</v>
      </c>
      <c r="F68" s="83">
        <v>2</v>
      </c>
      <c r="G68" s="82" t="s">
        <v>586</v>
      </c>
      <c r="H68" s="175">
        <v>48</v>
      </c>
      <c r="I68" s="173">
        <f t="shared" si="1"/>
        <v>96</v>
      </c>
      <c r="J68" s="82" t="s">
        <v>1747</v>
      </c>
      <c r="K68" s="82" t="s">
        <v>1748</v>
      </c>
      <c r="L68" s="173">
        <f t="array" ref="L68">INDEX($T$35:$Y$37,MATCH(O68,$S$35:$S$37,0),MATCH(N68,$T$34:$Y$34,0))</f>
        <v>68.599999999999994</v>
      </c>
      <c r="M68" s="171">
        <f t="shared" si="2"/>
        <v>6585.5999999999995</v>
      </c>
      <c r="N68" s="83" t="s">
        <v>1775</v>
      </c>
      <c r="O68" s="82" t="s">
        <v>1772</v>
      </c>
      <c r="P68" s="82" t="s">
        <v>1788</v>
      </c>
    </row>
    <row r="69" spans="2:16" ht="15.75" thickBot="1" x14ac:dyDescent="0.3">
      <c r="B69" s="82" t="s">
        <v>534</v>
      </c>
      <c r="C69" s="82" t="s">
        <v>1681</v>
      </c>
      <c r="D69" s="82" t="s">
        <v>1745</v>
      </c>
      <c r="E69" s="82" t="s">
        <v>1746</v>
      </c>
      <c r="F69" s="83">
        <v>427</v>
      </c>
      <c r="G69" s="82" t="s">
        <v>586</v>
      </c>
      <c r="H69" s="175">
        <v>63.5</v>
      </c>
      <c r="I69" s="173">
        <f t="shared" si="1"/>
        <v>27114.5</v>
      </c>
      <c r="J69" s="82" t="s">
        <v>1747</v>
      </c>
      <c r="K69" s="82" t="s">
        <v>1748</v>
      </c>
      <c r="L69" s="173">
        <f t="array" ref="L69">INDEX($T$35:$Y$37,MATCH(O69,$S$35:$S$37,0),MATCH(N69,$T$34:$Y$34,0))</f>
        <v>68.599999999999994</v>
      </c>
      <c r="M69" s="171">
        <f t="shared" si="2"/>
        <v>1860054.7</v>
      </c>
      <c r="N69" s="83" t="s">
        <v>1775</v>
      </c>
      <c r="O69" s="82" t="s">
        <v>1772</v>
      </c>
      <c r="P69" s="82" t="s">
        <v>1783</v>
      </c>
    </row>
    <row r="70" spans="2:16" ht="15.75" thickBot="1" x14ac:dyDescent="0.3">
      <c r="B70" s="82" t="s">
        <v>534</v>
      </c>
      <c r="C70" s="82" t="s">
        <v>1681</v>
      </c>
      <c r="D70" s="82" t="s">
        <v>1745</v>
      </c>
      <c r="E70" s="82" t="s">
        <v>1746</v>
      </c>
      <c r="F70" s="83">
        <v>2</v>
      </c>
      <c r="G70" s="82" t="s">
        <v>586</v>
      </c>
      <c r="H70" s="175">
        <v>12.5</v>
      </c>
      <c r="I70" s="173">
        <f t="shared" si="1"/>
        <v>25</v>
      </c>
      <c r="J70" s="82" t="s">
        <v>1747</v>
      </c>
      <c r="K70" s="82" t="s">
        <v>1748</v>
      </c>
      <c r="L70" s="173">
        <f t="array" ref="L70">INDEX($T$35:$Y$37,MATCH(O70,$S$35:$S$37,0),MATCH(N70,$T$34:$Y$34,0))</f>
        <v>29.9</v>
      </c>
      <c r="M70" s="171">
        <f t="shared" si="2"/>
        <v>747.5</v>
      </c>
      <c r="N70" s="83" t="s">
        <v>1776</v>
      </c>
      <c r="O70" s="82" t="s">
        <v>1772</v>
      </c>
      <c r="P70" s="82" t="s">
        <v>1789</v>
      </c>
    </row>
    <row r="71" spans="2:16" ht="15.75" thickBot="1" x14ac:dyDescent="0.3">
      <c r="B71" s="82" t="s">
        <v>534</v>
      </c>
      <c r="C71" s="82" t="s">
        <v>1681</v>
      </c>
      <c r="D71" s="82" t="s">
        <v>1745</v>
      </c>
      <c r="E71" s="82" t="s">
        <v>1746</v>
      </c>
      <c r="F71" s="83">
        <v>16</v>
      </c>
      <c r="G71" s="82" t="s">
        <v>586</v>
      </c>
      <c r="H71" s="175">
        <v>14</v>
      </c>
      <c r="I71" s="173">
        <f t="shared" si="1"/>
        <v>224</v>
      </c>
      <c r="J71" s="82" t="s">
        <v>1747</v>
      </c>
      <c r="K71" s="82" t="s">
        <v>1748</v>
      </c>
      <c r="L71" s="173">
        <f t="array" ref="L71">INDEX($T$35:$Y$37,MATCH(O71,$S$35:$S$37,0),MATCH(N71,$T$34:$Y$34,0))</f>
        <v>29.9</v>
      </c>
      <c r="M71" s="171">
        <f t="shared" si="2"/>
        <v>6697.5999999999995</v>
      </c>
      <c r="N71" s="83" t="s">
        <v>1776</v>
      </c>
      <c r="O71" s="82" t="s">
        <v>1772</v>
      </c>
      <c r="P71" s="82" t="s">
        <v>1785</v>
      </c>
    </row>
    <row r="72" spans="2:16" ht="15.75" thickBot="1" x14ac:dyDescent="0.3">
      <c r="B72" s="82" t="s">
        <v>534</v>
      </c>
      <c r="C72" s="82" t="s">
        <v>1681</v>
      </c>
      <c r="D72" s="82" t="s">
        <v>1745</v>
      </c>
      <c r="E72" s="82" t="s">
        <v>1746</v>
      </c>
      <c r="F72" s="83">
        <v>10</v>
      </c>
      <c r="G72" s="82" t="s">
        <v>586</v>
      </c>
      <c r="H72" s="175">
        <v>16</v>
      </c>
      <c r="I72" s="173">
        <f t="shared" si="1"/>
        <v>160</v>
      </c>
      <c r="J72" s="82" t="s">
        <v>1747</v>
      </c>
      <c r="K72" s="82" t="s">
        <v>1748</v>
      </c>
      <c r="L72" s="173">
        <f t="array" ref="L72">INDEX($T$35:$Y$37,MATCH(O72,$S$35:$S$37,0),MATCH(N72,$T$34:$Y$34,0))</f>
        <v>29.9</v>
      </c>
      <c r="M72" s="171">
        <f t="shared" si="2"/>
        <v>4784</v>
      </c>
      <c r="N72" s="83" t="s">
        <v>1776</v>
      </c>
      <c r="O72" s="82" t="s">
        <v>1772</v>
      </c>
      <c r="P72" s="82" t="s">
        <v>1786</v>
      </c>
    </row>
    <row r="73" spans="2:16" ht="15.75" thickBot="1" x14ac:dyDescent="0.3">
      <c r="B73" s="82" t="s">
        <v>534</v>
      </c>
      <c r="C73" s="82" t="s">
        <v>1681</v>
      </c>
      <c r="D73" s="82" t="s">
        <v>1745</v>
      </c>
      <c r="E73" s="82" t="s">
        <v>1746</v>
      </c>
      <c r="F73" s="83">
        <v>16</v>
      </c>
      <c r="G73" s="82" t="s">
        <v>586</v>
      </c>
      <c r="H73" s="175">
        <v>38.5</v>
      </c>
      <c r="I73" s="173">
        <f t="shared" si="1"/>
        <v>616</v>
      </c>
      <c r="J73" s="82" t="s">
        <v>1747</v>
      </c>
      <c r="K73" s="82" t="s">
        <v>1748</v>
      </c>
      <c r="L73" s="173">
        <f t="array" ref="L73">INDEX($T$35:$Y$37,MATCH(O73,$S$35:$S$37,0),MATCH(N73,$T$34:$Y$34,0))</f>
        <v>29.9</v>
      </c>
      <c r="M73" s="171">
        <f t="shared" si="2"/>
        <v>18418.399999999998</v>
      </c>
      <c r="N73" s="83" t="s">
        <v>1776</v>
      </c>
      <c r="O73" s="82" t="s">
        <v>1772</v>
      </c>
      <c r="P73" s="82" t="s">
        <v>1782</v>
      </c>
    </row>
    <row r="74" spans="2:16" ht="15.75" thickBot="1" x14ac:dyDescent="0.3">
      <c r="B74" s="82" t="s">
        <v>534</v>
      </c>
      <c r="C74" s="82" t="s">
        <v>1681</v>
      </c>
      <c r="D74" s="82" t="s">
        <v>1745</v>
      </c>
      <c r="E74" s="82" t="s">
        <v>1746</v>
      </c>
      <c r="F74" s="83">
        <v>8</v>
      </c>
      <c r="G74" s="82" t="s">
        <v>586</v>
      </c>
      <c r="H74" s="175">
        <v>48</v>
      </c>
      <c r="I74" s="173">
        <f t="shared" si="1"/>
        <v>384</v>
      </c>
      <c r="J74" s="82" t="s">
        <v>1747</v>
      </c>
      <c r="K74" s="82" t="s">
        <v>1748</v>
      </c>
      <c r="L74" s="173">
        <f t="array" ref="L74">INDEX($T$35:$Y$37,MATCH(O74,$S$35:$S$37,0),MATCH(N74,$T$34:$Y$34,0))</f>
        <v>29.9</v>
      </c>
      <c r="M74" s="171">
        <f t="shared" si="2"/>
        <v>11481.599999999999</v>
      </c>
      <c r="N74" s="83" t="s">
        <v>1776</v>
      </c>
      <c r="O74" s="82" t="s">
        <v>1772</v>
      </c>
      <c r="P74" s="82" t="s">
        <v>1790</v>
      </c>
    </row>
    <row r="75" spans="2:16" ht="15.75" thickBot="1" x14ac:dyDescent="0.3">
      <c r="B75" s="82" t="s">
        <v>534</v>
      </c>
      <c r="C75" s="82" t="s">
        <v>1681</v>
      </c>
      <c r="D75" s="82" t="s">
        <v>1745</v>
      </c>
      <c r="E75" s="82" t="s">
        <v>1746</v>
      </c>
      <c r="F75" s="83">
        <v>534</v>
      </c>
      <c r="G75" s="82" t="s">
        <v>586</v>
      </c>
      <c r="H75" s="175">
        <v>63.5</v>
      </c>
      <c r="I75" s="173">
        <f t="shared" si="1"/>
        <v>33909</v>
      </c>
      <c r="J75" s="82" t="s">
        <v>1747</v>
      </c>
      <c r="K75" s="82" t="s">
        <v>1748</v>
      </c>
      <c r="L75" s="173">
        <f t="array" ref="L75">INDEX($T$35:$Y$37,MATCH(O75,$S$35:$S$37,0),MATCH(N75,$T$34:$Y$34,0))</f>
        <v>29.9</v>
      </c>
      <c r="M75" s="171">
        <f t="shared" si="2"/>
        <v>1013879.1</v>
      </c>
      <c r="N75" s="83" t="s">
        <v>1776</v>
      </c>
      <c r="O75" s="82" t="s">
        <v>1772</v>
      </c>
      <c r="P75" s="82" t="s">
        <v>1783</v>
      </c>
    </row>
    <row r="76" spans="2:16" ht="15.75" thickBot="1" x14ac:dyDescent="0.3">
      <c r="B76" s="82" t="s">
        <v>534</v>
      </c>
      <c r="C76" s="82" t="s">
        <v>1681</v>
      </c>
      <c r="D76" s="82" t="s">
        <v>1745</v>
      </c>
      <c r="E76" s="82" t="s">
        <v>1746</v>
      </c>
      <c r="F76" s="83">
        <v>2</v>
      </c>
      <c r="G76" s="82" t="s">
        <v>586</v>
      </c>
      <c r="H76" s="175">
        <v>12.5</v>
      </c>
      <c r="I76" s="173">
        <f t="shared" si="1"/>
        <v>25</v>
      </c>
      <c r="J76" s="82" t="s">
        <v>1747</v>
      </c>
      <c r="K76" s="82" t="s">
        <v>1748</v>
      </c>
      <c r="L76" s="173">
        <f t="array" ref="L76">INDEX($T$35:$Y$37,MATCH(O76,$S$35:$S$37,0),MATCH(N76,$T$34:$Y$34,0))</f>
        <v>47.6</v>
      </c>
      <c r="M76" s="171">
        <f t="shared" si="2"/>
        <v>1190</v>
      </c>
      <c r="N76" s="83" t="s">
        <v>1777</v>
      </c>
      <c r="O76" s="82" t="s">
        <v>1772</v>
      </c>
      <c r="P76" s="82" t="s">
        <v>1789</v>
      </c>
    </row>
    <row r="77" spans="2:16" ht="15.75" thickBot="1" x14ac:dyDescent="0.3">
      <c r="B77" s="82" t="s">
        <v>534</v>
      </c>
      <c r="C77" s="82" t="s">
        <v>1681</v>
      </c>
      <c r="D77" s="82" t="s">
        <v>1745</v>
      </c>
      <c r="E77" s="82" t="s">
        <v>1746</v>
      </c>
      <c r="F77" s="83">
        <v>16</v>
      </c>
      <c r="G77" s="82" t="s">
        <v>586</v>
      </c>
      <c r="H77" s="175">
        <v>16</v>
      </c>
      <c r="I77" s="173">
        <f t="shared" si="1"/>
        <v>256</v>
      </c>
      <c r="J77" s="82" t="s">
        <v>1747</v>
      </c>
      <c r="K77" s="82" t="s">
        <v>1748</v>
      </c>
      <c r="L77" s="173">
        <f t="array" ref="L77">INDEX($T$35:$Y$37,MATCH(O77,$S$35:$S$37,0),MATCH(N77,$T$34:$Y$34,0))</f>
        <v>47.6</v>
      </c>
      <c r="M77" s="171">
        <f t="shared" si="2"/>
        <v>12185.6</v>
      </c>
      <c r="N77" s="83" t="s">
        <v>1777</v>
      </c>
      <c r="O77" s="82" t="s">
        <v>1772</v>
      </c>
      <c r="P77" s="82" t="s">
        <v>1786</v>
      </c>
    </row>
    <row r="78" spans="2:16" ht="15.75" thickBot="1" x14ac:dyDescent="0.3">
      <c r="B78" s="82" t="s">
        <v>534</v>
      </c>
      <c r="C78" s="82" t="s">
        <v>1681</v>
      </c>
      <c r="D78" s="82" t="s">
        <v>1745</v>
      </c>
      <c r="E78" s="82" t="s">
        <v>1746</v>
      </c>
      <c r="F78" s="83">
        <v>8</v>
      </c>
      <c r="G78" s="82" t="s">
        <v>586</v>
      </c>
      <c r="H78" s="175">
        <v>48</v>
      </c>
      <c r="I78" s="173">
        <f t="shared" si="1"/>
        <v>384</v>
      </c>
      <c r="J78" s="82" t="s">
        <v>1747</v>
      </c>
      <c r="K78" s="82" t="s">
        <v>1748</v>
      </c>
      <c r="L78" s="173">
        <f t="array" ref="L78">INDEX($T$35:$Y$37,MATCH(O78,$S$35:$S$37,0),MATCH(N78,$T$34:$Y$34,0))</f>
        <v>47.6</v>
      </c>
      <c r="M78" s="171">
        <f t="shared" si="2"/>
        <v>18278.400000000001</v>
      </c>
      <c r="N78" s="83" t="s">
        <v>1777</v>
      </c>
      <c r="O78" s="82" t="s">
        <v>1772</v>
      </c>
      <c r="P78" s="82" t="s">
        <v>1788</v>
      </c>
    </row>
    <row r="79" spans="2:16" ht="15.75" thickBot="1" x14ac:dyDescent="0.3">
      <c r="B79" s="82" t="s">
        <v>534</v>
      </c>
      <c r="C79" s="82" t="s">
        <v>1681</v>
      </c>
      <c r="D79" s="82" t="s">
        <v>1745</v>
      </c>
      <c r="E79" s="82" t="s">
        <v>1746</v>
      </c>
      <c r="F79" s="83">
        <v>69</v>
      </c>
      <c r="G79" s="82" t="s">
        <v>586</v>
      </c>
      <c r="H79" s="175">
        <v>63.5</v>
      </c>
      <c r="I79" s="173">
        <f t="shared" si="1"/>
        <v>4381.5</v>
      </c>
      <c r="J79" s="82" t="s">
        <v>1747</v>
      </c>
      <c r="K79" s="82" t="s">
        <v>1748</v>
      </c>
      <c r="L79" s="173">
        <f t="array" ref="L79">INDEX($T$35:$Y$37,MATCH(O79,$S$35:$S$37,0),MATCH(N79,$T$34:$Y$34,0))</f>
        <v>47.6</v>
      </c>
      <c r="M79" s="171">
        <f t="shared" si="2"/>
        <v>208559.4</v>
      </c>
      <c r="N79" s="83" t="s">
        <v>1777</v>
      </c>
      <c r="O79" s="82" t="s">
        <v>1772</v>
      </c>
      <c r="P79" s="82" t="s">
        <v>1783</v>
      </c>
    </row>
    <row r="80" spans="2:16" ht="15.75" thickBot="1" x14ac:dyDescent="0.3">
      <c r="B80" s="82" t="s">
        <v>534</v>
      </c>
      <c r="C80" s="82" t="s">
        <v>1681</v>
      </c>
      <c r="D80" s="82" t="s">
        <v>1745</v>
      </c>
      <c r="E80" s="82" t="s">
        <v>1746</v>
      </c>
      <c r="F80" s="83">
        <v>2</v>
      </c>
      <c r="G80" s="82" t="s">
        <v>586</v>
      </c>
      <c r="H80" s="175">
        <v>14</v>
      </c>
      <c r="I80" s="173">
        <f t="shared" si="1"/>
        <v>28</v>
      </c>
      <c r="J80" s="82" t="s">
        <v>1747</v>
      </c>
      <c r="K80" s="82" t="s">
        <v>1748</v>
      </c>
      <c r="L80" s="173">
        <f t="array" ref="L80">INDEX($T$35:$Y$37,MATCH(O80,$S$35:$S$37,0),MATCH(N80,$T$34:$Y$34,0))</f>
        <v>103</v>
      </c>
      <c r="M80" s="171">
        <f t="shared" si="2"/>
        <v>2884</v>
      </c>
      <c r="N80" s="83" t="s">
        <v>1778</v>
      </c>
      <c r="O80" s="82" t="s">
        <v>1772</v>
      </c>
      <c r="P80" s="82" t="s">
        <v>1785</v>
      </c>
    </row>
    <row r="81" spans="2:16" ht="15.75" thickBot="1" x14ac:dyDescent="0.3">
      <c r="B81" s="82" t="s">
        <v>534</v>
      </c>
      <c r="C81" s="82" t="s">
        <v>1681</v>
      </c>
      <c r="D81" s="82" t="s">
        <v>1745</v>
      </c>
      <c r="E81" s="82" t="s">
        <v>1746</v>
      </c>
      <c r="F81" s="83">
        <v>2</v>
      </c>
      <c r="G81" s="82" t="s">
        <v>586</v>
      </c>
      <c r="H81" s="175">
        <v>42</v>
      </c>
      <c r="I81" s="173">
        <f t="shared" si="1"/>
        <v>84</v>
      </c>
      <c r="J81" s="82" t="s">
        <v>1747</v>
      </c>
      <c r="K81" s="82" t="s">
        <v>1748</v>
      </c>
      <c r="L81" s="173">
        <f t="array" ref="L81">INDEX($T$35:$Y$37,MATCH(O81,$S$35:$S$37,0),MATCH(N81,$T$34:$Y$34,0))</f>
        <v>103</v>
      </c>
      <c r="M81" s="171">
        <f t="shared" si="2"/>
        <v>8652</v>
      </c>
      <c r="N81" s="83" t="s">
        <v>1778</v>
      </c>
      <c r="O81" s="82" t="s">
        <v>1772</v>
      </c>
      <c r="P81" s="82" t="s">
        <v>1787</v>
      </c>
    </row>
    <row r="82" spans="2:16" ht="15.75" thickBot="1" x14ac:dyDescent="0.3">
      <c r="B82" s="82" t="s">
        <v>534</v>
      </c>
      <c r="C82" s="82" t="s">
        <v>1681</v>
      </c>
      <c r="D82" s="82" t="s">
        <v>1745</v>
      </c>
      <c r="E82" s="82" t="s">
        <v>1746</v>
      </c>
      <c r="F82" s="83">
        <v>8</v>
      </c>
      <c r="G82" s="82" t="s">
        <v>586</v>
      </c>
      <c r="H82" s="175">
        <v>38.5</v>
      </c>
      <c r="I82" s="173">
        <f t="shared" si="1"/>
        <v>308</v>
      </c>
      <c r="J82" s="82" t="s">
        <v>1747</v>
      </c>
      <c r="K82" s="82" t="s">
        <v>1748</v>
      </c>
      <c r="L82" s="173">
        <f t="array" ref="L82">INDEX($T$35:$Y$37,MATCH(O82,$S$35:$S$37,0),MATCH(N82,$T$34:$Y$34,0))</f>
        <v>103</v>
      </c>
      <c r="M82" s="171">
        <f t="shared" si="2"/>
        <v>31724</v>
      </c>
      <c r="N82" s="83" t="s">
        <v>1778</v>
      </c>
      <c r="O82" s="82" t="s">
        <v>1772</v>
      </c>
      <c r="P82" s="82" t="s">
        <v>1782</v>
      </c>
    </row>
    <row r="83" spans="2:16" ht="15.75" thickBot="1" x14ac:dyDescent="0.3">
      <c r="B83" s="82" t="s">
        <v>534</v>
      </c>
      <c r="C83" s="82" t="s">
        <v>1681</v>
      </c>
      <c r="D83" s="82" t="s">
        <v>1745</v>
      </c>
      <c r="E83" s="82" t="s">
        <v>1746</v>
      </c>
      <c r="F83" s="83">
        <v>7</v>
      </c>
      <c r="G83" s="82" t="s">
        <v>586</v>
      </c>
      <c r="H83" s="175">
        <v>63.5</v>
      </c>
      <c r="I83" s="173">
        <f t="shared" si="1"/>
        <v>444.5</v>
      </c>
      <c r="J83" s="82" t="s">
        <v>1747</v>
      </c>
      <c r="K83" s="82" t="s">
        <v>1748</v>
      </c>
      <c r="L83" s="173">
        <f t="array" ref="L83">INDEX($T$35:$Y$37,MATCH(O83,$S$35:$S$37,0),MATCH(N83,$T$34:$Y$34,0))</f>
        <v>4.5</v>
      </c>
      <c r="M83" s="171">
        <f t="shared" si="2"/>
        <v>2000.25</v>
      </c>
      <c r="N83" s="83" t="s">
        <v>1779</v>
      </c>
      <c r="O83" s="82" t="s">
        <v>1772</v>
      </c>
      <c r="P83" s="82" t="s">
        <v>1783</v>
      </c>
    </row>
    <row r="84" spans="2:16" ht="15.75" thickBot="1" x14ac:dyDescent="0.3">
      <c r="B84" s="82" t="s">
        <v>534</v>
      </c>
      <c r="C84" s="82" t="s">
        <v>1681</v>
      </c>
      <c r="D84" s="82" t="s">
        <v>1745</v>
      </c>
      <c r="E84" s="82" t="s">
        <v>1746</v>
      </c>
      <c r="F84" s="83">
        <v>8</v>
      </c>
      <c r="G84" s="82" t="s">
        <v>586</v>
      </c>
      <c r="H84" s="175">
        <v>63.5</v>
      </c>
      <c r="I84" s="173">
        <f t="shared" si="1"/>
        <v>508</v>
      </c>
      <c r="J84" s="82" t="s">
        <v>1747</v>
      </c>
      <c r="K84" s="82" t="s">
        <v>1748</v>
      </c>
      <c r="L84" s="173">
        <f t="array" ref="L84">INDEX($T$35:$Y$37,MATCH(O84,$S$35:$S$37,0),MATCH(N84,$T$34:$Y$34,0))</f>
        <v>15.7</v>
      </c>
      <c r="M84" s="171">
        <f t="shared" si="2"/>
        <v>7975.5999999999995</v>
      </c>
      <c r="N84" s="83" t="s">
        <v>1777</v>
      </c>
      <c r="O84" s="82" t="s">
        <v>1773</v>
      </c>
      <c r="P84" s="82" t="s">
        <v>1783</v>
      </c>
    </row>
    <row r="86" spans="2:16" x14ac:dyDescent="0.25">
      <c r="M86" s="176"/>
    </row>
  </sheetData>
  <mergeCells count="29">
    <mergeCell ref="O28:O29"/>
    <mergeCell ref="H28:H29"/>
    <mergeCell ref="P28:P29"/>
    <mergeCell ref="I28:I29"/>
    <mergeCell ref="M28:M29"/>
    <mergeCell ref="E28:E29"/>
    <mergeCell ref="B9:AA9"/>
    <mergeCell ref="B25:Y26"/>
    <mergeCell ref="B28:B29"/>
    <mergeCell ref="C28:C29"/>
    <mergeCell ref="D28:D29"/>
    <mergeCell ref="F28:F29"/>
    <mergeCell ref="G28:G29"/>
    <mergeCell ref="J28:J29"/>
    <mergeCell ref="K28:K29"/>
    <mergeCell ref="L28:L29"/>
    <mergeCell ref="N28:N29"/>
    <mergeCell ref="B14:C14"/>
    <mergeCell ref="D14:T14"/>
    <mergeCell ref="B15:C15"/>
    <mergeCell ref="D15:T15"/>
    <mergeCell ref="B17:AA17"/>
    <mergeCell ref="B21:Y22"/>
    <mergeCell ref="B11:C11"/>
    <mergeCell ref="D11:T11"/>
    <mergeCell ref="B12:C12"/>
    <mergeCell ref="D12:T12"/>
    <mergeCell ref="B13:C13"/>
    <mergeCell ref="D13:T13"/>
  </mergeCells>
  <dataValidations count="4">
    <dataValidation type="list" allowBlank="1" showInputMessage="1" showErrorMessage="1" sqref="D30:D84">
      <formula1>"Rodoviário, Ferroviário, Aéreo, Marítimo, Outro"</formula1>
    </dataValidation>
    <dataValidation type="list" allowBlank="1" showInputMessage="1" showErrorMessage="1" sqref="G30:G84 H51:H54">
      <formula1>"unidades, paletes, contentores, kWh, l (litros), kg (quilos), ton (toneladas), Nm3 (metros cubicos norm.), Outro/NA"</formula1>
    </dataValidation>
    <dataValidation type="list" allowBlank="1" showInputMessage="1" showErrorMessage="1" sqref="E30:E84">
      <formula1>"Meios Própios Empresa,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C30:C84">
      <formula1>"Serviço Manutenção, Outros Serviços, Pneus, Componentes/Peças, Vidros, Baterias, Metais, Plásticos, Borrachas, Papel, Contrato Pneus, Outros, Total"</formula1>
    </dataValidation>
  </dataValidations>
  <pageMargins left="0.7" right="0.7" top="0.75" bottom="0.75" header="0.3" footer="0.3"/>
  <customProperties>
    <customPr name="GUID" r:id="rId1"/>
  </customPropertie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4">
    <tabColor theme="7"/>
  </sheetPr>
  <dimension ref="A1:AH199"/>
  <sheetViews>
    <sheetView topLeftCell="A175" zoomScale="70" zoomScaleNormal="70" workbookViewId="0">
      <selection activeCell="B207" sqref="B207"/>
    </sheetView>
    <sheetView workbookViewId="1">
      <selection sqref="A1:A2"/>
    </sheetView>
  </sheetViews>
  <sheetFormatPr defaultRowHeight="15" x14ac:dyDescent="0.25"/>
  <cols>
    <col min="1" max="2" width="70.140625" bestFit="1" customWidth="1"/>
    <col min="3" max="3" width="6.7109375" bestFit="1" customWidth="1"/>
    <col min="4" max="4" width="14" style="234" bestFit="1" customWidth="1"/>
    <col min="5" max="5" width="38.5703125" bestFit="1" customWidth="1"/>
    <col min="6" max="6" width="23.42578125" bestFit="1" customWidth="1"/>
    <col min="7" max="7" width="23.85546875" bestFit="1" customWidth="1"/>
    <col min="8" max="8" width="48.7109375" bestFit="1" customWidth="1"/>
    <col min="9" max="9" width="54.28515625" bestFit="1" customWidth="1"/>
    <col min="10" max="10" width="30.7109375" bestFit="1" customWidth="1"/>
    <col min="11" max="11" width="12.42578125" bestFit="1" customWidth="1"/>
    <col min="12" max="12" width="31.7109375" bestFit="1" customWidth="1"/>
    <col min="13" max="13" width="18.28515625" style="174" bestFit="1" customWidth="1"/>
    <col min="14" max="14" width="12.42578125" style="174" bestFit="1" customWidth="1"/>
    <col min="15" max="15" width="18.85546875" bestFit="1" customWidth="1"/>
    <col min="16" max="16" width="31" bestFit="1" customWidth="1"/>
    <col min="17" max="17" width="27.28515625" style="172" bestFit="1" customWidth="1"/>
    <col min="18" max="18" width="27.42578125" bestFit="1" customWidth="1"/>
    <col min="19" max="19" width="11.140625" bestFit="1" customWidth="1"/>
    <col min="20" max="20" width="35.85546875" bestFit="1" customWidth="1"/>
    <col min="21" max="21" width="29.28515625" bestFit="1" customWidth="1"/>
    <col min="22" max="22" width="48.85546875" bestFit="1" customWidth="1"/>
    <col min="23" max="23" width="9.140625" bestFit="1" customWidth="1"/>
    <col min="24" max="24" width="18.140625" bestFit="1" customWidth="1"/>
    <col min="26" max="26" width="48.7109375" bestFit="1" customWidth="1"/>
    <col min="27" max="27" width="12.85546875" style="1" bestFit="1" customWidth="1"/>
    <col min="28" max="28" width="9.28515625" style="1" bestFit="1" customWidth="1"/>
    <col min="29" max="29" width="14.28515625" style="1" bestFit="1" customWidth="1"/>
    <col min="30" max="30" width="11.42578125" style="1" bestFit="1" customWidth="1"/>
    <col min="31" max="31" width="11.7109375" style="1" bestFit="1" customWidth="1"/>
    <col min="32" max="32" width="14" style="1" bestFit="1" customWidth="1"/>
    <col min="33" max="33" width="9.140625" style="1"/>
  </cols>
  <sheetData>
    <row r="1" spans="1:34" s="94" customFormat="1" ht="15.75" thickBot="1" x14ac:dyDescent="0.3">
      <c r="A1" s="543" t="s">
        <v>1851</v>
      </c>
      <c r="B1" s="508" t="s">
        <v>131</v>
      </c>
      <c r="C1" s="508" t="s">
        <v>1852</v>
      </c>
      <c r="D1" s="508" t="s">
        <v>1856</v>
      </c>
      <c r="E1" s="508" t="s">
        <v>442</v>
      </c>
      <c r="F1" s="510" t="s">
        <v>445</v>
      </c>
      <c r="G1" s="508" t="s">
        <v>449</v>
      </c>
      <c r="H1" s="508" t="s">
        <v>119</v>
      </c>
      <c r="I1" s="225" t="s">
        <v>3129</v>
      </c>
      <c r="J1" s="510" t="s">
        <v>446</v>
      </c>
      <c r="K1" s="510" t="s">
        <v>141</v>
      </c>
      <c r="L1" s="211" t="s">
        <v>1914</v>
      </c>
      <c r="M1" s="562" t="s">
        <v>1769</v>
      </c>
      <c r="N1" s="563" t="s">
        <v>1791</v>
      </c>
      <c r="O1" s="508" t="s">
        <v>447</v>
      </c>
      <c r="P1" s="508" t="s">
        <v>458</v>
      </c>
      <c r="Q1" s="562" t="s">
        <v>448</v>
      </c>
      <c r="R1" s="529" t="s">
        <v>1792</v>
      </c>
      <c r="S1" s="212" t="s">
        <v>1889</v>
      </c>
      <c r="T1" s="510" t="s">
        <v>1768</v>
      </c>
      <c r="U1" s="510" t="s">
        <v>1770</v>
      </c>
      <c r="V1" s="510" t="s">
        <v>1780</v>
      </c>
      <c r="W1" s="528" t="s">
        <v>2831</v>
      </c>
      <c r="X1" s="528" t="s">
        <v>3628</v>
      </c>
      <c r="Y1"/>
      <c r="Z1" s="92" t="s">
        <v>1767</v>
      </c>
      <c r="AA1" s="169" t="s">
        <v>1752</v>
      </c>
      <c r="AB1" s="169" t="s">
        <v>1751</v>
      </c>
      <c r="AC1" s="169" t="s">
        <v>1754</v>
      </c>
      <c r="AD1" s="169" t="s">
        <v>1750</v>
      </c>
      <c r="AE1" s="169" t="s">
        <v>1753</v>
      </c>
      <c r="AF1" s="1"/>
      <c r="AG1" s="1"/>
    </row>
    <row r="2" spans="1:34" s="94" customFormat="1" ht="15.75" thickBot="1" x14ac:dyDescent="0.3">
      <c r="A2" s="544"/>
      <c r="B2" s="509"/>
      <c r="C2" s="509"/>
      <c r="D2" s="509"/>
      <c r="E2" s="509"/>
      <c r="F2" s="508"/>
      <c r="G2" s="558"/>
      <c r="H2" s="558"/>
      <c r="I2" s="233"/>
      <c r="J2" s="508"/>
      <c r="K2" s="508"/>
      <c r="L2" s="209"/>
      <c r="M2" s="563"/>
      <c r="N2" s="564"/>
      <c r="O2" s="558"/>
      <c r="P2" s="558"/>
      <c r="Q2" s="563"/>
      <c r="R2" s="530"/>
      <c r="S2" s="213"/>
      <c r="T2" s="510"/>
      <c r="U2" s="510"/>
      <c r="V2" s="510"/>
      <c r="W2" s="528"/>
      <c r="X2" s="528"/>
      <c r="Y2"/>
      <c r="Z2" s="92" t="s">
        <v>1764</v>
      </c>
      <c r="AA2" s="169">
        <v>3.1</v>
      </c>
      <c r="AB2" s="169">
        <v>39.9</v>
      </c>
      <c r="AC2" s="169">
        <v>39.9</v>
      </c>
      <c r="AD2" s="169">
        <v>39.9</v>
      </c>
      <c r="AE2" s="169">
        <v>37.6</v>
      </c>
      <c r="AF2" s="1"/>
      <c r="AG2" s="1"/>
    </row>
    <row r="3" spans="1:34" ht="15.75" thickBot="1" x14ac:dyDescent="0.3">
      <c r="A3" s="82" t="s">
        <v>45</v>
      </c>
      <c r="B3" s="82" t="str">
        <f>LEFT(A3,IFERROR(FIND(" - ",A3)-1,LEN(A3)))</f>
        <v>Barraqueiro Transportes, S.A.</v>
      </c>
      <c r="C3" s="82" t="str">
        <f>IF(A3=B3,"X",RIGHT(A3,LEN(A3)-LEN(B3)-3))</f>
        <v>X</v>
      </c>
      <c r="D3" s="235">
        <v>2022</v>
      </c>
      <c r="E3" s="82" t="s">
        <v>1653</v>
      </c>
      <c r="F3" s="82" t="s">
        <v>1745</v>
      </c>
      <c r="G3" s="82" t="s">
        <v>1746</v>
      </c>
      <c r="H3" s="234" t="s">
        <v>1864</v>
      </c>
      <c r="I3" s="234" t="s">
        <v>3130</v>
      </c>
      <c r="J3" s="82">
        <v>34</v>
      </c>
      <c r="K3" s="82" t="s">
        <v>586</v>
      </c>
      <c r="L3" s="235"/>
      <c r="M3" s="173">
        <v>62</v>
      </c>
      <c r="N3" s="173">
        <f>M3*J3</f>
        <v>2108</v>
      </c>
      <c r="O3" s="82" t="s">
        <v>1747</v>
      </c>
      <c r="P3" s="82" t="s">
        <v>1748</v>
      </c>
      <c r="Q3" s="173">
        <f t="shared" ref="Q3:Q23" si="0">INDEX($AA$2:$AE$4,MATCH(U3,$Z$2:$Z$4,0),MATCH(T3,$AA$1:$AE$1,0))</f>
        <v>3.1</v>
      </c>
      <c r="R3" s="171">
        <f>Q3*N3</f>
        <v>6534.8</v>
      </c>
      <c r="S3" s="171" t="s">
        <v>1913</v>
      </c>
      <c r="T3" s="82" t="s">
        <v>1752</v>
      </c>
      <c r="U3" s="82" t="s">
        <v>1764</v>
      </c>
      <c r="V3" s="82" t="s">
        <v>1759</v>
      </c>
      <c r="W3" s="261" t="s">
        <v>3535</v>
      </c>
      <c r="X3" s="261" t="s">
        <v>3540</v>
      </c>
      <c r="Z3" s="167" t="s">
        <v>1765</v>
      </c>
      <c r="AA3" s="170">
        <v>41</v>
      </c>
      <c r="AB3" s="170">
        <v>8.1999999999999993</v>
      </c>
      <c r="AC3" s="170">
        <v>8.1999999999999993</v>
      </c>
      <c r="AD3" s="170">
        <v>5.8</v>
      </c>
      <c r="AE3" s="170">
        <v>10.6</v>
      </c>
    </row>
    <row r="4" spans="1:34" ht="15.75" thickBot="1" x14ac:dyDescent="0.3">
      <c r="A4" s="82" t="s">
        <v>45</v>
      </c>
      <c r="B4" s="82" t="str">
        <f t="shared" ref="B4:B57" si="1">LEFT(A4,IFERROR(FIND(" - ",A4)-1,LEN(A4)))</f>
        <v>Barraqueiro Transportes, S.A.</v>
      </c>
      <c r="C4" s="82" t="str">
        <f t="shared" ref="C4:C67" si="2">IF(A4=B4,"X",RIGHT(A4,LEN(A4)-LEN(B4)-3))</f>
        <v>X</v>
      </c>
      <c r="D4" s="235">
        <v>2022</v>
      </c>
      <c r="E4" s="82" t="s">
        <v>1653</v>
      </c>
      <c r="F4" s="82" t="s">
        <v>1745</v>
      </c>
      <c r="G4" s="82" t="s">
        <v>1746</v>
      </c>
      <c r="H4" s="234" t="s">
        <v>1864</v>
      </c>
      <c r="I4" s="234" t="s">
        <v>3130</v>
      </c>
      <c r="J4" s="82">
        <v>115</v>
      </c>
      <c r="K4" s="82" t="s">
        <v>586</v>
      </c>
      <c r="L4" s="235"/>
      <c r="M4" s="173">
        <v>62</v>
      </c>
      <c r="N4" s="173">
        <f t="shared" ref="N4:N57" si="3">M4*J4</f>
        <v>7130</v>
      </c>
      <c r="O4" s="82" t="s">
        <v>1747</v>
      </c>
      <c r="P4" s="82" t="s">
        <v>1748</v>
      </c>
      <c r="Q4" s="173">
        <f t="shared" si="0"/>
        <v>8.1999999999999993</v>
      </c>
      <c r="R4" s="171">
        <f t="shared" ref="R4:R23" si="4">Q4*N4</f>
        <v>58465.999999999993</v>
      </c>
      <c r="S4" s="171" t="s">
        <v>1913</v>
      </c>
      <c r="T4" s="82" t="s">
        <v>1751</v>
      </c>
      <c r="U4" s="82" t="s">
        <v>1765</v>
      </c>
      <c r="V4" s="82" t="s">
        <v>1759</v>
      </c>
      <c r="W4" s="261" t="s">
        <v>3535</v>
      </c>
      <c r="X4" s="261" t="s">
        <v>3540</v>
      </c>
      <c r="Z4" s="167" t="s">
        <v>1766</v>
      </c>
      <c r="AA4" s="170">
        <v>39.299999999999997</v>
      </c>
      <c r="AB4" s="170">
        <v>8.1999999999999993</v>
      </c>
      <c r="AC4" s="170">
        <v>8.1999999999999993</v>
      </c>
      <c r="AD4" s="170">
        <v>10.8</v>
      </c>
      <c r="AE4" s="170">
        <v>4.2</v>
      </c>
    </row>
    <row r="5" spans="1:34" ht="15.75" thickBot="1" x14ac:dyDescent="0.3">
      <c r="A5" s="82" t="s">
        <v>45</v>
      </c>
      <c r="B5" s="82" t="str">
        <f t="shared" si="1"/>
        <v>Barraqueiro Transportes, S.A.</v>
      </c>
      <c r="C5" s="82" t="str">
        <f t="shared" si="2"/>
        <v>X</v>
      </c>
      <c r="D5" s="235">
        <v>2022</v>
      </c>
      <c r="E5" s="82" t="s">
        <v>1653</v>
      </c>
      <c r="F5" s="82" t="s">
        <v>1745</v>
      </c>
      <c r="G5" s="82" t="s">
        <v>1746</v>
      </c>
      <c r="H5" s="234" t="s">
        <v>1864</v>
      </c>
      <c r="I5" s="234" t="s">
        <v>3130</v>
      </c>
      <c r="J5" s="82">
        <v>256</v>
      </c>
      <c r="K5" s="82" t="s">
        <v>586</v>
      </c>
      <c r="L5" s="235"/>
      <c r="M5" s="173">
        <v>62</v>
      </c>
      <c r="N5" s="173">
        <f t="shared" si="3"/>
        <v>15872</v>
      </c>
      <c r="O5" s="82" t="s">
        <v>1747</v>
      </c>
      <c r="P5" s="82" t="s">
        <v>1748</v>
      </c>
      <c r="Q5" s="173">
        <f t="shared" si="0"/>
        <v>39.9</v>
      </c>
      <c r="R5" s="171">
        <f t="shared" si="4"/>
        <v>633292.79999999993</v>
      </c>
      <c r="S5" s="171" t="s">
        <v>1913</v>
      </c>
      <c r="T5" s="82" t="s">
        <v>1754</v>
      </c>
      <c r="U5" s="82" t="s">
        <v>1764</v>
      </c>
      <c r="V5" s="82" t="s">
        <v>1759</v>
      </c>
      <c r="W5" s="261" t="s">
        <v>3535</v>
      </c>
      <c r="X5" s="261" t="s">
        <v>3540</v>
      </c>
    </row>
    <row r="6" spans="1:34" s="1" customFormat="1" ht="15.75" thickBot="1" x14ac:dyDescent="0.3">
      <c r="A6" s="82" t="s">
        <v>45</v>
      </c>
      <c r="B6" s="82" t="str">
        <f t="shared" si="1"/>
        <v>Barraqueiro Transportes, S.A.</v>
      </c>
      <c r="C6" s="82" t="str">
        <f t="shared" si="2"/>
        <v>X</v>
      </c>
      <c r="D6" s="235">
        <v>2022</v>
      </c>
      <c r="E6" s="82" t="s">
        <v>1653</v>
      </c>
      <c r="F6" s="82" t="s">
        <v>1745</v>
      </c>
      <c r="G6" s="82" t="s">
        <v>1746</v>
      </c>
      <c r="H6" s="234" t="s">
        <v>1864</v>
      </c>
      <c r="I6" s="234" t="s">
        <v>3130</v>
      </c>
      <c r="J6" s="82">
        <v>4</v>
      </c>
      <c r="K6" s="82" t="s">
        <v>586</v>
      </c>
      <c r="L6" s="235"/>
      <c r="M6" s="173">
        <v>32</v>
      </c>
      <c r="N6" s="173">
        <f t="shared" si="3"/>
        <v>128</v>
      </c>
      <c r="O6" s="82" t="s">
        <v>1747</v>
      </c>
      <c r="P6" s="82" t="s">
        <v>1748</v>
      </c>
      <c r="Q6" s="173">
        <f t="shared" si="0"/>
        <v>3.1</v>
      </c>
      <c r="R6" s="171">
        <f t="shared" si="4"/>
        <v>396.8</v>
      </c>
      <c r="S6" s="171" t="s">
        <v>1913</v>
      </c>
      <c r="T6" s="82" t="s">
        <v>1752</v>
      </c>
      <c r="U6" s="82" t="s">
        <v>1764</v>
      </c>
      <c r="V6" s="82" t="s">
        <v>1755</v>
      </c>
      <c r="W6" s="261" t="s">
        <v>3535</v>
      </c>
      <c r="X6" s="261" t="s">
        <v>3540</v>
      </c>
      <c r="Y6"/>
      <c r="Z6"/>
      <c r="AH6"/>
    </row>
    <row r="7" spans="1:34" s="1" customFormat="1" ht="15.75" thickBot="1" x14ac:dyDescent="0.3">
      <c r="A7" s="82" t="s">
        <v>45</v>
      </c>
      <c r="B7" s="82" t="str">
        <f t="shared" si="1"/>
        <v>Barraqueiro Transportes, S.A.</v>
      </c>
      <c r="C7" s="82" t="str">
        <f t="shared" si="2"/>
        <v>X</v>
      </c>
      <c r="D7" s="235">
        <v>2022</v>
      </c>
      <c r="E7" s="82" t="s">
        <v>1653</v>
      </c>
      <c r="F7" s="82" t="s">
        <v>1745</v>
      </c>
      <c r="G7" s="82" t="s">
        <v>1746</v>
      </c>
      <c r="H7" s="234" t="s">
        <v>1864</v>
      </c>
      <c r="I7" s="234" t="s">
        <v>3130</v>
      </c>
      <c r="J7" s="82">
        <v>1</v>
      </c>
      <c r="K7" s="82" t="s">
        <v>586</v>
      </c>
      <c r="L7" s="235"/>
      <c r="M7" s="173">
        <v>32</v>
      </c>
      <c r="N7" s="173">
        <f t="shared" si="3"/>
        <v>32</v>
      </c>
      <c r="O7" s="82" t="s">
        <v>1747</v>
      </c>
      <c r="P7" s="82" t="s">
        <v>1748</v>
      </c>
      <c r="Q7" s="173">
        <f t="shared" si="0"/>
        <v>10.8</v>
      </c>
      <c r="R7" s="171">
        <f t="shared" si="4"/>
        <v>345.6</v>
      </c>
      <c r="S7" s="171" t="s">
        <v>1913</v>
      </c>
      <c r="T7" s="82" t="s">
        <v>1750</v>
      </c>
      <c r="U7" s="82" t="s">
        <v>1766</v>
      </c>
      <c r="V7" s="82" t="s">
        <v>1755</v>
      </c>
      <c r="W7" s="261" t="s">
        <v>3535</v>
      </c>
      <c r="X7" s="261" t="s">
        <v>3540</v>
      </c>
      <c r="Y7"/>
      <c r="Z7" s="92" t="s">
        <v>1767</v>
      </c>
      <c r="AA7" s="169" t="s">
        <v>1774</v>
      </c>
      <c r="AB7" s="169" t="s">
        <v>1775</v>
      </c>
      <c r="AC7" s="169" t="s">
        <v>1776</v>
      </c>
      <c r="AD7" s="169" t="s">
        <v>1777</v>
      </c>
      <c r="AE7" s="169" t="s">
        <v>1778</v>
      </c>
      <c r="AF7" s="1" t="s">
        <v>1779</v>
      </c>
      <c r="AH7"/>
    </row>
    <row r="8" spans="1:34" s="1" customFormat="1" ht="15.75" thickBot="1" x14ac:dyDescent="0.3">
      <c r="A8" s="82" t="s">
        <v>45</v>
      </c>
      <c r="B8" s="82" t="str">
        <f t="shared" si="1"/>
        <v>Barraqueiro Transportes, S.A.</v>
      </c>
      <c r="C8" s="82" t="str">
        <f t="shared" si="2"/>
        <v>X</v>
      </c>
      <c r="D8" s="235">
        <v>2022</v>
      </c>
      <c r="E8" s="82" t="s">
        <v>1653</v>
      </c>
      <c r="F8" s="82" t="s">
        <v>1745</v>
      </c>
      <c r="G8" s="82" t="s">
        <v>1746</v>
      </c>
      <c r="H8" s="234" t="s">
        <v>1864</v>
      </c>
      <c r="I8" s="234" t="s">
        <v>3130</v>
      </c>
      <c r="J8" s="82">
        <v>5</v>
      </c>
      <c r="K8" s="82" t="s">
        <v>586</v>
      </c>
      <c r="L8" s="235"/>
      <c r="M8" s="173">
        <v>32</v>
      </c>
      <c r="N8" s="173">
        <f t="shared" si="3"/>
        <v>160</v>
      </c>
      <c r="O8" s="82" t="s">
        <v>1747</v>
      </c>
      <c r="P8" s="82" t="s">
        <v>1748</v>
      </c>
      <c r="Q8" s="173">
        <f t="shared" si="0"/>
        <v>8.1999999999999993</v>
      </c>
      <c r="R8" s="171">
        <f t="shared" si="4"/>
        <v>1312</v>
      </c>
      <c r="S8" s="171" t="s">
        <v>1913</v>
      </c>
      <c r="T8" s="82" t="s">
        <v>1751</v>
      </c>
      <c r="U8" s="82" t="s">
        <v>1766</v>
      </c>
      <c r="V8" s="82" t="s">
        <v>1755</v>
      </c>
      <c r="W8" s="261" t="s">
        <v>3535</v>
      </c>
      <c r="X8" s="261" t="s">
        <v>3540</v>
      </c>
      <c r="Y8"/>
      <c r="Z8" s="92" t="s">
        <v>1772</v>
      </c>
      <c r="AA8" s="169">
        <v>48.5</v>
      </c>
      <c r="AB8" s="169">
        <v>68.599999999999994</v>
      </c>
      <c r="AC8" s="169">
        <v>29.9</v>
      </c>
      <c r="AD8" s="169">
        <v>47.6</v>
      </c>
      <c r="AE8" s="169">
        <v>103</v>
      </c>
      <c r="AF8" s="1">
        <v>4.5</v>
      </c>
      <c r="AH8"/>
    </row>
    <row r="9" spans="1:34" s="1" customFormat="1" ht="15.75" thickBot="1" x14ac:dyDescent="0.3">
      <c r="A9" s="82" t="s">
        <v>45</v>
      </c>
      <c r="B9" s="82" t="str">
        <f t="shared" si="1"/>
        <v>Barraqueiro Transportes, S.A.</v>
      </c>
      <c r="C9" s="82" t="str">
        <f t="shared" si="2"/>
        <v>X</v>
      </c>
      <c r="D9" s="235">
        <v>2022</v>
      </c>
      <c r="E9" s="82" t="s">
        <v>1653</v>
      </c>
      <c r="F9" s="82" t="s">
        <v>1745</v>
      </c>
      <c r="G9" s="82" t="s">
        <v>1746</v>
      </c>
      <c r="H9" s="234" t="s">
        <v>1864</v>
      </c>
      <c r="I9" s="234" t="s">
        <v>3130</v>
      </c>
      <c r="J9" s="82">
        <v>11</v>
      </c>
      <c r="K9" s="82" t="s">
        <v>586</v>
      </c>
      <c r="L9" s="235"/>
      <c r="M9" s="173">
        <v>32</v>
      </c>
      <c r="N9" s="173">
        <f t="shared" si="3"/>
        <v>352</v>
      </c>
      <c r="O9" s="82" t="s">
        <v>1747</v>
      </c>
      <c r="P9" s="82" t="s">
        <v>1748</v>
      </c>
      <c r="Q9" s="173">
        <f t="shared" si="0"/>
        <v>8.1999999999999993</v>
      </c>
      <c r="R9" s="171">
        <f t="shared" si="4"/>
        <v>2886.3999999999996</v>
      </c>
      <c r="S9" s="171" t="s">
        <v>1913</v>
      </c>
      <c r="T9" s="82" t="s">
        <v>1754</v>
      </c>
      <c r="U9" s="82" t="s">
        <v>1765</v>
      </c>
      <c r="V9" s="82" t="s">
        <v>1755</v>
      </c>
      <c r="W9" s="261" t="s">
        <v>3535</v>
      </c>
      <c r="X9" s="261" t="s">
        <v>3540</v>
      </c>
      <c r="Y9"/>
      <c r="Z9" s="167" t="s">
        <v>1771</v>
      </c>
      <c r="AA9" s="170">
        <v>33.1</v>
      </c>
      <c r="AB9" s="170">
        <v>30.5</v>
      </c>
      <c r="AC9" s="170">
        <v>16.2</v>
      </c>
      <c r="AD9" s="170">
        <v>24.5</v>
      </c>
      <c r="AE9" s="170">
        <v>128</v>
      </c>
      <c r="AF9" s="170">
        <v>38.5</v>
      </c>
      <c r="AH9"/>
    </row>
    <row r="10" spans="1:34" s="1" customFormat="1" ht="15.75" thickBot="1" x14ac:dyDescent="0.3">
      <c r="A10" s="82" t="s">
        <v>45</v>
      </c>
      <c r="B10" s="82" t="str">
        <f t="shared" si="1"/>
        <v>Barraqueiro Transportes, S.A.</v>
      </c>
      <c r="C10" s="82" t="str">
        <f t="shared" si="2"/>
        <v>X</v>
      </c>
      <c r="D10" s="235">
        <v>2022</v>
      </c>
      <c r="E10" s="82" t="s">
        <v>1653</v>
      </c>
      <c r="F10" s="82" t="s">
        <v>1745</v>
      </c>
      <c r="G10" s="82" t="s">
        <v>1746</v>
      </c>
      <c r="H10" s="234" t="s">
        <v>1864</v>
      </c>
      <c r="I10" s="234" t="s">
        <v>3130</v>
      </c>
      <c r="J10" s="82">
        <v>4</v>
      </c>
      <c r="K10" s="82" t="s">
        <v>586</v>
      </c>
      <c r="L10" s="235"/>
      <c r="M10" s="173">
        <v>44</v>
      </c>
      <c r="N10" s="173">
        <f t="shared" si="3"/>
        <v>176</v>
      </c>
      <c r="O10" s="82" t="s">
        <v>1747</v>
      </c>
      <c r="P10" s="82" t="s">
        <v>1748</v>
      </c>
      <c r="Q10" s="173">
        <f t="shared" si="0"/>
        <v>3.1</v>
      </c>
      <c r="R10" s="171">
        <f t="shared" si="4"/>
        <v>545.6</v>
      </c>
      <c r="S10" s="171" t="s">
        <v>1913</v>
      </c>
      <c r="T10" s="82" t="s">
        <v>1752</v>
      </c>
      <c r="U10" s="82" t="s">
        <v>1764</v>
      </c>
      <c r="V10" s="82" t="s">
        <v>1758</v>
      </c>
      <c r="W10" s="261" t="s">
        <v>3535</v>
      </c>
      <c r="X10" s="261" t="s">
        <v>3540</v>
      </c>
      <c r="Y10"/>
      <c r="Z10" s="167" t="s">
        <v>1773</v>
      </c>
      <c r="AA10" s="170">
        <v>64.099999999999994</v>
      </c>
      <c r="AB10" s="170">
        <v>30.3</v>
      </c>
      <c r="AC10" s="170">
        <v>41.9</v>
      </c>
      <c r="AD10" s="170">
        <v>15.7</v>
      </c>
      <c r="AE10" s="170">
        <v>125</v>
      </c>
      <c r="AF10" s="1">
        <v>61.9</v>
      </c>
      <c r="AH10"/>
    </row>
    <row r="11" spans="1:34" s="1" customFormat="1" ht="15.75" thickBot="1" x14ac:dyDescent="0.3">
      <c r="A11" s="82" t="s">
        <v>45</v>
      </c>
      <c r="B11" s="82" t="str">
        <f t="shared" si="1"/>
        <v>Barraqueiro Transportes, S.A.</v>
      </c>
      <c r="C11" s="82" t="str">
        <f t="shared" si="2"/>
        <v>X</v>
      </c>
      <c r="D11" s="235">
        <v>2022</v>
      </c>
      <c r="E11" s="82" t="s">
        <v>1653</v>
      </c>
      <c r="F11" s="82" t="s">
        <v>1745</v>
      </c>
      <c r="G11" s="82" t="s">
        <v>1746</v>
      </c>
      <c r="H11" s="234" t="s">
        <v>1864</v>
      </c>
      <c r="I11" s="234" t="s">
        <v>3130</v>
      </c>
      <c r="J11" s="82">
        <v>4</v>
      </c>
      <c r="K11" s="82" t="s">
        <v>586</v>
      </c>
      <c r="L11" s="235"/>
      <c r="M11" s="173">
        <v>44</v>
      </c>
      <c r="N11" s="173">
        <f t="shared" si="3"/>
        <v>176</v>
      </c>
      <c r="O11" s="82" t="s">
        <v>1747</v>
      </c>
      <c r="P11" s="82" t="s">
        <v>1748</v>
      </c>
      <c r="Q11" s="173">
        <f t="shared" si="0"/>
        <v>8.1999999999999993</v>
      </c>
      <c r="R11" s="171">
        <f t="shared" si="4"/>
        <v>1443.1999999999998</v>
      </c>
      <c r="S11" s="171" t="s">
        <v>1913</v>
      </c>
      <c r="T11" s="82" t="s">
        <v>1751</v>
      </c>
      <c r="U11" s="82" t="s">
        <v>1765</v>
      </c>
      <c r="V11" s="82" t="s">
        <v>1758</v>
      </c>
      <c r="W11" s="261" t="s">
        <v>3535</v>
      </c>
      <c r="X11" s="261" t="s">
        <v>3540</v>
      </c>
      <c r="Y11"/>
      <c r="Z11"/>
      <c r="AH11"/>
    </row>
    <row r="12" spans="1:34" s="1" customFormat="1" ht="15.75" thickBot="1" x14ac:dyDescent="0.3">
      <c r="A12" s="82" t="s">
        <v>45</v>
      </c>
      <c r="B12" s="82" t="str">
        <f t="shared" si="1"/>
        <v>Barraqueiro Transportes, S.A.</v>
      </c>
      <c r="C12" s="82" t="str">
        <f t="shared" si="2"/>
        <v>X</v>
      </c>
      <c r="D12" s="235">
        <v>2022</v>
      </c>
      <c r="E12" s="82" t="s">
        <v>1653</v>
      </c>
      <c r="F12" s="82" t="s">
        <v>1745</v>
      </c>
      <c r="G12" s="82" t="s">
        <v>1746</v>
      </c>
      <c r="H12" s="234" t="s">
        <v>1864</v>
      </c>
      <c r="I12" s="234" t="s">
        <v>3130</v>
      </c>
      <c r="J12" s="82">
        <v>5</v>
      </c>
      <c r="K12" s="82" t="s">
        <v>586</v>
      </c>
      <c r="L12" s="235"/>
      <c r="M12" s="173">
        <v>44</v>
      </c>
      <c r="N12" s="173">
        <f t="shared" si="3"/>
        <v>220</v>
      </c>
      <c r="O12" s="82" t="s">
        <v>1747</v>
      </c>
      <c r="P12" s="82" t="s">
        <v>1748</v>
      </c>
      <c r="Q12" s="173">
        <f t="shared" si="0"/>
        <v>39.9</v>
      </c>
      <c r="R12" s="171">
        <f t="shared" si="4"/>
        <v>8778</v>
      </c>
      <c r="S12" s="171" t="s">
        <v>1913</v>
      </c>
      <c r="T12" s="82" t="s">
        <v>1754</v>
      </c>
      <c r="U12" s="82" t="s">
        <v>1764</v>
      </c>
      <c r="V12" s="82" t="s">
        <v>1758</v>
      </c>
      <c r="W12" s="261" t="s">
        <v>3535</v>
      </c>
      <c r="X12" s="261" t="s">
        <v>3540</v>
      </c>
      <c r="Y12"/>
      <c r="Z12"/>
      <c r="AH12"/>
    </row>
    <row r="13" spans="1:34" s="1" customFormat="1" ht="15.75" thickBot="1" x14ac:dyDescent="0.3">
      <c r="A13" s="82" t="s">
        <v>45</v>
      </c>
      <c r="B13" s="82" t="str">
        <f t="shared" si="1"/>
        <v>Barraqueiro Transportes, S.A.</v>
      </c>
      <c r="C13" s="82" t="str">
        <f t="shared" si="2"/>
        <v>X</v>
      </c>
      <c r="D13" s="235">
        <v>2022</v>
      </c>
      <c r="E13" s="82" t="s">
        <v>1653</v>
      </c>
      <c r="F13" s="82" t="s">
        <v>1745</v>
      </c>
      <c r="G13" s="82" t="s">
        <v>1746</v>
      </c>
      <c r="H13" s="234" t="s">
        <v>1864</v>
      </c>
      <c r="I13" s="234" t="s">
        <v>3130</v>
      </c>
      <c r="J13" s="82">
        <v>1</v>
      </c>
      <c r="K13" s="82" t="s">
        <v>586</v>
      </c>
      <c r="L13" s="235"/>
      <c r="M13" s="173">
        <v>17.5</v>
      </c>
      <c r="N13" s="173">
        <f t="shared" si="3"/>
        <v>17.5</v>
      </c>
      <c r="O13" s="82" t="s">
        <v>1747</v>
      </c>
      <c r="P13" s="82" t="s">
        <v>1748</v>
      </c>
      <c r="Q13" s="173">
        <f t="shared" si="0"/>
        <v>8.1999999999999993</v>
      </c>
      <c r="R13" s="171">
        <f t="shared" si="4"/>
        <v>143.5</v>
      </c>
      <c r="S13" s="171" t="s">
        <v>1913</v>
      </c>
      <c r="T13" s="82" t="s">
        <v>1754</v>
      </c>
      <c r="U13" s="82" t="s">
        <v>1766</v>
      </c>
      <c r="V13" s="82" t="s">
        <v>1762</v>
      </c>
      <c r="W13" s="261" t="s">
        <v>3535</v>
      </c>
      <c r="X13" s="261" t="s">
        <v>3540</v>
      </c>
      <c r="Y13"/>
      <c r="Z13"/>
      <c r="AH13"/>
    </row>
    <row r="14" spans="1:34" s="1" customFormat="1" ht="15.75" thickBot="1" x14ac:dyDescent="0.3">
      <c r="A14" s="82" t="s">
        <v>45</v>
      </c>
      <c r="B14" s="82" t="str">
        <f t="shared" si="1"/>
        <v>Barraqueiro Transportes, S.A.</v>
      </c>
      <c r="C14" s="82" t="str">
        <f t="shared" si="2"/>
        <v>X</v>
      </c>
      <c r="D14" s="235">
        <v>2022</v>
      </c>
      <c r="E14" s="82" t="s">
        <v>1653</v>
      </c>
      <c r="F14" s="82" t="s">
        <v>1745</v>
      </c>
      <c r="G14" s="82" t="s">
        <v>1746</v>
      </c>
      <c r="H14" s="234" t="s">
        <v>1864</v>
      </c>
      <c r="I14" s="234" t="s">
        <v>3130</v>
      </c>
      <c r="J14" s="82">
        <v>8</v>
      </c>
      <c r="K14" s="82" t="s">
        <v>586</v>
      </c>
      <c r="L14" s="235"/>
      <c r="M14" s="173">
        <v>32</v>
      </c>
      <c r="N14" s="173">
        <f t="shared" si="3"/>
        <v>256</v>
      </c>
      <c r="O14" s="82" t="s">
        <v>1747</v>
      </c>
      <c r="P14" s="82" t="s">
        <v>1748</v>
      </c>
      <c r="Q14" s="173">
        <f t="shared" si="0"/>
        <v>41</v>
      </c>
      <c r="R14" s="171">
        <f t="shared" si="4"/>
        <v>10496</v>
      </c>
      <c r="S14" s="171" t="s">
        <v>1913</v>
      </c>
      <c r="T14" s="82" t="s">
        <v>1752</v>
      </c>
      <c r="U14" s="82" t="s">
        <v>1765</v>
      </c>
      <c r="V14" s="82" t="s">
        <v>1755</v>
      </c>
      <c r="W14" s="261" t="s">
        <v>3535</v>
      </c>
      <c r="X14" s="261" t="s">
        <v>3540</v>
      </c>
      <c r="Y14"/>
      <c r="Z14"/>
      <c r="AH14"/>
    </row>
    <row r="15" spans="1:34" s="1" customFormat="1" ht="15.75" thickBot="1" x14ac:dyDescent="0.3">
      <c r="A15" s="82" t="s">
        <v>45</v>
      </c>
      <c r="B15" s="82" t="str">
        <f t="shared" si="1"/>
        <v>Barraqueiro Transportes, S.A.</v>
      </c>
      <c r="C15" s="82" t="str">
        <f t="shared" si="2"/>
        <v>X</v>
      </c>
      <c r="D15" s="235">
        <v>2022</v>
      </c>
      <c r="E15" s="82" t="s">
        <v>1653</v>
      </c>
      <c r="F15" s="82" t="s">
        <v>1745</v>
      </c>
      <c r="G15" s="82" t="s">
        <v>1746</v>
      </c>
      <c r="H15" s="234" t="s">
        <v>1864</v>
      </c>
      <c r="I15" s="234" t="s">
        <v>3130</v>
      </c>
      <c r="J15" s="82">
        <v>18</v>
      </c>
      <c r="K15" s="82" t="s">
        <v>586</v>
      </c>
      <c r="L15" s="235"/>
      <c r="M15" s="173">
        <v>32</v>
      </c>
      <c r="N15" s="173">
        <f t="shared" si="3"/>
        <v>576</v>
      </c>
      <c r="O15" s="82" t="s">
        <v>1747</v>
      </c>
      <c r="P15" s="82" t="s">
        <v>1748</v>
      </c>
      <c r="Q15" s="173">
        <f t="shared" si="0"/>
        <v>39.9</v>
      </c>
      <c r="R15" s="171">
        <f t="shared" si="4"/>
        <v>22982.399999999998</v>
      </c>
      <c r="S15" s="171" t="s">
        <v>1913</v>
      </c>
      <c r="T15" s="82" t="s">
        <v>1754</v>
      </c>
      <c r="U15" s="82" t="s">
        <v>1764</v>
      </c>
      <c r="V15" s="82" t="s">
        <v>1755</v>
      </c>
      <c r="W15" s="261" t="s">
        <v>3535</v>
      </c>
      <c r="X15" s="261" t="s">
        <v>3540</v>
      </c>
      <c r="Y15"/>
      <c r="Z15"/>
      <c r="AH15"/>
    </row>
    <row r="16" spans="1:34" s="1" customFormat="1" ht="15.75" thickBot="1" x14ac:dyDescent="0.3">
      <c r="A16" s="82" t="s">
        <v>45</v>
      </c>
      <c r="B16" s="82" t="str">
        <f t="shared" si="1"/>
        <v>Barraqueiro Transportes, S.A.</v>
      </c>
      <c r="C16" s="82" t="str">
        <f t="shared" si="2"/>
        <v>X</v>
      </c>
      <c r="D16" s="235">
        <v>2022</v>
      </c>
      <c r="E16" s="82" t="s">
        <v>1653</v>
      </c>
      <c r="F16" s="82" t="s">
        <v>1745</v>
      </c>
      <c r="G16" s="82" t="s">
        <v>1746</v>
      </c>
      <c r="H16" s="234" t="s">
        <v>1864</v>
      </c>
      <c r="I16" s="234" t="s">
        <v>3130</v>
      </c>
      <c r="J16" s="82">
        <v>5</v>
      </c>
      <c r="K16" s="82" t="s">
        <v>586</v>
      </c>
      <c r="L16" s="235"/>
      <c r="M16" s="173">
        <v>29</v>
      </c>
      <c r="N16" s="173">
        <f t="shared" si="3"/>
        <v>145</v>
      </c>
      <c r="O16" s="82" t="s">
        <v>1747</v>
      </c>
      <c r="P16" s="82" t="s">
        <v>1748</v>
      </c>
      <c r="Q16" s="173">
        <f t="shared" si="0"/>
        <v>8.1999999999999993</v>
      </c>
      <c r="R16" s="171">
        <f t="shared" si="4"/>
        <v>1189</v>
      </c>
      <c r="S16" s="171" t="s">
        <v>1913</v>
      </c>
      <c r="T16" s="82" t="s">
        <v>1751</v>
      </c>
      <c r="U16" s="82" t="s">
        <v>1765</v>
      </c>
      <c r="V16" s="82" t="s">
        <v>1757</v>
      </c>
      <c r="W16" s="261" t="s">
        <v>3535</v>
      </c>
      <c r="X16" s="261" t="s">
        <v>3540</v>
      </c>
      <c r="Y16"/>
      <c r="Z16"/>
      <c r="AH16"/>
    </row>
    <row r="17" spans="1:34" s="1" customFormat="1" ht="15.75" thickBot="1" x14ac:dyDescent="0.3">
      <c r="A17" s="82" t="s">
        <v>45</v>
      </c>
      <c r="B17" s="82" t="str">
        <f t="shared" si="1"/>
        <v>Barraqueiro Transportes, S.A.</v>
      </c>
      <c r="C17" s="82" t="str">
        <f t="shared" si="2"/>
        <v>X</v>
      </c>
      <c r="D17" s="235">
        <v>2022</v>
      </c>
      <c r="E17" s="82" t="s">
        <v>1653</v>
      </c>
      <c r="F17" s="82" t="s">
        <v>1745</v>
      </c>
      <c r="G17" s="82" t="s">
        <v>1746</v>
      </c>
      <c r="H17" s="234" t="s">
        <v>1864</v>
      </c>
      <c r="I17" s="234" t="s">
        <v>3130</v>
      </c>
      <c r="J17" s="82">
        <v>8</v>
      </c>
      <c r="K17" s="82" t="s">
        <v>586</v>
      </c>
      <c r="L17" s="235"/>
      <c r="M17" s="173">
        <v>29</v>
      </c>
      <c r="N17" s="173">
        <f t="shared" si="3"/>
        <v>232</v>
      </c>
      <c r="O17" s="82" t="s">
        <v>1747</v>
      </c>
      <c r="P17" s="82" t="s">
        <v>1748</v>
      </c>
      <c r="Q17" s="173">
        <f t="shared" si="0"/>
        <v>8.1999999999999993</v>
      </c>
      <c r="R17" s="171">
        <f t="shared" si="4"/>
        <v>1902.3999999999999</v>
      </c>
      <c r="S17" s="171" t="s">
        <v>1913</v>
      </c>
      <c r="T17" s="82" t="s">
        <v>1754</v>
      </c>
      <c r="U17" s="82" t="s">
        <v>1765</v>
      </c>
      <c r="V17" s="82" t="s">
        <v>1757</v>
      </c>
      <c r="W17" s="261" t="s">
        <v>3535</v>
      </c>
      <c r="X17" s="261" t="s">
        <v>3540</v>
      </c>
      <c r="Y17"/>
      <c r="Z17" t="s">
        <v>1864</v>
      </c>
      <c r="AH17"/>
    </row>
    <row r="18" spans="1:34" s="1" customFormat="1" ht="15.75" thickBot="1" x14ac:dyDescent="0.3">
      <c r="A18" s="82" t="s">
        <v>45</v>
      </c>
      <c r="B18" s="82" t="str">
        <f t="shared" si="1"/>
        <v>Barraqueiro Transportes, S.A.</v>
      </c>
      <c r="C18" s="82" t="str">
        <f t="shared" si="2"/>
        <v>X</v>
      </c>
      <c r="D18" s="235">
        <v>2022</v>
      </c>
      <c r="E18" s="82" t="s">
        <v>1653</v>
      </c>
      <c r="F18" s="82" t="s">
        <v>1745</v>
      </c>
      <c r="G18" s="82" t="s">
        <v>1746</v>
      </c>
      <c r="H18" s="234" t="s">
        <v>1864</v>
      </c>
      <c r="I18" s="234" t="s">
        <v>3130</v>
      </c>
      <c r="J18" s="82">
        <v>4</v>
      </c>
      <c r="K18" s="82" t="s">
        <v>586</v>
      </c>
      <c r="L18" s="235"/>
      <c r="M18" s="173">
        <v>12.5</v>
      </c>
      <c r="N18" s="173">
        <f t="shared" si="3"/>
        <v>50</v>
      </c>
      <c r="O18" s="82" t="s">
        <v>1747</v>
      </c>
      <c r="P18" s="82" t="s">
        <v>1748</v>
      </c>
      <c r="Q18" s="173">
        <f t="shared" si="0"/>
        <v>4.2</v>
      </c>
      <c r="R18" s="171">
        <f t="shared" si="4"/>
        <v>210</v>
      </c>
      <c r="S18" s="171" t="s">
        <v>1913</v>
      </c>
      <c r="T18" s="82" t="s">
        <v>1753</v>
      </c>
      <c r="U18" s="82" t="s">
        <v>1766</v>
      </c>
      <c r="V18" s="82" t="s">
        <v>1760</v>
      </c>
      <c r="W18" s="261" t="s">
        <v>3535</v>
      </c>
      <c r="X18" s="261" t="s">
        <v>3540</v>
      </c>
      <c r="Y18"/>
      <c r="Z18"/>
      <c r="AH18"/>
    </row>
    <row r="19" spans="1:34" s="1" customFormat="1" ht="15.75" thickBot="1" x14ac:dyDescent="0.3">
      <c r="A19" s="82" t="s">
        <v>45</v>
      </c>
      <c r="B19" s="82" t="str">
        <f t="shared" si="1"/>
        <v>Barraqueiro Transportes, S.A.</v>
      </c>
      <c r="C19" s="82" t="str">
        <f t="shared" si="2"/>
        <v>X</v>
      </c>
      <c r="D19" s="235">
        <v>2022</v>
      </c>
      <c r="E19" s="82" t="s">
        <v>1653</v>
      </c>
      <c r="F19" s="82" t="s">
        <v>1745</v>
      </c>
      <c r="G19" s="82" t="s">
        <v>1746</v>
      </c>
      <c r="H19" s="234" t="s">
        <v>1864</v>
      </c>
      <c r="I19" s="234" t="s">
        <v>3130</v>
      </c>
      <c r="J19" s="82">
        <v>6</v>
      </c>
      <c r="K19" s="82" t="s">
        <v>586</v>
      </c>
      <c r="L19" s="235"/>
      <c r="M19" s="173">
        <v>12.5</v>
      </c>
      <c r="N19" s="173">
        <f t="shared" si="3"/>
        <v>75</v>
      </c>
      <c r="O19" s="82" t="s">
        <v>1747</v>
      </c>
      <c r="P19" s="82" t="s">
        <v>1748</v>
      </c>
      <c r="Q19" s="173">
        <f t="shared" si="0"/>
        <v>8.1999999999999993</v>
      </c>
      <c r="R19" s="171">
        <f t="shared" si="4"/>
        <v>615</v>
      </c>
      <c r="S19" s="171" t="s">
        <v>1913</v>
      </c>
      <c r="T19" s="82" t="s">
        <v>1754</v>
      </c>
      <c r="U19" s="82" t="s">
        <v>1766</v>
      </c>
      <c r="V19" s="82" t="s">
        <v>1760</v>
      </c>
      <c r="W19" s="261" t="s">
        <v>3535</v>
      </c>
      <c r="X19" s="261" t="s">
        <v>3540</v>
      </c>
      <c r="Y19"/>
      <c r="Z19"/>
      <c r="AH19"/>
    </row>
    <row r="20" spans="1:34" s="1" customFormat="1" ht="15.75" thickBot="1" x14ac:dyDescent="0.3">
      <c r="A20" s="82" t="s">
        <v>45</v>
      </c>
      <c r="B20" s="82" t="str">
        <f t="shared" si="1"/>
        <v>Barraqueiro Transportes, S.A.</v>
      </c>
      <c r="C20" s="82" t="str">
        <f t="shared" si="2"/>
        <v>X</v>
      </c>
      <c r="D20" s="235">
        <v>2022</v>
      </c>
      <c r="E20" s="82" t="s">
        <v>1653</v>
      </c>
      <c r="F20" s="82" t="s">
        <v>1745</v>
      </c>
      <c r="G20" s="82" t="s">
        <v>1746</v>
      </c>
      <c r="H20" s="234" t="s">
        <v>1864</v>
      </c>
      <c r="I20" s="234" t="s">
        <v>3130</v>
      </c>
      <c r="J20" s="82">
        <v>6</v>
      </c>
      <c r="K20" s="82" t="s">
        <v>586</v>
      </c>
      <c r="L20" s="235"/>
      <c r="M20" s="173">
        <v>29</v>
      </c>
      <c r="N20" s="173">
        <f t="shared" si="3"/>
        <v>174</v>
      </c>
      <c r="O20" s="82" t="s">
        <v>1747</v>
      </c>
      <c r="P20" s="82" t="s">
        <v>1748</v>
      </c>
      <c r="Q20" s="173">
        <f t="shared" si="0"/>
        <v>8.1999999999999993</v>
      </c>
      <c r="R20" s="171">
        <f t="shared" si="4"/>
        <v>1426.8</v>
      </c>
      <c r="S20" s="171" t="s">
        <v>1913</v>
      </c>
      <c r="T20" s="82" t="s">
        <v>1754</v>
      </c>
      <c r="U20" s="82" t="s">
        <v>1765</v>
      </c>
      <c r="V20" s="82" t="s">
        <v>1757</v>
      </c>
      <c r="W20" s="261" t="s">
        <v>3535</v>
      </c>
      <c r="X20" s="261" t="s">
        <v>3540</v>
      </c>
      <c r="Y20"/>
      <c r="Z20"/>
      <c r="AH20"/>
    </row>
    <row r="21" spans="1:34" s="1" customFormat="1" ht="15.75" thickBot="1" x14ac:dyDescent="0.3">
      <c r="A21" s="82" t="s">
        <v>45</v>
      </c>
      <c r="B21" s="82" t="str">
        <f t="shared" si="1"/>
        <v>Barraqueiro Transportes, S.A.</v>
      </c>
      <c r="C21" s="82" t="str">
        <f t="shared" si="2"/>
        <v>X</v>
      </c>
      <c r="D21" s="235">
        <v>2022</v>
      </c>
      <c r="E21" s="82" t="s">
        <v>1653</v>
      </c>
      <c r="F21" s="82" t="s">
        <v>1745</v>
      </c>
      <c r="G21" s="82" t="s">
        <v>1746</v>
      </c>
      <c r="H21" s="234" t="s">
        <v>1864</v>
      </c>
      <c r="I21" s="234" t="s">
        <v>3130</v>
      </c>
      <c r="J21" s="82">
        <v>1</v>
      </c>
      <c r="K21" s="82" t="s">
        <v>586</v>
      </c>
      <c r="L21" s="235"/>
      <c r="M21" s="173">
        <v>26.5</v>
      </c>
      <c r="N21" s="173">
        <f t="shared" si="3"/>
        <v>26.5</v>
      </c>
      <c r="O21" s="82" t="s">
        <v>1747</v>
      </c>
      <c r="P21" s="82" t="s">
        <v>1748</v>
      </c>
      <c r="Q21" s="173">
        <f t="shared" si="0"/>
        <v>5.8</v>
      </c>
      <c r="R21" s="171">
        <f t="shared" si="4"/>
        <v>153.69999999999999</v>
      </c>
      <c r="S21" s="171" t="s">
        <v>1913</v>
      </c>
      <c r="T21" s="82" t="s">
        <v>1750</v>
      </c>
      <c r="U21" s="82" t="s">
        <v>1765</v>
      </c>
      <c r="V21" s="82" t="s">
        <v>1756</v>
      </c>
      <c r="W21" s="261" t="s">
        <v>3535</v>
      </c>
      <c r="X21" s="261" t="s">
        <v>3540</v>
      </c>
      <c r="Y21"/>
      <c r="Z21"/>
      <c r="AH21"/>
    </row>
    <row r="22" spans="1:34" s="1" customFormat="1" ht="15.75" thickBot="1" x14ac:dyDescent="0.3">
      <c r="A22" s="82" t="s">
        <v>45</v>
      </c>
      <c r="B22" s="82" t="str">
        <f t="shared" si="1"/>
        <v>Barraqueiro Transportes, S.A.</v>
      </c>
      <c r="C22" s="82" t="str">
        <f t="shared" si="2"/>
        <v>X</v>
      </c>
      <c r="D22" s="235">
        <v>2022</v>
      </c>
      <c r="E22" s="82" t="s">
        <v>1653</v>
      </c>
      <c r="F22" s="82" t="s">
        <v>1745</v>
      </c>
      <c r="G22" s="82" t="s">
        <v>1746</v>
      </c>
      <c r="H22" s="234" t="s">
        <v>1864</v>
      </c>
      <c r="I22" s="234" t="s">
        <v>3130</v>
      </c>
      <c r="J22" s="82">
        <v>2</v>
      </c>
      <c r="K22" s="82" t="s">
        <v>586</v>
      </c>
      <c r="L22" s="235"/>
      <c r="M22" s="173">
        <v>19</v>
      </c>
      <c r="N22" s="173">
        <f t="shared" si="3"/>
        <v>38</v>
      </c>
      <c r="O22" s="82" t="s">
        <v>1747</v>
      </c>
      <c r="P22" s="82" t="s">
        <v>1748</v>
      </c>
      <c r="Q22" s="173">
        <f t="shared" si="0"/>
        <v>8.1999999999999993</v>
      </c>
      <c r="R22" s="171">
        <f t="shared" si="4"/>
        <v>311.59999999999997</v>
      </c>
      <c r="S22" s="171" t="s">
        <v>1913</v>
      </c>
      <c r="T22" s="82" t="s">
        <v>1754</v>
      </c>
      <c r="U22" s="82" t="s">
        <v>1766</v>
      </c>
      <c r="V22" s="82" t="s">
        <v>1763</v>
      </c>
      <c r="W22" s="261" t="s">
        <v>3535</v>
      </c>
      <c r="X22" s="261" t="s">
        <v>3540</v>
      </c>
      <c r="Y22"/>
      <c r="Z22"/>
      <c r="AH22"/>
    </row>
    <row r="23" spans="1:34" s="1" customFormat="1" ht="15.75" thickBot="1" x14ac:dyDescent="0.3">
      <c r="A23" s="82" t="s">
        <v>45</v>
      </c>
      <c r="B23" s="82" t="str">
        <f t="shared" si="1"/>
        <v>Barraqueiro Transportes, S.A.</v>
      </c>
      <c r="C23" s="82" t="str">
        <f t="shared" si="2"/>
        <v>X</v>
      </c>
      <c r="D23" s="235">
        <v>2022</v>
      </c>
      <c r="E23" s="82" t="s">
        <v>1653</v>
      </c>
      <c r="F23" s="82" t="s">
        <v>1745</v>
      </c>
      <c r="G23" s="82" t="s">
        <v>1746</v>
      </c>
      <c r="H23" s="234" t="s">
        <v>1864</v>
      </c>
      <c r="I23" s="234" t="s">
        <v>3130</v>
      </c>
      <c r="J23" s="83">
        <v>2</v>
      </c>
      <c r="K23" s="82" t="s">
        <v>586</v>
      </c>
      <c r="L23" s="235"/>
      <c r="M23" s="173">
        <v>11</v>
      </c>
      <c r="N23" s="173">
        <f t="shared" si="3"/>
        <v>22</v>
      </c>
      <c r="O23" s="82" t="s">
        <v>1747</v>
      </c>
      <c r="P23" s="82" t="s">
        <v>1748</v>
      </c>
      <c r="Q23" s="173">
        <f t="shared" si="0"/>
        <v>8.1999999999999993</v>
      </c>
      <c r="R23" s="171">
        <f t="shared" si="4"/>
        <v>180.39999999999998</v>
      </c>
      <c r="S23" s="171" t="s">
        <v>1913</v>
      </c>
      <c r="T23" s="83" t="s">
        <v>1754</v>
      </c>
      <c r="U23" s="82" t="s">
        <v>1766</v>
      </c>
      <c r="V23" s="82" t="s">
        <v>1761</v>
      </c>
      <c r="W23" s="261" t="s">
        <v>3535</v>
      </c>
      <c r="X23" s="261" t="s">
        <v>3540</v>
      </c>
      <c r="Y23"/>
      <c r="Z23"/>
      <c r="AH23"/>
    </row>
    <row r="24" spans="1:34" s="1" customFormat="1" ht="15.75" thickBot="1" x14ac:dyDescent="0.3">
      <c r="A24" s="82" t="s">
        <v>45</v>
      </c>
      <c r="B24" s="82" t="str">
        <f t="shared" si="1"/>
        <v>Barraqueiro Transportes, S.A.</v>
      </c>
      <c r="C24" s="82" t="str">
        <f t="shared" si="2"/>
        <v>X</v>
      </c>
      <c r="D24" s="235">
        <v>2022</v>
      </c>
      <c r="E24" s="82" t="s">
        <v>1681</v>
      </c>
      <c r="F24" s="82" t="s">
        <v>1745</v>
      </c>
      <c r="G24" s="82" t="s">
        <v>1746</v>
      </c>
      <c r="H24" s="234" t="s">
        <v>1864</v>
      </c>
      <c r="I24" s="234" t="s">
        <v>3130</v>
      </c>
      <c r="J24" s="83">
        <v>16</v>
      </c>
      <c r="K24" s="82" t="s">
        <v>586</v>
      </c>
      <c r="L24" s="235"/>
      <c r="M24" s="175">
        <v>32.5</v>
      </c>
      <c r="N24" s="173">
        <f t="shared" si="3"/>
        <v>520</v>
      </c>
      <c r="O24" s="82" t="s">
        <v>1747</v>
      </c>
      <c r="P24" s="82" t="s">
        <v>1748</v>
      </c>
      <c r="Q24" s="173">
        <f t="array" ref="Q24">INDEX($AA$8:$AF$10,MATCH(U24,$Z$8:$Z$10,0),MATCH(T24,$AA$7:$AF$7,0))</f>
        <v>33.1</v>
      </c>
      <c r="R24" s="171">
        <f>Q24*N24</f>
        <v>17212</v>
      </c>
      <c r="S24" s="171" t="s">
        <v>1913</v>
      </c>
      <c r="T24" s="83" t="s">
        <v>1774</v>
      </c>
      <c r="U24" s="82" t="s">
        <v>1771</v>
      </c>
      <c r="V24" s="82" t="s">
        <v>1781</v>
      </c>
      <c r="W24" s="261" t="s">
        <v>3535</v>
      </c>
      <c r="X24" s="261" t="s">
        <v>3540</v>
      </c>
      <c r="Y24"/>
      <c r="Z24"/>
      <c r="AH24"/>
    </row>
    <row r="25" spans="1:34" s="1" customFormat="1" ht="15.75" thickBot="1" x14ac:dyDescent="0.3">
      <c r="A25" s="82" t="s">
        <v>45</v>
      </c>
      <c r="B25" s="82" t="str">
        <f t="shared" si="1"/>
        <v>Barraqueiro Transportes, S.A.</v>
      </c>
      <c r="C25" s="82" t="str">
        <f t="shared" si="2"/>
        <v>X</v>
      </c>
      <c r="D25" s="235">
        <v>2022</v>
      </c>
      <c r="E25" s="82" t="s">
        <v>1681</v>
      </c>
      <c r="F25" s="82" t="s">
        <v>1745</v>
      </c>
      <c r="G25" s="82" t="s">
        <v>1746</v>
      </c>
      <c r="H25" s="234" t="s">
        <v>1864</v>
      </c>
      <c r="I25" s="234" t="s">
        <v>3130</v>
      </c>
      <c r="J25" s="83">
        <v>28</v>
      </c>
      <c r="K25" s="82" t="s">
        <v>586</v>
      </c>
      <c r="L25" s="235"/>
      <c r="M25" s="175">
        <v>38.5</v>
      </c>
      <c r="N25" s="173">
        <f t="shared" si="3"/>
        <v>1078</v>
      </c>
      <c r="O25" s="82" t="s">
        <v>1747</v>
      </c>
      <c r="P25" s="82" t="s">
        <v>1748</v>
      </c>
      <c r="Q25" s="173">
        <f t="array" ref="Q25">INDEX($AA$8:$AF$10,MATCH(U25,$Z$8:$Z$10,0),MATCH(T25,$AA$7:$AF$7,0))</f>
        <v>33.1</v>
      </c>
      <c r="R25" s="171">
        <f t="shared" ref="R25:R57" si="5">Q25*N25</f>
        <v>35681.800000000003</v>
      </c>
      <c r="S25" s="171" t="s">
        <v>1913</v>
      </c>
      <c r="T25" s="83" t="s">
        <v>1774</v>
      </c>
      <c r="U25" s="82" t="s">
        <v>1771</v>
      </c>
      <c r="V25" s="82" t="s">
        <v>1782</v>
      </c>
      <c r="W25" s="261" t="s">
        <v>3535</v>
      </c>
      <c r="X25" s="261" t="s">
        <v>3540</v>
      </c>
      <c r="Y25"/>
      <c r="Z25"/>
      <c r="AH25"/>
    </row>
    <row r="26" spans="1:34" s="1" customFormat="1" ht="15.75" thickBot="1" x14ac:dyDescent="0.3">
      <c r="A26" s="82" t="s">
        <v>45</v>
      </c>
      <c r="B26" s="82" t="str">
        <f t="shared" si="1"/>
        <v>Barraqueiro Transportes, S.A.</v>
      </c>
      <c r="C26" s="82" t="str">
        <f t="shared" si="2"/>
        <v>X</v>
      </c>
      <c r="D26" s="235">
        <v>2022</v>
      </c>
      <c r="E26" s="82" t="s">
        <v>1681</v>
      </c>
      <c r="F26" s="82" t="s">
        <v>1745</v>
      </c>
      <c r="G26" s="82" t="s">
        <v>1746</v>
      </c>
      <c r="H26" s="234" t="s">
        <v>1864</v>
      </c>
      <c r="I26" s="234" t="s">
        <v>3130</v>
      </c>
      <c r="J26" s="83">
        <v>138</v>
      </c>
      <c r="K26" s="82" t="s">
        <v>586</v>
      </c>
      <c r="L26" s="235"/>
      <c r="M26" s="175">
        <v>63.5</v>
      </c>
      <c r="N26" s="173">
        <f t="shared" si="3"/>
        <v>8763</v>
      </c>
      <c r="O26" s="82" t="s">
        <v>1747</v>
      </c>
      <c r="P26" s="82" t="s">
        <v>1748</v>
      </c>
      <c r="Q26" s="173">
        <f t="array" ref="Q26">INDEX($AA$8:$AF$10,MATCH(U26,$Z$8:$Z$10,0),MATCH(T26,$AA$7:$AF$7,0))</f>
        <v>33.1</v>
      </c>
      <c r="R26" s="171">
        <f t="shared" si="5"/>
        <v>290055.3</v>
      </c>
      <c r="S26" s="171" t="s">
        <v>1913</v>
      </c>
      <c r="T26" s="83" t="s">
        <v>1774</v>
      </c>
      <c r="U26" s="82" t="s">
        <v>1771</v>
      </c>
      <c r="V26" s="82" t="s">
        <v>1783</v>
      </c>
      <c r="W26" s="261" t="s">
        <v>3535</v>
      </c>
      <c r="X26" s="261" t="s">
        <v>3540</v>
      </c>
      <c r="Y26"/>
      <c r="Z26"/>
      <c r="AH26"/>
    </row>
    <row r="27" spans="1:34" s="1" customFormat="1" ht="15.75" thickBot="1" x14ac:dyDescent="0.3">
      <c r="A27" s="82" t="s">
        <v>45</v>
      </c>
      <c r="B27" s="82" t="str">
        <f t="shared" si="1"/>
        <v>Barraqueiro Transportes, S.A.</v>
      </c>
      <c r="C27" s="82" t="str">
        <f t="shared" si="2"/>
        <v>X</v>
      </c>
      <c r="D27" s="235">
        <v>2022</v>
      </c>
      <c r="E27" s="82" t="s">
        <v>1681</v>
      </c>
      <c r="F27" s="82" t="s">
        <v>1745</v>
      </c>
      <c r="G27" s="82" t="s">
        <v>1746</v>
      </c>
      <c r="H27" s="234" t="s">
        <v>1864</v>
      </c>
      <c r="I27" s="234" t="s">
        <v>3130</v>
      </c>
      <c r="J27" s="83">
        <v>4</v>
      </c>
      <c r="K27" s="82" t="s">
        <v>586</v>
      </c>
      <c r="L27" s="235"/>
      <c r="M27" s="175">
        <v>68</v>
      </c>
      <c r="N27" s="173">
        <f t="shared" si="3"/>
        <v>272</v>
      </c>
      <c r="O27" s="82" t="s">
        <v>1747</v>
      </c>
      <c r="P27" s="82" t="s">
        <v>1748</v>
      </c>
      <c r="Q27" s="173">
        <f t="array" ref="Q27">INDEX($AA$8:$AF$10,MATCH(U27,$Z$8:$Z$10,0),MATCH(T27,$AA$7:$AF$7,0))</f>
        <v>33.1</v>
      </c>
      <c r="R27" s="171">
        <f t="shared" si="5"/>
        <v>9003.2000000000007</v>
      </c>
      <c r="S27" s="171" t="s">
        <v>1913</v>
      </c>
      <c r="T27" s="83" t="s">
        <v>1774</v>
      </c>
      <c r="U27" s="82" t="s">
        <v>1771</v>
      </c>
      <c r="V27" s="82" t="s">
        <v>1784</v>
      </c>
      <c r="W27" s="261" t="s">
        <v>3535</v>
      </c>
      <c r="X27" s="261" t="s">
        <v>3540</v>
      </c>
      <c r="Y27"/>
      <c r="Z27"/>
      <c r="AH27"/>
    </row>
    <row r="28" spans="1:34" s="1" customFormat="1" ht="15.75" thickBot="1" x14ac:dyDescent="0.3">
      <c r="A28" s="82" t="s">
        <v>45</v>
      </c>
      <c r="B28" s="82" t="str">
        <f t="shared" si="1"/>
        <v>Barraqueiro Transportes, S.A.</v>
      </c>
      <c r="C28" s="82" t="str">
        <f t="shared" si="2"/>
        <v>X</v>
      </c>
      <c r="D28" s="235">
        <v>2022</v>
      </c>
      <c r="E28" s="82" t="s">
        <v>1681</v>
      </c>
      <c r="F28" s="82" t="s">
        <v>1745</v>
      </c>
      <c r="G28" s="82" t="s">
        <v>1746</v>
      </c>
      <c r="H28" s="234" t="s">
        <v>1864</v>
      </c>
      <c r="I28" s="234" t="s">
        <v>3130</v>
      </c>
      <c r="J28" s="83">
        <v>44</v>
      </c>
      <c r="K28" s="82" t="s">
        <v>586</v>
      </c>
      <c r="L28" s="235"/>
      <c r="M28" s="175">
        <v>63.5</v>
      </c>
      <c r="N28" s="173">
        <f t="shared" si="3"/>
        <v>2794</v>
      </c>
      <c r="O28" s="82" t="s">
        <v>1747</v>
      </c>
      <c r="P28" s="82" t="s">
        <v>1748</v>
      </c>
      <c r="Q28" s="173">
        <f t="array" ref="Q28">INDEX($AA$8:$AF$10,MATCH(U28,$Z$8:$Z$10,0),MATCH(T28,$AA$7:$AF$7,0))</f>
        <v>30.5</v>
      </c>
      <c r="R28" s="171">
        <f t="shared" si="5"/>
        <v>85217</v>
      </c>
      <c r="S28" s="171" t="s">
        <v>1913</v>
      </c>
      <c r="T28" s="83" t="s">
        <v>1775</v>
      </c>
      <c r="U28" s="82" t="s">
        <v>1771</v>
      </c>
      <c r="V28" s="82" t="s">
        <v>1783</v>
      </c>
      <c r="W28" s="261" t="s">
        <v>3535</v>
      </c>
      <c r="X28" s="261" t="s">
        <v>3540</v>
      </c>
      <c r="Y28"/>
      <c r="Z28"/>
      <c r="AH28"/>
    </row>
    <row r="29" spans="1:34" s="1" customFormat="1" ht="15.75" thickBot="1" x14ac:dyDescent="0.3">
      <c r="A29" s="82" t="s">
        <v>45</v>
      </c>
      <c r="B29" s="82" t="str">
        <f t="shared" si="1"/>
        <v>Barraqueiro Transportes, S.A.</v>
      </c>
      <c r="C29" s="82" t="str">
        <f t="shared" si="2"/>
        <v>X</v>
      </c>
      <c r="D29" s="235">
        <v>2022</v>
      </c>
      <c r="E29" s="82" t="s">
        <v>1681</v>
      </c>
      <c r="F29" s="82" t="s">
        <v>1745</v>
      </c>
      <c r="G29" s="82" t="s">
        <v>1746</v>
      </c>
      <c r="H29" s="234" t="s">
        <v>1864</v>
      </c>
      <c r="I29" s="234" t="s">
        <v>3130</v>
      </c>
      <c r="J29" s="83">
        <v>16</v>
      </c>
      <c r="K29" s="82" t="s">
        <v>586</v>
      </c>
      <c r="L29" s="235"/>
      <c r="M29" s="175">
        <v>38.5</v>
      </c>
      <c r="N29" s="173">
        <f t="shared" si="3"/>
        <v>616</v>
      </c>
      <c r="O29" s="82" t="s">
        <v>1747</v>
      </c>
      <c r="P29" s="82" t="s">
        <v>1748</v>
      </c>
      <c r="Q29" s="173">
        <f t="array" ref="Q29">INDEX($AA$8:$AF$10,MATCH(U29,$Z$8:$Z$10,0),MATCH(T29,$AA$7:$AF$7,0))</f>
        <v>16.2</v>
      </c>
      <c r="R29" s="171">
        <f t="shared" si="5"/>
        <v>9979.1999999999989</v>
      </c>
      <c r="S29" s="171" t="s">
        <v>1913</v>
      </c>
      <c r="T29" s="83" t="s">
        <v>1776</v>
      </c>
      <c r="U29" s="82" t="s">
        <v>1771</v>
      </c>
      <c r="V29" s="82" t="s">
        <v>1782</v>
      </c>
      <c r="W29" s="261" t="s">
        <v>3535</v>
      </c>
      <c r="X29" s="261" t="s">
        <v>3540</v>
      </c>
      <c r="Y29"/>
      <c r="Z29"/>
      <c r="AH29"/>
    </row>
    <row r="30" spans="1:34" s="1" customFormat="1" ht="15.75" thickBot="1" x14ac:dyDescent="0.3">
      <c r="A30" s="82" t="s">
        <v>45</v>
      </c>
      <c r="B30" s="82" t="str">
        <f t="shared" si="1"/>
        <v>Barraqueiro Transportes, S.A.</v>
      </c>
      <c r="C30" s="82" t="str">
        <f t="shared" si="2"/>
        <v>X</v>
      </c>
      <c r="D30" s="235">
        <v>2022</v>
      </c>
      <c r="E30" s="82" t="s">
        <v>1681</v>
      </c>
      <c r="F30" s="82" t="s">
        <v>1745</v>
      </c>
      <c r="G30" s="82" t="s">
        <v>1746</v>
      </c>
      <c r="H30" s="234" t="s">
        <v>1864</v>
      </c>
      <c r="I30" s="234" t="s">
        <v>3130</v>
      </c>
      <c r="J30" s="83">
        <v>194</v>
      </c>
      <c r="K30" s="82" t="s">
        <v>586</v>
      </c>
      <c r="L30" s="235"/>
      <c r="M30" s="175">
        <v>63.5</v>
      </c>
      <c r="N30" s="173">
        <f t="shared" si="3"/>
        <v>12319</v>
      </c>
      <c r="O30" s="82" t="s">
        <v>1747</v>
      </c>
      <c r="P30" s="82" t="s">
        <v>1748</v>
      </c>
      <c r="Q30" s="173">
        <f t="array" ref="Q30">INDEX($AA$8:$AF$10,MATCH(U30,$Z$8:$Z$10,0),MATCH(T30,$AA$7:$AF$7,0))</f>
        <v>16.2</v>
      </c>
      <c r="R30" s="171">
        <f t="shared" si="5"/>
        <v>199567.8</v>
      </c>
      <c r="S30" s="171" t="s">
        <v>1913</v>
      </c>
      <c r="T30" s="83" t="s">
        <v>1776</v>
      </c>
      <c r="U30" s="82" t="s">
        <v>1771</v>
      </c>
      <c r="V30" s="82" t="s">
        <v>1783</v>
      </c>
      <c r="W30" s="261" t="s">
        <v>3535</v>
      </c>
      <c r="X30" s="261" t="s">
        <v>3540</v>
      </c>
      <c r="Y30" s="92"/>
      <c r="Z30" s="92"/>
      <c r="AA30" s="169"/>
      <c r="AB30" s="169"/>
      <c r="AC30" s="169"/>
      <c r="AD30" s="169"/>
      <c r="AE30" s="169"/>
      <c r="AH30"/>
    </row>
    <row r="31" spans="1:34" s="1" customFormat="1" ht="15.75" thickBot="1" x14ac:dyDescent="0.3">
      <c r="A31" s="82" t="s">
        <v>45</v>
      </c>
      <c r="B31" s="82" t="str">
        <f t="shared" si="1"/>
        <v>Barraqueiro Transportes, S.A.</v>
      </c>
      <c r="C31" s="82" t="str">
        <f t="shared" si="2"/>
        <v>X</v>
      </c>
      <c r="D31" s="235">
        <v>2022</v>
      </c>
      <c r="E31" s="82" t="s">
        <v>1681</v>
      </c>
      <c r="F31" s="82" t="s">
        <v>1745</v>
      </c>
      <c r="G31" s="82" t="s">
        <v>1746</v>
      </c>
      <c r="H31" s="234" t="s">
        <v>1864</v>
      </c>
      <c r="I31" s="234" t="s">
        <v>3130</v>
      </c>
      <c r="J31" s="83">
        <v>10</v>
      </c>
      <c r="K31" s="82" t="s">
        <v>586</v>
      </c>
      <c r="L31" s="235"/>
      <c r="M31" s="175">
        <v>68</v>
      </c>
      <c r="N31" s="173">
        <f t="shared" si="3"/>
        <v>680</v>
      </c>
      <c r="O31" s="82" t="s">
        <v>1747</v>
      </c>
      <c r="P31" s="82" t="s">
        <v>1748</v>
      </c>
      <c r="Q31" s="173">
        <f t="array" ref="Q31">INDEX($AA$8:$AF$10,MATCH(U31,$Z$8:$Z$10,0),MATCH(T31,$AA$7:$AF$7,0))</f>
        <v>16.2</v>
      </c>
      <c r="R31" s="171">
        <f t="shared" si="5"/>
        <v>11016</v>
      </c>
      <c r="S31" s="171" t="s">
        <v>1913</v>
      </c>
      <c r="T31" s="83" t="s">
        <v>1776</v>
      </c>
      <c r="U31" s="82" t="s">
        <v>1771</v>
      </c>
      <c r="V31" s="82" t="s">
        <v>1784</v>
      </c>
      <c r="W31" s="261" t="s">
        <v>3535</v>
      </c>
      <c r="X31" s="261" t="s">
        <v>3540</v>
      </c>
      <c r="Y31" s="92"/>
      <c r="Z31" s="92"/>
      <c r="AA31" s="169"/>
      <c r="AB31" s="169"/>
      <c r="AC31" s="169"/>
      <c r="AD31" s="169"/>
      <c r="AE31" s="169"/>
      <c r="AH31"/>
    </row>
    <row r="32" spans="1:34" s="1" customFormat="1" ht="15.75" thickBot="1" x14ac:dyDescent="0.3">
      <c r="A32" s="82" t="s">
        <v>45</v>
      </c>
      <c r="B32" s="82" t="str">
        <f t="shared" si="1"/>
        <v>Barraqueiro Transportes, S.A.</v>
      </c>
      <c r="C32" s="82" t="str">
        <f t="shared" si="2"/>
        <v>X</v>
      </c>
      <c r="D32" s="235">
        <v>2022</v>
      </c>
      <c r="E32" s="82" t="s">
        <v>1681</v>
      </c>
      <c r="F32" s="82" t="s">
        <v>1745</v>
      </c>
      <c r="G32" s="82" t="s">
        <v>1746</v>
      </c>
      <c r="H32" s="234" t="s">
        <v>1864</v>
      </c>
      <c r="I32" s="234" t="s">
        <v>3130</v>
      </c>
      <c r="J32" s="83">
        <v>2</v>
      </c>
      <c r="K32" s="82" t="s">
        <v>586</v>
      </c>
      <c r="L32" s="235"/>
      <c r="M32" s="175">
        <v>14</v>
      </c>
      <c r="N32" s="173">
        <f t="shared" si="3"/>
        <v>28</v>
      </c>
      <c r="O32" s="82" t="s">
        <v>1747</v>
      </c>
      <c r="P32" s="82" t="s">
        <v>1748</v>
      </c>
      <c r="Q32" s="173">
        <f t="array" ref="Q32">INDEX($AA$8:$AF$10,MATCH(U32,$Z$8:$Z$10,0),MATCH(T32,$AA$7:$AF$7,0))</f>
        <v>24.5</v>
      </c>
      <c r="R32" s="171">
        <f t="shared" si="5"/>
        <v>686</v>
      </c>
      <c r="S32" s="171" t="s">
        <v>1913</v>
      </c>
      <c r="T32" s="83" t="s">
        <v>1777</v>
      </c>
      <c r="U32" s="82" t="s">
        <v>1771</v>
      </c>
      <c r="V32" s="82" t="s">
        <v>1785</v>
      </c>
      <c r="W32" s="261" t="s">
        <v>3535</v>
      </c>
      <c r="X32" s="261" t="s">
        <v>3540</v>
      </c>
      <c r="Y32" s="92"/>
      <c r="Z32" s="92"/>
      <c r="AA32" s="169"/>
      <c r="AB32" s="169"/>
      <c r="AC32" s="169"/>
      <c r="AD32" s="169"/>
      <c r="AE32" s="169"/>
      <c r="AH32"/>
    </row>
    <row r="33" spans="1:34" s="1" customFormat="1" ht="15.75" thickBot="1" x14ac:dyDescent="0.3">
      <c r="A33" s="82" t="s">
        <v>45</v>
      </c>
      <c r="B33" s="82" t="str">
        <f t="shared" si="1"/>
        <v>Barraqueiro Transportes, S.A.</v>
      </c>
      <c r="C33" s="82" t="str">
        <f t="shared" si="2"/>
        <v>X</v>
      </c>
      <c r="D33" s="235">
        <v>2022</v>
      </c>
      <c r="E33" s="82" t="s">
        <v>1681</v>
      </c>
      <c r="F33" s="82" t="s">
        <v>1745</v>
      </c>
      <c r="G33" s="82" t="s">
        <v>1746</v>
      </c>
      <c r="H33" s="234" t="s">
        <v>1864</v>
      </c>
      <c r="I33" s="234" t="s">
        <v>3130</v>
      </c>
      <c r="J33" s="83">
        <v>16</v>
      </c>
      <c r="K33" s="82" t="s">
        <v>586</v>
      </c>
      <c r="L33" s="235"/>
      <c r="M33" s="175">
        <v>38.5</v>
      </c>
      <c r="N33" s="173">
        <f t="shared" si="3"/>
        <v>616</v>
      </c>
      <c r="O33" s="82" t="s">
        <v>1747</v>
      </c>
      <c r="P33" s="82" t="s">
        <v>1748</v>
      </c>
      <c r="Q33" s="173">
        <f t="array" ref="Q33">INDEX($AA$8:$AF$10,MATCH(U33,$Z$8:$Z$10,0),MATCH(T33,$AA$7:$AF$7,0))</f>
        <v>24.5</v>
      </c>
      <c r="R33" s="171">
        <f t="shared" si="5"/>
        <v>15092</v>
      </c>
      <c r="S33" s="171" t="s">
        <v>1913</v>
      </c>
      <c r="T33" s="83" t="s">
        <v>1777</v>
      </c>
      <c r="U33" s="82" t="s">
        <v>1771</v>
      </c>
      <c r="V33" s="82" t="s">
        <v>1782</v>
      </c>
      <c r="W33" s="261" t="s">
        <v>3535</v>
      </c>
      <c r="X33" s="261" t="s">
        <v>3540</v>
      </c>
      <c r="Y33" s="168"/>
      <c r="Z33" s="168"/>
      <c r="AA33" s="170"/>
      <c r="AB33" s="170"/>
      <c r="AC33" s="170"/>
      <c r="AD33" s="170"/>
      <c r="AE33" s="170"/>
      <c r="AH33"/>
    </row>
    <row r="34" spans="1:34" s="1" customFormat="1" ht="15.75" thickBot="1" x14ac:dyDescent="0.3">
      <c r="A34" s="82" t="s">
        <v>45</v>
      </c>
      <c r="B34" s="82" t="str">
        <f t="shared" si="1"/>
        <v>Barraqueiro Transportes, S.A.</v>
      </c>
      <c r="C34" s="82" t="str">
        <f t="shared" si="2"/>
        <v>X</v>
      </c>
      <c r="D34" s="235">
        <v>2022</v>
      </c>
      <c r="E34" s="82" t="s">
        <v>1681</v>
      </c>
      <c r="F34" s="82" t="s">
        <v>1745</v>
      </c>
      <c r="G34" s="82" t="s">
        <v>1746</v>
      </c>
      <c r="H34" s="234" t="s">
        <v>1864</v>
      </c>
      <c r="I34" s="234" t="s">
        <v>3130</v>
      </c>
      <c r="J34" s="83">
        <v>550</v>
      </c>
      <c r="K34" s="82" t="s">
        <v>586</v>
      </c>
      <c r="L34" s="235"/>
      <c r="M34" s="175">
        <v>63.5</v>
      </c>
      <c r="N34" s="173">
        <f t="shared" si="3"/>
        <v>34925</v>
      </c>
      <c r="O34" s="82" t="s">
        <v>1747</v>
      </c>
      <c r="P34" s="82" t="s">
        <v>1748</v>
      </c>
      <c r="Q34" s="173">
        <f t="array" ref="Q34">INDEX($AA$8:$AF$10,MATCH(U34,$Z$8:$Z$10,0),MATCH(T34,$AA$7:$AF$7,0))</f>
        <v>24.5</v>
      </c>
      <c r="R34" s="171">
        <f t="shared" si="5"/>
        <v>855662.5</v>
      </c>
      <c r="S34" s="171" t="s">
        <v>1913</v>
      </c>
      <c r="T34" s="83" t="s">
        <v>1777</v>
      </c>
      <c r="U34" s="82" t="s">
        <v>1771</v>
      </c>
      <c r="V34" s="82" t="s">
        <v>1783</v>
      </c>
      <c r="W34" s="261" t="s">
        <v>3535</v>
      </c>
      <c r="X34" s="261" t="s">
        <v>3540</v>
      </c>
      <c r="Y34" s="168"/>
      <c r="Z34" s="168"/>
      <c r="AA34" s="170"/>
      <c r="AB34" s="170"/>
      <c r="AC34" s="170"/>
      <c r="AD34" s="170"/>
      <c r="AE34" s="170"/>
      <c r="AH34"/>
    </row>
    <row r="35" spans="1:34" s="1" customFormat="1" ht="15.75" thickBot="1" x14ac:dyDescent="0.3">
      <c r="A35" s="82" t="s">
        <v>45</v>
      </c>
      <c r="B35" s="82" t="str">
        <f t="shared" si="1"/>
        <v>Barraqueiro Transportes, S.A.</v>
      </c>
      <c r="C35" s="82" t="str">
        <f t="shared" si="2"/>
        <v>X</v>
      </c>
      <c r="D35" s="235">
        <v>2022</v>
      </c>
      <c r="E35" s="82" t="s">
        <v>1681</v>
      </c>
      <c r="F35" s="82" t="s">
        <v>1745</v>
      </c>
      <c r="G35" s="82" t="s">
        <v>1746</v>
      </c>
      <c r="H35" s="234" t="s">
        <v>1864</v>
      </c>
      <c r="I35" s="234" t="s">
        <v>3130</v>
      </c>
      <c r="J35" s="83">
        <v>32</v>
      </c>
      <c r="K35" s="82" t="s">
        <v>586</v>
      </c>
      <c r="L35" s="235"/>
      <c r="M35" s="175">
        <v>68</v>
      </c>
      <c r="N35" s="173">
        <f t="shared" si="3"/>
        <v>2176</v>
      </c>
      <c r="O35" s="82" t="s">
        <v>1747</v>
      </c>
      <c r="P35" s="82" t="s">
        <v>1748</v>
      </c>
      <c r="Q35" s="173">
        <f t="array" ref="Q35">INDEX($AA$8:$AF$10,MATCH(U35,$Z$8:$Z$10,0),MATCH(T35,$AA$7:$AF$7,0))</f>
        <v>24.5</v>
      </c>
      <c r="R35" s="171">
        <f t="shared" si="5"/>
        <v>53312</v>
      </c>
      <c r="S35" s="171" t="s">
        <v>1913</v>
      </c>
      <c r="T35" s="83" t="s">
        <v>1777</v>
      </c>
      <c r="U35" s="82" t="s">
        <v>1771</v>
      </c>
      <c r="V35" s="82" t="s">
        <v>1784</v>
      </c>
      <c r="W35" s="261" t="s">
        <v>3535</v>
      </c>
      <c r="X35" s="261" t="s">
        <v>3540</v>
      </c>
      <c r="Y35" s="168"/>
      <c r="Z35" s="168"/>
      <c r="AA35" s="170"/>
      <c r="AB35" s="170"/>
      <c r="AC35" s="170"/>
      <c r="AD35" s="170"/>
      <c r="AE35" s="170"/>
      <c r="AH35"/>
    </row>
    <row r="36" spans="1:34" s="1" customFormat="1" ht="15.75" thickBot="1" x14ac:dyDescent="0.3">
      <c r="A36" s="82" t="s">
        <v>45</v>
      </c>
      <c r="B36" s="82" t="str">
        <f t="shared" si="1"/>
        <v>Barraqueiro Transportes, S.A.</v>
      </c>
      <c r="C36" s="82" t="str">
        <f t="shared" si="2"/>
        <v>X</v>
      </c>
      <c r="D36" s="235">
        <v>2022</v>
      </c>
      <c r="E36" s="82" t="s">
        <v>1681</v>
      </c>
      <c r="F36" s="82" t="s">
        <v>1745</v>
      </c>
      <c r="G36" s="82" t="s">
        <v>1746</v>
      </c>
      <c r="H36" s="234" t="s">
        <v>1864</v>
      </c>
      <c r="I36" s="234" t="s">
        <v>3130</v>
      </c>
      <c r="J36" s="83">
        <v>2</v>
      </c>
      <c r="K36" s="82" t="s">
        <v>586</v>
      </c>
      <c r="L36" s="235"/>
      <c r="M36" s="175">
        <v>68</v>
      </c>
      <c r="N36" s="173">
        <f t="shared" si="3"/>
        <v>136</v>
      </c>
      <c r="O36" s="82" t="s">
        <v>1747</v>
      </c>
      <c r="P36" s="82" t="s">
        <v>1748</v>
      </c>
      <c r="Q36" s="173">
        <f t="array" ref="Q36">INDEX($AA$8:$AF$10,MATCH(U36,$Z$8:$Z$10,0),MATCH(T36,$AA$7:$AF$7,0))</f>
        <v>38.5</v>
      </c>
      <c r="R36" s="171">
        <f t="shared" si="5"/>
        <v>5236</v>
      </c>
      <c r="S36" s="171" t="s">
        <v>1913</v>
      </c>
      <c r="T36" s="83" t="s">
        <v>1779</v>
      </c>
      <c r="U36" s="82" t="s">
        <v>1771</v>
      </c>
      <c r="V36" s="82" t="s">
        <v>1784</v>
      </c>
      <c r="W36" s="261" t="s">
        <v>3535</v>
      </c>
      <c r="X36" s="261" t="s">
        <v>3540</v>
      </c>
      <c r="Y36" s="168"/>
      <c r="Z36" s="168"/>
      <c r="AA36" s="170"/>
      <c r="AB36" s="170"/>
      <c r="AC36" s="170"/>
      <c r="AD36" s="170"/>
      <c r="AE36" s="170"/>
      <c r="AH36"/>
    </row>
    <row r="37" spans="1:34" s="1" customFormat="1" ht="15.75" thickBot="1" x14ac:dyDescent="0.3">
      <c r="A37" s="82" t="s">
        <v>45</v>
      </c>
      <c r="B37" s="82" t="str">
        <f t="shared" si="1"/>
        <v>Barraqueiro Transportes, S.A.</v>
      </c>
      <c r="C37" s="82" t="str">
        <f t="shared" si="2"/>
        <v>X</v>
      </c>
      <c r="D37" s="235">
        <v>2022</v>
      </c>
      <c r="E37" s="82" t="s">
        <v>1681</v>
      </c>
      <c r="F37" s="82" t="s">
        <v>1745</v>
      </c>
      <c r="G37" s="82" t="s">
        <v>1746</v>
      </c>
      <c r="H37" s="234" t="s">
        <v>1864</v>
      </c>
      <c r="I37" s="234" t="s">
        <v>3130</v>
      </c>
      <c r="J37" s="83">
        <v>34</v>
      </c>
      <c r="K37" s="82" t="s">
        <v>586</v>
      </c>
      <c r="L37" s="235"/>
      <c r="M37" s="175">
        <v>14</v>
      </c>
      <c r="N37" s="173">
        <f t="shared" si="3"/>
        <v>476</v>
      </c>
      <c r="O37" s="82" t="s">
        <v>1747</v>
      </c>
      <c r="P37" s="82" t="s">
        <v>1748</v>
      </c>
      <c r="Q37" s="173">
        <f t="array" ref="Q37">INDEX($AA$8:$AF$10,MATCH(U37,$Z$8:$Z$10,0),MATCH(T37,$AA$7:$AF$7,0))</f>
        <v>48.5</v>
      </c>
      <c r="R37" s="171">
        <f t="shared" si="5"/>
        <v>23086</v>
      </c>
      <c r="S37" s="171" t="s">
        <v>1913</v>
      </c>
      <c r="T37" s="83" t="s">
        <v>1774</v>
      </c>
      <c r="U37" s="82" t="s">
        <v>1772</v>
      </c>
      <c r="V37" s="82" t="s">
        <v>1785</v>
      </c>
      <c r="W37" s="261" t="s">
        <v>3535</v>
      </c>
      <c r="X37" s="261" t="s">
        <v>3540</v>
      </c>
      <c r="Y37"/>
      <c r="Z37"/>
      <c r="AH37"/>
    </row>
    <row r="38" spans="1:34" ht="15.75" thickBot="1" x14ac:dyDescent="0.3">
      <c r="A38" s="82" t="s">
        <v>45</v>
      </c>
      <c r="B38" s="82" t="str">
        <f t="shared" si="1"/>
        <v>Barraqueiro Transportes, S.A.</v>
      </c>
      <c r="C38" s="82" t="str">
        <f t="shared" si="2"/>
        <v>X</v>
      </c>
      <c r="D38" s="235">
        <v>2022</v>
      </c>
      <c r="E38" s="82" t="s">
        <v>1681</v>
      </c>
      <c r="F38" s="82" t="s">
        <v>1745</v>
      </c>
      <c r="G38" s="82" t="s">
        <v>1746</v>
      </c>
      <c r="H38" s="234" t="s">
        <v>1864</v>
      </c>
      <c r="I38" s="234" t="s">
        <v>3130</v>
      </c>
      <c r="J38" s="83">
        <v>11</v>
      </c>
      <c r="K38" s="82" t="s">
        <v>586</v>
      </c>
      <c r="L38" s="235"/>
      <c r="M38" s="175">
        <v>16</v>
      </c>
      <c r="N38" s="173">
        <f t="shared" si="3"/>
        <v>176</v>
      </c>
      <c r="O38" s="82" t="s">
        <v>1747</v>
      </c>
      <c r="P38" s="82" t="s">
        <v>1748</v>
      </c>
      <c r="Q38" s="173">
        <f t="array" ref="Q38">INDEX($AA$8:$AF$10,MATCH(U38,$Z$8:$Z$10,0),MATCH(T38,$AA$7:$AF$7,0))</f>
        <v>48.5</v>
      </c>
      <c r="R38" s="171">
        <f t="shared" si="5"/>
        <v>8536</v>
      </c>
      <c r="S38" s="171" t="s">
        <v>1913</v>
      </c>
      <c r="T38" s="83" t="s">
        <v>1774</v>
      </c>
      <c r="U38" s="82" t="s">
        <v>1772</v>
      </c>
      <c r="V38" s="82" t="s">
        <v>1786</v>
      </c>
      <c r="W38" s="261" t="s">
        <v>3535</v>
      </c>
      <c r="X38" s="261" t="s">
        <v>3540</v>
      </c>
    </row>
    <row r="39" spans="1:34" ht="15.75" thickBot="1" x14ac:dyDescent="0.3">
      <c r="A39" s="82" t="s">
        <v>45</v>
      </c>
      <c r="B39" s="82" t="str">
        <f t="shared" si="1"/>
        <v>Barraqueiro Transportes, S.A.</v>
      </c>
      <c r="C39" s="82" t="str">
        <f t="shared" si="2"/>
        <v>X</v>
      </c>
      <c r="D39" s="235">
        <v>2022</v>
      </c>
      <c r="E39" s="82" t="s">
        <v>1681</v>
      </c>
      <c r="F39" s="82" t="s">
        <v>1745</v>
      </c>
      <c r="G39" s="82" t="s">
        <v>1746</v>
      </c>
      <c r="H39" s="234" t="s">
        <v>1864</v>
      </c>
      <c r="I39" s="234" t="s">
        <v>3130</v>
      </c>
      <c r="J39" s="83">
        <v>4</v>
      </c>
      <c r="K39" s="82" t="s">
        <v>586</v>
      </c>
      <c r="L39" s="235"/>
      <c r="M39" s="175">
        <v>42</v>
      </c>
      <c r="N39" s="173">
        <f t="shared" si="3"/>
        <v>168</v>
      </c>
      <c r="O39" s="82" t="s">
        <v>1747</v>
      </c>
      <c r="P39" s="82" t="s">
        <v>1748</v>
      </c>
      <c r="Q39" s="173">
        <f t="array" ref="Q39">INDEX($AA$8:$AF$10,MATCH(U39,$Z$8:$Z$10,0),MATCH(T39,$AA$7:$AF$7,0))</f>
        <v>68.599999999999994</v>
      </c>
      <c r="R39" s="171">
        <f t="shared" si="5"/>
        <v>11524.8</v>
      </c>
      <c r="S39" s="171" t="s">
        <v>1913</v>
      </c>
      <c r="T39" s="83" t="s">
        <v>1775</v>
      </c>
      <c r="U39" s="82" t="s">
        <v>1772</v>
      </c>
      <c r="V39" s="82" t="s">
        <v>1787</v>
      </c>
      <c r="W39" s="261" t="s">
        <v>3535</v>
      </c>
      <c r="X39" s="261" t="s">
        <v>3540</v>
      </c>
    </row>
    <row r="40" spans="1:34" ht="15.75" thickBot="1" x14ac:dyDescent="0.3">
      <c r="A40" s="82" t="s">
        <v>45</v>
      </c>
      <c r="B40" s="82" t="str">
        <f t="shared" si="1"/>
        <v>Barraqueiro Transportes, S.A.</v>
      </c>
      <c r="C40" s="82" t="str">
        <f t="shared" si="2"/>
        <v>X</v>
      </c>
      <c r="D40" s="235">
        <v>2022</v>
      </c>
      <c r="E40" s="82" t="s">
        <v>1681</v>
      </c>
      <c r="F40" s="82" t="s">
        <v>1745</v>
      </c>
      <c r="G40" s="82" t="s">
        <v>1746</v>
      </c>
      <c r="H40" s="234" t="s">
        <v>1864</v>
      </c>
      <c r="I40" s="234" t="s">
        <v>3130</v>
      </c>
      <c r="J40" s="83">
        <v>27</v>
      </c>
      <c r="K40" s="82" t="s">
        <v>586</v>
      </c>
      <c r="L40" s="235"/>
      <c r="M40" s="175">
        <v>38.5</v>
      </c>
      <c r="N40" s="173">
        <f t="shared" si="3"/>
        <v>1039.5</v>
      </c>
      <c r="O40" s="82" t="s">
        <v>1747</v>
      </c>
      <c r="P40" s="82" t="s">
        <v>1748</v>
      </c>
      <c r="Q40" s="173">
        <f t="array" ref="Q40">INDEX($AA$8:$AF$10,MATCH(U40,$Z$8:$Z$10,0),MATCH(T40,$AA$7:$AF$7,0))</f>
        <v>68.599999999999994</v>
      </c>
      <c r="R40" s="171">
        <f t="shared" si="5"/>
        <v>71309.7</v>
      </c>
      <c r="S40" s="171" t="s">
        <v>1913</v>
      </c>
      <c r="T40" s="83" t="s">
        <v>1775</v>
      </c>
      <c r="U40" s="82" t="s">
        <v>1772</v>
      </c>
      <c r="V40" s="82" t="s">
        <v>1782</v>
      </c>
      <c r="W40" s="261" t="s">
        <v>3535</v>
      </c>
      <c r="X40" s="261" t="s">
        <v>3540</v>
      </c>
    </row>
    <row r="41" spans="1:34" ht="15.75" thickBot="1" x14ac:dyDescent="0.3">
      <c r="A41" s="82" t="s">
        <v>45</v>
      </c>
      <c r="B41" s="82" t="str">
        <f t="shared" si="1"/>
        <v>Barraqueiro Transportes, S.A.</v>
      </c>
      <c r="C41" s="82" t="str">
        <f t="shared" si="2"/>
        <v>X</v>
      </c>
      <c r="D41" s="235">
        <v>2022</v>
      </c>
      <c r="E41" s="82" t="s">
        <v>1681</v>
      </c>
      <c r="F41" s="82" t="s">
        <v>1745</v>
      </c>
      <c r="G41" s="82" t="s">
        <v>1746</v>
      </c>
      <c r="H41" s="234" t="s">
        <v>1864</v>
      </c>
      <c r="I41" s="234" t="s">
        <v>3130</v>
      </c>
      <c r="J41" s="83">
        <v>2</v>
      </c>
      <c r="K41" s="82" t="s">
        <v>586</v>
      </c>
      <c r="L41" s="235"/>
      <c r="M41" s="175">
        <v>48</v>
      </c>
      <c r="N41" s="173">
        <f t="shared" si="3"/>
        <v>96</v>
      </c>
      <c r="O41" s="82" t="s">
        <v>1747</v>
      </c>
      <c r="P41" s="82" t="s">
        <v>1748</v>
      </c>
      <c r="Q41" s="173">
        <f t="array" ref="Q41">INDEX($AA$8:$AF$10,MATCH(U41,$Z$8:$Z$10,0),MATCH(T41,$AA$7:$AF$7,0))</f>
        <v>68.599999999999994</v>
      </c>
      <c r="R41" s="171">
        <f t="shared" si="5"/>
        <v>6585.5999999999995</v>
      </c>
      <c r="S41" s="171" t="s">
        <v>1913</v>
      </c>
      <c r="T41" s="83" t="s">
        <v>1775</v>
      </c>
      <c r="U41" s="82" t="s">
        <v>1772</v>
      </c>
      <c r="V41" s="82" t="s">
        <v>1788</v>
      </c>
      <c r="W41" s="261" t="s">
        <v>3535</v>
      </c>
      <c r="X41" s="261" t="s">
        <v>3540</v>
      </c>
    </row>
    <row r="42" spans="1:34" ht="15.75" thickBot="1" x14ac:dyDescent="0.3">
      <c r="A42" s="82" t="s">
        <v>45</v>
      </c>
      <c r="B42" s="82" t="str">
        <f t="shared" si="1"/>
        <v>Barraqueiro Transportes, S.A.</v>
      </c>
      <c r="C42" s="82" t="str">
        <f t="shared" si="2"/>
        <v>X</v>
      </c>
      <c r="D42" s="235">
        <v>2022</v>
      </c>
      <c r="E42" s="82" t="s">
        <v>1681</v>
      </c>
      <c r="F42" s="82" t="s">
        <v>1745</v>
      </c>
      <c r="G42" s="82" t="s">
        <v>1746</v>
      </c>
      <c r="H42" s="234" t="s">
        <v>1864</v>
      </c>
      <c r="I42" s="234" t="s">
        <v>3130</v>
      </c>
      <c r="J42" s="83">
        <v>427</v>
      </c>
      <c r="K42" s="82" t="s">
        <v>586</v>
      </c>
      <c r="L42" s="235"/>
      <c r="M42" s="175">
        <v>63.5</v>
      </c>
      <c r="N42" s="173">
        <f t="shared" si="3"/>
        <v>27114.5</v>
      </c>
      <c r="O42" s="82" t="s">
        <v>1747</v>
      </c>
      <c r="P42" s="82" t="s">
        <v>1748</v>
      </c>
      <c r="Q42" s="173">
        <f t="array" ref="Q42">INDEX($AA$8:$AF$10,MATCH(U42,$Z$8:$Z$10,0),MATCH(T42,$AA$7:$AF$7,0))</f>
        <v>68.599999999999994</v>
      </c>
      <c r="R42" s="171">
        <f t="shared" si="5"/>
        <v>1860054.7</v>
      </c>
      <c r="S42" s="171" t="s">
        <v>1913</v>
      </c>
      <c r="T42" s="83" t="s">
        <v>1775</v>
      </c>
      <c r="U42" s="82" t="s">
        <v>1772</v>
      </c>
      <c r="V42" s="82" t="s">
        <v>1783</v>
      </c>
      <c r="W42" s="261" t="s">
        <v>3535</v>
      </c>
      <c r="X42" s="261" t="s">
        <v>3540</v>
      </c>
    </row>
    <row r="43" spans="1:34" ht="15.75" thickBot="1" x14ac:dyDescent="0.3">
      <c r="A43" s="82" t="s">
        <v>45</v>
      </c>
      <c r="B43" s="82" t="str">
        <f t="shared" si="1"/>
        <v>Barraqueiro Transportes, S.A.</v>
      </c>
      <c r="C43" s="82" t="str">
        <f t="shared" si="2"/>
        <v>X</v>
      </c>
      <c r="D43" s="235">
        <v>2022</v>
      </c>
      <c r="E43" s="82" t="s">
        <v>1681</v>
      </c>
      <c r="F43" s="82" t="s">
        <v>1745</v>
      </c>
      <c r="G43" s="82" t="s">
        <v>1746</v>
      </c>
      <c r="H43" s="234" t="s">
        <v>1864</v>
      </c>
      <c r="I43" s="234" t="s">
        <v>3130</v>
      </c>
      <c r="J43" s="83">
        <v>2</v>
      </c>
      <c r="K43" s="82" t="s">
        <v>586</v>
      </c>
      <c r="L43" s="235"/>
      <c r="M43" s="175">
        <v>12.5</v>
      </c>
      <c r="N43" s="173">
        <f t="shared" si="3"/>
        <v>25</v>
      </c>
      <c r="O43" s="82" t="s">
        <v>1747</v>
      </c>
      <c r="P43" s="82" t="s">
        <v>1748</v>
      </c>
      <c r="Q43" s="173">
        <f t="array" ref="Q43">INDEX($AA$8:$AF$10,MATCH(U43,$Z$8:$Z$10,0),MATCH(T43,$AA$7:$AF$7,0))</f>
        <v>29.9</v>
      </c>
      <c r="R43" s="171">
        <f t="shared" si="5"/>
        <v>747.5</v>
      </c>
      <c r="S43" s="171" t="s">
        <v>1913</v>
      </c>
      <c r="T43" s="83" t="s">
        <v>1776</v>
      </c>
      <c r="U43" s="82" t="s">
        <v>1772</v>
      </c>
      <c r="V43" s="82" t="s">
        <v>1789</v>
      </c>
      <c r="W43" s="261" t="s">
        <v>3535</v>
      </c>
      <c r="X43" s="261" t="s">
        <v>3540</v>
      </c>
    </row>
    <row r="44" spans="1:34" ht="15.75" thickBot="1" x14ac:dyDescent="0.3">
      <c r="A44" s="82" t="s">
        <v>45</v>
      </c>
      <c r="B44" s="82" t="str">
        <f t="shared" si="1"/>
        <v>Barraqueiro Transportes, S.A.</v>
      </c>
      <c r="C44" s="82" t="str">
        <f t="shared" si="2"/>
        <v>X</v>
      </c>
      <c r="D44" s="235">
        <v>2022</v>
      </c>
      <c r="E44" s="82" t="s">
        <v>1681</v>
      </c>
      <c r="F44" s="82" t="s">
        <v>1745</v>
      </c>
      <c r="G44" s="82" t="s">
        <v>1746</v>
      </c>
      <c r="H44" s="234" t="s">
        <v>1864</v>
      </c>
      <c r="I44" s="234" t="s">
        <v>3130</v>
      </c>
      <c r="J44" s="83">
        <v>16</v>
      </c>
      <c r="K44" s="82" t="s">
        <v>586</v>
      </c>
      <c r="L44" s="235"/>
      <c r="M44" s="175">
        <v>14</v>
      </c>
      <c r="N44" s="173">
        <f t="shared" si="3"/>
        <v>224</v>
      </c>
      <c r="O44" s="82" t="s">
        <v>1747</v>
      </c>
      <c r="P44" s="82" t="s">
        <v>1748</v>
      </c>
      <c r="Q44" s="173">
        <f t="array" ref="Q44">INDEX($AA$8:$AF$10,MATCH(U44,$Z$8:$Z$10,0),MATCH(T44,$AA$7:$AF$7,0))</f>
        <v>29.9</v>
      </c>
      <c r="R44" s="171">
        <f t="shared" si="5"/>
        <v>6697.5999999999995</v>
      </c>
      <c r="S44" s="171" t="s">
        <v>1913</v>
      </c>
      <c r="T44" s="83" t="s">
        <v>1776</v>
      </c>
      <c r="U44" s="82" t="s">
        <v>1772</v>
      </c>
      <c r="V44" s="82" t="s">
        <v>1785</v>
      </c>
      <c r="W44" s="261" t="s">
        <v>3535</v>
      </c>
      <c r="X44" s="261" t="s">
        <v>3540</v>
      </c>
    </row>
    <row r="45" spans="1:34" ht="15.75" thickBot="1" x14ac:dyDescent="0.3">
      <c r="A45" s="82" t="s">
        <v>45</v>
      </c>
      <c r="B45" s="82" t="str">
        <f t="shared" si="1"/>
        <v>Barraqueiro Transportes, S.A.</v>
      </c>
      <c r="C45" s="82" t="str">
        <f t="shared" si="2"/>
        <v>X</v>
      </c>
      <c r="D45" s="235">
        <v>2022</v>
      </c>
      <c r="E45" s="82" t="s">
        <v>1681</v>
      </c>
      <c r="F45" s="82" t="s">
        <v>1745</v>
      </c>
      <c r="G45" s="82" t="s">
        <v>1746</v>
      </c>
      <c r="H45" s="234" t="s">
        <v>1864</v>
      </c>
      <c r="I45" s="234" t="s">
        <v>3130</v>
      </c>
      <c r="J45" s="83">
        <v>10</v>
      </c>
      <c r="K45" s="82" t="s">
        <v>586</v>
      </c>
      <c r="L45" s="235"/>
      <c r="M45" s="175">
        <v>16</v>
      </c>
      <c r="N45" s="173">
        <f t="shared" si="3"/>
        <v>160</v>
      </c>
      <c r="O45" s="82" t="s">
        <v>1747</v>
      </c>
      <c r="P45" s="82" t="s">
        <v>1748</v>
      </c>
      <c r="Q45" s="173">
        <f t="array" ref="Q45">INDEX($AA$8:$AF$10,MATCH(U45,$Z$8:$Z$10,0),MATCH(T45,$AA$7:$AF$7,0))</f>
        <v>29.9</v>
      </c>
      <c r="R45" s="171">
        <f t="shared" si="5"/>
        <v>4784</v>
      </c>
      <c r="S45" s="171" t="s">
        <v>1913</v>
      </c>
      <c r="T45" s="83" t="s">
        <v>1776</v>
      </c>
      <c r="U45" s="82" t="s">
        <v>1772</v>
      </c>
      <c r="V45" s="82" t="s">
        <v>1786</v>
      </c>
      <c r="W45" s="261" t="s">
        <v>3535</v>
      </c>
      <c r="X45" s="261" t="s">
        <v>3540</v>
      </c>
    </row>
    <row r="46" spans="1:34" ht="15.75" thickBot="1" x14ac:dyDescent="0.3">
      <c r="A46" s="82" t="s">
        <v>45</v>
      </c>
      <c r="B46" s="82" t="str">
        <f t="shared" si="1"/>
        <v>Barraqueiro Transportes, S.A.</v>
      </c>
      <c r="C46" s="82" t="str">
        <f t="shared" si="2"/>
        <v>X</v>
      </c>
      <c r="D46" s="235">
        <v>2022</v>
      </c>
      <c r="E46" s="82" t="s">
        <v>1681</v>
      </c>
      <c r="F46" s="82" t="s">
        <v>1745</v>
      </c>
      <c r="G46" s="82" t="s">
        <v>1746</v>
      </c>
      <c r="H46" s="234" t="s">
        <v>1864</v>
      </c>
      <c r="I46" s="234" t="s">
        <v>3130</v>
      </c>
      <c r="J46" s="83">
        <v>16</v>
      </c>
      <c r="K46" s="82" t="s">
        <v>586</v>
      </c>
      <c r="L46" s="235"/>
      <c r="M46" s="175">
        <v>38.5</v>
      </c>
      <c r="N46" s="173">
        <f t="shared" si="3"/>
        <v>616</v>
      </c>
      <c r="O46" s="82" t="s">
        <v>1747</v>
      </c>
      <c r="P46" s="82" t="s">
        <v>1748</v>
      </c>
      <c r="Q46" s="173">
        <f t="array" ref="Q46">INDEX($AA$8:$AF$10,MATCH(U46,$Z$8:$Z$10,0),MATCH(T46,$AA$7:$AF$7,0))</f>
        <v>29.9</v>
      </c>
      <c r="R46" s="171">
        <f t="shared" si="5"/>
        <v>18418.399999999998</v>
      </c>
      <c r="S46" s="171" t="s">
        <v>1913</v>
      </c>
      <c r="T46" s="83" t="s">
        <v>1776</v>
      </c>
      <c r="U46" s="82" t="s">
        <v>1772</v>
      </c>
      <c r="V46" s="82" t="s">
        <v>1782</v>
      </c>
      <c r="W46" s="261" t="s">
        <v>3535</v>
      </c>
      <c r="X46" s="261" t="s">
        <v>3540</v>
      </c>
    </row>
    <row r="47" spans="1:34" ht="15.75" thickBot="1" x14ac:dyDescent="0.3">
      <c r="A47" s="82" t="s">
        <v>45</v>
      </c>
      <c r="B47" s="82" t="str">
        <f t="shared" si="1"/>
        <v>Barraqueiro Transportes, S.A.</v>
      </c>
      <c r="C47" s="82" t="str">
        <f t="shared" si="2"/>
        <v>X</v>
      </c>
      <c r="D47" s="235">
        <v>2022</v>
      </c>
      <c r="E47" s="82" t="s">
        <v>1681</v>
      </c>
      <c r="F47" s="82" t="s">
        <v>1745</v>
      </c>
      <c r="G47" s="82" t="s">
        <v>1746</v>
      </c>
      <c r="H47" s="234" t="s">
        <v>1864</v>
      </c>
      <c r="I47" s="234" t="s">
        <v>3130</v>
      </c>
      <c r="J47" s="83">
        <v>8</v>
      </c>
      <c r="K47" s="82" t="s">
        <v>586</v>
      </c>
      <c r="L47" s="235"/>
      <c r="M47" s="175">
        <v>48</v>
      </c>
      <c r="N47" s="173">
        <f t="shared" si="3"/>
        <v>384</v>
      </c>
      <c r="O47" s="82" t="s">
        <v>1747</v>
      </c>
      <c r="P47" s="82" t="s">
        <v>1748</v>
      </c>
      <c r="Q47" s="173">
        <f t="array" ref="Q47">INDEX($AA$8:$AF$10,MATCH(U47,$Z$8:$Z$10,0),MATCH(T47,$AA$7:$AF$7,0))</f>
        <v>29.9</v>
      </c>
      <c r="R47" s="171">
        <f t="shared" si="5"/>
        <v>11481.599999999999</v>
      </c>
      <c r="S47" s="171" t="s">
        <v>1913</v>
      </c>
      <c r="T47" s="83" t="s">
        <v>1776</v>
      </c>
      <c r="U47" s="82" t="s">
        <v>1772</v>
      </c>
      <c r="V47" s="82" t="s">
        <v>1790</v>
      </c>
      <c r="W47" s="261" t="s">
        <v>3535</v>
      </c>
      <c r="X47" s="261" t="s">
        <v>3540</v>
      </c>
    </row>
    <row r="48" spans="1:34" ht="15.75" thickBot="1" x14ac:dyDescent="0.3">
      <c r="A48" s="82" t="s">
        <v>45</v>
      </c>
      <c r="B48" s="82" t="str">
        <f t="shared" si="1"/>
        <v>Barraqueiro Transportes, S.A.</v>
      </c>
      <c r="C48" s="82" t="str">
        <f t="shared" si="2"/>
        <v>X</v>
      </c>
      <c r="D48" s="235">
        <v>2022</v>
      </c>
      <c r="E48" s="82" t="s">
        <v>1681</v>
      </c>
      <c r="F48" s="82" t="s">
        <v>1745</v>
      </c>
      <c r="G48" s="82" t="s">
        <v>1746</v>
      </c>
      <c r="H48" s="234" t="s">
        <v>1864</v>
      </c>
      <c r="I48" s="234" t="s">
        <v>3130</v>
      </c>
      <c r="J48" s="83">
        <v>534</v>
      </c>
      <c r="K48" s="82" t="s">
        <v>586</v>
      </c>
      <c r="L48" s="235"/>
      <c r="M48" s="175">
        <v>63.5</v>
      </c>
      <c r="N48" s="173">
        <f t="shared" si="3"/>
        <v>33909</v>
      </c>
      <c r="O48" s="82" t="s">
        <v>1747</v>
      </c>
      <c r="P48" s="82" t="s">
        <v>1748</v>
      </c>
      <c r="Q48" s="173">
        <f t="array" ref="Q48">INDEX($AA$8:$AF$10,MATCH(U48,$Z$8:$Z$10,0),MATCH(T48,$AA$7:$AF$7,0))</f>
        <v>29.9</v>
      </c>
      <c r="R48" s="171">
        <f t="shared" si="5"/>
        <v>1013879.1</v>
      </c>
      <c r="S48" s="171" t="s">
        <v>1913</v>
      </c>
      <c r="T48" s="83" t="s">
        <v>1776</v>
      </c>
      <c r="U48" s="82" t="s">
        <v>1772</v>
      </c>
      <c r="V48" s="82" t="s">
        <v>1783</v>
      </c>
      <c r="W48" s="261" t="s">
        <v>3535</v>
      </c>
      <c r="X48" s="261" t="s">
        <v>3540</v>
      </c>
    </row>
    <row r="49" spans="1:24" ht="15.75" thickBot="1" x14ac:dyDescent="0.3">
      <c r="A49" s="82" t="s">
        <v>45</v>
      </c>
      <c r="B49" s="82" t="str">
        <f t="shared" si="1"/>
        <v>Barraqueiro Transportes, S.A.</v>
      </c>
      <c r="C49" s="82" t="str">
        <f t="shared" si="2"/>
        <v>X</v>
      </c>
      <c r="D49" s="235">
        <v>2022</v>
      </c>
      <c r="E49" s="82" t="s">
        <v>1681</v>
      </c>
      <c r="F49" s="82" t="s">
        <v>1745</v>
      </c>
      <c r="G49" s="82" t="s">
        <v>1746</v>
      </c>
      <c r="H49" s="234" t="s">
        <v>1864</v>
      </c>
      <c r="I49" s="234" t="s">
        <v>3130</v>
      </c>
      <c r="J49" s="83">
        <v>2</v>
      </c>
      <c r="K49" s="82" t="s">
        <v>586</v>
      </c>
      <c r="L49" s="235"/>
      <c r="M49" s="175">
        <v>12.5</v>
      </c>
      <c r="N49" s="173">
        <f t="shared" si="3"/>
        <v>25</v>
      </c>
      <c r="O49" s="82" t="s">
        <v>1747</v>
      </c>
      <c r="P49" s="82" t="s">
        <v>1748</v>
      </c>
      <c r="Q49" s="173">
        <f t="array" ref="Q49">INDEX($AA$8:$AF$10,MATCH(U49,$Z$8:$Z$10,0),MATCH(T49,$AA$7:$AF$7,0))</f>
        <v>47.6</v>
      </c>
      <c r="R49" s="171">
        <f t="shared" si="5"/>
        <v>1190</v>
      </c>
      <c r="S49" s="171" t="s">
        <v>1913</v>
      </c>
      <c r="T49" s="83" t="s">
        <v>1777</v>
      </c>
      <c r="U49" s="82" t="s">
        <v>1772</v>
      </c>
      <c r="V49" s="82" t="s">
        <v>1789</v>
      </c>
      <c r="W49" s="261" t="s">
        <v>3535</v>
      </c>
      <c r="X49" s="261" t="s">
        <v>3540</v>
      </c>
    </row>
    <row r="50" spans="1:24" ht="15.75" thickBot="1" x14ac:dyDescent="0.3">
      <c r="A50" s="82" t="s">
        <v>45</v>
      </c>
      <c r="B50" s="82" t="str">
        <f t="shared" si="1"/>
        <v>Barraqueiro Transportes, S.A.</v>
      </c>
      <c r="C50" s="82" t="str">
        <f t="shared" si="2"/>
        <v>X</v>
      </c>
      <c r="D50" s="235">
        <v>2022</v>
      </c>
      <c r="E50" s="82" t="s">
        <v>1681</v>
      </c>
      <c r="F50" s="82" t="s">
        <v>1745</v>
      </c>
      <c r="G50" s="82" t="s">
        <v>1746</v>
      </c>
      <c r="H50" s="234" t="s">
        <v>1864</v>
      </c>
      <c r="I50" s="234" t="s">
        <v>3130</v>
      </c>
      <c r="J50" s="83">
        <v>16</v>
      </c>
      <c r="K50" s="82" t="s">
        <v>586</v>
      </c>
      <c r="L50" s="235"/>
      <c r="M50" s="175">
        <v>16</v>
      </c>
      <c r="N50" s="173">
        <f t="shared" si="3"/>
        <v>256</v>
      </c>
      <c r="O50" s="82" t="s">
        <v>1747</v>
      </c>
      <c r="P50" s="82" t="s">
        <v>1748</v>
      </c>
      <c r="Q50" s="173">
        <f t="array" ref="Q50">INDEX($AA$8:$AF$10,MATCH(U50,$Z$8:$Z$10,0),MATCH(T50,$AA$7:$AF$7,0))</f>
        <v>47.6</v>
      </c>
      <c r="R50" s="171">
        <f t="shared" si="5"/>
        <v>12185.6</v>
      </c>
      <c r="S50" s="171" t="s">
        <v>1913</v>
      </c>
      <c r="T50" s="83" t="s">
        <v>1777</v>
      </c>
      <c r="U50" s="82" t="s">
        <v>1772</v>
      </c>
      <c r="V50" s="82" t="s">
        <v>1786</v>
      </c>
      <c r="W50" s="261" t="s">
        <v>3535</v>
      </c>
      <c r="X50" s="261" t="s">
        <v>3540</v>
      </c>
    </row>
    <row r="51" spans="1:24" ht="15.75" thickBot="1" x14ac:dyDescent="0.3">
      <c r="A51" s="82" t="s">
        <v>45</v>
      </c>
      <c r="B51" s="82" t="str">
        <f t="shared" si="1"/>
        <v>Barraqueiro Transportes, S.A.</v>
      </c>
      <c r="C51" s="82" t="str">
        <f t="shared" si="2"/>
        <v>X</v>
      </c>
      <c r="D51" s="235">
        <v>2022</v>
      </c>
      <c r="E51" s="82" t="s">
        <v>1681</v>
      </c>
      <c r="F51" s="82" t="s">
        <v>1745</v>
      </c>
      <c r="G51" s="82" t="s">
        <v>1746</v>
      </c>
      <c r="H51" s="234" t="s">
        <v>1864</v>
      </c>
      <c r="I51" s="234" t="s">
        <v>3130</v>
      </c>
      <c r="J51" s="83">
        <v>8</v>
      </c>
      <c r="K51" s="82" t="s">
        <v>586</v>
      </c>
      <c r="L51" s="235"/>
      <c r="M51" s="175">
        <v>48</v>
      </c>
      <c r="N51" s="173">
        <f t="shared" si="3"/>
        <v>384</v>
      </c>
      <c r="O51" s="82" t="s">
        <v>1747</v>
      </c>
      <c r="P51" s="82" t="s">
        <v>1748</v>
      </c>
      <c r="Q51" s="173">
        <f t="array" ref="Q51">INDEX($AA$8:$AF$10,MATCH(U51,$Z$8:$Z$10,0),MATCH(T51,$AA$7:$AF$7,0))</f>
        <v>47.6</v>
      </c>
      <c r="R51" s="171">
        <f t="shared" si="5"/>
        <v>18278.400000000001</v>
      </c>
      <c r="S51" s="171" t="s">
        <v>1913</v>
      </c>
      <c r="T51" s="83" t="s">
        <v>1777</v>
      </c>
      <c r="U51" s="82" t="s">
        <v>1772</v>
      </c>
      <c r="V51" s="82" t="s">
        <v>1788</v>
      </c>
      <c r="W51" s="261" t="s">
        <v>3535</v>
      </c>
      <c r="X51" s="261" t="s">
        <v>3540</v>
      </c>
    </row>
    <row r="52" spans="1:24" ht="15.75" thickBot="1" x14ac:dyDescent="0.3">
      <c r="A52" s="82" t="s">
        <v>45</v>
      </c>
      <c r="B52" s="82" t="str">
        <f t="shared" si="1"/>
        <v>Barraqueiro Transportes, S.A.</v>
      </c>
      <c r="C52" s="82" t="str">
        <f t="shared" si="2"/>
        <v>X</v>
      </c>
      <c r="D52" s="235">
        <v>2022</v>
      </c>
      <c r="E52" s="82" t="s">
        <v>1681</v>
      </c>
      <c r="F52" s="82" t="s">
        <v>1745</v>
      </c>
      <c r="G52" s="82" t="s">
        <v>1746</v>
      </c>
      <c r="H52" s="234" t="s">
        <v>1864</v>
      </c>
      <c r="I52" s="234" t="s">
        <v>3130</v>
      </c>
      <c r="J52" s="83">
        <v>69</v>
      </c>
      <c r="K52" s="82" t="s">
        <v>586</v>
      </c>
      <c r="L52" s="235"/>
      <c r="M52" s="175">
        <v>63.5</v>
      </c>
      <c r="N52" s="173">
        <f t="shared" si="3"/>
        <v>4381.5</v>
      </c>
      <c r="O52" s="82" t="s">
        <v>1747</v>
      </c>
      <c r="P52" s="82" t="s">
        <v>1748</v>
      </c>
      <c r="Q52" s="173">
        <f t="array" ref="Q52">INDEX($AA$8:$AF$10,MATCH(U52,$Z$8:$Z$10,0),MATCH(T52,$AA$7:$AF$7,0))</f>
        <v>47.6</v>
      </c>
      <c r="R52" s="171">
        <f t="shared" si="5"/>
        <v>208559.4</v>
      </c>
      <c r="S52" s="171" t="s">
        <v>1913</v>
      </c>
      <c r="T52" s="83" t="s">
        <v>1777</v>
      </c>
      <c r="U52" s="82" t="s">
        <v>1772</v>
      </c>
      <c r="V52" s="82" t="s">
        <v>1783</v>
      </c>
      <c r="W52" s="261" t="s">
        <v>3535</v>
      </c>
      <c r="X52" s="261" t="s">
        <v>3540</v>
      </c>
    </row>
    <row r="53" spans="1:24" ht="15.75" thickBot="1" x14ac:dyDescent="0.3">
      <c r="A53" s="82" t="s">
        <v>45</v>
      </c>
      <c r="B53" s="82" t="str">
        <f t="shared" si="1"/>
        <v>Barraqueiro Transportes, S.A.</v>
      </c>
      <c r="C53" s="82" t="str">
        <f t="shared" si="2"/>
        <v>X</v>
      </c>
      <c r="D53" s="235">
        <v>2022</v>
      </c>
      <c r="E53" s="82" t="s">
        <v>1681</v>
      </c>
      <c r="F53" s="82" t="s">
        <v>1745</v>
      </c>
      <c r="G53" s="82" t="s">
        <v>1746</v>
      </c>
      <c r="H53" s="234" t="s">
        <v>1864</v>
      </c>
      <c r="I53" s="234" t="s">
        <v>3130</v>
      </c>
      <c r="J53" s="83">
        <v>2</v>
      </c>
      <c r="K53" s="82" t="s">
        <v>586</v>
      </c>
      <c r="L53" s="235"/>
      <c r="M53" s="175">
        <v>14</v>
      </c>
      <c r="N53" s="173">
        <f t="shared" si="3"/>
        <v>28</v>
      </c>
      <c r="O53" s="82" t="s">
        <v>1747</v>
      </c>
      <c r="P53" s="82" t="s">
        <v>1748</v>
      </c>
      <c r="Q53" s="173">
        <f t="array" ref="Q53">INDEX($AA$8:$AF$10,MATCH(U53,$Z$8:$Z$10,0),MATCH(T53,$AA$7:$AF$7,0))</f>
        <v>103</v>
      </c>
      <c r="R53" s="171">
        <f t="shared" si="5"/>
        <v>2884</v>
      </c>
      <c r="S53" s="171" t="s">
        <v>1913</v>
      </c>
      <c r="T53" s="83" t="s">
        <v>1778</v>
      </c>
      <c r="U53" s="82" t="s">
        <v>1772</v>
      </c>
      <c r="V53" s="82" t="s">
        <v>1785</v>
      </c>
      <c r="W53" s="261" t="s">
        <v>3535</v>
      </c>
      <c r="X53" s="261" t="s">
        <v>3540</v>
      </c>
    </row>
    <row r="54" spans="1:24" ht="15.75" thickBot="1" x14ac:dyDescent="0.3">
      <c r="A54" s="82" t="s">
        <v>45</v>
      </c>
      <c r="B54" s="82" t="str">
        <f t="shared" si="1"/>
        <v>Barraqueiro Transportes, S.A.</v>
      </c>
      <c r="C54" s="82" t="str">
        <f t="shared" si="2"/>
        <v>X</v>
      </c>
      <c r="D54" s="235">
        <v>2022</v>
      </c>
      <c r="E54" s="82" t="s">
        <v>1681</v>
      </c>
      <c r="F54" s="82" t="s">
        <v>1745</v>
      </c>
      <c r="G54" s="82" t="s">
        <v>1746</v>
      </c>
      <c r="H54" s="234" t="s">
        <v>1864</v>
      </c>
      <c r="I54" s="234" t="s">
        <v>3130</v>
      </c>
      <c r="J54" s="83">
        <v>2</v>
      </c>
      <c r="K54" s="82" t="s">
        <v>586</v>
      </c>
      <c r="L54" s="235"/>
      <c r="M54" s="175">
        <v>42</v>
      </c>
      <c r="N54" s="173">
        <f t="shared" si="3"/>
        <v>84</v>
      </c>
      <c r="O54" s="82" t="s">
        <v>1747</v>
      </c>
      <c r="P54" s="82" t="s">
        <v>1748</v>
      </c>
      <c r="Q54" s="173">
        <f t="array" ref="Q54">INDEX($AA$8:$AF$10,MATCH(U54,$Z$8:$Z$10,0),MATCH(T54,$AA$7:$AF$7,0))</f>
        <v>103</v>
      </c>
      <c r="R54" s="171">
        <f t="shared" si="5"/>
        <v>8652</v>
      </c>
      <c r="S54" s="171" t="s">
        <v>1913</v>
      </c>
      <c r="T54" s="83" t="s">
        <v>1778</v>
      </c>
      <c r="U54" s="82" t="s">
        <v>1772</v>
      </c>
      <c r="V54" s="82" t="s">
        <v>1787</v>
      </c>
      <c r="W54" s="261" t="s">
        <v>3535</v>
      </c>
      <c r="X54" s="261" t="s">
        <v>3540</v>
      </c>
    </row>
    <row r="55" spans="1:24" ht="15.75" thickBot="1" x14ac:dyDescent="0.3">
      <c r="A55" s="82" t="s">
        <v>45</v>
      </c>
      <c r="B55" s="82" t="str">
        <f t="shared" si="1"/>
        <v>Barraqueiro Transportes, S.A.</v>
      </c>
      <c r="C55" s="82" t="str">
        <f t="shared" si="2"/>
        <v>X</v>
      </c>
      <c r="D55" s="235">
        <v>2022</v>
      </c>
      <c r="E55" s="82" t="s">
        <v>1681</v>
      </c>
      <c r="F55" s="82" t="s">
        <v>1745</v>
      </c>
      <c r="G55" s="82" t="s">
        <v>1746</v>
      </c>
      <c r="H55" s="234" t="s">
        <v>1864</v>
      </c>
      <c r="I55" s="234" t="s">
        <v>3130</v>
      </c>
      <c r="J55" s="83">
        <v>8</v>
      </c>
      <c r="K55" s="82" t="s">
        <v>586</v>
      </c>
      <c r="L55" s="235"/>
      <c r="M55" s="175">
        <v>38.5</v>
      </c>
      <c r="N55" s="173">
        <f t="shared" si="3"/>
        <v>308</v>
      </c>
      <c r="O55" s="82" t="s">
        <v>1747</v>
      </c>
      <c r="P55" s="82" t="s">
        <v>1748</v>
      </c>
      <c r="Q55" s="173">
        <f t="array" ref="Q55">INDEX($AA$8:$AF$10,MATCH(U55,$Z$8:$Z$10,0),MATCH(T55,$AA$7:$AF$7,0))</f>
        <v>103</v>
      </c>
      <c r="R55" s="171">
        <f t="shared" si="5"/>
        <v>31724</v>
      </c>
      <c r="S55" s="171" t="s">
        <v>1913</v>
      </c>
      <c r="T55" s="83" t="s">
        <v>1778</v>
      </c>
      <c r="U55" s="82" t="s">
        <v>1772</v>
      </c>
      <c r="V55" s="82" t="s">
        <v>1782</v>
      </c>
      <c r="W55" s="261" t="s">
        <v>3535</v>
      </c>
      <c r="X55" s="261" t="s">
        <v>3540</v>
      </c>
    </row>
    <row r="56" spans="1:24" ht="15.75" thickBot="1" x14ac:dyDescent="0.3">
      <c r="A56" s="82" t="s">
        <v>45</v>
      </c>
      <c r="B56" s="82" t="str">
        <f t="shared" si="1"/>
        <v>Barraqueiro Transportes, S.A.</v>
      </c>
      <c r="C56" s="82" t="str">
        <f t="shared" si="2"/>
        <v>X</v>
      </c>
      <c r="D56" s="235">
        <v>2022</v>
      </c>
      <c r="E56" s="82" t="s">
        <v>1681</v>
      </c>
      <c r="F56" s="82" t="s">
        <v>1745</v>
      </c>
      <c r="G56" s="82" t="s">
        <v>1746</v>
      </c>
      <c r="H56" s="234" t="s">
        <v>1864</v>
      </c>
      <c r="I56" s="234" t="s">
        <v>3130</v>
      </c>
      <c r="J56" s="83">
        <v>7</v>
      </c>
      <c r="K56" s="82" t="s">
        <v>586</v>
      </c>
      <c r="L56" s="235"/>
      <c r="M56" s="175">
        <v>63.5</v>
      </c>
      <c r="N56" s="173">
        <f t="shared" si="3"/>
        <v>444.5</v>
      </c>
      <c r="O56" s="82" t="s">
        <v>1747</v>
      </c>
      <c r="P56" s="82" t="s">
        <v>1748</v>
      </c>
      <c r="Q56" s="173">
        <f t="array" ref="Q56">INDEX($AA$8:$AF$10,MATCH(U56,$Z$8:$Z$10,0),MATCH(T56,$AA$7:$AF$7,0))</f>
        <v>4.5</v>
      </c>
      <c r="R56" s="171">
        <f t="shared" si="5"/>
        <v>2000.25</v>
      </c>
      <c r="S56" s="171" t="s">
        <v>1913</v>
      </c>
      <c r="T56" s="83" t="s">
        <v>1779</v>
      </c>
      <c r="U56" s="82" t="s">
        <v>1772</v>
      </c>
      <c r="V56" s="82" t="s">
        <v>1783</v>
      </c>
      <c r="W56" s="261" t="s">
        <v>3535</v>
      </c>
      <c r="X56" s="261" t="s">
        <v>3540</v>
      </c>
    </row>
    <row r="57" spans="1:24" ht="15.75" thickBot="1" x14ac:dyDescent="0.3">
      <c r="A57" s="82" t="s">
        <v>45</v>
      </c>
      <c r="B57" s="82" t="str">
        <f t="shared" si="1"/>
        <v>Barraqueiro Transportes, S.A.</v>
      </c>
      <c r="C57" s="82" t="str">
        <f t="shared" si="2"/>
        <v>X</v>
      </c>
      <c r="D57" s="235">
        <v>2022</v>
      </c>
      <c r="E57" s="82" t="s">
        <v>1681</v>
      </c>
      <c r="F57" s="82" t="s">
        <v>1745</v>
      </c>
      <c r="G57" s="82" t="s">
        <v>1746</v>
      </c>
      <c r="H57" s="234" t="s">
        <v>1864</v>
      </c>
      <c r="I57" s="234" t="s">
        <v>3130</v>
      </c>
      <c r="J57" s="83">
        <v>8</v>
      </c>
      <c r="K57" s="82" t="s">
        <v>586</v>
      </c>
      <c r="L57" s="235"/>
      <c r="M57" s="175">
        <v>63.5</v>
      </c>
      <c r="N57" s="173">
        <f t="shared" si="3"/>
        <v>508</v>
      </c>
      <c r="O57" s="82" t="s">
        <v>1747</v>
      </c>
      <c r="P57" s="82" t="s">
        <v>1748</v>
      </c>
      <c r="Q57" s="173">
        <f t="array" ref="Q57">INDEX($AA$8:$AF$10,MATCH(U57,$Z$8:$Z$10,0),MATCH(T57,$AA$7:$AF$7,0))</f>
        <v>15.7</v>
      </c>
      <c r="R57" s="171">
        <f t="shared" si="5"/>
        <v>7975.5999999999995</v>
      </c>
      <c r="S57" s="171" t="s">
        <v>1913</v>
      </c>
      <c r="T57" s="83" t="s">
        <v>1777</v>
      </c>
      <c r="U57" s="82" t="s">
        <v>1773</v>
      </c>
      <c r="V57" s="82" t="s">
        <v>1783</v>
      </c>
      <c r="W57" s="261" t="s">
        <v>3535</v>
      </c>
      <c r="X57" s="261" t="s">
        <v>3540</v>
      </c>
    </row>
    <row r="58" spans="1:24" ht="15.75" thickBot="1" x14ac:dyDescent="0.3">
      <c r="A58" s="82" t="s">
        <v>1931</v>
      </c>
      <c r="B58" s="82" t="s">
        <v>1931</v>
      </c>
      <c r="C58" s="82" t="str">
        <f t="shared" si="2"/>
        <v>X</v>
      </c>
      <c r="D58" s="235">
        <v>2022</v>
      </c>
      <c r="E58" s="82" t="s">
        <v>1653</v>
      </c>
      <c r="F58" s="82" t="s">
        <v>1745</v>
      </c>
      <c r="G58" s="82" t="s">
        <v>1746</v>
      </c>
      <c r="H58" s="234" t="s">
        <v>1864</v>
      </c>
      <c r="I58" s="234" t="s">
        <v>3130</v>
      </c>
      <c r="J58" s="82">
        <v>18</v>
      </c>
      <c r="K58" s="82" t="s">
        <v>586</v>
      </c>
      <c r="L58" s="235"/>
      <c r="M58" s="173">
        <v>62</v>
      </c>
      <c r="N58" s="173">
        <v>1116</v>
      </c>
      <c r="O58" s="82" t="s">
        <v>1747</v>
      </c>
      <c r="P58" s="82" t="s">
        <v>2863</v>
      </c>
      <c r="Q58" s="173">
        <v>12.5</v>
      </c>
      <c r="R58" s="171">
        <f>Q58*N58</f>
        <v>13950</v>
      </c>
      <c r="S58" s="171" t="s">
        <v>1913</v>
      </c>
      <c r="T58" s="82" t="s">
        <v>3083</v>
      </c>
      <c r="U58" s="82" t="s">
        <v>2863</v>
      </c>
      <c r="V58" s="82" t="s">
        <v>1759</v>
      </c>
      <c r="W58" s="261" t="s">
        <v>3535</v>
      </c>
      <c r="X58" s="261" t="s">
        <v>3540</v>
      </c>
    </row>
    <row r="59" spans="1:24" ht="15.75" thickBot="1" x14ac:dyDescent="0.3">
      <c r="A59" s="82" t="s">
        <v>1931</v>
      </c>
      <c r="B59" s="82" t="s">
        <v>1931</v>
      </c>
      <c r="C59" s="82" t="str">
        <f t="shared" si="2"/>
        <v>X</v>
      </c>
      <c r="D59" s="235">
        <v>2022</v>
      </c>
      <c r="E59" s="82" t="s">
        <v>1653</v>
      </c>
      <c r="F59" s="82" t="s">
        <v>1745</v>
      </c>
      <c r="G59" s="82" t="s">
        <v>1746</v>
      </c>
      <c r="H59" s="234" t="s">
        <v>1864</v>
      </c>
      <c r="I59" s="234" t="s">
        <v>3130</v>
      </c>
      <c r="J59" s="82">
        <v>2</v>
      </c>
      <c r="K59" s="82" t="s">
        <v>586</v>
      </c>
      <c r="L59" s="235"/>
      <c r="M59" s="173">
        <v>29</v>
      </c>
      <c r="N59" s="173">
        <v>58</v>
      </c>
      <c r="O59" s="82" t="s">
        <v>1747</v>
      </c>
      <c r="P59" s="82" t="s">
        <v>2863</v>
      </c>
      <c r="Q59" s="173">
        <v>5.2</v>
      </c>
      <c r="R59" s="171">
        <f>Q59*N59</f>
        <v>301.60000000000002</v>
      </c>
      <c r="S59" s="171" t="s">
        <v>1913</v>
      </c>
      <c r="T59" s="82" t="s">
        <v>3084</v>
      </c>
      <c r="U59" s="82" t="s">
        <v>2863</v>
      </c>
      <c r="V59" s="82" t="s">
        <v>1757</v>
      </c>
      <c r="W59" s="261" t="s">
        <v>3535</v>
      </c>
      <c r="X59" s="261" t="s">
        <v>3540</v>
      </c>
    </row>
    <row r="60" spans="1:24" ht="15.75" thickBot="1" x14ac:dyDescent="0.3">
      <c r="A60" s="82" t="s">
        <v>1931</v>
      </c>
      <c r="B60" s="82" t="s">
        <v>1931</v>
      </c>
      <c r="C60" s="82" t="str">
        <f t="shared" si="2"/>
        <v>X</v>
      </c>
      <c r="D60" s="235">
        <v>2022</v>
      </c>
      <c r="E60" s="82" t="s">
        <v>1653</v>
      </c>
      <c r="F60" s="82" t="s">
        <v>1745</v>
      </c>
      <c r="G60" s="82" t="s">
        <v>1746</v>
      </c>
      <c r="H60" s="234" t="s">
        <v>1864</v>
      </c>
      <c r="I60" s="234" t="s">
        <v>3130</v>
      </c>
      <c r="J60" s="82">
        <v>2</v>
      </c>
      <c r="K60" s="82" t="s">
        <v>586</v>
      </c>
      <c r="L60" s="235"/>
      <c r="M60" s="173">
        <v>11</v>
      </c>
      <c r="N60" s="173">
        <v>22</v>
      </c>
      <c r="O60" s="82" t="s">
        <v>1747</v>
      </c>
      <c r="P60" s="82" t="s">
        <v>2863</v>
      </c>
      <c r="Q60" s="173">
        <v>8.1</v>
      </c>
      <c r="R60" s="171">
        <f>Q60*N60</f>
        <v>178.2</v>
      </c>
      <c r="S60" s="171" t="s">
        <v>1913</v>
      </c>
      <c r="T60" s="82" t="s">
        <v>3085</v>
      </c>
      <c r="U60" s="82" t="s">
        <v>2863</v>
      </c>
      <c r="V60" s="82" t="s">
        <v>3086</v>
      </c>
      <c r="W60" s="261" t="s">
        <v>3535</v>
      </c>
      <c r="X60" s="261" t="s">
        <v>3540</v>
      </c>
    </row>
    <row r="61" spans="1:24" ht="15.75" thickBot="1" x14ac:dyDescent="0.3">
      <c r="A61" s="82" t="s">
        <v>4693</v>
      </c>
      <c r="B61" s="82" t="s">
        <v>4693</v>
      </c>
      <c r="C61" s="82" t="str">
        <f t="shared" si="2"/>
        <v>X</v>
      </c>
      <c r="D61" s="235">
        <v>2022</v>
      </c>
      <c r="E61" s="82" t="s">
        <v>1681</v>
      </c>
      <c r="F61" s="82" t="s">
        <v>1745</v>
      </c>
      <c r="G61" s="82" t="s">
        <v>1746</v>
      </c>
      <c r="H61" s="234" t="s">
        <v>1864</v>
      </c>
      <c r="I61" s="234" t="s">
        <v>3131</v>
      </c>
      <c r="J61" s="291">
        <v>327</v>
      </c>
      <c r="K61" s="82" t="s">
        <v>586</v>
      </c>
      <c r="L61" s="235"/>
      <c r="M61" s="173">
        <v>50</v>
      </c>
      <c r="N61" s="173">
        <v>16350</v>
      </c>
      <c r="O61" s="82" t="s">
        <v>1747</v>
      </c>
      <c r="P61" s="82" t="s">
        <v>3087</v>
      </c>
      <c r="Q61" s="173">
        <v>17</v>
      </c>
      <c r="R61" s="293">
        <f>Q61*1*52</f>
        <v>884</v>
      </c>
      <c r="S61" s="294" t="s">
        <v>3126</v>
      </c>
      <c r="T61" s="82" t="s">
        <v>3101</v>
      </c>
      <c r="U61" s="82" t="s">
        <v>3102</v>
      </c>
      <c r="V61" s="82" t="s">
        <v>3103</v>
      </c>
      <c r="W61" s="261" t="s">
        <v>3535</v>
      </c>
      <c r="X61" s="261" t="s">
        <v>3540</v>
      </c>
    </row>
    <row r="62" spans="1:24" ht="15.75" thickBot="1" x14ac:dyDescent="0.3">
      <c r="A62" s="82" t="s">
        <v>4693</v>
      </c>
      <c r="B62" s="82" t="s">
        <v>4693</v>
      </c>
      <c r="C62" s="82" t="str">
        <f t="shared" si="2"/>
        <v>X</v>
      </c>
      <c r="D62" s="235">
        <v>2022</v>
      </c>
      <c r="E62" s="82" t="s">
        <v>1681</v>
      </c>
      <c r="F62" s="82" t="s">
        <v>1745</v>
      </c>
      <c r="G62" s="82" t="s">
        <v>1746</v>
      </c>
      <c r="H62" s="234" t="s">
        <v>1864</v>
      </c>
      <c r="I62" s="234" t="s">
        <v>3131</v>
      </c>
      <c r="J62" s="291">
        <v>109</v>
      </c>
      <c r="K62" s="82" t="s">
        <v>586</v>
      </c>
      <c r="L62" s="235"/>
      <c r="M62" s="173">
        <v>50</v>
      </c>
      <c r="N62" s="173">
        <v>5450</v>
      </c>
      <c r="O62" s="82" t="s">
        <v>1747</v>
      </c>
      <c r="P62" s="82" t="s">
        <v>3088</v>
      </c>
      <c r="Q62" s="173">
        <v>325</v>
      </c>
      <c r="R62" s="293">
        <f>Q62*1*52</f>
        <v>16900</v>
      </c>
      <c r="S62" s="294" t="s">
        <v>3126</v>
      </c>
      <c r="T62" s="82" t="s">
        <v>3104</v>
      </c>
      <c r="U62" s="82" t="s">
        <v>3102</v>
      </c>
      <c r="V62" s="82" t="s">
        <v>3103</v>
      </c>
      <c r="W62" s="261" t="s">
        <v>3535</v>
      </c>
      <c r="X62" s="261" t="s">
        <v>3540</v>
      </c>
    </row>
    <row r="63" spans="1:24" ht="15.75" thickBot="1" x14ac:dyDescent="0.3">
      <c r="A63" s="82" t="s">
        <v>4693</v>
      </c>
      <c r="B63" s="82" t="s">
        <v>4693</v>
      </c>
      <c r="C63" s="82" t="str">
        <f t="shared" si="2"/>
        <v>X</v>
      </c>
      <c r="D63" s="235">
        <v>2022</v>
      </c>
      <c r="E63" s="82" t="s">
        <v>1681</v>
      </c>
      <c r="F63" s="82" t="s">
        <v>1745</v>
      </c>
      <c r="G63" s="82" t="s">
        <v>1746</v>
      </c>
      <c r="H63" s="234" t="s">
        <v>1864</v>
      </c>
      <c r="I63" s="234" t="s">
        <v>3131</v>
      </c>
      <c r="J63" s="291">
        <v>653</v>
      </c>
      <c r="K63" s="82" t="s">
        <v>586</v>
      </c>
      <c r="L63" s="235"/>
      <c r="M63" s="173">
        <v>50</v>
      </c>
      <c r="N63" s="173">
        <v>32650</v>
      </c>
      <c r="O63" s="82" t="s">
        <v>1747</v>
      </c>
      <c r="P63" s="82" t="s">
        <v>3089</v>
      </c>
      <c r="Q63" s="173">
        <v>34.5</v>
      </c>
      <c r="R63" s="251">
        <f>Q63*2*12</f>
        <v>828</v>
      </c>
      <c r="S63" s="294" t="s">
        <v>3126</v>
      </c>
      <c r="T63" s="82" t="s">
        <v>3105</v>
      </c>
      <c r="U63" s="82" t="s">
        <v>3102</v>
      </c>
      <c r="V63" s="82" t="s">
        <v>3106</v>
      </c>
      <c r="W63" s="261" t="s">
        <v>3535</v>
      </c>
      <c r="X63" s="261" t="s">
        <v>3540</v>
      </c>
    </row>
    <row r="64" spans="1:24" ht="15.75" thickBot="1" x14ac:dyDescent="0.3">
      <c r="A64" s="82" t="s">
        <v>4693</v>
      </c>
      <c r="B64" s="82" t="s">
        <v>4693</v>
      </c>
      <c r="C64" s="82" t="str">
        <f t="shared" si="2"/>
        <v>X</v>
      </c>
      <c r="D64" s="235">
        <v>2022</v>
      </c>
      <c r="E64" s="82" t="s">
        <v>1681</v>
      </c>
      <c r="F64" s="82" t="s">
        <v>1745</v>
      </c>
      <c r="G64" s="82" t="s">
        <v>1746</v>
      </c>
      <c r="H64" s="234" t="s">
        <v>1864</v>
      </c>
      <c r="I64" s="234" t="s">
        <v>3130</v>
      </c>
      <c r="J64" s="291">
        <v>24</v>
      </c>
      <c r="K64" s="82" t="s">
        <v>586</v>
      </c>
      <c r="L64" s="235"/>
      <c r="M64" s="173">
        <v>14</v>
      </c>
      <c r="N64" s="173">
        <v>336</v>
      </c>
      <c r="O64" s="82" t="s">
        <v>1747</v>
      </c>
      <c r="P64" s="82" t="s">
        <v>3090</v>
      </c>
      <c r="Q64" s="173">
        <v>5.8</v>
      </c>
      <c r="R64" s="251">
        <f>Q64*N64</f>
        <v>1948.8</v>
      </c>
      <c r="S64" s="171" t="s">
        <v>1913</v>
      </c>
      <c r="T64" s="82" t="s">
        <v>3107</v>
      </c>
      <c r="U64" s="82" t="s">
        <v>3102</v>
      </c>
      <c r="V64" s="82"/>
      <c r="W64" s="261" t="s">
        <v>3535</v>
      </c>
      <c r="X64" s="261" t="s">
        <v>3540</v>
      </c>
    </row>
    <row r="65" spans="1:24" ht="15.75" thickBot="1" x14ac:dyDescent="0.3">
      <c r="A65" s="82" t="s">
        <v>4693</v>
      </c>
      <c r="B65" s="82" t="s">
        <v>4693</v>
      </c>
      <c r="C65" s="82" t="str">
        <f t="shared" si="2"/>
        <v>X</v>
      </c>
      <c r="D65" s="235">
        <v>2022</v>
      </c>
      <c r="E65" s="82" t="s">
        <v>1681</v>
      </c>
      <c r="F65" s="82" t="s">
        <v>1745</v>
      </c>
      <c r="G65" s="82" t="s">
        <v>1746</v>
      </c>
      <c r="H65" s="234" t="s">
        <v>1864</v>
      </c>
      <c r="I65" s="234" t="s">
        <v>3130</v>
      </c>
      <c r="J65" s="291">
        <v>272</v>
      </c>
      <c r="K65" s="82" t="s">
        <v>586</v>
      </c>
      <c r="L65" s="235"/>
      <c r="M65" s="173">
        <v>50</v>
      </c>
      <c r="N65" s="173">
        <v>13600</v>
      </c>
      <c r="O65" s="82" t="s">
        <v>1747</v>
      </c>
      <c r="P65" s="82" t="s">
        <v>3091</v>
      </c>
      <c r="Q65" s="173">
        <v>50.6</v>
      </c>
      <c r="R65" s="251">
        <f>Q65*N65</f>
        <v>688160</v>
      </c>
      <c r="S65" s="171" t="s">
        <v>1913</v>
      </c>
      <c r="T65" s="82" t="s">
        <v>3108</v>
      </c>
      <c r="U65" s="82" t="s">
        <v>3102</v>
      </c>
      <c r="V65" s="82"/>
      <c r="W65" s="261" t="s">
        <v>3535</v>
      </c>
      <c r="X65" s="261" t="s">
        <v>3540</v>
      </c>
    </row>
    <row r="66" spans="1:24" ht="15.75" thickBot="1" x14ac:dyDescent="0.3">
      <c r="A66" s="82" t="s">
        <v>4693</v>
      </c>
      <c r="B66" s="82" t="s">
        <v>4693</v>
      </c>
      <c r="C66" s="82" t="str">
        <f t="shared" si="2"/>
        <v>X</v>
      </c>
      <c r="D66" s="235">
        <v>2022</v>
      </c>
      <c r="E66" s="82" t="s">
        <v>1653</v>
      </c>
      <c r="F66" s="82" t="s">
        <v>1745</v>
      </c>
      <c r="G66" s="82" t="s">
        <v>1746</v>
      </c>
      <c r="H66" s="234" t="s">
        <v>1864</v>
      </c>
      <c r="I66" s="234" t="s">
        <v>3130</v>
      </c>
      <c r="J66" s="291">
        <v>83</v>
      </c>
      <c r="K66" s="82" t="s">
        <v>586</v>
      </c>
      <c r="L66" s="235"/>
      <c r="M66" s="173">
        <v>60</v>
      </c>
      <c r="N66" s="173">
        <v>4980</v>
      </c>
      <c r="O66" s="82" t="s">
        <v>1747</v>
      </c>
      <c r="P66" s="82" t="s">
        <v>3092</v>
      </c>
      <c r="Q66" s="173">
        <v>47.9</v>
      </c>
      <c r="R66" s="251">
        <f>Q66*N66</f>
        <v>238542</v>
      </c>
      <c r="S66" s="171" t="s">
        <v>1913</v>
      </c>
      <c r="T66" s="82" t="s">
        <v>3109</v>
      </c>
      <c r="U66" s="82" t="s">
        <v>3110</v>
      </c>
      <c r="V66" s="82"/>
      <c r="W66" s="261" t="s">
        <v>3535</v>
      </c>
      <c r="X66" s="261" t="s">
        <v>3540</v>
      </c>
    </row>
    <row r="67" spans="1:24" ht="15.75" thickBot="1" x14ac:dyDescent="0.3">
      <c r="A67" s="82" t="s">
        <v>4693</v>
      </c>
      <c r="B67" s="82" t="s">
        <v>4693</v>
      </c>
      <c r="C67" s="82" t="str">
        <f t="shared" si="2"/>
        <v>X</v>
      </c>
      <c r="D67" s="235">
        <v>2022</v>
      </c>
      <c r="E67" s="82" t="s">
        <v>1653</v>
      </c>
      <c r="F67" s="82" t="s">
        <v>1745</v>
      </c>
      <c r="G67" s="82" t="s">
        <v>1746</v>
      </c>
      <c r="H67" s="234" t="s">
        <v>1864</v>
      </c>
      <c r="I67" s="234" t="s">
        <v>3130</v>
      </c>
      <c r="J67" s="291">
        <v>48</v>
      </c>
      <c r="K67" s="82" t="s">
        <v>586</v>
      </c>
      <c r="L67" s="235"/>
      <c r="M67" s="173">
        <v>0.15</v>
      </c>
      <c r="N67" s="173">
        <v>7.1999999999999993</v>
      </c>
      <c r="O67" s="82" t="s">
        <v>1747</v>
      </c>
      <c r="P67" s="82" t="s">
        <v>3093</v>
      </c>
      <c r="Q67" s="173">
        <v>23.2</v>
      </c>
      <c r="R67" s="251">
        <f>Q67*N67</f>
        <v>167.04</v>
      </c>
      <c r="S67" s="171" t="s">
        <v>1913</v>
      </c>
      <c r="T67" s="82" t="s">
        <v>3111</v>
      </c>
      <c r="U67" s="82" t="s">
        <v>3102</v>
      </c>
      <c r="V67" s="82" t="s">
        <v>3112</v>
      </c>
      <c r="W67" s="261" t="s">
        <v>3535</v>
      </c>
      <c r="X67" s="261" t="s">
        <v>3540</v>
      </c>
    </row>
    <row r="68" spans="1:24" ht="15.75" thickBot="1" x14ac:dyDescent="0.3">
      <c r="A68" s="82" t="s">
        <v>4693</v>
      </c>
      <c r="B68" s="82" t="s">
        <v>4693</v>
      </c>
      <c r="C68" s="82" t="str">
        <f t="shared" ref="C68:C131" si="6">IF(A68=B68,"X",RIGHT(A68,LEN(A68)-LEN(B68)-3))</f>
        <v>X</v>
      </c>
      <c r="D68" s="235">
        <v>2022</v>
      </c>
      <c r="E68" s="82" t="s">
        <v>3003</v>
      </c>
      <c r="F68" s="82" t="s">
        <v>1745</v>
      </c>
      <c r="G68" s="82" t="s">
        <v>1746</v>
      </c>
      <c r="H68" s="234" t="s">
        <v>1864</v>
      </c>
      <c r="I68" s="234" t="s">
        <v>3131</v>
      </c>
      <c r="J68" s="291">
        <v>71476</v>
      </c>
      <c r="K68" s="82" t="s">
        <v>586</v>
      </c>
      <c r="L68" s="235"/>
      <c r="M68" s="302">
        <v>0</v>
      </c>
      <c r="N68" s="302">
        <v>0</v>
      </c>
      <c r="O68" s="82" t="s">
        <v>1747</v>
      </c>
      <c r="P68" s="82" t="s">
        <v>3094</v>
      </c>
      <c r="Q68" s="173">
        <v>22.4</v>
      </c>
      <c r="R68" s="251">
        <f>Q68*365</f>
        <v>8175.9999999999991</v>
      </c>
      <c r="S68" s="294" t="s">
        <v>3126</v>
      </c>
      <c r="T68" s="82" t="s">
        <v>3113</v>
      </c>
      <c r="U68" s="82" t="s">
        <v>3102</v>
      </c>
      <c r="V68" s="82" t="s">
        <v>3114</v>
      </c>
      <c r="W68" s="261" t="s">
        <v>3535</v>
      </c>
      <c r="X68" s="261" t="s">
        <v>3540</v>
      </c>
    </row>
    <row r="69" spans="1:24" ht="15.75" thickBot="1" x14ac:dyDescent="0.3">
      <c r="A69" s="82" t="s">
        <v>4693</v>
      </c>
      <c r="B69" s="82" t="s">
        <v>4693</v>
      </c>
      <c r="C69" s="82" t="str">
        <f t="shared" si="6"/>
        <v>X</v>
      </c>
      <c r="D69" s="235">
        <v>2022</v>
      </c>
      <c r="E69" s="82" t="s">
        <v>3003</v>
      </c>
      <c r="F69" s="82" t="s">
        <v>1745</v>
      </c>
      <c r="G69" s="82" t="s">
        <v>1746</v>
      </c>
      <c r="H69" s="234" t="s">
        <v>1864</v>
      </c>
      <c r="I69" s="234" t="s">
        <v>3131</v>
      </c>
      <c r="J69" s="291">
        <v>15316</v>
      </c>
      <c r="K69" s="82" t="s">
        <v>586</v>
      </c>
      <c r="L69" s="235"/>
      <c r="M69" s="302">
        <v>0</v>
      </c>
      <c r="N69" s="302">
        <v>0</v>
      </c>
      <c r="O69" s="82" t="s">
        <v>1747</v>
      </c>
      <c r="P69" s="82" t="s">
        <v>3092</v>
      </c>
      <c r="Q69" s="173">
        <v>51.2</v>
      </c>
      <c r="R69" s="251">
        <f>Q69*1*52</f>
        <v>2662.4</v>
      </c>
      <c r="S69" s="294" t="s">
        <v>3126</v>
      </c>
      <c r="T69" s="82" t="s">
        <v>3115</v>
      </c>
      <c r="U69" s="82" t="s">
        <v>3102</v>
      </c>
      <c r="V69" s="82" t="s">
        <v>3116</v>
      </c>
      <c r="W69" s="261" t="s">
        <v>3535</v>
      </c>
      <c r="X69" s="261" t="s">
        <v>3540</v>
      </c>
    </row>
    <row r="70" spans="1:24" ht="15.75" thickBot="1" x14ac:dyDescent="0.3">
      <c r="A70" s="82" t="s">
        <v>4693</v>
      </c>
      <c r="B70" s="82" t="s">
        <v>4693</v>
      </c>
      <c r="C70" s="82" t="str">
        <f t="shared" si="6"/>
        <v>X</v>
      </c>
      <c r="D70" s="235">
        <v>2022</v>
      </c>
      <c r="E70" s="82" t="s">
        <v>3003</v>
      </c>
      <c r="F70" s="82" t="s">
        <v>1745</v>
      </c>
      <c r="G70" s="82" t="s">
        <v>1746</v>
      </c>
      <c r="H70" s="234" t="s">
        <v>1864</v>
      </c>
      <c r="I70" s="234" t="s">
        <v>3131</v>
      </c>
      <c r="J70" s="291">
        <v>15317</v>
      </c>
      <c r="K70" s="82" t="s">
        <v>586</v>
      </c>
      <c r="L70" s="235"/>
      <c r="M70" s="302">
        <v>0</v>
      </c>
      <c r="N70" s="302">
        <v>0</v>
      </c>
      <c r="O70" s="82" t="s">
        <v>1747</v>
      </c>
      <c r="P70" s="82" t="s">
        <v>3095</v>
      </c>
      <c r="Q70" s="173">
        <v>22.8</v>
      </c>
      <c r="R70" s="251">
        <f>Q70*1*52</f>
        <v>1185.6000000000001</v>
      </c>
      <c r="S70" s="294" t="s">
        <v>3126</v>
      </c>
      <c r="T70" s="82" t="s">
        <v>1751</v>
      </c>
      <c r="U70" s="82" t="s">
        <v>3102</v>
      </c>
      <c r="V70" s="82" t="s">
        <v>3116</v>
      </c>
      <c r="W70" s="261" t="s">
        <v>3535</v>
      </c>
      <c r="X70" s="261" t="s">
        <v>3540</v>
      </c>
    </row>
    <row r="71" spans="1:24" ht="15.75" thickBot="1" x14ac:dyDescent="0.3">
      <c r="A71" s="82" t="s">
        <v>4693</v>
      </c>
      <c r="B71" s="82" t="s">
        <v>4693</v>
      </c>
      <c r="C71" s="82" t="str">
        <f t="shared" si="6"/>
        <v>X</v>
      </c>
      <c r="D71" s="235">
        <v>2022</v>
      </c>
      <c r="E71" s="82" t="s">
        <v>3003</v>
      </c>
      <c r="F71" s="82" t="s">
        <v>1745</v>
      </c>
      <c r="G71" s="82" t="s">
        <v>1746</v>
      </c>
      <c r="H71" s="234" t="s">
        <v>1864</v>
      </c>
      <c r="I71" s="234" t="s">
        <v>3131</v>
      </c>
      <c r="J71" s="291">
        <v>6994.4</v>
      </c>
      <c r="K71" s="82" t="s">
        <v>586</v>
      </c>
      <c r="L71" s="235"/>
      <c r="M71" s="302">
        <v>0</v>
      </c>
      <c r="N71" s="302">
        <v>0</v>
      </c>
      <c r="O71" s="82" t="s">
        <v>1747</v>
      </c>
      <c r="P71" s="82" t="s">
        <v>3096</v>
      </c>
      <c r="Q71" s="173">
        <v>5.5</v>
      </c>
      <c r="R71" s="251">
        <f>Q71*365</f>
        <v>2007.5</v>
      </c>
      <c r="S71" s="294" t="s">
        <v>3126</v>
      </c>
      <c r="T71" s="82" t="s">
        <v>3117</v>
      </c>
      <c r="U71" s="82" t="s">
        <v>3102</v>
      </c>
      <c r="V71" s="82" t="s">
        <v>3114</v>
      </c>
      <c r="W71" s="261" t="s">
        <v>3535</v>
      </c>
      <c r="X71" s="261" t="s">
        <v>3540</v>
      </c>
    </row>
    <row r="72" spans="1:24" ht="15.75" thickBot="1" x14ac:dyDescent="0.3">
      <c r="A72" s="82" t="s">
        <v>4693</v>
      </c>
      <c r="B72" s="82" t="s">
        <v>4693</v>
      </c>
      <c r="C72" s="82" t="str">
        <f t="shared" si="6"/>
        <v>X</v>
      </c>
      <c r="D72" s="235">
        <v>2022</v>
      </c>
      <c r="E72" s="82" t="s">
        <v>3004</v>
      </c>
      <c r="F72" s="82" t="s">
        <v>1745</v>
      </c>
      <c r="G72" s="82" t="s">
        <v>1746</v>
      </c>
      <c r="H72" s="234" t="s">
        <v>1864</v>
      </c>
      <c r="I72" s="234" t="s">
        <v>3131</v>
      </c>
      <c r="J72" s="291">
        <v>150.9</v>
      </c>
      <c r="K72" s="82" t="s">
        <v>586</v>
      </c>
      <c r="L72" s="235"/>
      <c r="M72" s="302">
        <v>0</v>
      </c>
      <c r="N72" s="302">
        <v>0</v>
      </c>
      <c r="O72" s="82" t="s">
        <v>1747</v>
      </c>
      <c r="P72" s="82" t="s">
        <v>3097</v>
      </c>
      <c r="Q72" s="173">
        <v>3.6</v>
      </c>
      <c r="R72" s="251">
        <f>Q72*3*52</f>
        <v>561.6</v>
      </c>
      <c r="S72" s="294" t="s">
        <v>3126</v>
      </c>
      <c r="T72" s="82" t="s">
        <v>3118</v>
      </c>
      <c r="U72" s="82" t="s">
        <v>3102</v>
      </c>
      <c r="V72" s="82" t="s">
        <v>3119</v>
      </c>
      <c r="W72" s="261" t="s">
        <v>3535</v>
      </c>
      <c r="X72" s="261" t="s">
        <v>3540</v>
      </c>
    </row>
    <row r="73" spans="1:24" ht="15.75" thickBot="1" x14ac:dyDescent="0.3">
      <c r="A73" s="82" t="s">
        <v>4693</v>
      </c>
      <c r="B73" s="82" t="s">
        <v>4693</v>
      </c>
      <c r="C73" s="82" t="str">
        <f t="shared" si="6"/>
        <v>X</v>
      </c>
      <c r="D73" s="235">
        <v>2022</v>
      </c>
      <c r="E73" s="82" t="s">
        <v>1659</v>
      </c>
      <c r="F73" s="82" t="s">
        <v>1745</v>
      </c>
      <c r="G73" s="82" t="s">
        <v>1746</v>
      </c>
      <c r="H73" s="234" t="s">
        <v>1864</v>
      </c>
      <c r="I73" s="234" t="s">
        <v>3131</v>
      </c>
      <c r="J73" s="287">
        <v>32587</v>
      </c>
      <c r="K73" s="82" t="s">
        <v>630</v>
      </c>
      <c r="L73" s="235"/>
      <c r="M73" s="302">
        <v>0</v>
      </c>
      <c r="N73" s="302">
        <v>0</v>
      </c>
      <c r="O73" s="82" t="s">
        <v>1747</v>
      </c>
      <c r="P73" s="82" t="s">
        <v>3098</v>
      </c>
      <c r="Q73" s="173">
        <v>8.8000000000000007</v>
      </c>
      <c r="R73" s="251">
        <v>0</v>
      </c>
      <c r="S73" s="294" t="s">
        <v>3126</v>
      </c>
      <c r="T73" s="82" t="s">
        <v>3120</v>
      </c>
      <c r="U73" s="82" t="s">
        <v>3121</v>
      </c>
      <c r="V73" s="292" t="s">
        <v>3122</v>
      </c>
      <c r="W73" s="261" t="s">
        <v>3535</v>
      </c>
      <c r="X73" s="261" t="s">
        <v>3540</v>
      </c>
    </row>
    <row r="74" spans="1:24" ht="15.75" thickBot="1" x14ac:dyDescent="0.3">
      <c r="A74" s="82" t="s">
        <v>4693</v>
      </c>
      <c r="B74" s="82" t="s">
        <v>4693</v>
      </c>
      <c r="C74" s="82" t="str">
        <f t="shared" si="6"/>
        <v>X</v>
      </c>
      <c r="D74" s="235">
        <v>2022</v>
      </c>
      <c r="E74" s="82" t="s">
        <v>1659</v>
      </c>
      <c r="F74" s="82" t="s">
        <v>1745</v>
      </c>
      <c r="G74" s="82" t="s">
        <v>1746</v>
      </c>
      <c r="H74" s="234" t="s">
        <v>1864</v>
      </c>
      <c r="I74" s="234" t="s">
        <v>3131</v>
      </c>
      <c r="J74" s="291">
        <v>130348</v>
      </c>
      <c r="K74" s="82" t="s">
        <v>630</v>
      </c>
      <c r="L74" s="235"/>
      <c r="M74" s="302">
        <v>0</v>
      </c>
      <c r="N74" s="302">
        <v>0</v>
      </c>
      <c r="O74" s="82" t="s">
        <v>1747</v>
      </c>
      <c r="P74" s="82" t="s">
        <v>3099</v>
      </c>
      <c r="Q74" s="173">
        <v>332</v>
      </c>
      <c r="R74" s="251">
        <f>Q74*3*12</f>
        <v>11952</v>
      </c>
      <c r="S74" s="294" t="s">
        <v>3126</v>
      </c>
      <c r="T74" s="82" t="s">
        <v>3120</v>
      </c>
      <c r="U74" s="82" t="s">
        <v>3102</v>
      </c>
      <c r="V74" s="82" t="s">
        <v>3123</v>
      </c>
      <c r="W74" s="261" t="s">
        <v>3535</v>
      </c>
      <c r="X74" s="261" t="s">
        <v>3540</v>
      </c>
    </row>
    <row r="75" spans="1:24" ht="15.75" thickBot="1" x14ac:dyDescent="0.3">
      <c r="A75" s="82" t="s">
        <v>4693</v>
      </c>
      <c r="B75" s="82" t="s">
        <v>4693</v>
      </c>
      <c r="C75" s="82" t="str">
        <f t="shared" si="6"/>
        <v>X</v>
      </c>
      <c r="D75" s="235">
        <v>2022</v>
      </c>
      <c r="E75" s="82" t="s">
        <v>1659</v>
      </c>
      <c r="F75" s="82" t="s">
        <v>1745</v>
      </c>
      <c r="G75" s="82" t="s">
        <v>1746</v>
      </c>
      <c r="H75" s="234" t="s">
        <v>1864</v>
      </c>
      <c r="I75" s="234" t="s">
        <v>3131</v>
      </c>
      <c r="J75" s="287">
        <v>29648</v>
      </c>
      <c r="K75" s="82" t="s">
        <v>586</v>
      </c>
      <c r="L75" s="235"/>
      <c r="M75" s="302">
        <v>0</v>
      </c>
      <c r="N75" s="302">
        <v>0</v>
      </c>
      <c r="O75" s="82" t="s">
        <v>1747</v>
      </c>
      <c r="P75" s="82" t="s">
        <v>2872</v>
      </c>
      <c r="Q75" s="173">
        <v>0.45</v>
      </c>
      <c r="R75" s="251">
        <f>Q75*2*52</f>
        <v>46.800000000000004</v>
      </c>
      <c r="S75" s="294" t="s">
        <v>3126</v>
      </c>
      <c r="T75" s="82" t="s">
        <v>3124</v>
      </c>
      <c r="U75" s="82" t="s">
        <v>3102</v>
      </c>
      <c r="V75" s="82" t="s">
        <v>3127</v>
      </c>
      <c r="W75" s="261" t="s">
        <v>3535</v>
      </c>
      <c r="X75" s="261" t="s">
        <v>3540</v>
      </c>
    </row>
    <row r="76" spans="1:24" ht="15.75" thickBot="1" x14ac:dyDescent="0.3">
      <c r="A76" s="82" t="s">
        <v>4693</v>
      </c>
      <c r="B76" s="82" t="s">
        <v>4693</v>
      </c>
      <c r="C76" s="82" t="str">
        <f t="shared" si="6"/>
        <v>X</v>
      </c>
      <c r="D76" s="235">
        <v>2022</v>
      </c>
      <c r="E76" s="82" t="s">
        <v>1659</v>
      </c>
      <c r="F76" s="82" t="s">
        <v>1745</v>
      </c>
      <c r="G76" s="82" t="s">
        <v>1746</v>
      </c>
      <c r="H76" s="234" t="s">
        <v>1864</v>
      </c>
      <c r="I76" s="234" t="s">
        <v>3131</v>
      </c>
      <c r="J76" s="291">
        <v>29647</v>
      </c>
      <c r="K76" s="82" t="s">
        <v>586</v>
      </c>
      <c r="L76" s="235"/>
      <c r="M76" s="302">
        <v>0</v>
      </c>
      <c r="N76" s="302">
        <v>0</v>
      </c>
      <c r="O76" s="82" t="s">
        <v>1747</v>
      </c>
      <c r="P76" s="82" t="s">
        <v>3100</v>
      </c>
      <c r="Q76" s="173">
        <v>13.1</v>
      </c>
      <c r="R76" s="251">
        <f>Q76*2*52</f>
        <v>1362.3999999999999</v>
      </c>
      <c r="S76" s="294" t="s">
        <v>3126</v>
      </c>
      <c r="T76" s="82" t="s">
        <v>3125</v>
      </c>
      <c r="U76" s="82" t="s">
        <v>3102</v>
      </c>
      <c r="V76" s="82" t="s">
        <v>3128</v>
      </c>
      <c r="W76" s="261" t="s">
        <v>3535</v>
      </c>
      <c r="X76" s="261" t="s">
        <v>3540</v>
      </c>
    </row>
    <row r="77" spans="1:24" ht="15.75" thickBot="1" x14ac:dyDescent="0.3">
      <c r="A77" s="289" t="s">
        <v>2836</v>
      </c>
      <c r="B77" s="289" t="s">
        <v>2836</v>
      </c>
      <c r="C77" s="82" t="str">
        <f t="shared" si="6"/>
        <v>X</v>
      </c>
      <c r="D77" s="235">
        <v>2022</v>
      </c>
      <c r="E77" s="82" t="s">
        <v>1653</v>
      </c>
      <c r="F77" s="82" t="s">
        <v>1745</v>
      </c>
      <c r="G77" s="82" t="s">
        <v>1746</v>
      </c>
      <c r="H77" s="234" t="s">
        <v>1864</v>
      </c>
      <c r="I77" s="234" t="s">
        <v>3131</v>
      </c>
      <c r="J77" s="82">
        <v>19</v>
      </c>
      <c r="K77" s="82" t="s">
        <v>586</v>
      </c>
      <c r="L77" s="235"/>
      <c r="M77" s="173">
        <v>30</v>
      </c>
      <c r="N77" s="173">
        <v>570</v>
      </c>
      <c r="O77" s="82" t="s">
        <v>1747</v>
      </c>
      <c r="P77" s="82" t="s">
        <v>1748</v>
      </c>
      <c r="Q77" s="173">
        <v>25</v>
      </c>
      <c r="R77" s="171">
        <f>N77*Q77</f>
        <v>14250</v>
      </c>
      <c r="S77" s="171" t="s">
        <v>1913</v>
      </c>
      <c r="T77" s="82" t="s">
        <v>3132</v>
      </c>
      <c r="U77" s="82" t="s">
        <v>1797</v>
      </c>
      <c r="V77" s="82" t="s">
        <v>1759</v>
      </c>
      <c r="W77" s="261" t="s">
        <v>3535</v>
      </c>
      <c r="X77" s="261" t="s">
        <v>3540</v>
      </c>
    </row>
    <row r="78" spans="1:24" ht="15.75" thickBot="1" x14ac:dyDescent="0.3">
      <c r="A78" s="289" t="s">
        <v>2836</v>
      </c>
      <c r="B78" s="289" t="s">
        <v>2836</v>
      </c>
      <c r="C78" s="82" t="str">
        <f t="shared" si="6"/>
        <v>X</v>
      </c>
      <c r="D78" s="235">
        <v>2022</v>
      </c>
      <c r="E78" s="82" t="s">
        <v>1681</v>
      </c>
      <c r="F78" s="82" t="s">
        <v>1745</v>
      </c>
      <c r="G78" s="82" t="s">
        <v>1746</v>
      </c>
      <c r="H78" s="234" t="s">
        <v>1864</v>
      </c>
      <c r="I78" s="234" t="s">
        <v>3131</v>
      </c>
      <c r="J78" s="82">
        <v>116</v>
      </c>
      <c r="K78" s="82" t="s">
        <v>586</v>
      </c>
      <c r="L78" s="235"/>
      <c r="M78" s="173">
        <v>64</v>
      </c>
      <c r="N78" s="173">
        <v>7424</v>
      </c>
      <c r="O78" s="82" t="s">
        <v>1747</v>
      </c>
      <c r="P78" s="82" t="s">
        <v>1748</v>
      </c>
      <c r="Q78" s="173">
        <v>25</v>
      </c>
      <c r="R78" s="171">
        <f>N78*Q78</f>
        <v>185600</v>
      </c>
      <c r="S78" s="171" t="s">
        <v>1913</v>
      </c>
      <c r="T78" s="82" t="s">
        <v>3133</v>
      </c>
      <c r="U78" s="82" t="s">
        <v>1797</v>
      </c>
      <c r="V78" s="82" t="s">
        <v>3134</v>
      </c>
      <c r="W78" s="261" t="s">
        <v>3535</v>
      </c>
      <c r="X78" s="261" t="s">
        <v>3540</v>
      </c>
    </row>
    <row r="79" spans="1:24" ht="15.75" thickBot="1" x14ac:dyDescent="0.3">
      <c r="A79" s="82" t="s">
        <v>4698</v>
      </c>
      <c r="B79" s="82" t="s">
        <v>4698</v>
      </c>
      <c r="C79" s="82" t="str">
        <f t="shared" si="6"/>
        <v>X</v>
      </c>
      <c r="D79" s="235">
        <v>2022</v>
      </c>
      <c r="E79" s="83" t="s">
        <v>1653</v>
      </c>
      <c r="F79" s="83" t="s">
        <v>1745</v>
      </c>
      <c r="G79" s="82" t="s">
        <v>1746</v>
      </c>
      <c r="H79" s="234" t="s">
        <v>1864</v>
      </c>
      <c r="I79" s="295" t="s">
        <v>3131</v>
      </c>
      <c r="J79" s="285">
        <v>4</v>
      </c>
      <c r="K79" s="82" t="s">
        <v>586</v>
      </c>
      <c r="L79" s="235"/>
      <c r="M79" s="173">
        <v>54.9</v>
      </c>
      <c r="N79" s="173">
        <v>219.6</v>
      </c>
      <c r="O79" s="82" t="s">
        <v>1747</v>
      </c>
      <c r="P79" s="82" t="s">
        <v>1748</v>
      </c>
      <c r="Q79" s="173">
        <v>108</v>
      </c>
      <c r="R79" s="177">
        <f>Q79</f>
        <v>108</v>
      </c>
      <c r="S79" s="294" t="s">
        <v>3126</v>
      </c>
      <c r="T79" s="82" t="s">
        <v>1751</v>
      </c>
      <c r="U79" s="82"/>
      <c r="V79" s="82" t="s">
        <v>3136</v>
      </c>
      <c r="W79" s="261" t="s">
        <v>3535</v>
      </c>
      <c r="X79" s="261" t="s">
        <v>3540</v>
      </c>
    </row>
    <row r="80" spans="1:24" ht="15.75" thickBot="1" x14ac:dyDescent="0.3">
      <c r="A80" s="82" t="s">
        <v>4698</v>
      </c>
      <c r="B80" s="82" t="s">
        <v>4698</v>
      </c>
      <c r="C80" s="82" t="str">
        <f t="shared" si="6"/>
        <v>X</v>
      </c>
      <c r="D80" s="235">
        <v>2022</v>
      </c>
      <c r="E80" s="83" t="s">
        <v>1653</v>
      </c>
      <c r="F80" s="82" t="s">
        <v>1745</v>
      </c>
      <c r="G80" s="82" t="s">
        <v>1746</v>
      </c>
      <c r="H80" s="234" t="s">
        <v>1864</v>
      </c>
      <c r="I80" s="295" t="s">
        <v>3131</v>
      </c>
      <c r="J80" s="285">
        <v>4</v>
      </c>
      <c r="K80" s="82" t="s">
        <v>586</v>
      </c>
      <c r="L80" s="235"/>
      <c r="M80" s="173">
        <v>54.9</v>
      </c>
      <c r="N80" s="173">
        <v>219.6</v>
      </c>
      <c r="O80" s="82" t="s">
        <v>1747</v>
      </c>
      <c r="P80" s="82" t="s">
        <v>1748</v>
      </c>
      <c r="Q80" s="173">
        <v>108</v>
      </c>
      <c r="R80" s="177">
        <f t="shared" ref="R80:R143" si="7">Q80</f>
        <v>108</v>
      </c>
      <c r="S80" s="294" t="s">
        <v>3126</v>
      </c>
      <c r="T80" s="82" t="s">
        <v>1751</v>
      </c>
      <c r="U80" s="82"/>
      <c r="V80" s="82" t="s">
        <v>3136</v>
      </c>
      <c r="W80" s="261" t="s">
        <v>3535</v>
      </c>
      <c r="X80" s="261" t="s">
        <v>3540</v>
      </c>
    </row>
    <row r="81" spans="1:24" ht="15.75" thickBot="1" x14ac:dyDescent="0.3">
      <c r="A81" s="82" t="s">
        <v>4698</v>
      </c>
      <c r="B81" s="82" t="s">
        <v>4698</v>
      </c>
      <c r="C81" s="82" t="str">
        <f t="shared" si="6"/>
        <v>X</v>
      </c>
      <c r="D81" s="235">
        <v>2022</v>
      </c>
      <c r="E81" s="83" t="s">
        <v>1653</v>
      </c>
      <c r="F81" s="82" t="s">
        <v>1745</v>
      </c>
      <c r="G81" s="82" t="s">
        <v>1746</v>
      </c>
      <c r="H81" s="234" t="s">
        <v>1864</v>
      </c>
      <c r="I81" s="295" t="s">
        <v>3131</v>
      </c>
      <c r="J81" s="285">
        <v>4</v>
      </c>
      <c r="K81" s="82" t="s">
        <v>586</v>
      </c>
      <c r="L81" s="235"/>
      <c r="M81" s="173">
        <v>54.9</v>
      </c>
      <c r="N81" s="173">
        <v>219.6</v>
      </c>
      <c r="O81" s="82" t="s">
        <v>1747</v>
      </c>
      <c r="P81" s="82" t="s">
        <v>1748</v>
      </c>
      <c r="Q81" s="173">
        <v>108</v>
      </c>
      <c r="R81" s="177">
        <f t="shared" si="7"/>
        <v>108</v>
      </c>
      <c r="S81" s="294" t="s">
        <v>3126</v>
      </c>
      <c r="T81" s="82" t="s">
        <v>1751</v>
      </c>
      <c r="U81" s="82"/>
      <c r="V81" s="82" t="s">
        <v>3136</v>
      </c>
      <c r="W81" s="261" t="s">
        <v>3535</v>
      </c>
      <c r="X81" s="261" t="s">
        <v>3540</v>
      </c>
    </row>
    <row r="82" spans="1:24" ht="15.75" thickBot="1" x14ac:dyDescent="0.3">
      <c r="A82" s="82" t="s">
        <v>4698</v>
      </c>
      <c r="B82" s="82" t="s">
        <v>4698</v>
      </c>
      <c r="C82" s="82" t="str">
        <f t="shared" si="6"/>
        <v>X</v>
      </c>
      <c r="D82" s="235">
        <v>2022</v>
      </c>
      <c r="E82" s="83" t="s">
        <v>1653</v>
      </c>
      <c r="F82" s="82" t="s">
        <v>1745</v>
      </c>
      <c r="G82" s="82" t="s">
        <v>1746</v>
      </c>
      <c r="H82" s="234" t="s">
        <v>1864</v>
      </c>
      <c r="I82" s="295" t="s">
        <v>3131</v>
      </c>
      <c r="J82" s="285">
        <v>4</v>
      </c>
      <c r="K82" s="82" t="s">
        <v>586</v>
      </c>
      <c r="L82" s="235"/>
      <c r="M82" s="173">
        <v>54.9</v>
      </c>
      <c r="N82" s="173">
        <v>219.6</v>
      </c>
      <c r="O82" s="82" t="s">
        <v>1747</v>
      </c>
      <c r="P82" s="82" t="s">
        <v>1748</v>
      </c>
      <c r="Q82" s="173">
        <v>108</v>
      </c>
      <c r="R82" s="177">
        <f t="shared" si="7"/>
        <v>108</v>
      </c>
      <c r="S82" s="294" t="s">
        <v>3126</v>
      </c>
      <c r="T82" s="82" t="s">
        <v>1751</v>
      </c>
      <c r="U82" s="82"/>
      <c r="V82" s="82" t="s">
        <v>3136</v>
      </c>
      <c r="W82" s="261" t="s">
        <v>3535</v>
      </c>
      <c r="X82" s="261" t="s">
        <v>3540</v>
      </c>
    </row>
    <row r="83" spans="1:24" ht="15.75" thickBot="1" x14ac:dyDescent="0.3">
      <c r="A83" s="82" t="s">
        <v>4698</v>
      </c>
      <c r="B83" s="82" t="s">
        <v>4698</v>
      </c>
      <c r="C83" s="82" t="str">
        <f t="shared" si="6"/>
        <v>X</v>
      </c>
      <c r="D83" s="235">
        <v>2022</v>
      </c>
      <c r="E83" s="83" t="s">
        <v>1653</v>
      </c>
      <c r="F83" s="82" t="s">
        <v>1745</v>
      </c>
      <c r="G83" s="82" t="s">
        <v>1746</v>
      </c>
      <c r="H83" s="234" t="s">
        <v>1864</v>
      </c>
      <c r="I83" s="295" t="s">
        <v>3131</v>
      </c>
      <c r="J83" s="285">
        <v>4</v>
      </c>
      <c r="K83" s="82" t="s">
        <v>586</v>
      </c>
      <c r="L83" s="235"/>
      <c r="M83" s="173">
        <v>54.9</v>
      </c>
      <c r="N83" s="173">
        <v>219.6</v>
      </c>
      <c r="O83" s="82" t="s">
        <v>1747</v>
      </c>
      <c r="P83" s="82" t="s">
        <v>1748</v>
      </c>
      <c r="Q83" s="173">
        <v>108</v>
      </c>
      <c r="R83" s="177">
        <f t="shared" si="7"/>
        <v>108</v>
      </c>
      <c r="S83" s="294" t="s">
        <v>3126</v>
      </c>
      <c r="T83" s="82" t="s">
        <v>1751</v>
      </c>
      <c r="U83" s="82"/>
      <c r="V83" s="82" t="s">
        <v>3136</v>
      </c>
      <c r="W83" s="261" t="s">
        <v>3535</v>
      </c>
      <c r="X83" s="261" t="s">
        <v>3540</v>
      </c>
    </row>
    <row r="84" spans="1:24" ht="15.75" thickBot="1" x14ac:dyDescent="0.3">
      <c r="A84" s="82" t="s">
        <v>4698</v>
      </c>
      <c r="B84" s="82" t="s">
        <v>4698</v>
      </c>
      <c r="C84" s="82" t="str">
        <f t="shared" si="6"/>
        <v>X</v>
      </c>
      <c r="D84" s="235">
        <v>2022</v>
      </c>
      <c r="E84" s="83" t="s">
        <v>1653</v>
      </c>
      <c r="F84" s="82" t="s">
        <v>1745</v>
      </c>
      <c r="G84" s="82" t="s">
        <v>1746</v>
      </c>
      <c r="H84" s="234" t="s">
        <v>1864</v>
      </c>
      <c r="I84" s="295" t="s">
        <v>3131</v>
      </c>
      <c r="J84" s="285">
        <v>4</v>
      </c>
      <c r="K84" s="82" t="s">
        <v>586</v>
      </c>
      <c r="L84" s="235"/>
      <c r="M84" s="173">
        <v>54.9</v>
      </c>
      <c r="N84" s="173">
        <v>219.6</v>
      </c>
      <c r="O84" s="82" t="s">
        <v>1747</v>
      </c>
      <c r="P84" s="82" t="s">
        <v>1748</v>
      </c>
      <c r="Q84" s="173">
        <v>108</v>
      </c>
      <c r="R84" s="177">
        <f t="shared" si="7"/>
        <v>108</v>
      </c>
      <c r="S84" s="294" t="s">
        <v>3126</v>
      </c>
      <c r="T84" s="82" t="s">
        <v>1751</v>
      </c>
      <c r="U84" s="82"/>
      <c r="V84" s="82" t="s">
        <v>3136</v>
      </c>
      <c r="W84" s="261" t="s">
        <v>3535</v>
      </c>
      <c r="X84" s="261" t="s">
        <v>3540</v>
      </c>
    </row>
    <row r="85" spans="1:24" ht="15.75" thickBot="1" x14ac:dyDescent="0.3">
      <c r="A85" s="82" t="s">
        <v>4698</v>
      </c>
      <c r="B85" s="82" t="s">
        <v>4698</v>
      </c>
      <c r="C85" s="82" t="str">
        <f t="shared" si="6"/>
        <v>X</v>
      </c>
      <c r="D85" s="235">
        <v>2022</v>
      </c>
      <c r="E85" s="83" t="s">
        <v>1653</v>
      </c>
      <c r="F85" s="82" t="s">
        <v>1745</v>
      </c>
      <c r="G85" s="82" t="s">
        <v>1746</v>
      </c>
      <c r="H85" s="234" t="s">
        <v>1864</v>
      </c>
      <c r="I85" s="295" t="s">
        <v>3131</v>
      </c>
      <c r="J85" s="285">
        <v>4</v>
      </c>
      <c r="K85" s="82" t="s">
        <v>586</v>
      </c>
      <c r="L85" s="235"/>
      <c r="M85" s="173">
        <v>54.9</v>
      </c>
      <c r="N85" s="173">
        <v>219.6</v>
      </c>
      <c r="O85" s="82" t="s">
        <v>1747</v>
      </c>
      <c r="P85" s="82" t="s">
        <v>1748</v>
      </c>
      <c r="Q85" s="173">
        <v>108</v>
      </c>
      <c r="R85" s="177">
        <f t="shared" si="7"/>
        <v>108</v>
      </c>
      <c r="S85" s="294" t="s">
        <v>3126</v>
      </c>
      <c r="T85" s="82" t="s">
        <v>1751</v>
      </c>
      <c r="U85" s="82"/>
      <c r="V85" s="82" t="s">
        <v>3136</v>
      </c>
      <c r="W85" s="261" t="s">
        <v>3535</v>
      </c>
      <c r="X85" s="261" t="s">
        <v>3540</v>
      </c>
    </row>
    <row r="86" spans="1:24" ht="15.75" thickBot="1" x14ac:dyDescent="0.3">
      <c r="A86" s="82" t="s">
        <v>4698</v>
      </c>
      <c r="B86" s="82" t="s">
        <v>4698</v>
      </c>
      <c r="C86" s="82" t="str">
        <f t="shared" si="6"/>
        <v>X</v>
      </c>
      <c r="D86" s="235">
        <v>2022</v>
      </c>
      <c r="E86" s="82" t="s">
        <v>1653</v>
      </c>
      <c r="F86" s="82" t="s">
        <v>1745</v>
      </c>
      <c r="G86" s="82" t="s">
        <v>1746</v>
      </c>
      <c r="H86" s="234" t="s">
        <v>1864</v>
      </c>
      <c r="I86" s="295" t="s">
        <v>3131</v>
      </c>
      <c r="J86" s="285">
        <v>4</v>
      </c>
      <c r="K86" s="82" t="s">
        <v>586</v>
      </c>
      <c r="L86" s="235"/>
      <c r="M86" s="173">
        <v>54.9</v>
      </c>
      <c r="N86" s="173">
        <v>219.6</v>
      </c>
      <c r="O86" s="82" t="s">
        <v>1747</v>
      </c>
      <c r="P86" s="82" t="s">
        <v>1748</v>
      </c>
      <c r="Q86" s="173">
        <v>108</v>
      </c>
      <c r="R86" s="177">
        <f t="shared" si="7"/>
        <v>108</v>
      </c>
      <c r="S86" s="294" t="s">
        <v>3126</v>
      </c>
      <c r="T86" s="82" t="s">
        <v>1751</v>
      </c>
      <c r="U86" s="82"/>
      <c r="V86" s="82" t="s">
        <v>3136</v>
      </c>
      <c r="W86" s="261" t="s">
        <v>3535</v>
      </c>
      <c r="X86" s="261" t="s">
        <v>3540</v>
      </c>
    </row>
    <row r="87" spans="1:24" ht="15.75" thickBot="1" x14ac:dyDescent="0.3">
      <c r="A87" s="82" t="s">
        <v>4698</v>
      </c>
      <c r="B87" s="82" t="s">
        <v>4698</v>
      </c>
      <c r="C87" s="82" t="str">
        <f t="shared" si="6"/>
        <v>X</v>
      </c>
      <c r="D87" s="235">
        <v>2022</v>
      </c>
      <c r="E87" s="82" t="s">
        <v>1653</v>
      </c>
      <c r="F87" s="82" t="s">
        <v>1745</v>
      </c>
      <c r="G87" s="82" t="s">
        <v>1746</v>
      </c>
      <c r="H87" s="234" t="s">
        <v>1864</v>
      </c>
      <c r="I87" s="295" t="s">
        <v>3131</v>
      </c>
      <c r="J87" s="285">
        <v>4</v>
      </c>
      <c r="K87" s="82" t="s">
        <v>586</v>
      </c>
      <c r="L87" s="235"/>
      <c r="M87" s="173">
        <v>54.9</v>
      </c>
      <c r="N87" s="173">
        <v>219.6</v>
      </c>
      <c r="O87" s="82" t="s">
        <v>1747</v>
      </c>
      <c r="P87" s="82" t="s">
        <v>1748</v>
      </c>
      <c r="Q87" s="173">
        <v>108</v>
      </c>
      <c r="R87" s="177">
        <f t="shared" si="7"/>
        <v>108</v>
      </c>
      <c r="S87" s="294" t="s">
        <v>3126</v>
      </c>
      <c r="T87" s="82" t="s">
        <v>1751</v>
      </c>
      <c r="U87" s="82"/>
      <c r="V87" s="82" t="s">
        <v>3136</v>
      </c>
      <c r="W87" s="261" t="s">
        <v>3535</v>
      </c>
      <c r="X87" s="261" t="s">
        <v>3540</v>
      </c>
    </row>
    <row r="88" spans="1:24" ht="15.75" thickBot="1" x14ac:dyDescent="0.3">
      <c r="A88" s="82" t="s">
        <v>4698</v>
      </c>
      <c r="B88" s="82" t="s">
        <v>4698</v>
      </c>
      <c r="C88" s="82" t="str">
        <f t="shared" si="6"/>
        <v>X</v>
      </c>
      <c r="D88" s="235">
        <v>2022</v>
      </c>
      <c r="E88" s="82" t="s">
        <v>1653</v>
      </c>
      <c r="F88" s="82" t="s">
        <v>1745</v>
      </c>
      <c r="G88" s="82" t="s">
        <v>1746</v>
      </c>
      <c r="H88" s="234" t="s">
        <v>1864</v>
      </c>
      <c r="I88" s="295" t="s">
        <v>3131</v>
      </c>
      <c r="J88" s="285">
        <v>4</v>
      </c>
      <c r="K88" s="82" t="s">
        <v>586</v>
      </c>
      <c r="L88" s="235"/>
      <c r="M88" s="173">
        <v>54.9</v>
      </c>
      <c r="N88" s="173">
        <v>219.6</v>
      </c>
      <c r="O88" s="82" t="s">
        <v>1747</v>
      </c>
      <c r="P88" s="82" t="s">
        <v>1748</v>
      </c>
      <c r="Q88" s="173">
        <v>108</v>
      </c>
      <c r="R88" s="177">
        <f t="shared" si="7"/>
        <v>108</v>
      </c>
      <c r="S88" s="294" t="s">
        <v>3126</v>
      </c>
      <c r="T88" s="82" t="s">
        <v>1751</v>
      </c>
      <c r="U88" s="82"/>
      <c r="V88" s="82" t="s">
        <v>3136</v>
      </c>
      <c r="W88" s="261" t="s">
        <v>3535</v>
      </c>
      <c r="X88" s="261" t="s">
        <v>3540</v>
      </c>
    </row>
    <row r="89" spans="1:24" ht="15.75" thickBot="1" x14ac:dyDescent="0.3">
      <c r="A89" s="82" t="s">
        <v>4698</v>
      </c>
      <c r="B89" s="82" t="s">
        <v>4698</v>
      </c>
      <c r="C89" s="82" t="str">
        <f t="shared" si="6"/>
        <v>X</v>
      </c>
      <c r="D89" s="235">
        <v>2022</v>
      </c>
      <c r="E89" s="82" t="s">
        <v>1653</v>
      </c>
      <c r="F89" s="82" t="s">
        <v>1745</v>
      </c>
      <c r="G89" s="82" t="s">
        <v>1746</v>
      </c>
      <c r="H89" s="234" t="s">
        <v>1864</v>
      </c>
      <c r="I89" s="295" t="s">
        <v>3131</v>
      </c>
      <c r="J89" s="285">
        <v>4</v>
      </c>
      <c r="K89" s="82" t="s">
        <v>586</v>
      </c>
      <c r="L89" s="235"/>
      <c r="M89" s="173">
        <v>54.9</v>
      </c>
      <c r="N89" s="173">
        <v>219.6</v>
      </c>
      <c r="O89" s="82" t="s">
        <v>1747</v>
      </c>
      <c r="P89" s="82" t="s">
        <v>1748</v>
      </c>
      <c r="Q89" s="173">
        <v>108</v>
      </c>
      <c r="R89" s="177">
        <f t="shared" si="7"/>
        <v>108</v>
      </c>
      <c r="S89" s="294" t="s">
        <v>3126</v>
      </c>
      <c r="T89" s="82" t="s">
        <v>1751</v>
      </c>
      <c r="U89" s="82"/>
      <c r="V89" s="82" t="s">
        <v>3136</v>
      </c>
      <c r="W89" s="261" t="s">
        <v>3535</v>
      </c>
      <c r="X89" s="261" t="s">
        <v>3540</v>
      </c>
    </row>
    <row r="90" spans="1:24" ht="15.75" thickBot="1" x14ac:dyDescent="0.3">
      <c r="A90" s="82" t="s">
        <v>4698</v>
      </c>
      <c r="B90" s="82" t="s">
        <v>4698</v>
      </c>
      <c r="C90" s="82" t="str">
        <f t="shared" si="6"/>
        <v>X</v>
      </c>
      <c r="D90" s="235">
        <v>2022</v>
      </c>
      <c r="E90" s="82" t="s">
        <v>1653</v>
      </c>
      <c r="F90" s="82" t="s">
        <v>1745</v>
      </c>
      <c r="G90" s="82" t="s">
        <v>1746</v>
      </c>
      <c r="H90" s="234" t="s">
        <v>1864</v>
      </c>
      <c r="I90" s="295" t="s">
        <v>3131</v>
      </c>
      <c r="J90" s="285">
        <v>4</v>
      </c>
      <c r="K90" s="82" t="s">
        <v>586</v>
      </c>
      <c r="L90" s="235"/>
      <c r="M90" s="173">
        <v>54.9</v>
      </c>
      <c r="N90" s="173">
        <v>219.6</v>
      </c>
      <c r="O90" s="82" t="s">
        <v>1747</v>
      </c>
      <c r="P90" s="82" t="s">
        <v>1748</v>
      </c>
      <c r="Q90" s="173">
        <v>108</v>
      </c>
      <c r="R90" s="177">
        <f t="shared" si="7"/>
        <v>108</v>
      </c>
      <c r="S90" s="294" t="s">
        <v>3126</v>
      </c>
      <c r="T90" s="82" t="s">
        <v>1751</v>
      </c>
      <c r="U90" s="82"/>
      <c r="V90" s="82" t="s">
        <v>3136</v>
      </c>
      <c r="W90" s="261" t="s">
        <v>3535</v>
      </c>
      <c r="X90" s="261" t="s">
        <v>3540</v>
      </c>
    </row>
    <row r="91" spans="1:24" ht="15.75" thickBot="1" x14ac:dyDescent="0.3">
      <c r="A91" s="82" t="s">
        <v>4698</v>
      </c>
      <c r="B91" s="82" t="s">
        <v>4698</v>
      </c>
      <c r="C91" s="82" t="str">
        <f t="shared" si="6"/>
        <v>X</v>
      </c>
      <c r="D91" s="235">
        <v>2022</v>
      </c>
      <c r="E91" s="82" t="s">
        <v>1653</v>
      </c>
      <c r="F91" s="82" t="s">
        <v>1745</v>
      </c>
      <c r="G91" s="82" t="s">
        <v>1746</v>
      </c>
      <c r="H91" s="234" t="s">
        <v>1864</v>
      </c>
      <c r="I91" s="295" t="s">
        <v>3131</v>
      </c>
      <c r="J91" s="285">
        <v>4</v>
      </c>
      <c r="K91" s="82" t="s">
        <v>586</v>
      </c>
      <c r="L91" s="235"/>
      <c r="M91" s="173">
        <v>54.9</v>
      </c>
      <c r="N91" s="173">
        <v>219.6</v>
      </c>
      <c r="O91" s="82" t="s">
        <v>1747</v>
      </c>
      <c r="P91" s="82" t="s">
        <v>1748</v>
      </c>
      <c r="Q91" s="173">
        <v>108</v>
      </c>
      <c r="R91" s="177">
        <f t="shared" si="7"/>
        <v>108</v>
      </c>
      <c r="S91" s="294" t="s">
        <v>3126</v>
      </c>
      <c r="T91" s="82" t="s">
        <v>1751</v>
      </c>
      <c r="U91" s="82"/>
      <c r="V91" s="82" t="s">
        <v>3136</v>
      </c>
      <c r="W91" s="261" t="s">
        <v>3535</v>
      </c>
      <c r="X91" s="261" t="s">
        <v>3540</v>
      </c>
    </row>
    <row r="92" spans="1:24" ht="15.75" thickBot="1" x14ac:dyDescent="0.3">
      <c r="A92" s="82" t="s">
        <v>4698</v>
      </c>
      <c r="B92" s="82" t="s">
        <v>4698</v>
      </c>
      <c r="C92" s="82" t="str">
        <f t="shared" si="6"/>
        <v>X</v>
      </c>
      <c r="D92" s="235">
        <v>2022</v>
      </c>
      <c r="E92" s="82" t="s">
        <v>1653</v>
      </c>
      <c r="F92" s="82" t="s">
        <v>1745</v>
      </c>
      <c r="G92" s="82" t="s">
        <v>1746</v>
      </c>
      <c r="H92" s="234" t="s">
        <v>1864</v>
      </c>
      <c r="I92" s="295" t="s">
        <v>3131</v>
      </c>
      <c r="J92" s="285">
        <v>4</v>
      </c>
      <c r="K92" s="82" t="s">
        <v>586</v>
      </c>
      <c r="L92" s="235"/>
      <c r="M92" s="173">
        <v>54.9</v>
      </c>
      <c r="N92" s="173">
        <v>219.6</v>
      </c>
      <c r="O92" s="82" t="s">
        <v>1747</v>
      </c>
      <c r="P92" s="82" t="s">
        <v>1748</v>
      </c>
      <c r="Q92" s="173">
        <v>108</v>
      </c>
      <c r="R92" s="177">
        <f t="shared" si="7"/>
        <v>108</v>
      </c>
      <c r="S92" s="294" t="s">
        <v>3126</v>
      </c>
      <c r="T92" s="82" t="s">
        <v>1751</v>
      </c>
      <c r="U92" s="82"/>
      <c r="V92" s="82" t="s">
        <v>3136</v>
      </c>
      <c r="W92" s="261" t="s">
        <v>3535</v>
      </c>
      <c r="X92" s="261" t="s">
        <v>3540</v>
      </c>
    </row>
    <row r="93" spans="1:24" ht="15.75" thickBot="1" x14ac:dyDescent="0.3">
      <c r="A93" s="82" t="s">
        <v>4698</v>
      </c>
      <c r="B93" s="82" t="s">
        <v>4698</v>
      </c>
      <c r="C93" s="82" t="str">
        <f t="shared" si="6"/>
        <v>X</v>
      </c>
      <c r="D93" s="235">
        <v>2022</v>
      </c>
      <c r="E93" s="82" t="s">
        <v>1653</v>
      </c>
      <c r="F93" s="82" t="s">
        <v>1745</v>
      </c>
      <c r="G93" s="82" t="s">
        <v>1746</v>
      </c>
      <c r="H93" s="234" t="s">
        <v>1864</v>
      </c>
      <c r="I93" s="295" t="s">
        <v>3131</v>
      </c>
      <c r="J93" s="285">
        <v>4</v>
      </c>
      <c r="K93" s="82" t="s">
        <v>586</v>
      </c>
      <c r="L93" s="235"/>
      <c r="M93" s="173">
        <v>54.9</v>
      </c>
      <c r="N93" s="173">
        <v>219.6</v>
      </c>
      <c r="O93" s="82" t="s">
        <v>1747</v>
      </c>
      <c r="P93" s="82" t="s">
        <v>1748</v>
      </c>
      <c r="Q93" s="173">
        <v>108</v>
      </c>
      <c r="R93" s="177">
        <f t="shared" si="7"/>
        <v>108</v>
      </c>
      <c r="S93" s="294" t="s">
        <v>3126</v>
      </c>
      <c r="T93" s="82" t="s">
        <v>1751</v>
      </c>
      <c r="U93" s="82"/>
      <c r="V93" s="82" t="s">
        <v>3136</v>
      </c>
      <c r="W93" s="261" t="s">
        <v>3535</v>
      </c>
      <c r="X93" s="261" t="s">
        <v>3540</v>
      </c>
    </row>
    <row r="94" spans="1:24" ht="15.75" thickBot="1" x14ac:dyDescent="0.3">
      <c r="A94" s="82" t="s">
        <v>4698</v>
      </c>
      <c r="B94" s="82" t="s">
        <v>4698</v>
      </c>
      <c r="C94" s="82" t="str">
        <f t="shared" si="6"/>
        <v>X</v>
      </c>
      <c r="D94" s="235">
        <v>2022</v>
      </c>
      <c r="E94" s="82" t="s">
        <v>1653</v>
      </c>
      <c r="F94" s="82" t="s">
        <v>1745</v>
      </c>
      <c r="G94" s="82" t="s">
        <v>1746</v>
      </c>
      <c r="H94" s="234" t="s">
        <v>1864</v>
      </c>
      <c r="I94" s="295" t="s">
        <v>3131</v>
      </c>
      <c r="J94" s="285">
        <v>2</v>
      </c>
      <c r="K94" s="82" t="s">
        <v>586</v>
      </c>
      <c r="L94" s="235"/>
      <c r="M94" s="173">
        <v>54.9</v>
      </c>
      <c r="N94" s="173">
        <v>109.8</v>
      </c>
      <c r="O94" s="82" t="s">
        <v>1747</v>
      </c>
      <c r="P94" s="82" t="s">
        <v>1748</v>
      </c>
      <c r="Q94" s="173">
        <v>108</v>
      </c>
      <c r="R94" s="177">
        <f t="shared" si="7"/>
        <v>108</v>
      </c>
      <c r="S94" s="294" t="s">
        <v>3126</v>
      </c>
      <c r="T94" s="82" t="s">
        <v>1751</v>
      </c>
      <c r="U94" s="82"/>
      <c r="V94" s="82" t="s">
        <v>3136</v>
      </c>
      <c r="W94" s="261" t="s">
        <v>3535</v>
      </c>
      <c r="X94" s="261" t="s">
        <v>3540</v>
      </c>
    </row>
    <row r="95" spans="1:24" ht="15.75" thickBot="1" x14ac:dyDescent="0.3">
      <c r="A95" s="82" t="s">
        <v>4698</v>
      </c>
      <c r="B95" s="82" t="s">
        <v>4698</v>
      </c>
      <c r="C95" s="82" t="str">
        <f t="shared" si="6"/>
        <v>X</v>
      </c>
      <c r="D95" s="235">
        <v>2022</v>
      </c>
      <c r="E95" s="82" t="s">
        <v>1653</v>
      </c>
      <c r="F95" s="82" t="s">
        <v>1745</v>
      </c>
      <c r="G95" s="82" t="s">
        <v>1746</v>
      </c>
      <c r="H95" s="234" t="s">
        <v>1864</v>
      </c>
      <c r="I95" s="295" t="s">
        <v>3131</v>
      </c>
      <c r="J95" s="285">
        <v>2</v>
      </c>
      <c r="K95" s="82" t="s">
        <v>586</v>
      </c>
      <c r="L95" s="235"/>
      <c r="M95" s="173">
        <v>54.9</v>
      </c>
      <c r="N95" s="173">
        <v>109.8</v>
      </c>
      <c r="O95" s="82" t="s">
        <v>1747</v>
      </c>
      <c r="P95" s="82" t="s">
        <v>1748</v>
      </c>
      <c r="Q95" s="173">
        <v>108</v>
      </c>
      <c r="R95" s="177">
        <f t="shared" si="7"/>
        <v>108</v>
      </c>
      <c r="S95" s="294" t="s">
        <v>3126</v>
      </c>
      <c r="T95" s="82" t="s">
        <v>1751</v>
      </c>
      <c r="U95" s="82"/>
      <c r="V95" s="82" t="s">
        <v>3136</v>
      </c>
      <c r="W95" s="261" t="s">
        <v>3535</v>
      </c>
      <c r="X95" s="261" t="s">
        <v>3540</v>
      </c>
    </row>
    <row r="96" spans="1:24" ht="15.75" thickBot="1" x14ac:dyDescent="0.3">
      <c r="A96" s="82" t="s">
        <v>4698</v>
      </c>
      <c r="B96" s="82" t="s">
        <v>4698</v>
      </c>
      <c r="C96" s="82" t="str">
        <f t="shared" si="6"/>
        <v>X</v>
      </c>
      <c r="D96" s="235">
        <v>2022</v>
      </c>
      <c r="E96" s="82" t="s">
        <v>1653</v>
      </c>
      <c r="F96" s="82" t="s">
        <v>1745</v>
      </c>
      <c r="G96" s="82" t="s">
        <v>1746</v>
      </c>
      <c r="H96" s="234" t="s">
        <v>1864</v>
      </c>
      <c r="I96" s="295" t="s">
        <v>3131</v>
      </c>
      <c r="J96" s="285">
        <v>2</v>
      </c>
      <c r="K96" s="82" t="s">
        <v>586</v>
      </c>
      <c r="L96" s="235"/>
      <c r="M96" s="173">
        <v>54.9</v>
      </c>
      <c r="N96" s="173">
        <v>109.8</v>
      </c>
      <c r="O96" s="82" t="s">
        <v>1747</v>
      </c>
      <c r="P96" s="82" t="s">
        <v>1748</v>
      </c>
      <c r="Q96" s="173">
        <v>108</v>
      </c>
      <c r="R96" s="177">
        <f t="shared" si="7"/>
        <v>108</v>
      </c>
      <c r="S96" s="294" t="s">
        <v>3126</v>
      </c>
      <c r="T96" s="82" t="s">
        <v>1751</v>
      </c>
      <c r="U96" s="82"/>
      <c r="V96" s="82" t="s">
        <v>3136</v>
      </c>
      <c r="W96" s="261" t="s">
        <v>3535</v>
      </c>
      <c r="X96" s="261" t="s">
        <v>3540</v>
      </c>
    </row>
    <row r="97" spans="1:24" ht="15.75" thickBot="1" x14ac:dyDescent="0.3">
      <c r="A97" s="82" t="s">
        <v>4698</v>
      </c>
      <c r="B97" s="82" t="s">
        <v>4698</v>
      </c>
      <c r="C97" s="82" t="str">
        <f t="shared" si="6"/>
        <v>X</v>
      </c>
      <c r="D97" s="235">
        <v>2022</v>
      </c>
      <c r="E97" s="82" t="s">
        <v>1653</v>
      </c>
      <c r="F97" s="82" t="s">
        <v>1745</v>
      </c>
      <c r="G97" s="82" t="s">
        <v>1746</v>
      </c>
      <c r="H97" s="234" t="s">
        <v>1864</v>
      </c>
      <c r="I97" s="295" t="s">
        <v>3131</v>
      </c>
      <c r="J97" s="285">
        <v>2</v>
      </c>
      <c r="K97" s="82" t="s">
        <v>586</v>
      </c>
      <c r="L97" s="235"/>
      <c r="M97" s="173">
        <v>54.9</v>
      </c>
      <c r="N97" s="173">
        <v>109.8</v>
      </c>
      <c r="O97" s="82" t="s">
        <v>1747</v>
      </c>
      <c r="P97" s="82" t="s">
        <v>1748</v>
      </c>
      <c r="Q97" s="173">
        <v>108</v>
      </c>
      <c r="R97" s="177">
        <f t="shared" si="7"/>
        <v>108</v>
      </c>
      <c r="S97" s="294" t="s">
        <v>3126</v>
      </c>
      <c r="T97" s="82" t="s">
        <v>1751</v>
      </c>
      <c r="U97" s="82"/>
      <c r="V97" s="82" t="s">
        <v>3136</v>
      </c>
      <c r="W97" s="261" t="s">
        <v>3535</v>
      </c>
      <c r="X97" s="261" t="s">
        <v>3540</v>
      </c>
    </row>
    <row r="98" spans="1:24" ht="15.75" thickBot="1" x14ac:dyDescent="0.3">
      <c r="A98" s="82" t="s">
        <v>4698</v>
      </c>
      <c r="B98" s="82" t="s">
        <v>4698</v>
      </c>
      <c r="C98" s="82" t="str">
        <f t="shared" si="6"/>
        <v>X</v>
      </c>
      <c r="D98" s="235">
        <v>2022</v>
      </c>
      <c r="E98" s="82" t="s">
        <v>1653</v>
      </c>
      <c r="F98" s="82" t="s">
        <v>1745</v>
      </c>
      <c r="G98" s="82" t="s">
        <v>1746</v>
      </c>
      <c r="H98" s="234" t="s">
        <v>1864</v>
      </c>
      <c r="I98" s="295" t="s">
        <v>3131</v>
      </c>
      <c r="J98" s="285">
        <v>2</v>
      </c>
      <c r="K98" s="82" t="s">
        <v>586</v>
      </c>
      <c r="L98" s="235"/>
      <c r="M98" s="173">
        <v>54.9</v>
      </c>
      <c r="N98" s="173">
        <v>109.8</v>
      </c>
      <c r="O98" s="82" t="s">
        <v>1747</v>
      </c>
      <c r="P98" s="82" t="s">
        <v>1748</v>
      </c>
      <c r="Q98" s="173">
        <v>108</v>
      </c>
      <c r="R98" s="177">
        <f t="shared" si="7"/>
        <v>108</v>
      </c>
      <c r="S98" s="294" t="s">
        <v>3126</v>
      </c>
      <c r="T98" s="82" t="s">
        <v>1751</v>
      </c>
      <c r="U98" s="82"/>
      <c r="V98" s="82" t="s">
        <v>3136</v>
      </c>
      <c r="W98" s="261" t="s">
        <v>3535</v>
      </c>
      <c r="X98" s="261" t="s">
        <v>3540</v>
      </c>
    </row>
    <row r="99" spans="1:24" ht="15.75" thickBot="1" x14ac:dyDescent="0.3">
      <c r="A99" s="82" t="s">
        <v>4698</v>
      </c>
      <c r="B99" s="82" t="s">
        <v>4698</v>
      </c>
      <c r="C99" s="82" t="str">
        <f t="shared" si="6"/>
        <v>X</v>
      </c>
      <c r="D99" s="235">
        <v>2022</v>
      </c>
      <c r="E99" s="82" t="s">
        <v>1653</v>
      </c>
      <c r="F99" s="82" t="s">
        <v>1745</v>
      </c>
      <c r="G99" s="82" t="s">
        <v>1746</v>
      </c>
      <c r="H99" s="234" t="s">
        <v>1864</v>
      </c>
      <c r="I99" s="295" t="s">
        <v>3131</v>
      </c>
      <c r="J99" s="123">
        <v>2</v>
      </c>
      <c r="K99" s="82" t="s">
        <v>586</v>
      </c>
      <c r="L99" s="235"/>
      <c r="M99" s="173">
        <v>54.9</v>
      </c>
      <c r="N99" s="173">
        <v>109.8</v>
      </c>
      <c r="O99" s="82" t="s">
        <v>1747</v>
      </c>
      <c r="P99" s="82" t="s">
        <v>1748</v>
      </c>
      <c r="Q99" s="173">
        <v>108</v>
      </c>
      <c r="R99" s="177">
        <f t="shared" si="7"/>
        <v>108</v>
      </c>
      <c r="S99" s="294" t="s">
        <v>3126</v>
      </c>
      <c r="T99" s="83" t="s">
        <v>1751</v>
      </c>
      <c r="U99" s="82"/>
      <c r="V99" s="82" t="s">
        <v>3136</v>
      </c>
      <c r="W99" s="261" t="s">
        <v>3535</v>
      </c>
      <c r="X99" s="261" t="s">
        <v>3540</v>
      </c>
    </row>
    <row r="100" spans="1:24" ht="15.75" thickBot="1" x14ac:dyDescent="0.3">
      <c r="A100" s="82" t="s">
        <v>4698</v>
      </c>
      <c r="B100" s="82" t="s">
        <v>4698</v>
      </c>
      <c r="C100" s="82" t="str">
        <f t="shared" si="6"/>
        <v>X</v>
      </c>
      <c r="D100" s="235">
        <v>2022</v>
      </c>
      <c r="E100" s="82" t="s">
        <v>1653</v>
      </c>
      <c r="F100" s="82" t="s">
        <v>1745</v>
      </c>
      <c r="G100" s="82" t="s">
        <v>1746</v>
      </c>
      <c r="H100" s="234" t="s">
        <v>1864</v>
      </c>
      <c r="I100" s="295" t="s">
        <v>3131</v>
      </c>
      <c r="J100" s="123">
        <v>2</v>
      </c>
      <c r="K100" s="82" t="s">
        <v>586</v>
      </c>
      <c r="L100" s="235"/>
      <c r="M100" s="175">
        <v>54.9</v>
      </c>
      <c r="N100" s="173">
        <v>109.8</v>
      </c>
      <c r="O100" s="82" t="s">
        <v>1747</v>
      </c>
      <c r="P100" s="82" t="s">
        <v>1748</v>
      </c>
      <c r="Q100" s="173">
        <v>108</v>
      </c>
      <c r="R100" s="177">
        <f t="shared" si="7"/>
        <v>108</v>
      </c>
      <c r="S100" s="294" t="s">
        <v>3126</v>
      </c>
      <c r="T100" s="83" t="s">
        <v>1751</v>
      </c>
      <c r="U100" s="82"/>
      <c r="V100" s="82" t="s">
        <v>3136</v>
      </c>
      <c r="W100" s="261" t="s">
        <v>3535</v>
      </c>
      <c r="X100" s="261" t="s">
        <v>3540</v>
      </c>
    </row>
    <row r="101" spans="1:24" ht="15.75" thickBot="1" x14ac:dyDescent="0.3">
      <c r="A101" s="82" t="s">
        <v>4698</v>
      </c>
      <c r="B101" s="82" t="s">
        <v>4698</v>
      </c>
      <c r="C101" s="82" t="str">
        <f t="shared" si="6"/>
        <v>X</v>
      </c>
      <c r="D101" s="235">
        <v>2022</v>
      </c>
      <c r="E101" s="82" t="s">
        <v>1653</v>
      </c>
      <c r="F101" s="82" t="s">
        <v>1745</v>
      </c>
      <c r="G101" s="82" t="s">
        <v>1746</v>
      </c>
      <c r="H101" s="234" t="s">
        <v>1864</v>
      </c>
      <c r="I101" s="295" t="s">
        <v>3131</v>
      </c>
      <c r="J101" s="123">
        <v>6</v>
      </c>
      <c r="K101" s="82" t="s">
        <v>586</v>
      </c>
      <c r="L101" s="235"/>
      <c r="M101" s="175">
        <v>54.9</v>
      </c>
      <c r="N101" s="173">
        <v>329.4</v>
      </c>
      <c r="O101" s="82" t="s">
        <v>1747</v>
      </c>
      <c r="P101" s="82" t="s">
        <v>1748</v>
      </c>
      <c r="Q101" s="173">
        <v>108</v>
      </c>
      <c r="R101" s="177">
        <f t="shared" si="7"/>
        <v>108</v>
      </c>
      <c r="S101" s="294" t="s">
        <v>3126</v>
      </c>
      <c r="T101" s="83" t="s">
        <v>1751</v>
      </c>
      <c r="U101" s="82"/>
      <c r="V101" s="82" t="s">
        <v>3136</v>
      </c>
      <c r="W101" s="261" t="s">
        <v>3535</v>
      </c>
      <c r="X101" s="261" t="s">
        <v>3540</v>
      </c>
    </row>
    <row r="102" spans="1:24" ht="15.75" thickBot="1" x14ac:dyDescent="0.3">
      <c r="A102" s="82" t="s">
        <v>4698</v>
      </c>
      <c r="B102" s="82" t="s">
        <v>4698</v>
      </c>
      <c r="C102" s="82" t="str">
        <f t="shared" si="6"/>
        <v>X</v>
      </c>
      <c r="D102" s="235">
        <v>2022</v>
      </c>
      <c r="E102" s="82" t="s">
        <v>1653</v>
      </c>
      <c r="F102" s="82" t="s">
        <v>1745</v>
      </c>
      <c r="G102" s="82" t="s">
        <v>1746</v>
      </c>
      <c r="H102" s="234" t="s">
        <v>1864</v>
      </c>
      <c r="I102" s="295" t="s">
        <v>3131</v>
      </c>
      <c r="J102" s="123">
        <v>6</v>
      </c>
      <c r="K102" s="82" t="s">
        <v>586</v>
      </c>
      <c r="L102" s="235"/>
      <c r="M102" s="175">
        <v>54.9</v>
      </c>
      <c r="N102" s="173">
        <v>329.4</v>
      </c>
      <c r="O102" s="82" t="s">
        <v>1747</v>
      </c>
      <c r="P102" s="82" t="s">
        <v>1748</v>
      </c>
      <c r="Q102" s="173">
        <v>108</v>
      </c>
      <c r="R102" s="177">
        <f t="shared" si="7"/>
        <v>108</v>
      </c>
      <c r="S102" s="294" t="s">
        <v>3126</v>
      </c>
      <c r="T102" s="83" t="s">
        <v>1751</v>
      </c>
      <c r="U102" s="82"/>
      <c r="V102" s="82" t="s">
        <v>3136</v>
      </c>
      <c r="W102" s="261" t="s">
        <v>3535</v>
      </c>
      <c r="X102" s="261" t="s">
        <v>3540</v>
      </c>
    </row>
    <row r="103" spans="1:24" ht="15.75" thickBot="1" x14ac:dyDescent="0.3">
      <c r="A103" s="82" t="s">
        <v>4698</v>
      </c>
      <c r="B103" s="82" t="s">
        <v>4698</v>
      </c>
      <c r="C103" s="82" t="str">
        <f t="shared" si="6"/>
        <v>X</v>
      </c>
      <c r="D103" s="235">
        <v>2022</v>
      </c>
      <c r="E103" s="82" t="s">
        <v>1653</v>
      </c>
      <c r="F103" s="82" t="s">
        <v>1745</v>
      </c>
      <c r="G103" s="82" t="s">
        <v>1746</v>
      </c>
      <c r="H103" s="234" t="s">
        <v>1864</v>
      </c>
      <c r="I103" s="295" t="s">
        <v>3131</v>
      </c>
      <c r="J103" s="123">
        <v>6</v>
      </c>
      <c r="K103" s="82" t="s">
        <v>586</v>
      </c>
      <c r="L103" s="235"/>
      <c r="M103" s="175">
        <v>54.9</v>
      </c>
      <c r="N103" s="173">
        <v>329.4</v>
      </c>
      <c r="O103" s="82" t="s">
        <v>1747</v>
      </c>
      <c r="P103" s="82" t="s">
        <v>1748</v>
      </c>
      <c r="Q103" s="173">
        <v>108</v>
      </c>
      <c r="R103" s="177">
        <f t="shared" si="7"/>
        <v>108</v>
      </c>
      <c r="S103" s="294" t="s">
        <v>3126</v>
      </c>
      <c r="T103" s="83" t="s">
        <v>1751</v>
      </c>
      <c r="U103" s="82"/>
      <c r="V103" s="82" t="s">
        <v>3136</v>
      </c>
      <c r="W103" s="261" t="s">
        <v>3535</v>
      </c>
      <c r="X103" s="261" t="s">
        <v>3540</v>
      </c>
    </row>
    <row r="104" spans="1:24" ht="15.75" thickBot="1" x14ac:dyDescent="0.3">
      <c r="A104" s="82" t="s">
        <v>4697</v>
      </c>
      <c r="B104" s="82" t="s">
        <v>4697</v>
      </c>
      <c r="C104" s="82" t="str">
        <f t="shared" si="6"/>
        <v>X</v>
      </c>
      <c r="D104" s="235">
        <v>2022</v>
      </c>
      <c r="E104" s="82" t="s">
        <v>1653</v>
      </c>
      <c r="F104" s="82" t="s">
        <v>1745</v>
      </c>
      <c r="G104" s="82" t="s">
        <v>1746</v>
      </c>
      <c r="H104" s="234" t="s">
        <v>1864</v>
      </c>
      <c r="I104" s="295" t="s">
        <v>3131</v>
      </c>
      <c r="J104" s="123">
        <v>4</v>
      </c>
      <c r="K104" s="82" t="s">
        <v>586</v>
      </c>
      <c r="L104" s="235"/>
      <c r="M104" s="175">
        <v>54.9</v>
      </c>
      <c r="N104" s="173">
        <v>219.6</v>
      </c>
      <c r="O104" s="82" t="s">
        <v>1747</v>
      </c>
      <c r="P104" s="82" t="s">
        <v>1748</v>
      </c>
      <c r="Q104" s="173">
        <v>77</v>
      </c>
      <c r="R104" s="177">
        <f t="shared" si="7"/>
        <v>77</v>
      </c>
      <c r="S104" s="294" t="s">
        <v>3126</v>
      </c>
      <c r="T104" s="83" t="s">
        <v>1751</v>
      </c>
      <c r="U104" s="82"/>
      <c r="V104" s="82" t="s">
        <v>3136</v>
      </c>
      <c r="W104" s="261" t="s">
        <v>3535</v>
      </c>
      <c r="X104" s="261" t="s">
        <v>3540</v>
      </c>
    </row>
    <row r="105" spans="1:24" ht="15.75" thickBot="1" x14ac:dyDescent="0.3">
      <c r="A105" s="82" t="s">
        <v>4697</v>
      </c>
      <c r="B105" s="82" t="s">
        <v>4697</v>
      </c>
      <c r="C105" s="82" t="str">
        <f t="shared" si="6"/>
        <v>X</v>
      </c>
      <c r="D105" s="235">
        <v>2022</v>
      </c>
      <c r="E105" s="82" t="s">
        <v>1653</v>
      </c>
      <c r="F105" s="82" t="s">
        <v>1745</v>
      </c>
      <c r="G105" s="82" t="s">
        <v>1746</v>
      </c>
      <c r="H105" s="234" t="s">
        <v>1864</v>
      </c>
      <c r="I105" s="295" t="s">
        <v>3131</v>
      </c>
      <c r="J105" s="123">
        <v>4</v>
      </c>
      <c r="K105" s="82" t="s">
        <v>586</v>
      </c>
      <c r="L105" s="235"/>
      <c r="M105" s="175">
        <v>54.9</v>
      </c>
      <c r="N105" s="173">
        <v>219.6</v>
      </c>
      <c r="O105" s="82" t="s">
        <v>1747</v>
      </c>
      <c r="P105" s="82" t="s">
        <v>1748</v>
      </c>
      <c r="Q105" s="173">
        <v>77</v>
      </c>
      <c r="R105" s="177">
        <f t="shared" si="7"/>
        <v>77</v>
      </c>
      <c r="S105" s="294" t="s">
        <v>3126</v>
      </c>
      <c r="T105" s="83" t="s">
        <v>1751</v>
      </c>
      <c r="U105" s="82"/>
      <c r="V105" s="82" t="s">
        <v>3136</v>
      </c>
      <c r="W105" s="261" t="s">
        <v>3535</v>
      </c>
      <c r="X105" s="261" t="s">
        <v>3540</v>
      </c>
    </row>
    <row r="106" spans="1:24" ht="15.75" thickBot="1" x14ac:dyDescent="0.3">
      <c r="A106" s="82" t="s">
        <v>4697</v>
      </c>
      <c r="B106" s="82" t="s">
        <v>4697</v>
      </c>
      <c r="C106" s="82" t="str">
        <f t="shared" si="6"/>
        <v>X</v>
      </c>
      <c r="D106" s="235">
        <v>2022</v>
      </c>
      <c r="E106" s="82" t="s">
        <v>1653</v>
      </c>
      <c r="F106" s="82" t="s">
        <v>1745</v>
      </c>
      <c r="G106" s="82" t="s">
        <v>1746</v>
      </c>
      <c r="H106" s="234" t="s">
        <v>1864</v>
      </c>
      <c r="I106" s="295" t="s">
        <v>3131</v>
      </c>
      <c r="J106" s="123">
        <v>4</v>
      </c>
      <c r="K106" s="82" t="s">
        <v>586</v>
      </c>
      <c r="L106" s="235"/>
      <c r="M106" s="175">
        <v>54.9</v>
      </c>
      <c r="N106" s="173">
        <v>219.6</v>
      </c>
      <c r="O106" s="82" t="s">
        <v>1747</v>
      </c>
      <c r="P106" s="82" t="s">
        <v>1748</v>
      </c>
      <c r="Q106" s="173">
        <v>77</v>
      </c>
      <c r="R106" s="177">
        <f t="shared" si="7"/>
        <v>77</v>
      </c>
      <c r="S106" s="294" t="s">
        <v>3126</v>
      </c>
      <c r="T106" s="83" t="s">
        <v>1751</v>
      </c>
      <c r="U106" s="82"/>
      <c r="V106" s="82" t="s">
        <v>3136</v>
      </c>
      <c r="W106" s="261" t="s">
        <v>3535</v>
      </c>
      <c r="X106" s="261" t="s">
        <v>3540</v>
      </c>
    </row>
    <row r="107" spans="1:24" ht="15.75" thickBot="1" x14ac:dyDescent="0.3">
      <c r="A107" s="82" t="s">
        <v>4697</v>
      </c>
      <c r="B107" s="82" t="s">
        <v>4697</v>
      </c>
      <c r="C107" s="82" t="str">
        <f t="shared" si="6"/>
        <v>X</v>
      </c>
      <c r="D107" s="235">
        <v>2022</v>
      </c>
      <c r="E107" s="82" t="s">
        <v>1653</v>
      </c>
      <c r="F107" s="82" t="s">
        <v>1745</v>
      </c>
      <c r="G107" s="82" t="s">
        <v>1746</v>
      </c>
      <c r="H107" s="234" t="s">
        <v>1864</v>
      </c>
      <c r="I107" s="295" t="s">
        <v>3131</v>
      </c>
      <c r="J107" s="123">
        <v>4</v>
      </c>
      <c r="K107" s="82" t="s">
        <v>586</v>
      </c>
      <c r="L107" s="235"/>
      <c r="M107" s="175">
        <v>54.9</v>
      </c>
      <c r="N107" s="173">
        <v>219.6</v>
      </c>
      <c r="O107" s="82" t="s">
        <v>1747</v>
      </c>
      <c r="P107" s="82" t="s">
        <v>1748</v>
      </c>
      <c r="Q107" s="173">
        <v>77</v>
      </c>
      <c r="R107" s="177">
        <f t="shared" si="7"/>
        <v>77</v>
      </c>
      <c r="S107" s="294" t="s">
        <v>3126</v>
      </c>
      <c r="T107" s="83" t="s">
        <v>1751</v>
      </c>
      <c r="U107" s="82"/>
      <c r="V107" s="82" t="s">
        <v>3136</v>
      </c>
      <c r="W107" s="261" t="s">
        <v>3535</v>
      </c>
      <c r="X107" s="261" t="s">
        <v>3540</v>
      </c>
    </row>
    <row r="108" spans="1:24" ht="15.75" thickBot="1" x14ac:dyDescent="0.3">
      <c r="A108" s="82" t="s">
        <v>4697</v>
      </c>
      <c r="B108" s="82" t="s">
        <v>4697</v>
      </c>
      <c r="C108" s="82" t="str">
        <f t="shared" si="6"/>
        <v>X</v>
      </c>
      <c r="D108" s="235">
        <v>2022</v>
      </c>
      <c r="E108" s="82" t="s">
        <v>1653</v>
      </c>
      <c r="F108" s="82" t="s">
        <v>1745</v>
      </c>
      <c r="G108" s="82" t="s">
        <v>1746</v>
      </c>
      <c r="H108" s="234" t="s">
        <v>1864</v>
      </c>
      <c r="I108" s="295" t="s">
        <v>3131</v>
      </c>
      <c r="J108" s="123">
        <v>2</v>
      </c>
      <c r="K108" s="82" t="s">
        <v>586</v>
      </c>
      <c r="L108" s="235"/>
      <c r="M108" s="175">
        <v>54.9</v>
      </c>
      <c r="N108" s="173">
        <v>109.8</v>
      </c>
      <c r="O108" s="82" t="s">
        <v>1747</v>
      </c>
      <c r="P108" s="82" t="s">
        <v>1748</v>
      </c>
      <c r="Q108" s="173">
        <v>77</v>
      </c>
      <c r="R108" s="177">
        <f t="shared" si="7"/>
        <v>77</v>
      </c>
      <c r="S108" s="294" t="s">
        <v>3126</v>
      </c>
      <c r="T108" s="83" t="s">
        <v>1751</v>
      </c>
      <c r="U108" s="82"/>
      <c r="V108" s="82" t="s">
        <v>3136</v>
      </c>
      <c r="W108" s="261" t="s">
        <v>3535</v>
      </c>
      <c r="X108" s="261" t="s">
        <v>3540</v>
      </c>
    </row>
    <row r="109" spans="1:24" ht="15.75" thickBot="1" x14ac:dyDescent="0.3">
      <c r="A109" s="82" t="s">
        <v>4697</v>
      </c>
      <c r="B109" s="82" t="s">
        <v>4697</v>
      </c>
      <c r="C109" s="82" t="str">
        <f t="shared" si="6"/>
        <v>X</v>
      </c>
      <c r="D109" s="235">
        <v>2022</v>
      </c>
      <c r="E109" s="82" t="s">
        <v>1653</v>
      </c>
      <c r="F109" s="82" t="s">
        <v>1745</v>
      </c>
      <c r="G109" s="82" t="s">
        <v>1746</v>
      </c>
      <c r="H109" s="234" t="s">
        <v>1864</v>
      </c>
      <c r="I109" s="295" t="s">
        <v>3131</v>
      </c>
      <c r="J109" s="123">
        <v>2</v>
      </c>
      <c r="K109" s="82" t="s">
        <v>586</v>
      </c>
      <c r="L109" s="235"/>
      <c r="M109" s="175">
        <v>54.9</v>
      </c>
      <c r="N109" s="173">
        <v>109.8</v>
      </c>
      <c r="O109" s="82" t="s">
        <v>1747</v>
      </c>
      <c r="P109" s="82" t="s">
        <v>1748</v>
      </c>
      <c r="Q109" s="173">
        <v>77</v>
      </c>
      <c r="R109" s="177">
        <f t="shared" si="7"/>
        <v>77</v>
      </c>
      <c r="S109" s="294" t="s">
        <v>3126</v>
      </c>
      <c r="T109" s="83" t="s">
        <v>1751</v>
      </c>
      <c r="U109" s="82"/>
      <c r="V109" s="82" t="s">
        <v>3136</v>
      </c>
      <c r="W109" s="261" t="s">
        <v>3535</v>
      </c>
      <c r="X109" s="261" t="s">
        <v>3540</v>
      </c>
    </row>
    <row r="110" spans="1:24" ht="15.75" thickBot="1" x14ac:dyDescent="0.3">
      <c r="A110" s="82" t="s">
        <v>4697</v>
      </c>
      <c r="B110" s="82" t="s">
        <v>4697</v>
      </c>
      <c r="C110" s="82" t="str">
        <f t="shared" si="6"/>
        <v>X</v>
      </c>
      <c r="D110" s="235">
        <v>2022</v>
      </c>
      <c r="E110" s="82" t="s">
        <v>1653</v>
      </c>
      <c r="F110" s="82" t="s">
        <v>1745</v>
      </c>
      <c r="G110" s="82" t="s">
        <v>1746</v>
      </c>
      <c r="H110" s="234" t="s">
        <v>1864</v>
      </c>
      <c r="I110" s="295" t="s">
        <v>3131</v>
      </c>
      <c r="J110" s="123">
        <v>2</v>
      </c>
      <c r="K110" s="82" t="s">
        <v>586</v>
      </c>
      <c r="L110" s="235"/>
      <c r="M110" s="175">
        <v>54.9</v>
      </c>
      <c r="N110" s="173">
        <v>109.8</v>
      </c>
      <c r="O110" s="82" t="s">
        <v>1747</v>
      </c>
      <c r="P110" s="82" t="s">
        <v>1748</v>
      </c>
      <c r="Q110" s="173">
        <v>77</v>
      </c>
      <c r="R110" s="177">
        <f t="shared" si="7"/>
        <v>77</v>
      </c>
      <c r="S110" s="294" t="s">
        <v>3126</v>
      </c>
      <c r="T110" s="83" t="s">
        <v>1751</v>
      </c>
      <c r="U110" s="82"/>
      <c r="V110" s="82" t="s">
        <v>3136</v>
      </c>
      <c r="W110" s="261" t="s">
        <v>3535</v>
      </c>
      <c r="X110" s="261" t="s">
        <v>3540</v>
      </c>
    </row>
    <row r="111" spans="1:24" ht="15.75" thickBot="1" x14ac:dyDescent="0.3">
      <c r="A111" s="82" t="s">
        <v>4697</v>
      </c>
      <c r="B111" s="82" t="s">
        <v>4697</v>
      </c>
      <c r="C111" s="82" t="str">
        <f t="shared" si="6"/>
        <v>X</v>
      </c>
      <c r="D111" s="235">
        <v>2022</v>
      </c>
      <c r="E111" s="82" t="s">
        <v>1653</v>
      </c>
      <c r="F111" s="82" t="s">
        <v>1745</v>
      </c>
      <c r="G111" s="82" t="s">
        <v>1746</v>
      </c>
      <c r="H111" s="234" t="s">
        <v>1864</v>
      </c>
      <c r="I111" s="295" t="s">
        <v>3131</v>
      </c>
      <c r="J111" s="123">
        <v>2</v>
      </c>
      <c r="K111" s="82" t="s">
        <v>586</v>
      </c>
      <c r="L111" s="235"/>
      <c r="M111" s="175">
        <v>54.9</v>
      </c>
      <c r="N111" s="173">
        <v>109.8</v>
      </c>
      <c r="O111" s="82" t="s">
        <v>1747</v>
      </c>
      <c r="P111" s="82" t="s">
        <v>1748</v>
      </c>
      <c r="Q111" s="173">
        <v>77</v>
      </c>
      <c r="R111" s="177">
        <f t="shared" si="7"/>
        <v>77</v>
      </c>
      <c r="S111" s="294" t="s">
        <v>3126</v>
      </c>
      <c r="T111" s="83" t="s">
        <v>1751</v>
      </c>
      <c r="U111" s="82"/>
      <c r="V111" s="82" t="s">
        <v>3136</v>
      </c>
      <c r="W111" s="261" t="s">
        <v>3535</v>
      </c>
      <c r="X111" s="261" t="s">
        <v>3540</v>
      </c>
    </row>
    <row r="112" spans="1:24" ht="15.75" thickBot="1" x14ac:dyDescent="0.3">
      <c r="A112" s="82" t="s">
        <v>4697</v>
      </c>
      <c r="B112" s="82" t="s">
        <v>4697</v>
      </c>
      <c r="C112" s="82" t="str">
        <f t="shared" si="6"/>
        <v>X</v>
      </c>
      <c r="D112" s="235">
        <v>2022</v>
      </c>
      <c r="E112" s="82" t="s">
        <v>1653</v>
      </c>
      <c r="F112" s="82" t="s">
        <v>1745</v>
      </c>
      <c r="G112" s="82" t="s">
        <v>1746</v>
      </c>
      <c r="H112" s="234" t="s">
        <v>1864</v>
      </c>
      <c r="I112" s="295" t="s">
        <v>3131</v>
      </c>
      <c r="J112" s="123">
        <v>2</v>
      </c>
      <c r="K112" s="82" t="s">
        <v>586</v>
      </c>
      <c r="L112" s="235"/>
      <c r="M112" s="175">
        <v>54.9</v>
      </c>
      <c r="N112" s="173">
        <v>109.8</v>
      </c>
      <c r="O112" s="82" t="s">
        <v>1747</v>
      </c>
      <c r="P112" s="82" t="s">
        <v>1748</v>
      </c>
      <c r="Q112" s="173">
        <v>77</v>
      </c>
      <c r="R112" s="177">
        <f t="shared" si="7"/>
        <v>77</v>
      </c>
      <c r="S112" s="294" t="s">
        <v>3126</v>
      </c>
      <c r="T112" s="83" t="s">
        <v>1751</v>
      </c>
      <c r="U112" s="82"/>
      <c r="V112" s="82" t="s">
        <v>3136</v>
      </c>
      <c r="W112" s="261" t="s">
        <v>3535</v>
      </c>
      <c r="X112" s="261" t="s">
        <v>3540</v>
      </c>
    </row>
    <row r="113" spans="1:24" ht="15.75" thickBot="1" x14ac:dyDescent="0.3">
      <c r="A113" s="82" t="s">
        <v>4697</v>
      </c>
      <c r="B113" s="82" t="s">
        <v>4697</v>
      </c>
      <c r="C113" s="82" t="str">
        <f t="shared" si="6"/>
        <v>X</v>
      </c>
      <c r="D113" s="235">
        <v>2022</v>
      </c>
      <c r="E113" s="82" t="s">
        <v>1653</v>
      </c>
      <c r="F113" s="82" t="s">
        <v>1745</v>
      </c>
      <c r="G113" s="82" t="s">
        <v>1746</v>
      </c>
      <c r="H113" s="234" t="s">
        <v>1864</v>
      </c>
      <c r="I113" s="295" t="s">
        <v>3131</v>
      </c>
      <c r="J113" s="123">
        <v>6</v>
      </c>
      <c r="K113" s="82" t="s">
        <v>586</v>
      </c>
      <c r="L113" s="235"/>
      <c r="M113" s="175">
        <v>54.9</v>
      </c>
      <c r="N113" s="173">
        <v>329.4</v>
      </c>
      <c r="O113" s="82" t="s">
        <v>1747</v>
      </c>
      <c r="P113" s="82" t="s">
        <v>1748</v>
      </c>
      <c r="Q113" s="173">
        <v>77</v>
      </c>
      <c r="R113" s="177">
        <f t="shared" si="7"/>
        <v>77</v>
      </c>
      <c r="S113" s="294" t="s">
        <v>3126</v>
      </c>
      <c r="T113" s="83" t="s">
        <v>1751</v>
      </c>
      <c r="U113" s="82"/>
      <c r="V113" s="82" t="s">
        <v>3136</v>
      </c>
      <c r="W113" s="261" t="s">
        <v>3535</v>
      </c>
      <c r="X113" s="261" t="s">
        <v>3540</v>
      </c>
    </row>
    <row r="114" spans="1:24" ht="15.75" thickBot="1" x14ac:dyDescent="0.3">
      <c r="A114" s="82" t="s">
        <v>4697</v>
      </c>
      <c r="B114" s="82" t="s">
        <v>4697</v>
      </c>
      <c r="C114" s="82" t="str">
        <f t="shared" si="6"/>
        <v>X</v>
      </c>
      <c r="D114" s="235">
        <v>2022</v>
      </c>
      <c r="E114" s="82" t="s">
        <v>1653</v>
      </c>
      <c r="F114" s="82" t="s">
        <v>1745</v>
      </c>
      <c r="G114" s="82" t="s">
        <v>1746</v>
      </c>
      <c r="H114" s="234" t="s">
        <v>1864</v>
      </c>
      <c r="I114" s="295" t="s">
        <v>3131</v>
      </c>
      <c r="J114" s="123">
        <v>6</v>
      </c>
      <c r="K114" s="82" t="s">
        <v>586</v>
      </c>
      <c r="L114" s="235"/>
      <c r="M114" s="175">
        <v>54.9</v>
      </c>
      <c r="N114" s="173">
        <v>329.4</v>
      </c>
      <c r="O114" s="82" t="s">
        <v>1747</v>
      </c>
      <c r="P114" s="82" t="s">
        <v>1748</v>
      </c>
      <c r="Q114" s="173">
        <v>77</v>
      </c>
      <c r="R114" s="177">
        <f t="shared" si="7"/>
        <v>77</v>
      </c>
      <c r="S114" s="294" t="s">
        <v>3126</v>
      </c>
      <c r="T114" s="83" t="s">
        <v>1751</v>
      </c>
      <c r="U114" s="82"/>
      <c r="V114" s="82" t="s">
        <v>3136</v>
      </c>
      <c r="W114" s="261" t="s">
        <v>3535</v>
      </c>
      <c r="X114" s="261" t="s">
        <v>3540</v>
      </c>
    </row>
    <row r="115" spans="1:24" ht="15.75" thickBot="1" x14ac:dyDescent="0.3">
      <c r="A115" s="82" t="s">
        <v>4697</v>
      </c>
      <c r="B115" s="82" t="s">
        <v>4697</v>
      </c>
      <c r="C115" s="82" t="str">
        <f t="shared" si="6"/>
        <v>X</v>
      </c>
      <c r="D115" s="235">
        <v>2022</v>
      </c>
      <c r="E115" s="82" t="s">
        <v>1653</v>
      </c>
      <c r="F115" s="82" t="s">
        <v>1745</v>
      </c>
      <c r="G115" s="82" t="s">
        <v>1746</v>
      </c>
      <c r="H115" s="234" t="s">
        <v>1864</v>
      </c>
      <c r="I115" s="295" t="s">
        <v>3131</v>
      </c>
      <c r="J115" s="123">
        <v>6</v>
      </c>
      <c r="K115" s="82" t="s">
        <v>586</v>
      </c>
      <c r="L115" s="235"/>
      <c r="M115" s="175">
        <v>54.9</v>
      </c>
      <c r="N115" s="173">
        <v>329.4</v>
      </c>
      <c r="O115" s="82" t="s">
        <v>1747</v>
      </c>
      <c r="P115" s="82" t="s">
        <v>1748</v>
      </c>
      <c r="Q115" s="173">
        <v>77</v>
      </c>
      <c r="R115" s="177">
        <f t="shared" si="7"/>
        <v>77</v>
      </c>
      <c r="S115" s="294" t="s">
        <v>3126</v>
      </c>
      <c r="T115" s="83" t="s">
        <v>1751</v>
      </c>
      <c r="U115" s="82"/>
      <c r="V115" s="82" t="s">
        <v>3136</v>
      </c>
      <c r="W115" s="261" t="s">
        <v>3535</v>
      </c>
      <c r="X115" s="261" t="s">
        <v>3540</v>
      </c>
    </row>
    <row r="116" spans="1:24" ht="15.75" thickBot="1" x14ac:dyDescent="0.3">
      <c r="A116" s="82" t="s">
        <v>4697</v>
      </c>
      <c r="B116" s="82" t="s">
        <v>4697</v>
      </c>
      <c r="C116" s="82" t="str">
        <f t="shared" si="6"/>
        <v>X</v>
      </c>
      <c r="D116" s="235">
        <v>2022</v>
      </c>
      <c r="E116" s="82" t="s">
        <v>1653</v>
      </c>
      <c r="F116" s="82" t="s">
        <v>1745</v>
      </c>
      <c r="G116" s="82" t="s">
        <v>1746</v>
      </c>
      <c r="H116" s="234" t="s">
        <v>1864</v>
      </c>
      <c r="I116" s="295" t="s">
        <v>3131</v>
      </c>
      <c r="J116" s="123">
        <v>6</v>
      </c>
      <c r="K116" s="82" t="s">
        <v>586</v>
      </c>
      <c r="L116" s="235"/>
      <c r="M116" s="175">
        <v>54.9</v>
      </c>
      <c r="N116" s="173">
        <v>329.4</v>
      </c>
      <c r="O116" s="82" t="s">
        <v>1747</v>
      </c>
      <c r="P116" s="82" t="s">
        <v>1748</v>
      </c>
      <c r="Q116" s="173">
        <v>77</v>
      </c>
      <c r="R116" s="177">
        <f t="shared" si="7"/>
        <v>77</v>
      </c>
      <c r="S116" s="294" t="s">
        <v>3126</v>
      </c>
      <c r="T116" s="83" t="s">
        <v>1751</v>
      </c>
      <c r="U116" s="82"/>
      <c r="V116" s="82" t="s">
        <v>3136</v>
      </c>
      <c r="W116" s="261" t="s">
        <v>3535</v>
      </c>
      <c r="X116" s="261" t="s">
        <v>3540</v>
      </c>
    </row>
    <row r="117" spans="1:24" ht="15.75" thickBot="1" x14ac:dyDescent="0.3">
      <c r="A117" s="82" t="s">
        <v>4697</v>
      </c>
      <c r="B117" s="82" t="s">
        <v>4697</v>
      </c>
      <c r="C117" s="82" t="str">
        <f t="shared" si="6"/>
        <v>X</v>
      </c>
      <c r="D117" s="235">
        <v>2022</v>
      </c>
      <c r="E117" s="82" t="s">
        <v>1653</v>
      </c>
      <c r="F117" s="82" t="s">
        <v>1745</v>
      </c>
      <c r="G117" s="82" t="s">
        <v>1746</v>
      </c>
      <c r="H117" s="234" t="s">
        <v>1864</v>
      </c>
      <c r="I117" s="295" t="s">
        <v>3131</v>
      </c>
      <c r="J117" s="123">
        <v>1</v>
      </c>
      <c r="K117" s="82" t="s">
        <v>586</v>
      </c>
      <c r="L117" s="235"/>
      <c r="M117" s="175">
        <v>54.9</v>
      </c>
      <c r="N117" s="173">
        <v>54.9</v>
      </c>
      <c r="O117" s="82" t="s">
        <v>1747</v>
      </c>
      <c r="P117" s="82" t="s">
        <v>1748</v>
      </c>
      <c r="Q117" s="173">
        <v>77</v>
      </c>
      <c r="R117" s="177">
        <f t="shared" si="7"/>
        <v>77</v>
      </c>
      <c r="S117" s="294" t="s">
        <v>3126</v>
      </c>
      <c r="T117" s="83" t="s">
        <v>1751</v>
      </c>
      <c r="U117" s="82"/>
      <c r="V117" s="82" t="s">
        <v>3136</v>
      </c>
      <c r="W117" s="261" t="s">
        <v>3535</v>
      </c>
      <c r="X117" s="261" t="s">
        <v>3540</v>
      </c>
    </row>
    <row r="118" spans="1:24" ht="15.75" thickBot="1" x14ac:dyDescent="0.3">
      <c r="A118" s="82" t="s">
        <v>4696</v>
      </c>
      <c r="B118" s="82" t="s">
        <v>4696</v>
      </c>
      <c r="C118" s="82" t="str">
        <f t="shared" si="6"/>
        <v>X</v>
      </c>
      <c r="D118" s="235">
        <v>2022</v>
      </c>
      <c r="E118" s="82" t="s">
        <v>1653</v>
      </c>
      <c r="F118" s="82" t="s">
        <v>1745</v>
      </c>
      <c r="G118" s="82" t="s">
        <v>1746</v>
      </c>
      <c r="H118" s="234" t="s">
        <v>1864</v>
      </c>
      <c r="I118" s="295" t="s">
        <v>3131</v>
      </c>
      <c r="J118" s="123">
        <v>4</v>
      </c>
      <c r="K118" s="82" t="s">
        <v>586</v>
      </c>
      <c r="L118" s="235"/>
      <c r="M118" s="175">
        <v>54.9</v>
      </c>
      <c r="N118" s="173">
        <v>219.6</v>
      </c>
      <c r="O118" s="82" t="s">
        <v>1747</v>
      </c>
      <c r="P118" s="82" t="s">
        <v>3135</v>
      </c>
      <c r="Q118" s="173">
        <v>3.2</v>
      </c>
      <c r="R118" s="177">
        <f t="shared" si="7"/>
        <v>3.2</v>
      </c>
      <c r="S118" s="294" t="s">
        <v>3126</v>
      </c>
      <c r="T118" s="83" t="s">
        <v>1751</v>
      </c>
      <c r="U118" s="82"/>
      <c r="V118" s="82" t="s">
        <v>3136</v>
      </c>
      <c r="W118" s="261" t="s">
        <v>3535</v>
      </c>
      <c r="X118" s="261" t="s">
        <v>3540</v>
      </c>
    </row>
    <row r="119" spans="1:24" ht="15.75" thickBot="1" x14ac:dyDescent="0.3">
      <c r="A119" s="82" t="s">
        <v>4696</v>
      </c>
      <c r="B119" s="82" t="s">
        <v>4696</v>
      </c>
      <c r="C119" s="82" t="str">
        <f t="shared" si="6"/>
        <v>X</v>
      </c>
      <c r="D119" s="235">
        <v>2022</v>
      </c>
      <c r="E119" s="82" t="s">
        <v>1653</v>
      </c>
      <c r="F119" s="82" t="s">
        <v>1745</v>
      </c>
      <c r="G119" s="82" t="s">
        <v>1746</v>
      </c>
      <c r="H119" s="234" t="s">
        <v>1864</v>
      </c>
      <c r="I119" s="295" t="s">
        <v>3131</v>
      </c>
      <c r="J119" s="123">
        <v>4</v>
      </c>
      <c r="K119" s="82" t="s">
        <v>586</v>
      </c>
      <c r="L119" s="235"/>
      <c r="M119" s="175">
        <v>54.9</v>
      </c>
      <c r="N119" s="173">
        <v>219.6</v>
      </c>
      <c r="O119" s="82" t="s">
        <v>1747</v>
      </c>
      <c r="P119" s="82" t="s">
        <v>3135</v>
      </c>
      <c r="Q119" s="173">
        <v>3.2</v>
      </c>
      <c r="R119" s="177">
        <f t="shared" si="7"/>
        <v>3.2</v>
      </c>
      <c r="S119" s="294" t="s">
        <v>3126</v>
      </c>
      <c r="T119" s="83" t="s">
        <v>1751</v>
      </c>
      <c r="U119" s="82"/>
      <c r="V119" s="82" t="s">
        <v>3136</v>
      </c>
      <c r="W119" s="261" t="s">
        <v>3535</v>
      </c>
      <c r="X119" s="261" t="s">
        <v>3540</v>
      </c>
    </row>
    <row r="120" spans="1:24" ht="15.75" thickBot="1" x14ac:dyDescent="0.3">
      <c r="A120" s="82" t="s">
        <v>4696</v>
      </c>
      <c r="B120" s="82" t="s">
        <v>4696</v>
      </c>
      <c r="C120" s="82" t="str">
        <f t="shared" si="6"/>
        <v>X</v>
      </c>
      <c r="D120" s="235">
        <v>2022</v>
      </c>
      <c r="E120" s="82" t="s">
        <v>1653</v>
      </c>
      <c r="F120" s="82" t="s">
        <v>1745</v>
      </c>
      <c r="G120" s="82" t="s">
        <v>1746</v>
      </c>
      <c r="H120" s="234" t="s">
        <v>1864</v>
      </c>
      <c r="I120" s="295" t="s">
        <v>3131</v>
      </c>
      <c r="J120" s="123">
        <v>4</v>
      </c>
      <c r="K120" s="82" t="s">
        <v>586</v>
      </c>
      <c r="L120" s="235"/>
      <c r="M120" s="175">
        <v>54.9</v>
      </c>
      <c r="N120" s="173">
        <v>219.6</v>
      </c>
      <c r="O120" s="82" t="s">
        <v>1747</v>
      </c>
      <c r="P120" s="82" t="s">
        <v>3135</v>
      </c>
      <c r="Q120" s="173">
        <v>3.2</v>
      </c>
      <c r="R120" s="177">
        <f t="shared" si="7"/>
        <v>3.2</v>
      </c>
      <c r="S120" s="294" t="s">
        <v>3126</v>
      </c>
      <c r="T120" s="83" t="s">
        <v>1751</v>
      </c>
      <c r="U120" s="82"/>
      <c r="V120" s="82" t="s">
        <v>3136</v>
      </c>
      <c r="W120" s="261" t="s">
        <v>3535</v>
      </c>
      <c r="X120" s="261" t="s">
        <v>3540</v>
      </c>
    </row>
    <row r="121" spans="1:24" ht="15.75" thickBot="1" x14ac:dyDescent="0.3">
      <c r="A121" s="82" t="s">
        <v>4696</v>
      </c>
      <c r="B121" s="82" t="s">
        <v>4696</v>
      </c>
      <c r="C121" s="82" t="str">
        <f t="shared" si="6"/>
        <v>X</v>
      </c>
      <c r="D121" s="235">
        <v>2022</v>
      </c>
      <c r="E121" s="82" t="s">
        <v>1653</v>
      </c>
      <c r="F121" s="82" t="s">
        <v>1745</v>
      </c>
      <c r="G121" s="82" t="s">
        <v>1746</v>
      </c>
      <c r="H121" s="234" t="s">
        <v>1864</v>
      </c>
      <c r="I121" s="295" t="s">
        <v>3131</v>
      </c>
      <c r="J121" s="123">
        <v>4</v>
      </c>
      <c r="K121" s="82" t="s">
        <v>586</v>
      </c>
      <c r="L121" s="235"/>
      <c r="M121" s="175">
        <v>54.9</v>
      </c>
      <c r="N121" s="173">
        <v>219.6</v>
      </c>
      <c r="O121" s="82" t="s">
        <v>1747</v>
      </c>
      <c r="P121" s="82" t="s">
        <v>3135</v>
      </c>
      <c r="Q121" s="173">
        <v>3.2</v>
      </c>
      <c r="R121" s="177">
        <f t="shared" si="7"/>
        <v>3.2</v>
      </c>
      <c r="S121" s="294" t="s">
        <v>3126</v>
      </c>
      <c r="T121" s="83" t="s">
        <v>1751</v>
      </c>
      <c r="U121" s="82"/>
      <c r="V121" s="82" t="s">
        <v>3136</v>
      </c>
      <c r="W121" s="261" t="s">
        <v>3535</v>
      </c>
      <c r="X121" s="261" t="s">
        <v>3540</v>
      </c>
    </row>
    <row r="122" spans="1:24" ht="15.75" thickBot="1" x14ac:dyDescent="0.3">
      <c r="A122" s="82" t="s">
        <v>4696</v>
      </c>
      <c r="B122" s="82" t="s">
        <v>4696</v>
      </c>
      <c r="C122" s="82" t="str">
        <f t="shared" si="6"/>
        <v>X</v>
      </c>
      <c r="D122" s="235">
        <v>2022</v>
      </c>
      <c r="E122" s="82" t="s">
        <v>1653</v>
      </c>
      <c r="F122" s="82" t="s">
        <v>1745</v>
      </c>
      <c r="G122" s="82" t="s">
        <v>1746</v>
      </c>
      <c r="H122" s="234" t="s">
        <v>1864</v>
      </c>
      <c r="I122" s="295" t="s">
        <v>3131</v>
      </c>
      <c r="J122" s="123">
        <v>6</v>
      </c>
      <c r="K122" s="82" t="s">
        <v>586</v>
      </c>
      <c r="L122" s="235"/>
      <c r="M122" s="175">
        <v>54.9</v>
      </c>
      <c r="N122" s="173">
        <v>329.4</v>
      </c>
      <c r="O122" s="82" t="s">
        <v>1747</v>
      </c>
      <c r="P122" s="82" t="s">
        <v>3135</v>
      </c>
      <c r="Q122" s="173">
        <v>3.2</v>
      </c>
      <c r="R122" s="177">
        <f t="shared" si="7"/>
        <v>3.2</v>
      </c>
      <c r="S122" s="294" t="s">
        <v>3126</v>
      </c>
      <c r="T122" s="83" t="s">
        <v>1751</v>
      </c>
      <c r="U122" s="82"/>
      <c r="V122" s="82" t="s">
        <v>3136</v>
      </c>
      <c r="W122" s="261" t="s">
        <v>3535</v>
      </c>
      <c r="X122" s="261" t="s">
        <v>3540</v>
      </c>
    </row>
    <row r="123" spans="1:24" ht="15.75" thickBot="1" x14ac:dyDescent="0.3">
      <c r="A123" s="82" t="s">
        <v>4696</v>
      </c>
      <c r="B123" s="82" t="s">
        <v>4696</v>
      </c>
      <c r="C123" s="82" t="str">
        <f t="shared" si="6"/>
        <v>X</v>
      </c>
      <c r="D123" s="235">
        <v>2022</v>
      </c>
      <c r="E123" s="82" t="s">
        <v>1653</v>
      </c>
      <c r="F123" s="82" t="s">
        <v>1745</v>
      </c>
      <c r="G123" s="82" t="s">
        <v>1746</v>
      </c>
      <c r="H123" s="234" t="s">
        <v>1864</v>
      </c>
      <c r="I123" s="295" t="s">
        <v>3131</v>
      </c>
      <c r="J123" s="123">
        <v>6</v>
      </c>
      <c r="K123" s="82" t="s">
        <v>586</v>
      </c>
      <c r="L123" s="235"/>
      <c r="M123" s="175">
        <v>54.9</v>
      </c>
      <c r="N123" s="173">
        <v>329.4</v>
      </c>
      <c r="O123" s="82" t="s">
        <v>1747</v>
      </c>
      <c r="P123" s="82" t="s">
        <v>3135</v>
      </c>
      <c r="Q123" s="173">
        <v>3.2</v>
      </c>
      <c r="R123" s="177">
        <f t="shared" si="7"/>
        <v>3.2</v>
      </c>
      <c r="S123" s="294" t="s">
        <v>3126</v>
      </c>
      <c r="T123" s="83" t="s">
        <v>1751</v>
      </c>
      <c r="U123" s="82"/>
      <c r="V123" s="82" t="s">
        <v>3136</v>
      </c>
      <c r="W123" s="261" t="s">
        <v>3535</v>
      </c>
      <c r="X123" s="261" t="s">
        <v>3540</v>
      </c>
    </row>
    <row r="124" spans="1:24" ht="15.75" thickBot="1" x14ac:dyDescent="0.3">
      <c r="A124" s="82" t="s">
        <v>4696</v>
      </c>
      <c r="B124" s="82" t="s">
        <v>4696</v>
      </c>
      <c r="C124" s="82" t="str">
        <f t="shared" si="6"/>
        <v>X</v>
      </c>
      <c r="D124" s="235">
        <v>2022</v>
      </c>
      <c r="E124" s="82" t="s">
        <v>1653</v>
      </c>
      <c r="F124" s="82" t="s">
        <v>1745</v>
      </c>
      <c r="G124" s="82" t="s">
        <v>1746</v>
      </c>
      <c r="H124" s="234" t="s">
        <v>1864</v>
      </c>
      <c r="I124" s="295" t="s">
        <v>3131</v>
      </c>
      <c r="J124" s="123">
        <v>6</v>
      </c>
      <c r="K124" s="82" t="s">
        <v>586</v>
      </c>
      <c r="L124" s="235"/>
      <c r="M124" s="175">
        <v>54.9</v>
      </c>
      <c r="N124" s="173">
        <v>329.4</v>
      </c>
      <c r="O124" s="82" t="s">
        <v>1747</v>
      </c>
      <c r="P124" s="82" t="s">
        <v>3135</v>
      </c>
      <c r="Q124" s="173">
        <v>3.2</v>
      </c>
      <c r="R124" s="177">
        <f t="shared" si="7"/>
        <v>3.2</v>
      </c>
      <c r="S124" s="294" t="s">
        <v>3126</v>
      </c>
      <c r="T124" s="83" t="s">
        <v>1751</v>
      </c>
      <c r="U124" s="82"/>
      <c r="V124" s="82" t="s">
        <v>3136</v>
      </c>
      <c r="W124" s="261" t="s">
        <v>3535</v>
      </c>
      <c r="X124" s="261" t="s">
        <v>3540</v>
      </c>
    </row>
    <row r="125" spans="1:24" ht="15.75" thickBot="1" x14ac:dyDescent="0.3">
      <c r="A125" s="82" t="s">
        <v>4696</v>
      </c>
      <c r="B125" s="82" t="s">
        <v>4696</v>
      </c>
      <c r="C125" s="82" t="str">
        <f t="shared" si="6"/>
        <v>X</v>
      </c>
      <c r="D125" s="235">
        <v>2022</v>
      </c>
      <c r="E125" s="82" t="s">
        <v>1653</v>
      </c>
      <c r="F125" s="82" t="s">
        <v>1745</v>
      </c>
      <c r="G125" s="82" t="s">
        <v>1746</v>
      </c>
      <c r="H125" s="234" t="s">
        <v>1864</v>
      </c>
      <c r="I125" s="295" t="s">
        <v>3131</v>
      </c>
      <c r="J125" s="123">
        <v>6</v>
      </c>
      <c r="K125" s="82" t="s">
        <v>586</v>
      </c>
      <c r="L125" s="235"/>
      <c r="M125" s="175">
        <v>54.9</v>
      </c>
      <c r="N125" s="173">
        <v>329.4</v>
      </c>
      <c r="O125" s="82" t="s">
        <v>1747</v>
      </c>
      <c r="P125" s="82" t="s">
        <v>3135</v>
      </c>
      <c r="Q125" s="173">
        <v>3.2</v>
      </c>
      <c r="R125" s="177">
        <f t="shared" si="7"/>
        <v>3.2</v>
      </c>
      <c r="S125" s="294" t="s">
        <v>3126</v>
      </c>
      <c r="T125" s="83" t="s">
        <v>1751</v>
      </c>
      <c r="U125" s="82"/>
      <c r="V125" s="82" t="s">
        <v>3136</v>
      </c>
      <c r="W125" s="261" t="s">
        <v>3535</v>
      </c>
      <c r="X125" s="261" t="s">
        <v>3540</v>
      </c>
    </row>
    <row r="126" spans="1:24" ht="15.75" thickBot="1" x14ac:dyDescent="0.3">
      <c r="A126" s="82" t="s">
        <v>4695</v>
      </c>
      <c r="B126" s="82" t="s">
        <v>4695</v>
      </c>
      <c r="C126" s="82" t="str">
        <f t="shared" si="6"/>
        <v>X</v>
      </c>
      <c r="D126" s="235">
        <v>2022</v>
      </c>
      <c r="E126" s="82" t="s">
        <v>1653</v>
      </c>
      <c r="F126" s="82" t="s">
        <v>1745</v>
      </c>
      <c r="G126" s="82" t="s">
        <v>1746</v>
      </c>
      <c r="H126" s="234" t="s">
        <v>1864</v>
      </c>
      <c r="I126" s="295" t="s">
        <v>3131</v>
      </c>
      <c r="J126" s="123">
        <v>4</v>
      </c>
      <c r="K126" s="82" t="s">
        <v>586</v>
      </c>
      <c r="L126" s="235"/>
      <c r="M126" s="175">
        <v>54.9</v>
      </c>
      <c r="N126" s="173">
        <v>219.6</v>
      </c>
      <c r="O126" s="82" t="s">
        <v>1747</v>
      </c>
      <c r="P126" s="82" t="s">
        <v>1748</v>
      </c>
      <c r="Q126" s="173">
        <v>88</v>
      </c>
      <c r="R126" s="177">
        <f t="shared" si="7"/>
        <v>88</v>
      </c>
      <c r="S126" s="294" t="s">
        <v>3126</v>
      </c>
      <c r="T126" s="83" t="s">
        <v>1751</v>
      </c>
      <c r="U126" s="82"/>
      <c r="V126" s="82" t="s">
        <v>3136</v>
      </c>
      <c r="W126" s="261" t="s">
        <v>3535</v>
      </c>
      <c r="X126" s="261" t="s">
        <v>3540</v>
      </c>
    </row>
    <row r="127" spans="1:24" ht="15.75" thickBot="1" x14ac:dyDescent="0.3">
      <c r="A127" s="82" t="s">
        <v>4695</v>
      </c>
      <c r="B127" s="82" t="s">
        <v>4695</v>
      </c>
      <c r="C127" s="82" t="str">
        <f t="shared" si="6"/>
        <v>X</v>
      </c>
      <c r="D127" s="235">
        <v>2022</v>
      </c>
      <c r="E127" s="82" t="s">
        <v>1653</v>
      </c>
      <c r="F127" s="82" t="s">
        <v>1745</v>
      </c>
      <c r="G127" s="82" t="s">
        <v>1746</v>
      </c>
      <c r="H127" s="234" t="s">
        <v>1864</v>
      </c>
      <c r="I127" s="295" t="s">
        <v>3131</v>
      </c>
      <c r="J127" s="123">
        <v>4</v>
      </c>
      <c r="K127" s="82" t="s">
        <v>586</v>
      </c>
      <c r="L127" s="235"/>
      <c r="M127" s="175">
        <v>54.9</v>
      </c>
      <c r="N127" s="173">
        <v>219.6</v>
      </c>
      <c r="O127" s="82" t="s">
        <v>1747</v>
      </c>
      <c r="P127" s="82" t="s">
        <v>1748</v>
      </c>
      <c r="Q127" s="173">
        <v>88</v>
      </c>
      <c r="R127" s="177">
        <f t="shared" si="7"/>
        <v>88</v>
      </c>
      <c r="S127" s="294" t="s">
        <v>3126</v>
      </c>
      <c r="T127" s="83" t="s">
        <v>1751</v>
      </c>
      <c r="U127" s="82"/>
      <c r="V127" s="82" t="s">
        <v>3136</v>
      </c>
      <c r="W127" s="261" t="s">
        <v>3535</v>
      </c>
      <c r="X127" s="261" t="s">
        <v>3540</v>
      </c>
    </row>
    <row r="128" spans="1:24" ht="15.75" thickBot="1" x14ac:dyDescent="0.3">
      <c r="A128" s="82" t="s">
        <v>4695</v>
      </c>
      <c r="B128" s="82" t="s">
        <v>4695</v>
      </c>
      <c r="C128" s="82" t="str">
        <f t="shared" si="6"/>
        <v>X</v>
      </c>
      <c r="D128" s="235">
        <v>2022</v>
      </c>
      <c r="E128" s="82" t="s">
        <v>1653</v>
      </c>
      <c r="F128" s="82" t="s">
        <v>1745</v>
      </c>
      <c r="G128" s="82" t="s">
        <v>1746</v>
      </c>
      <c r="H128" s="234" t="s">
        <v>1864</v>
      </c>
      <c r="I128" s="295" t="s">
        <v>3131</v>
      </c>
      <c r="J128" s="123">
        <v>4</v>
      </c>
      <c r="K128" s="82" t="s">
        <v>586</v>
      </c>
      <c r="L128" s="235"/>
      <c r="M128" s="175">
        <v>54.9</v>
      </c>
      <c r="N128" s="173">
        <v>219.6</v>
      </c>
      <c r="O128" s="82" t="s">
        <v>1747</v>
      </c>
      <c r="P128" s="82" t="s">
        <v>1748</v>
      </c>
      <c r="Q128" s="173">
        <v>88</v>
      </c>
      <c r="R128" s="177">
        <f t="shared" si="7"/>
        <v>88</v>
      </c>
      <c r="S128" s="294" t="s">
        <v>3126</v>
      </c>
      <c r="T128" s="83" t="s">
        <v>1751</v>
      </c>
      <c r="U128" s="82"/>
      <c r="V128" s="82" t="s">
        <v>3136</v>
      </c>
      <c r="W128" s="261" t="s">
        <v>3535</v>
      </c>
      <c r="X128" s="261" t="s">
        <v>3540</v>
      </c>
    </row>
    <row r="129" spans="1:24" ht="15.75" thickBot="1" x14ac:dyDescent="0.3">
      <c r="A129" s="82" t="s">
        <v>4695</v>
      </c>
      <c r="B129" s="82" t="s">
        <v>4695</v>
      </c>
      <c r="C129" s="82" t="str">
        <f t="shared" si="6"/>
        <v>X</v>
      </c>
      <c r="D129" s="235">
        <v>2022</v>
      </c>
      <c r="E129" s="82" t="s">
        <v>1653</v>
      </c>
      <c r="F129" s="82" t="s">
        <v>1745</v>
      </c>
      <c r="G129" s="82" t="s">
        <v>1746</v>
      </c>
      <c r="H129" s="234" t="s">
        <v>1864</v>
      </c>
      <c r="I129" s="295" t="s">
        <v>3131</v>
      </c>
      <c r="J129" s="123">
        <v>4</v>
      </c>
      <c r="K129" s="82" t="s">
        <v>586</v>
      </c>
      <c r="L129" s="235"/>
      <c r="M129" s="175">
        <v>54.9</v>
      </c>
      <c r="N129" s="173">
        <v>219.6</v>
      </c>
      <c r="O129" s="82" t="s">
        <v>1747</v>
      </c>
      <c r="P129" s="82" t="s">
        <v>1748</v>
      </c>
      <c r="Q129" s="173">
        <v>88</v>
      </c>
      <c r="R129" s="177">
        <f t="shared" si="7"/>
        <v>88</v>
      </c>
      <c r="S129" s="294" t="s">
        <v>3126</v>
      </c>
      <c r="T129" s="83" t="s">
        <v>1751</v>
      </c>
      <c r="U129" s="82"/>
      <c r="V129" s="82" t="s">
        <v>3136</v>
      </c>
      <c r="W129" s="261" t="s">
        <v>3535</v>
      </c>
      <c r="X129" s="261" t="s">
        <v>3540</v>
      </c>
    </row>
    <row r="130" spans="1:24" ht="15.75" thickBot="1" x14ac:dyDescent="0.3">
      <c r="A130" s="82" t="s">
        <v>4695</v>
      </c>
      <c r="B130" s="82" t="s">
        <v>4695</v>
      </c>
      <c r="C130" s="82" t="str">
        <f t="shared" si="6"/>
        <v>X</v>
      </c>
      <c r="D130" s="235">
        <v>2022</v>
      </c>
      <c r="E130" s="82" t="s">
        <v>1653</v>
      </c>
      <c r="F130" s="82" t="s">
        <v>1745</v>
      </c>
      <c r="G130" s="82" t="s">
        <v>1746</v>
      </c>
      <c r="H130" s="234" t="s">
        <v>1864</v>
      </c>
      <c r="I130" s="295" t="s">
        <v>3131</v>
      </c>
      <c r="J130" s="123">
        <v>4</v>
      </c>
      <c r="K130" s="82" t="s">
        <v>586</v>
      </c>
      <c r="L130" s="235"/>
      <c r="M130" s="175">
        <v>54.9</v>
      </c>
      <c r="N130" s="173">
        <v>219.6</v>
      </c>
      <c r="O130" s="82" t="s">
        <v>1747</v>
      </c>
      <c r="P130" s="82" t="s">
        <v>1748</v>
      </c>
      <c r="Q130" s="173">
        <v>88</v>
      </c>
      <c r="R130" s="177">
        <f t="shared" si="7"/>
        <v>88</v>
      </c>
      <c r="S130" s="294" t="s">
        <v>3126</v>
      </c>
      <c r="T130" s="83" t="s">
        <v>1751</v>
      </c>
      <c r="U130" s="82"/>
      <c r="V130" s="82" t="s">
        <v>3136</v>
      </c>
      <c r="W130" s="261" t="s">
        <v>3535</v>
      </c>
      <c r="X130" s="261" t="s">
        <v>3540</v>
      </c>
    </row>
    <row r="131" spans="1:24" ht="15.75" thickBot="1" x14ac:dyDescent="0.3">
      <c r="A131" s="82" t="s">
        <v>4695</v>
      </c>
      <c r="B131" s="82" t="s">
        <v>4695</v>
      </c>
      <c r="C131" s="82" t="str">
        <f t="shared" si="6"/>
        <v>X</v>
      </c>
      <c r="D131" s="235">
        <v>2022</v>
      </c>
      <c r="E131" s="82" t="s">
        <v>1653</v>
      </c>
      <c r="F131" s="82" t="s">
        <v>1745</v>
      </c>
      <c r="G131" s="82" t="s">
        <v>1746</v>
      </c>
      <c r="H131" s="234" t="s">
        <v>1864</v>
      </c>
      <c r="I131" s="295" t="s">
        <v>3131</v>
      </c>
      <c r="J131" s="123">
        <v>4</v>
      </c>
      <c r="K131" s="82" t="s">
        <v>586</v>
      </c>
      <c r="L131" s="235"/>
      <c r="M131" s="175">
        <v>54.9</v>
      </c>
      <c r="N131" s="173">
        <v>219.6</v>
      </c>
      <c r="O131" s="82" t="s">
        <v>1747</v>
      </c>
      <c r="P131" s="82" t="s">
        <v>1748</v>
      </c>
      <c r="Q131" s="173">
        <v>88</v>
      </c>
      <c r="R131" s="177">
        <f t="shared" si="7"/>
        <v>88</v>
      </c>
      <c r="S131" s="294" t="s">
        <v>3126</v>
      </c>
      <c r="T131" s="83" t="s">
        <v>1751</v>
      </c>
      <c r="U131" s="82"/>
      <c r="V131" s="82" t="s">
        <v>3136</v>
      </c>
      <c r="W131" s="261" t="s">
        <v>3535</v>
      </c>
      <c r="X131" s="261" t="s">
        <v>3540</v>
      </c>
    </row>
    <row r="132" spans="1:24" ht="15.75" thickBot="1" x14ac:dyDescent="0.3">
      <c r="A132" s="82" t="s">
        <v>4695</v>
      </c>
      <c r="B132" s="82" t="s">
        <v>4695</v>
      </c>
      <c r="C132" s="82" t="str">
        <f t="shared" ref="C132:C195" si="8">IF(A132=B132,"X",RIGHT(A132,LEN(A132)-LEN(B132)-3))</f>
        <v>X</v>
      </c>
      <c r="D132" s="235">
        <v>2022</v>
      </c>
      <c r="E132" s="82" t="s">
        <v>1653</v>
      </c>
      <c r="F132" s="82" t="s">
        <v>1745</v>
      </c>
      <c r="G132" s="82" t="s">
        <v>1746</v>
      </c>
      <c r="H132" s="234" t="s">
        <v>1864</v>
      </c>
      <c r="I132" s="295" t="s">
        <v>3131</v>
      </c>
      <c r="J132" s="123">
        <v>4</v>
      </c>
      <c r="K132" s="82" t="s">
        <v>586</v>
      </c>
      <c r="L132" s="235"/>
      <c r="M132" s="175">
        <v>54.9</v>
      </c>
      <c r="N132" s="173">
        <v>219.6</v>
      </c>
      <c r="O132" s="82" t="s">
        <v>1747</v>
      </c>
      <c r="P132" s="82" t="s">
        <v>1748</v>
      </c>
      <c r="Q132" s="173">
        <v>88</v>
      </c>
      <c r="R132" s="177">
        <f t="shared" si="7"/>
        <v>88</v>
      </c>
      <c r="S132" s="294" t="s">
        <v>3126</v>
      </c>
      <c r="T132" s="83" t="s">
        <v>1751</v>
      </c>
      <c r="U132" s="82"/>
      <c r="V132" s="82" t="s">
        <v>3136</v>
      </c>
      <c r="W132" s="261" t="s">
        <v>3535</v>
      </c>
      <c r="X132" s="261" t="s">
        <v>3540</v>
      </c>
    </row>
    <row r="133" spans="1:24" ht="15.75" thickBot="1" x14ac:dyDescent="0.3">
      <c r="A133" s="82" t="s">
        <v>4695</v>
      </c>
      <c r="B133" s="82" t="s">
        <v>4695</v>
      </c>
      <c r="C133" s="82" t="str">
        <f t="shared" si="8"/>
        <v>X</v>
      </c>
      <c r="D133" s="235">
        <v>2022</v>
      </c>
      <c r="E133" s="82" t="s">
        <v>1653</v>
      </c>
      <c r="F133" s="82" t="s">
        <v>1745</v>
      </c>
      <c r="G133" s="82" t="s">
        <v>1746</v>
      </c>
      <c r="H133" s="234" t="s">
        <v>1864</v>
      </c>
      <c r="I133" s="295" t="s">
        <v>3131</v>
      </c>
      <c r="J133" s="123">
        <v>4</v>
      </c>
      <c r="K133" s="82" t="s">
        <v>586</v>
      </c>
      <c r="L133" s="235"/>
      <c r="M133" s="175">
        <v>54.9</v>
      </c>
      <c r="N133" s="173">
        <v>219.6</v>
      </c>
      <c r="O133" s="82" t="s">
        <v>1747</v>
      </c>
      <c r="P133" s="82" t="s">
        <v>1748</v>
      </c>
      <c r="Q133" s="173">
        <v>88</v>
      </c>
      <c r="R133" s="177">
        <f t="shared" si="7"/>
        <v>88</v>
      </c>
      <c r="S133" s="294" t="s">
        <v>3126</v>
      </c>
      <c r="T133" s="83" t="s">
        <v>1751</v>
      </c>
      <c r="U133" s="82"/>
      <c r="V133" s="82" t="s">
        <v>3136</v>
      </c>
      <c r="W133" s="261" t="s">
        <v>3535</v>
      </c>
      <c r="X133" s="261" t="s">
        <v>3540</v>
      </c>
    </row>
    <row r="134" spans="1:24" ht="15.75" thickBot="1" x14ac:dyDescent="0.3">
      <c r="A134" s="82" t="s">
        <v>4695</v>
      </c>
      <c r="B134" s="82" t="s">
        <v>4695</v>
      </c>
      <c r="C134" s="82" t="str">
        <f t="shared" si="8"/>
        <v>X</v>
      </c>
      <c r="D134" s="235">
        <v>2022</v>
      </c>
      <c r="E134" s="82" t="s">
        <v>1653</v>
      </c>
      <c r="F134" s="82" t="s">
        <v>1745</v>
      </c>
      <c r="G134" s="82" t="s">
        <v>1746</v>
      </c>
      <c r="H134" s="234" t="s">
        <v>1864</v>
      </c>
      <c r="I134" s="295" t="s">
        <v>3131</v>
      </c>
      <c r="J134" s="123">
        <v>4</v>
      </c>
      <c r="K134" s="82" t="s">
        <v>586</v>
      </c>
      <c r="L134" s="235"/>
      <c r="M134" s="175">
        <v>54.9</v>
      </c>
      <c r="N134" s="173">
        <v>219.6</v>
      </c>
      <c r="O134" s="82" t="s">
        <v>1747</v>
      </c>
      <c r="P134" s="82" t="s">
        <v>1748</v>
      </c>
      <c r="Q134" s="173">
        <v>88</v>
      </c>
      <c r="R134" s="177">
        <f t="shared" si="7"/>
        <v>88</v>
      </c>
      <c r="S134" s="294" t="s">
        <v>3126</v>
      </c>
      <c r="T134" s="83" t="s">
        <v>1751</v>
      </c>
      <c r="U134" s="82"/>
      <c r="V134" s="82" t="s">
        <v>3136</v>
      </c>
      <c r="W134" s="261" t="s">
        <v>3535</v>
      </c>
      <c r="X134" s="261" t="s">
        <v>3540</v>
      </c>
    </row>
    <row r="135" spans="1:24" ht="15.75" thickBot="1" x14ac:dyDescent="0.3">
      <c r="A135" s="82" t="s">
        <v>4695</v>
      </c>
      <c r="B135" s="82" t="s">
        <v>4695</v>
      </c>
      <c r="C135" s="82" t="str">
        <f t="shared" si="8"/>
        <v>X</v>
      </c>
      <c r="D135" s="235">
        <v>2022</v>
      </c>
      <c r="E135" s="82" t="s">
        <v>1653</v>
      </c>
      <c r="F135" s="82" t="s">
        <v>1745</v>
      </c>
      <c r="G135" s="82" t="s">
        <v>1746</v>
      </c>
      <c r="H135" s="234" t="s">
        <v>1864</v>
      </c>
      <c r="I135" s="295" t="s">
        <v>3131</v>
      </c>
      <c r="J135" s="123">
        <v>4</v>
      </c>
      <c r="K135" s="82" t="s">
        <v>586</v>
      </c>
      <c r="L135" s="235"/>
      <c r="M135" s="175">
        <v>54.9</v>
      </c>
      <c r="N135" s="173">
        <v>219.6</v>
      </c>
      <c r="O135" s="82" t="s">
        <v>1747</v>
      </c>
      <c r="P135" s="82" t="s">
        <v>1748</v>
      </c>
      <c r="Q135" s="173">
        <v>88</v>
      </c>
      <c r="R135" s="177">
        <f t="shared" si="7"/>
        <v>88</v>
      </c>
      <c r="S135" s="294" t="s">
        <v>3126</v>
      </c>
      <c r="T135" s="83" t="s">
        <v>1751</v>
      </c>
      <c r="U135" s="82"/>
      <c r="V135" s="82" t="s">
        <v>3136</v>
      </c>
      <c r="W135" s="261" t="s">
        <v>3535</v>
      </c>
      <c r="X135" s="261" t="s">
        <v>3540</v>
      </c>
    </row>
    <row r="136" spans="1:24" ht="15.75" thickBot="1" x14ac:dyDescent="0.3">
      <c r="A136" s="82" t="s">
        <v>4695</v>
      </c>
      <c r="B136" s="82" t="s">
        <v>4695</v>
      </c>
      <c r="C136" s="82" t="str">
        <f t="shared" si="8"/>
        <v>X</v>
      </c>
      <c r="D136" s="235">
        <v>2022</v>
      </c>
      <c r="E136" s="82" t="s">
        <v>1653</v>
      </c>
      <c r="F136" s="82" t="s">
        <v>1745</v>
      </c>
      <c r="G136" s="82" t="s">
        <v>1746</v>
      </c>
      <c r="H136" s="234" t="s">
        <v>1864</v>
      </c>
      <c r="I136" s="295" t="s">
        <v>3131</v>
      </c>
      <c r="J136" s="123">
        <v>4</v>
      </c>
      <c r="K136" s="82" t="s">
        <v>586</v>
      </c>
      <c r="L136" s="235"/>
      <c r="M136" s="175">
        <v>54.9</v>
      </c>
      <c r="N136" s="173">
        <v>219.6</v>
      </c>
      <c r="O136" s="82" t="s">
        <v>1747</v>
      </c>
      <c r="P136" s="82" t="s">
        <v>1748</v>
      </c>
      <c r="Q136" s="173">
        <v>88</v>
      </c>
      <c r="R136" s="177">
        <f t="shared" si="7"/>
        <v>88</v>
      </c>
      <c r="S136" s="294" t="s">
        <v>3126</v>
      </c>
      <c r="T136" s="83" t="s">
        <v>1751</v>
      </c>
      <c r="U136" s="82"/>
      <c r="V136" s="82" t="s">
        <v>3136</v>
      </c>
      <c r="W136" s="261" t="s">
        <v>3535</v>
      </c>
      <c r="X136" s="261" t="s">
        <v>3540</v>
      </c>
    </row>
    <row r="137" spans="1:24" ht="15.75" thickBot="1" x14ac:dyDescent="0.3">
      <c r="A137" s="82" t="s">
        <v>4695</v>
      </c>
      <c r="B137" s="82" t="s">
        <v>4695</v>
      </c>
      <c r="C137" s="82" t="str">
        <f t="shared" si="8"/>
        <v>X</v>
      </c>
      <c r="D137" s="235">
        <v>2022</v>
      </c>
      <c r="E137" s="82" t="s">
        <v>1653</v>
      </c>
      <c r="F137" s="82" t="s">
        <v>1745</v>
      </c>
      <c r="G137" s="82" t="s">
        <v>1746</v>
      </c>
      <c r="H137" s="234" t="s">
        <v>1864</v>
      </c>
      <c r="I137" s="295" t="s">
        <v>3131</v>
      </c>
      <c r="J137" s="123">
        <v>4</v>
      </c>
      <c r="K137" s="82" t="s">
        <v>586</v>
      </c>
      <c r="L137" s="235"/>
      <c r="M137" s="175">
        <v>54.9</v>
      </c>
      <c r="N137" s="173">
        <v>219.6</v>
      </c>
      <c r="O137" s="82" t="s">
        <v>1747</v>
      </c>
      <c r="P137" s="82" t="s">
        <v>1748</v>
      </c>
      <c r="Q137" s="173">
        <v>88</v>
      </c>
      <c r="R137" s="177">
        <f t="shared" si="7"/>
        <v>88</v>
      </c>
      <c r="S137" s="294" t="s">
        <v>3126</v>
      </c>
      <c r="T137" s="83" t="s">
        <v>1751</v>
      </c>
      <c r="U137" s="82"/>
      <c r="V137" s="82" t="s">
        <v>3136</v>
      </c>
      <c r="W137" s="261" t="s">
        <v>3535</v>
      </c>
      <c r="X137" s="261" t="s">
        <v>3540</v>
      </c>
    </row>
    <row r="138" spans="1:24" ht="15.75" thickBot="1" x14ac:dyDescent="0.3">
      <c r="A138" s="82" t="s">
        <v>4695</v>
      </c>
      <c r="B138" s="82" t="s">
        <v>4695</v>
      </c>
      <c r="C138" s="82" t="str">
        <f t="shared" si="8"/>
        <v>X</v>
      </c>
      <c r="D138" s="235">
        <v>2022</v>
      </c>
      <c r="E138" s="82" t="s">
        <v>1653</v>
      </c>
      <c r="F138" s="82" t="s">
        <v>1745</v>
      </c>
      <c r="G138" s="82" t="s">
        <v>1746</v>
      </c>
      <c r="H138" s="234" t="s">
        <v>1864</v>
      </c>
      <c r="I138" s="295" t="s">
        <v>3131</v>
      </c>
      <c r="J138" s="123">
        <v>4</v>
      </c>
      <c r="K138" s="82" t="s">
        <v>586</v>
      </c>
      <c r="L138" s="235"/>
      <c r="M138" s="175">
        <v>54.9</v>
      </c>
      <c r="N138" s="173">
        <v>219.6</v>
      </c>
      <c r="O138" s="82" t="s">
        <v>1747</v>
      </c>
      <c r="P138" s="82" t="s">
        <v>1748</v>
      </c>
      <c r="Q138" s="173">
        <v>88</v>
      </c>
      <c r="R138" s="177">
        <f t="shared" si="7"/>
        <v>88</v>
      </c>
      <c r="S138" s="294" t="s">
        <v>3126</v>
      </c>
      <c r="T138" s="83" t="s">
        <v>1751</v>
      </c>
      <c r="U138" s="82"/>
      <c r="V138" s="82" t="s">
        <v>3136</v>
      </c>
      <c r="W138" s="261" t="s">
        <v>3535</v>
      </c>
      <c r="X138" s="261" t="s">
        <v>3540</v>
      </c>
    </row>
    <row r="139" spans="1:24" ht="15.75" thickBot="1" x14ac:dyDescent="0.3">
      <c r="A139" s="82" t="s">
        <v>4695</v>
      </c>
      <c r="B139" s="82" t="s">
        <v>4695</v>
      </c>
      <c r="C139" s="82" t="str">
        <f t="shared" si="8"/>
        <v>X</v>
      </c>
      <c r="D139" s="235">
        <v>2022</v>
      </c>
      <c r="E139" s="82" t="s">
        <v>1653</v>
      </c>
      <c r="F139" s="82" t="s">
        <v>1745</v>
      </c>
      <c r="G139" s="82" t="s">
        <v>1746</v>
      </c>
      <c r="H139" s="234" t="s">
        <v>1864</v>
      </c>
      <c r="I139" s="295" t="s">
        <v>3131</v>
      </c>
      <c r="J139" s="123">
        <v>4</v>
      </c>
      <c r="K139" s="82" t="s">
        <v>586</v>
      </c>
      <c r="L139" s="235"/>
      <c r="M139" s="175">
        <v>54.9</v>
      </c>
      <c r="N139" s="173">
        <v>219.6</v>
      </c>
      <c r="O139" s="82" t="s">
        <v>1747</v>
      </c>
      <c r="P139" s="82" t="s">
        <v>1748</v>
      </c>
      <c r="Q139" s="173">
        <v>88</v>
      </c>
      <c r="R139" s="177">
        <f t="shared" si="7"/>
        <v>88</v>
      </c>
      <c r="S139" s="294" t="s">
        <v>3126</v>
      </c>
      <c r="T139" s="83" t="s">
        <v>1751</v>
      </c>
      <c r="U139" s="82"/>
      <c r="V139" s="82" t="s">
        <v>3136</v>
      </c>
      <c r="W139" s="261" t="s">
        <v>3535</v>
      </c>
      <c r="X139" s="261" t="s">
        <v>3540</v>
      </c>
    </row>
    <row r="140" spans="1:24" ht="15.75" thickBot="1" x14ac:dyDescent="0.3">
      <c r="A140" s="82" t="s">
        <v>4695</v>
      </c>
      <c r="B140" s="82" t="s">
        <v>4695</v>
      </c>
      <c r="C140" s="82" t="str">
        <f t="shared" si="8"/>
        <v>X</v>
      </c>
      <c r="D140" s="235">
        <v>2022</v>
      </c>
      <c r="E140" s="82" t="s">
        <v>1653</v>
      </c>
      <c r="F140" s="82" t="s">
        <v>1745</v>
      </c>
      <c r="G140" s="82" t="s">
        <v>1746</v>
      </c>
      <c r="H140" s="234" t="s">
        <v>1864</v>
      </c>
      <c r="I140" s="295" t="s">
        <v>3131</v>
      </c>
      <c r="J140" s="123">
        <v>4</v>
      </c>
      <c r="K140" s="82" t="s">
        <v>586</v>
      </c>
      <c r="L140" s="235"/>
      <c r="M140" s="175">
        <v>54.9</v>
      </c>
      <c r="N140" s="173">
        <v>219.6</v>
      </c>
      <c r="O140" s="82" t="s">
        <v>1747</v>
      </c>
      <c r="P140" s="82" t="s">
        <v>1748</v>
      </c>
      <c r="Q140" s="173">
        <v>88</v>
      </c>
      <c r="R140" s="177">
        <f t="shared" si="7"/>
        <v>88</v>
      </c>
      <c r="S140" s="294" t="s">
        <v>3126</v>
      </c>
      <c r="T140" s="83" t="s">
        <v>1751</v>
      </c>
      <c r="U140" s="82"/>
      <c r="V140" s="82" t="s">
        <v>3136</v>
      </c>
      <c r="W140" s="261" t="s">
        <v>3535</v>
      </c>
      <c r="X140" s="261" t="s">
        <v>3540</v>
      </c>
    </row>
    <row r="141" spans="1:24" ht="15.75" thickBot="1" x14ac:dyDescent="0.3">
      <c r="A141" s="82" t="s">
        <v>4695</v>
      </c>
      <c r="B141" s="82" t="s">
        <v>4695</v>
      </c>
      <c r="C141" s="82" t="str">
        <f t="shared" si="8"/>
        <v>X</v>
      </c>
      <c r="D141" s="235">
        <v>2022</v>
      </c>
      <c r="E141" s="82" t="s">
        <v>1653</v>
      </c>
      <c r="F141" s="82" t="s">
        <v>1745</v>
      </c>
      <c r="G141" s="82" t="s">
        <v>1746</v>
      </c>
      <c r="H141" s="234" t="s">
        <v>1864</v>
      </c>
      <c r="I141" s="295" t="s">
        <v>3131</v>
      </c>
      <c r="J141" s="123">
        <v>4</v>
      </c>
      <c r="K141" s="82" t="s">
        <v>586</v>
      </c>
      <c r="L141" s="235"/>
      <c r="M141" s="175">
        <v>54.9</v>
      </c>
      <c r="N141" s="173">
        <v>219.6</v>
      </c>
      <c r="O141" s="82" t="s">
        <v>1747</v>
      </c>
      <c r="P141" s="82" t="s">
        <v>1748</v>
      </c>
      <c r="Q141" s="173">
        <v>88</v>
      </c>
      <c r="R141" s="177">
        <f t="shared" si="7"/>
        <v>88</v>
      </c>
      <c r="S141" s="294" t="s">
        <v>3126</v>
      </c>
      <c r="T141" s="83" t="s">
        <v>1751</v>
      </c>
      <c r="U141" s="82"/>
      <c r="V141" s="82" t="s">
        <v>3136</v>
      </c>
      <c r="W141" s="261" t="s">
        <v>3535</v>
      </c>
      <c r="X141" s="261" t="s">
        <v>3540</v>
      </c>
    </row>
    <row r="142" spans="1:24" ht="15.75" thickBot="1" x14ac:dyDescent="0.3">
      <c r="A142" s="82" t="s">
        <v>4695</v>
      </c>
      <c r="B142" s="82" t="s">
        <v>4695</v>
      </c>
      <c r="C142" s="82" t="str">
        <f t="shared" si="8"/>
        <v>X</v>
      </c>
      <c r="D142" s="235">
        <v>2022</v>
      </c>
      <c r="E142" s="82" t="s">
        <v>1653</v>
      </c>
      <c r="F142" s="82" t="s">
        <v>1745</v>
      </c>
      <c r="G142" s="82" t="s">
        <v>1746</v>
      </c>
      <c r="H142" s="234" t="s">
        <v>1864</v>
      </c>
      <c r="I142" s="295" t="s">
        <v>3131</v>
      </c>
      <c r="J142" s="123">
        <v>4</v>
      </c>
      <c r="K142" s="82" t="s">
        <v>586</v>
      </c>
      <c r="L142" s="235"/>
      <c r="M142" s="175">
        <v>54.9</v>
      </c>
      <c r="N142" s="173">
        <v>219.6</v>
      </c>
      <c r="O142" s="82" t="s">
        <v>1747</v>
      </c>
      <c r="P142" s="82" t="s">
        <v>1748</v>
      </c>
      <c r="Q142" s="173">
        <v>88</v>
      </c>
      <c r="R142" s="177">
        <f t="shared" si="7"/>
        <v>88</v>
      </c>
      <c r="S142" s="294" t="s">
        <v>3126</v>
      </c>
      <c r="T142" s="83" t="s">
        <v>1751</v>
      </c>
      <c r="U142" s="82"/>
      <c r="V142" s="82" t="s">
        <v>3136</v>
      </c>
      <c r="W142" s="261" t="s">
        <v>3535</v>
      </c>
      <c r="X142" s="261" t="s">
        <v>3540</v>
      </c>
    </row>
    <row r="143" spans="1:24" ht="15.75" thickBot="1" x14ac:dyDescent="0.3">
      <c r="A143" s="82" t="s">
        <v>4695</v>
      </c>
      <c r="B143" s="82" t="s">
        <v>4695</v>
      </c>
      <c r="C143" s="82" t="str">
        <f t="shared" si="8"/>
        <v>X</v>
      </c>
      <c r="D143" s="235">
        <v>2022</v>
      </c>
      <c r="E143" s="82" t="s">
        <v>1653</v>
      </c>
      <c r="F143" s="82" t="s">
        <v>1745</v>
      </c>
      <c r="G143" s="82" t="s">
        <v>1746</v>
      </c>
      <c r="H143" s="234" t="s">
        <v>1864</v>
      </c>
      <c r="I143" s="295" t="s">
        <v>3131</v>
      </c>
      <c r="J143" s="123">
        <v>4</v>
      </c>
      <c r="K143" s="82" t="s">
        <v>586</v>
      </c>
      <c r="L143" s="235"/>
      <c r="M143" s="175">
        <v>54.9</v>
      </c>
      <c r="N143" s="173">
        <v>219.6</v>
      </c>
      <c r="O143" s="82" t="s">
        <v>1747</v>
      </c>
      <c r="P143" s="82" t="s">
        <v>1748</v>
      </c>
      <c r="Q143" s="173">
        <v>88</v>
      </c>
      <c r="R143" s="177">
        <f t="shared" si="7"/>
        <v>88</v>
      </c>
      <c r="S143" s="294" t="s">
        <v>3126</v>
      </c>
      <c r="T143" s="83" t="s">
        <v>1751</v>
      </c>
      <c r="U143" s="82"/>
      <c r="V143" s="82" t="s">
        <v>3136</v>
      </c>
      <c r="W143" s="261" t="s">
        <v>3535</v>
      </c>
      <c r="X143" s="261" t="s">
        <v>3540</v>
      </c>
    </row>
    <row r="144" spans="1:24" ht="15.75" thickBot="1" x14ac:dyDescent="0.3">
      <c r="A144" s="82" t="s">
        <v>4695</v>
      </c>
      <c r="B144" s="82" t="s">
        <v>4695</v>
      </c>
      <c r="C144" s="82" t="str">
        <f t="shared" si="8"/>
        <v>X</v>
      </c>
      <c r="D144" s="235">
        <v>2022</v>
      </c>
      <c r="E144" s="82" t="s">
        <v>1653</v>
      </c>
      <c r="F144" s="82" t="s">
        <v>1745</v>
      </c>
      <c r="G144" s="82" t="s">
        <v>1746</v>
      </c>
      <c r="H144" s="234" t="s">
        <v>1864</v>
      </c>
      <c r="I144" s="295" t="s">
        <v>3131</v>
      </c>
      <c r="J144" s="123">
        <v>2</v>
      </c>
      <c r="K144" s="82" t="s">
        <v>586</v>
      </c>
      <c r="L144" s="235"/>
      <c r="M144" s="175">
        <v>54.9</v>
      </c>
      <c r="N144" s="173">
        <v>109.8</v>
      </c>
      <c r="O144" s="82" t="s">
        <v>1747</v>
      </c>
      <c r="P144" s="82" t="s">
        <v>1748</v>
      </c>
      <c r="Q144" s="173">
        <v>88</v>
      </c>
      <c r="R144" s="177">
        <f t="shared" ref="R144:R194" si="9">Q144</f>
        <v>88</v>
      </c>
      <c r="S144" s="294" t="s">
        <v>3126</v>
      </c>
      <c r="T144" s="83" t="s">
        <v>1751</v>
      </c>
      <c r="U144" s="82"/>
      <c r="V144" s="82" t="s">
        <v>3136</v>
      </c>
      <c r="W144" s="261" t="s">
        <v>3535</v>
      </c>
      <c r="X144" s="261" t="s">
        <v>3540</v>
      </c>
    </row>
    <row r="145" spans="1:24" ht="15.75" thickBot="1" x14ac:dyDescent="0.3">
      <c r="A145" s="82" t="s">
        <v>4695</v>
      </c>
      <c r="B145" s="82" t="s">
        <v>4695</v>
      </c>
      <c r="C145" s="82" t="str">
        <f t="shared" si="8"/>
        <v>X</v>
      </c>
      <c r="D145" s="235">
        <v>2022</v>
      </c>
      <c r="E145" s="82" t="s">
        <v>1653</v>
      </c>
      <c r="F145" s="82" t="s">
        <v>1745</v>
      </c>
      <c r="G145" s="82" t="s">
        <v>1746</v>
      </c>
      <c r="H145" s="234" t="s">
        <v>1864</v>
      </c>
      <c r="I145" s="295" t="s">
        <v>3131</v>
      </c>
      <c r="J145" s="123">
        <v>2</v>
      </c>
      <c r="K145" s="82" t="s">
        <v>586</v>
      </c>
      <c r="L145" s="235"/>
      <c r="M145" s="175">
        <v>54.9</v>
      </c>
      <c r="N145" s="173">
        <v>109.8</v>
      </c>
      <c r="O145" s="82" t="s">
        <v>1747</v>
      </c>
      <c r="P145" s="82" t="s">
        <v>1748</v>
      </c>
      <c r="Q145" s="173">
        <v>88</v>
      </c>
      <c r="R145" s="177">
        <f t="shared" si="9"/>
        <v>88</v>
      </c>
      <c r="S145" s="294" t="s">
        <v>3126</v>
      </c>
      <c r="T145" s="83" t="s">
        <v>1751</v>
      </c>
      <c r="U145" s="82"/>
      <c r="V145" s="82" t="s">
        <v>3136</v>
      </c>
      <c r="W145" s="261" t="s">
        <v>3535</v>
      </c>
      <c r="X145" s="261" t="s">
        <v>3540</v>
      </c>
    </row>
    <row r="146" spans="1:24" ht="15.75" thickBot="1" x14ac:dyDescent="0.3">
      <c r="A146" s="82" t="s">
        <v>4695</v>
      </c>
      <c r="B146" s="82" t="s">
        <v>4695</v>
      </c>
      <c r="C146" s="82" t="str">
        <f t="shared" si="8"/>
        <v>X</v>
      </c>
      <c r="D146" s="235">
        <v>2022</v>
      </c>
      <c r="E146" s="82" t="s">
        <v>1653</v>
      </c>
      <c r="F146" s="82" t="s">
        <v>1745</v>
      </c>
      <c r="G146" s="82" t="s">
        <v>1746</v>
      </c>
      <c r="H146" s="234" t="s">
        <v>1864</v>
      </c>
      <c r="I146" s="295" t="s">
        <v>3131</v>
      </c>
      <c r="J146" s="123">
        <v>6</v>
      </c>
      <c r="K146" s="82" t="s">
        <v>586</v>
      </c>
      <c r="L146" s="235"/>
      <c r="M146" s="175">
        <v>54.9</v>
      </c>
      <c r="N146" s="173">
        <v>329.4</v>
      </c>
      <c r="O146" s="82" t="s">
        <v>1747</v>
      </c>
      <c r="P146" s="82" t="s">
        <v>1748</v>
      </c>
      <c r="Q146" s="173">
        <v>88</v>
      </c>
      <c r="R146" s="177">
        <f t="shared" si="9"/>
        <v>88</v>
      </c>
      <c r="S146" s="294" t="s">
        <v>3126</v>
      </c>
      <c r="T146" s="83" t="s">
        <v>1751</v>
      </c>
      <c r="U146" s="82"/>
      <c r="V146" s="82" t="s">
        <v>3136</v>
      </c>
      <c r="W146" s="261" t="s">
        <v>3535</v>
      </c>
      <c r="X146" s="261" t="s">
        <v>3540</v>
      </c>
    </row>
    <row r="147" spans="1:24" ht="15.75" thickBot="1" x14ac:dyDescent="0.3">
      <c r="A147" s="82" t="s">
        <v>4695</v>
      </c>
      <c r="B147" s="82" t="s">
        <v>4695</v>
      </c>
      <c r="C147" s="82" t="str">
        <f t="shared" si="8"/>
        <v>X</v>
      </c>
      <c r="D147" s="235">
        <v>2022</v>
      </c>
      <c r="E147" s="82" t="s">
        <v>1653</v>
      </c>
      <c r="F147" s="82" t="s">
        <v>1745</v>
      </c>
      <c r="G147" s="82" t="s">
        <v>1746</v>
      </c>
      <c r="H147" s="234" t="s">
        <v>1864</v>
      </c>
      <c r="I147" s="295" t="s">
        <v>3131</v>
      </c>
      <c r="J147" s="123">
        <v>6</v>
      </c>
      <c r="K147" s="82" t="s">
        <v>586</v>
      </c>
      <c r="L147" s="235"/>
      <c r="M147" s="175">
        <v>54.9</v>
      </c>
      <c r="N147" s="173">
        <v>329.4</v>
      </c>
      <c r="O147" s="82" t="s">
        <v>1747</v>
      </c>
      <c r="P147" s="82" t="s">
        <v>1748</v>
      </c>
      <c r="Q147" s="173">
        <v>88</v>
      </c>
      <c r="R147" s="177">
        <f t="shared" si="9"/>
        <v>88</v>
      </c>
      <c r="S147" s="294" t="s">
        <v>3126</v>
      </c>
      <c r="T147" s="83" t="s">
        <v>1751</v>
      </c>
      <c r="U147" s="82"/>
      <c r="V147" s="82" t="s">
        <v>3136</v>
      </c>
      <c r="W147" s="261" t="s">
        <v>3535</v>
      </c>
      <c r="X147" s="261" t="s">
        <v>3540</v>
      </c>
    </row>
    <row r="148" spans="1:24" ht="15.75" thickBot="1" x14ac:dyDescent="0.3">
      <c r="A148" s="82" t="s">
        <v>4695</v>
      </c>
      <c r="B148" s="82" t="s">
        <v>4695</v>
      </c>
      <c r="C148" s="82" t="str">
        <f t="shared" si="8"/>
        <v>X</v>
      </c>
      <c r="D148" s="235">
        <v>2022</v>
      </c>
      <c r="E148" s="82" t="s">
        <v>1653</v>
      </c>
      <c r="F148" s="82" t="s">
        <v>1745</v>
      </c>
      <c r="G148" s="82" t="s">
        <v>1746</v>
      </c>
      <c r="H148" s="234" t="s">
        <v>1864</v>
      </c>
      <c r="I148" s="295" t="s">
        <v>3131</v>
      </c>
      <c r="J148" s="123">
        <v>6</v>
      </c>
      <c r="K148" s="82" t="s">
        <v>586</v>
      </c>
      <c r="L148" s="235"/>
      <c r="M148" s="175">
        <v>54.9</v>
      </c>
      <c r="N148" s="173">
        <v>329.4</v>
      </c>
      <c r="O148" s="82" t="s">
        <v>1747</v>
      </c>
      <c r="P148" s="82" t="s">
        <v>1748</v>
      </c>
      <c r="Q148" s="173">
        <v>88</v>
      </c>
      <c r="R148" s="177">
        <f t="shared" si="9"/>
        <v>88</v>
      </c>
      <c r="S148" s="294" t="s">
        <v>3126</v>
      </c>
      <c r="T148" s="83" t="s">
        <v>1751</v>
      </c>
      <c r="U148" s="82"/>
      <c r="V148" s="82" t="s">
        <v>3136</v>
      </c>
      <c r="W148" s="261" t="s">
        <v>3535</v>
      </c>
      <c r="X148" s="261" t="s">
        <v>3540</v>
      </c>
    </row>
    <row r="149" spans="1:24" ht="15.75" thickBot="1" x14ac:dyDescent="0.3">
      <c r="A149" s="82" t="s">
        <v>4695</v>
      </c>
      <c r="B149" s="82" t="s">
        <v>4695</v>
      </c>
      <c r="C149" s="82" t="str">
        <f t="shared" si="8"/>
        <v>X</v>
      </c>
      <c r="D149" s="235">
        <v>2022</v>
      </c>
      <c r="E149" s="82" t="s">
        <v>1653</v>
      </c>
      <c r="F149" s="82" t="s">
        <v>1745</v>
      </c>
      <c r="G149" s="82" t="s">
        <v>1746</v>
      </c>
      <c r="H149" s="234" t="s">
        <v>1864</v>
      </c>
      <c r="I149" s="295" t="s">
        <v>3131</v>
      </c>
      <c r="J149" s="123">
        <v>6</v>
      </c>
      <c r="K149" s="82" t="s">
        <v>586</v>
      </c>
      <c r="L149" s="235"/>
      <c r="M149" s="175">
        <v>54.9</v>
      </c>
      <c r="N149" s="173">
        <v>329.4</v>
      </c>
      <c r="O149" s="82" t="s">
        <v>1747</v>
      </c>
      <c r="P149" s="82" t="s">
        <v>1748</v>
      </c>
      <c r="Q149" s="173">
        <v>88</v>
      </c>
      <c r="R149" s="177">
        <f t="shared" si="9"/>
        <v>88</v>
      </c>
      <c r="S149" s="294" t="s">
        <v>3126</v>
      </c>
      <c r="T149" s="83" t="s">
        <v>1751</v>
      </c>
      <c r="U149" s="82"/>
      <c r="V149" s="82" t="s">
        <v>3136</v>
      </c>
      <c r="W149" s="261" t="s">
        <v>3535</v>
      </c>
      <c r="X149" s="261" t="s">
        <v>3540</v>
      </c>
    </row>
    <row r="150" spans="1:24" ht="15.75" thickBot="1" x14ac:dyDescent="0.3">
      <c r="A150" s="82" t="s">
        <v>4695</v>
      </c>
      <c r="B150" s="82" t="s">
        <v>4695</v>
      </c>
      <c r="C150" s="82" t="str">
        <f t="shared" si="8"/>
        <v>X</v>
      </c>
      <c r="D150" s="235">
        <v>2022</v>
      </c>
      <c r="E150" s="82" t="s">
        <v>1653</v>
      </c>
      <c r="F150" s="82" t="s">
        <v>1745</v>
      </c>
      <c r="G150" s="82" t="s">
        <v>1746</v>
      </c>
      <c r="H150" s="234" t="s">
        <v>1864</v>
      </c>
      <c r="I150" s="295" t="s">
        <v>3131</v>
      </c>
      <c r="J150" s="123">
        <v>5</v>
      </c>
      <c r="K150" s="82" t="s">
        <v>586</v>
      </c>
      <c r="L150" s="235"/>
      <c r="M150" s="175">
        <v>54.9</v>
      </c>
      <c r="N150" s="173">
        <v>274.5</v>
      </c>
      <c r="O150" s="82" t="s">
        <v>1747</v>
      </c>
      <c r="P150" s="82" t="s">
        <v>1748</v>
      </c>
      <c r="Q150" s="173">
        <v>88</v>
      </c>
      <c r="R150" s="177">
        <f t="shared" si="9"/>
        <v>88</v>
      </c>
      <c r="S150" s="294" t="s">
        <v>3126</v>
      </c>
      <c r="T150" s="83" t="s">
        <v>1751</v>
      </c>
      <c r="U150" s="82"/>
      <c r="V150" s="82" t="s">
        <v>3136</v>
      </c>
      <c r="W150" s="261" t="s">
        <v>3535</v>
      </c>
      <c r="X150" s="261" t="s">
        <v>3540</v>
      </c>
    </row>
    <row r="151" spans="1:24" ht="15.75" thickBot="1" x14ac:dyDescent="0.3">
      <c r="A151" s="82" t="s">
        <v>4695</v>
      </c>
      <c r="B151" s="82" t="s">
        <v>4695</v>
      </c>
      <c r="C151" s="82" t="str">
        <f t="shared" si="8"/>
        <v>X</v>
      </c>
      <c r="D151" s="235">
        <v>2022</v>
      </c>
      <c r="E151" s="82" t="s">
        <v>1653</v>
      </c>
      <c r="F151" s="82" t="s">
        <v>1745</v>
      </c>
      <c r="G151" s="82" t="s">
        <v>1746</v>
      </c>
      <c r="H151" s="234" t="s">
        <v>1864</v>
      </c>
      <c r="I151" s="295" t="s">
        <v>3131</v>
      </c>
      <c r="J151" s="123">
        <v>3</v>
      </c>
      <c r="K151" s="82" t="s">
        <v>586</v>
      </c>
      <c r="L151" s="235"/>
      <c r="M151" s="175">
        <v>54.9</v>
      </c>
      <c r="N151" s="173">
        <v>164.7</v>
      </c>
      <c r="O151" s="82" t="s">
        <v>1747</v>
      </c>
      <c r="P151" s="82" t="s">
        <v>1748</v>
      </c>
      <c r="Q151" s="173">
        <v>88</v>
      </c>
      <c r="R151" s="177">
        <f t="shared" si="9"/>
        <v>88</v>
      </c>
      <c r="S151" s="294" t="s">
        <v>3126</v>
      </c>
      <c r="T151" s="83" t="s">
        <v>1751</v>
      </c>
      <c r="U151" s="82"/>
      <c r="V151" s="82" t="s">
        <v>3136</v>
      </c>
      <c r="W151" s="261" t="s">
        <v>3535</v>
      </c>
      <c r="X151" s="261" t="s">
        <v>3540</v>
      </c>
    </row>
    <row r="152" spans="1:24" ht="15.75" thickBot="1" x14ac:dyDescent="0.3">
      <c r="A152" s="82" t="s">
        <v>1937</v>
      </c>
      <c r="B152" s="82" t="s">
        <v>1937</v>
      </c>
      <c r="C152" s="82" t="str">
        <f t="shared" si="8"/>
        <v>X</v>
      </c>
      <c r="D152" s="235">
        <v>2022</v>
      </c>
      <c r="E152" s="82" t="s">
        <v>1653</v>
      </c>
      <c r="F152" s="82" t="s">
        <v>1745</v>
      </c>
      <c r="G152" s="82" t="s">
        <v>1746</v>
      </c>
      <c r="H152" s="234" t="s">
        <v>1864</v>
      </c>
      <c r="I152" s="295" t="s">
        <v>3131</v>
      </c>
      <c r="J152" s="123">
        <v>2</v>
      </c>
      <c r="K152" s="82" t="s">
        <v>586</v>
      </c>
      <c r="L152" s="235"/>
      <c r="M152" s="175">
        <v>42.8</v>
      </c>
      <c r="N152" s="173">
        <v>85.6</v>
      </c>
      <c r="O152" s="82" t="s">
        <v>1747</v>
      </c>
      <c r="P152" s="82" t="s">
        <v>1748</v>
      </c>
      <c r="Q152" s="173">
        <v>108</v>
      </c>
      <c r="R152" s="177">
        <f t="shared" si="9"/>
        <v>108</v>
      </c>
      <c r="S152" s="294" t="s">
        <v>3126</v>
      </c>
      <c r="T152" s="83" t="s">
        <v>1751</v>
      </c>
      <c r="U152" s="82"/>
      <c r="V152" s="82" t="s">
        <v>3137</v>
      </c>
      <c r="W152" s="261" t="s">
        <v>3535</v>
      </c>
      <c r="X152" s="261" t="s">
        <v>3540</v>
      </c>
    </row>
    <row r="153" spans="1:24" ht="15.75" thickBot="1" x14ac:dyDescent="0.3">
      <c r="A153" s="82" t="s">
        <v>4697</v>
      </c>
      <c r="B153" s="82" t="s">
        <v>4697</v>
      </c>
      <c r="C153" s="82" t="str">
        <f t="shared" si="8"/>
        <v>X</v>
      </c>
      <c r="D153" s="235">
        <v>2022</v>
      </c>
      <c r="E153" s="82" t="s">
        <v>1653</v>
      </c>
      <c r="F153" s="82" t="s">
        <v>1745</v>
      </c>
      <c r="G153" s="82" t="s">
        <v>1746</v>
      </c>
      <c r="H153" s="234" t="s">
        <v>1864</v>
      </c>
      <c r="I153" s="295" t="s">
        <v>3131</v>
      </c>
      <c r="J153" s="123">
        <v>2</v>
      </c>
      <c r="K153" s="82" t="s">
        <v>586</v>
      </c>
      <c r="L153" s="235"/>
      <c r="M153" s="175">
        <v>42.8</v>
      </c>
      <c r="N153" s="173">
        <v>85.6</v>
      </c>
      <c r="O153" s="82" t="s">
        <v>1747</v>
      </c>
      <c r="P153" s="82" t="s">
        <v>1748</v>
      </c>
      <c r="Q153" s="173">
        <v>77</v>
      </c>
      <c r="R153" s="177">
        <f t="shared" si="9"/>
        <v>77</v>
      </c>
      <c r="S153" s="294" t="s">
        <v>3126</v>
      </c>
      <c r="T153" s="83" t="s">
        <v>1751</v>
      </c>
      <c r="U153" s="82"/>
      <c r="V153" s="82" t="s">
        <v>3137</v>
      </c>
      <c r="W153" s="261" t="s">
        <v>3535</v>
      </c>
      <c r="X153" s="261" t="s">
        <v>3540</v>
      </c>
    </row>
    <row r="154" spans="1:24" ht="15.75" thickBot="1" x14ac:dyDescent="0.3">
      <c r="A154" s="82" t="s">
        <v>4698</v>
      </c>
      <c r="B154" s="82" t="s">
        <v>4698</v>
      </c>
      <c r="C154" s="82" t="str">
        <f t="shared" si="8"/>
        <v>X</v>
      </c>
      <c r="D154" s="235">
        <v>2022</v>
      </c>
      <c r="E154" s="82" t="s">
        <v>1653</v>
      </c>
      <c r="F154" s="82" t="s">
        <v>1745</v>
      </c>
      <c r="G154" s="82" t="s">
        <v>1746</v>
      </c>
      <c r="H154" s="234" t="s">
        <v>1864</v>
      </c>
      <c r="I154" s="295" t="s">
        <v>3131</v>
      </c>
      <c r="J154" s="123">
        <v>1</v>
      </c>
      <c r="K154" s="82" t="s">
        <v>586</v>
      </c>
      <c r="L154" s="235"/>
      <c r="M154" s="175">
        <v>21.6</v>
      </c>
      <c r="N154" s="173">
        <v>21.6</v>
      </c>
      <c r="O154" s="82" t="s">
        <v>1747</v>
      </c>
      <c r="P154" s="82" t="s">
        <v>1748</v>
      </c>
      <c r="Q154" s="173">
        <v>79</v>
      </c>
      <c r="R154" s="177">
        <f t="shared" si="9"/>
        <v>79</v>
      </c>
      <c r="S154" s="294" t="s">
        <v>3126</v>
      </c>
      <c r="T154" s="83" t="s">
        <v>3138</v>
      </c>
      <c r="U154" s="82"/>
      <c r="V154" s="82" t="s">
        <v>3139</v>
      </c>
      <c r="W154" s="261" t="s">
        <v>3535</v>
      </c>
      <c r="X154" s="261" t="s">
        <v>3540</v>
      </c>
    </row>
    <row r="155" spans="1:24" ht="15.75" thickBot="1" x14ac:dyDescent="0.3">
      <c r="A155" s="82" t="s">
        <v>4698</v>
      </c>
      <c r="B155" s="82" t="s">
        <v>4698</v>
      </c>
      <c r="C155" s="82" t="str">
        <f t="shared" si="8"/>
        <v>X</v>
      </c>
      <c r="D155" s="235">
        <v>2022</v>
      </c>
      <c r="E155" s="82" t="s">
        <v>1653</v>
      </c>
      <c r="F155" s="82" t="s">
        <v>1745</v>
      </c>
      <c r="G155" s="82" t="s">
        <v>1746</v>
      </c>
      <c r="H155" s="234" t="s">
        <v>1864</v>
      </c>
      <c r="I155" s="295" t="s">
        <v>3131</v>
      </c>
      <c r="J155" s="123">
        <v>1</v>
      </c>
      <c r="K155" s="82" t="s">
        <v>586</v>
      </c>
      <c r="L155" s="235"/>
      <c r="M155" s="175">
        <v>21.6</v>
      </c>
      <c r="N155" s="173">
        <v>21.6</v>
      </c>
      <c r="O155" s="82" t="s">
        <v>1747</v>
      </c>
      <c r="P155" s="82" t="s">
        <v>1748</v>
      </c>
      <c r="Q155" s="173">
        <v>79</v>
      </c>
      <c r="R155" s="177">
        <f t="shared" si="9"/>
        <v>79</v>
      </c>
      <c r="S155" s="294" t="s">
        <v>3126</v>
      </c>
      <c r="T155" s="83" t="s">
        <v>3138</v>
      </c>
      <c r="U155" s="82"/>
      <c r="V155" s="82" t="s">
        <v>3139</v>
      </c>
      <c r="W155" s="261" t="s">
        <v>3535</v>
      </c>
      <c r="X155" s="261" t="s">
        <v>3540</v>
      </c>
    </row>
    <row r="156" spans="1:24" ht="15.75" thickBot="1" x14ac:dyDescent="0.3">
      <c r="A156" s="82" t="s">
        <v>4698</v>
      </c>
      <c r="B156" s="82" t="s">
        <v>4698</v>
      </c>
      <c r="C156" s="82" t="str">
        <f t="shared" si="8"/>
        <v>X</v>
      </c>
      <c r="D156" s="235">
        <v>2022</v>
      </c>
      <c r="E156" s="82" t="s">
        <v>1653</v>
      </c>
      <c r="F156" s="82" t="s">
        <v>1745</v>
      </c>
      <c r="G156" s="82" t="s">
        <v>1746</v>
      </c>
      <c r="H156" s="234" t="s">
        <v>1864</v>
      </c>
      <c r="I156" s="295" t="s">
        <v>3131</v>
      </c>
      <c r="J156" s="123">
        <v>1</v>
      </c>
      <c r="K156" s="82" t="s">
        <v>586</v>
      </c>
      <c r="L156" s="235"/>
      <c r="M156" s="175">
        <v>21.6</v>
      </c>
      <c r="N156" s="173">
        <v>21.6</v>
      </c>
      <c r="O156" s="82" t="s">
        <v>1747</v>
      </c>
      <c r="P156" s="82" t="s">
        <v>1748</v>
      </c>
      <c r="Q156" s="173">
        <v>79</v>
      </c>
      <c r="R156" s="177">
        <f t="shared" si="9"/>
        <v>79</v>
      </c>
      <c r="S156" s="294" t="s">
        <v>3126</v>
      </c>
      <c r="T156" s="83" t="s">
        <v>3138</v>
      </c>
      <c r="U156" s="82"/>
      <c r="V156" s="82" t="s">
        <v>3139</v>
      </c>
      <c r="W156" s="261" t="s">
        <v>3535</v>
      </c>
      <c r="X156" s="261" t="s">
        <v>3540</v>
      </c>
    </row>
    <row r="157" spans="1:24" ht="15.75" thickBot="1" x14ac:dyDescent="0.3">
      <c r="A157" s="82" t="s">
        <v>4698</v>
      </c>
      <c r="B157" s="82" t="s">
        <v>4698</v>
      </c>
      <c r="C157" s="82" t="str">
        <f t="shared" si="8"/>
        <v>X</v>
      </c>
      <c r="D157" s="235">
        <v>2022</v>
      </c>
      <c r="E157" s="82" t="s">
        <v>1653</v>
      </c>
      <c r="F157" s="82" t="s">
        <v>1745</v>
      </c>
      <c r="G157" s="82" t="s">
        <v>1746</v>
      </c>
      <c r="H157" s="234" t="s">
        <v>1864</v>
      </c>
      <c r="I157" s="295" t="s">
        <v>3131</v>
      </c>
      <c r="J157" s="123">
        <v>1</v>
      </c>
      <c r="K157" s="82" t="s">
        <v>586</v>
      </c>
      <c r="L157" s="235"/>
      <c r="M157" s="175">
        <v>21.6</v>
      </c>
      <c r="N157" s="173">
        <v>21.6</v>
      </c>
      <c r="O157" s="82" t="s">
        <v>1747</v>
      </c>
      <c r="P157" s="82" t="s">
        <v>1748</v>
      </c>
      <c r="Q157" s="173">
        <v>79</v>
      </c>
      <c r="R157" s="177">
        <f t="shared" si="9"/>
        <v>79</v>
      </c>
      <c r="S157" s="294" t="s">
        <v>3126</v>
      </c>
      <c r="T157" s="83" t="s">
        <v>3138</v>
      </c>
      <c r="U157" s="82"/>
      <c r="V157" s="82" t="s">
        <v>3139</v>
      </c>
      <c r="W157" s="261" t="s">
        <v>3535</v>
      </c>
      <c r="X157" s="261" t="s">
        <v>3540</v>
      </c>
    </row>
    <row r="158" spans="1:24" ht="15.75" thickBot="1" x14ac:dyDescent="0.3">
      <c r="A158" s="82" t="s">
        <v>4698</v>
      </c>
      <c r="B158" s="82" t="s">
        <v>4698</v>
      </c>
      <c r="C158" s="82" t="str">
        <f t="shared" si="8"/>
        <v>X</v>
      </c>
      <c r="D158" s="235">
        <v>2022</v>
      </c>
      <c r="E158" s="82" t="s">
        <v>1653</v>
      </c>
      <c r="F158" s="82" t="s">
        <v>1745</v>
      </c>
      <c r="G158" s="82" t="s">
        <v>1746</v>
      </c>
      <c r="H158" s="234" t="s">
        <v>1864</v>
      </c>
      <c r="I158" s="295" t="s">
        <v>3131</v>
      </c>
      <c r="J158" s="123">
        <v>1</v>
      </c>
      <c r="K158" s="82" t="s">
        <v>586</v>
      </c>
      <c r="L158" s="235"/>
      <c r="M158" s="175">
        <v>21.6</v>
      </c>
      <c r="N158" s="173">
        <v>21.6</v>
      </c>
      <c r="O158" s="82" t="s">
        <v>1747</v>
      </c>
      <c r="P158" s="82" t="s">
        <v>1748</v>
      </c>
      <c r="Q158" s="173">
        <v>79</v>
      </c>
      <c r="R158" s="177">
        <f t="shared" si="9"/>
        <v>79</v>
      </c>
      <c r="S158" s="294" t="s">
        <v>3126</v>
      </c>
      <c r="T158" s="83" t="s">
        <v>3138</v>
      </c>
      <c r="U158" s="82"/>
      <c r="V158" s="82" t="s">
        <v>3139</v>
      </c>
      <c r="W158" s="261" t="s">
        <v>3535</v>
      </c>
      <c r="X158" s="261" t="s">
        <v>3540</v>
      </c>
    </row>
    <row r="159" spans="1:24" ht="15.75" thickBot="1" x14ac:dyDescent="0.3">
      <c r="A159" s="82" t="s">
        <v>4698</v>
      </c>
      <c r="B159" s="82" t="s">
        <v>4698</v>
      </c>
      <c r="C159" s="82" t="str">
        <f t="shared" si="8"/>
        <v>X</v>
      </c>
      <c r="D159" s="235">
        <v>2022</v>
      </c>
      <c r="E159" s="82" t="s">
        <v>1653</v>
      </c>
      <c r="F159" s="82" t="s">
        <v>1745</v>
      </c>
      <c r="G159" s="82" t="s">
        <v>1746</v>
      </c>
      <c r="H159" s="234" t="s">
        <v>1864</v>
      </c>
      <c r="I159" s="295" t="s">
        <v>3131</v>
      </c>
      <c r="J159" s="123">
        <v>2</v>
      </c>
      <c r="K159" s="82" t="s">
        <v>586</v>
      </c>
      <c r="L159" s="235"/>
      <c r="M159" s="175">
        <v>21.6</v>
      </c>
      <c r="N159" s="173">
        <v>43.2</v>
      </c>
      <c r="O159" s="82" t="s">
        <v>1747</v>
      </c>
      <c r="P159" s="82" t="s">
        <v>1748</v>
      </c>
      <c r="Q159" s="173">
        <v>79</v>
      </c>
      <c r="R159" s="177">
        <f t="shared" si="9"/>
        <v>79</v>
      </c>
      <c r="S159" s="294" t="s">
        <v>3126</v>
      </c>
      <c r="T159" s="83" t="s">
        <v>3138</v>
      </c>
      <c r="U159" s="82"/>
      <c r="V159" s="82" t="s">
        <v>3139</v>
      </c>
      <c r="W159" s="261" t="s">
        <v>3535</v>
      </c>
      <c r="X159" s="261" t="s">
        <v>3540</v>
      </c>
    </row>
    <row r="160" spans="1:24" ht="15.75" thickBot="1" x14ac:dyDescent="0.3">
      <c r="A160" s="82" t="s">
        <v>4698</v>
      </c>
      <c r="B160" s="82" t="s">
        <v>4698</v>
      </c>
      <c r="C160" s="82" t="str">
        <f t="shared" si="8"/>
        <v>X</v>
      </c>
      <c r="D160" s="235">
        <v>2022</v>
      </c>
      <c r="E160" s="82" t="s">
        <v>1653</v>
      </c>
      <c r="F160" s="82" t="s">
        <v>1745</v>
      </c>
      <c r="G160" s="82" t="s">
        <v>1746</v>
      </c>
      <c r="H160" s="234" t="s">
        <v>1864</v>
      </c>
      <c r="I160" s="295" t="s">
        <v>3131</v>
      </c>
      <c r="J160" s="123">
        <v>2</v>
      </c>
      <c r="K160" s="82" t="s">
        <v>586</v>
      </c>
      <c r="L160" s="235"/>
      <c r="M160" s="175">
        <v>21.6</v>
      </c>
      <c r="N160" s="173">
        <v>43.2</v>
      </c>
      <c r="O160" s="82" t="s">
        <v>1747</v>
      </c>
      <c r="P160" s="82" t="s">
        <v>1748</v>
      </c>
      <c r="Q160" s="173">
        <v>79</v>
      </c>
      <c r="R160" s="177">
        <f t="shared" si="9"/>
        <v>79</v>
      </c>
      <c r="S160" s="294" t="s">
        <v>3126</v>
      </c>
      <c r="T160" s="83" t="s">
        <v>3138</v>
      </c>
      <c r="U160" s="82"/>
      <c r="V160" s="82" t="s">
        <v>3139</v>
      </c>
      <c r="W160" s="261" t="s">
        <v>3535</v>
      </c>
      <c r="X160" s="261" t="s">
        <v>3540</v>
      </c>
    </row>
    <row r="161" spans="1:24" ht="15.75" thickBot="1" x14ac:dyDescent="0.3">
      <c r="A161" s="82" t="s">
        <v>4698</v>
      </c>
      <c r="B161" s="82" t="s">
        <v>4698</v>
      </c>
      <c r="C161" s="82" t="str">
        <f t="shared" si="8"/>
        <v>X</v>
      </c>
      <c r="D161" s="235">
        <v>2022</v>
      </c>
      <c r="E161" s="82" t="s">
        <v>1653</v>
      </c>
      <c r="F161" s="82" t="s">
        <v>1745</v>
      </c>
      <c r="G161" s="82" t="s">
        <v>1746</v>
      </c>
      <c r="H161" s="234" t="s">
        <v>1864</v>
      </c>
      <c r="I161" s="295" t="s">
        <v>3131</v>
      </c>
      <c r="J161" s="123">
        <v>2</v>
      </c>
      <c r="K161" s="82" t="s">
        <v>586</v>
      </c>
      <c r="L161" s="235"/>
      <c r="M161" s="175">
        <v>21.6</v>
      </c>
      <c r="N161" s="173">
        <v>43.2</v>
      </c>
      <c r="O161" s="82" t="s">
        <v>1747</v>
      </c>
      <c r="P161" s="82" t="s">
        <v>1748</v>
      </c>
      <c r="Q161" s="173">
        <v>79</v>
      </c>
      <c r="R161" s="177">
        <f t="shared" si="9"/>
        <v>79</v>
      </c>
      <c r="S161" s="294" t="s">
        <v>3126</v>
      </c>
      <c r="T161" s="83" t="s">
        <v>3138</v>
      </c>
      <c r="U161" s="82"/>
      <c r="V161" s="82" t="s">
        <v>3139</v>
      </c>
      <c r="W161" s="261" t="s">
        <v>3535</v>
      </c>
      <c r="X161" s="261" t="s">
        <v>3540</v>
      </c>
    </row>
    <row r="162" spans="1:24" ht="15.75" thickBot="1" x14ac:dyDescent="0.3">
      <c r="A162" s="82" t="s">
        <v>4696</v>
      </c>
      <c r="B162" s="82" t="s">
        <v>4696</v>
      </c>
      <c r="C162" s="82" t="str">
        <f t="shared" si="8"/>
        <v>X</v>
      </c>
      <c r="D162" s="235">
        <v>2022</v>
      </c>
      <c r="E162" s="82" t="s">
        <v>1653</v>
      </c>
      <c r="F162" s="82" t="s">
        <v>1745</v>
      </c>
      <c r="G162" s="82" t="s">
        <v>1746</v>
      </c>
      <c r="H162" s="234" t="s">
        <v>1864</v>
      </c>
      <c r="I162" s="295" t="s">
        <v>3131</v>
      </c>
      <c r="J162" s="123">
        <v>1</v>
      </c>
      <c r="K162" s="82" t="s">
        <v>586</v>
      </c>
      <c r="L162" s="235"/>
      <c r="M162" s="175">
        <v>21.6</v>
      </c>
      <c r="N162" s="173">
        <v>21.6</v>
      </c>
      <c r="O162" s="82" t="s">
        <v>1747</v>
      </c>
      <c r="P162" s="82" t="s">
        <v>3135</v>
      </c>
      <c r="Q162" s="173">
        <v>115</v>
      </c>
      <c r="R162" s="177">
        <f t="shared" si="9"/>
        <v>115</v>
      </c>
      <c r="S162" s="294" t="s">
        <v>3126</v>
      </c>
      <c r="T162" s="83" t="s">
        <v>3138</v>
      </c>
      <c r="U162" s="82"/>
      <c r="V162" s="82" t="s">
        <v>3139</v>
      </c>
      <c r="W162" s="261" t="s">
        <v>3535</v>
      </c>
      <c r="X162" s="261" t="s">
        <v>3540</v>
      </c>
    </row>
    <row r="163" spans="1:24" ht="15.75" thickBot="1" x14ac:dyDescent="0.3">
      <c r="A163" s="82" t="s">
        <v>4696</v>
      </c>
      <c r="B163" s="82" t="s">
        <v>4696</v>
      </c>
      <c r="C163" s="82" t="str">
        <f t="shared" si="8"/>
        <v>X</v>
      </c>
      <c r="D163" s="235">
        <v>2022</v>
      </c>
      <c r="E163" s="82" t="s">
        <v>1653</v>
      </c>
      <c r="F163" s="82" t="s">
        <v>1745</v>
      </c>
      <c r="G163" s="82" t="s">
        <v>1746</v>
      </c>
      <c r="H163" s="234" t="s">
        <v>1864</v>
      </c>
      <c r="I163" s="295" t="s">
        <v>3131</v>
      </c>
      <c r="J163" s="123">
        <v>1</v>
      </c>
      <c r="K163" s="82" t="s">
        <v>586</v>
      </c>
      <c r="L163" s="235"/>
      <c r="M163" s="175">
        <v>21.6</v>
      </c>
      <c r="N163" s="173">
        <v>21.6</v>
      </c>
      <c r="O163" s="82" t="s">
        <v>1747</v>
      </c>
      <c r="P163" s="82" t="s">
        <v>3135</v>
      </c>
      <c r="Q163" s="173">
        <v>115</v>
      </c>
      <c r="R163" s="177">
        <f t="shared" si="9"/>
        <v>115</v>
      </c>
      <c r="S163" s="294" t="s">
        <v>3126</v>
      </c>
      <c r="T163" s="83" t="s">
        <v>3138</v>
      </c>
      <c r="U163" s="82"/>
      <c r="V163" s="82" t="s">
        <v>3139</v>
      </c>
      <c r="W163" s="261" t="s">
        <v>3535</v>
      </c>
      <c r="X163" s="261" t="s">
        <v>3540</v>
      </c>
    </row>
    <row r="164" spans="1:24" ht="15.75" thickBot="1" x14ac:dyDescent="0.3">
      <c r="A164" s="82" t="s">
        <v>4696</v>
      </c>
      <c r="B164" s="82" t="s">
        <v>4696</v>
      </c>
      <c r="C164" s="82" t="str">
        <f t="shared" si="8"/>
        <v>X</v>
      </c>
      <c r="D164" s="235">
        <v>2022</v>
      </c>
      <c r="E164" s="82" t="s">
        <v>1653</v>
      </c>
      <c r="F164" s="82" t="s">
        <v>1745</v>
      </c>
      <c r="G164" s="82" t="s">
        <v>1746</v>
      </c>
      <c r="H164" s="234" t="s">
        <v>1864</v>
      </c>
      <c r="I164" s="295" t="s">
        <v>3131</v>
      </c>
      <c r="J164" s="123">
        <v>1</v>
      </c>
      <c r="K164" s="82" t="s">
        <v>586</v>
      </c>
      <c r="L164" s="235"/>
      <c r="M164" s="175">
        <v>21.6</v>
      </c>
      <c r="N164" s="173">
        <v>21.6</v>
      </c>
      <c r="O164" s="82" t="s">
        <v>1747</v>
      </c>
      <c r="P164" s="82" t="s">
        <v>3135</v>
      </c>
      <c r="Q164" s="173">
        <v>115</v>
      </c>
      <c r="R164" s="177">
        <f t="shared" si="9"/>
        <v>115</v>
      </c>
      <c r="S164" s="294" t="s">
        <v>3126</v>
      </c>
      <c r="T164" s="83" t="s">
        <v>3138</v>
      </c>
      <c r="U164" s="82"/>
      <c r="V164" s="82" t="s">
        <v>3139</v>
      </c>
      <c r="W164" s="261" t="s">
        <v>3535</v>
      </c>
      <c r="X164" s="261" t="s">
        <v>3540</v>
      </c>
    </row>
    <row r="165" spans="1:24" ht="15.75" thickBot="1" x14ac:dyDescent="0.3">
      <c r="A165" s="82" t="s">
        <v>4696</v>
      </c>
      <c r="B165" s="82" t="s">
        <v>4696</v>
      </c>
      <c r="C165" s="82" t="str">
        <f t="shared" si="8"/>
        <v>X</v>
      </c>
      <c r="D165" s="235">
        <v>2022</v>
      </c>
      <c r="E165" s="82" t="s">
        <v>1653</v>
      </c>
      <c r="F165" s="82" t="s">
        <v>1745</v>
      </c>
      <c r="G165" s="82" t="s">
        <v>1746</v>
      </c>
      <c r="H165" s="234" t="s">
        <v>1864</v>
      </c>
      <c r="I165" s="295" t="s">
        <v>3131</v>
      </c>
      <c r="J165" s="123">
        <v>1</v>
      </c>
      <c r="K165" s="82" t="s">
        <v>586</v>
      </c>
      <c r="L165" s="235"/>
      <c r="M165" s="175">
        <v>21.6</v>
      </c>
      <c r="N165" s="173">
        <v>21.6</v>
      </c>
      <c r="O165" s="82" t="s">
        <v>1747</v>
      </c>
      <c r="P165" s="82" t="s">
        <v>3135</v>
      </c>
      <c r="Q165" s="173">
        <v>115</v>
      </c>
      <c r="R165" s="177">
        <f t="shared" si="9"/>
        <v>115</v>
      </c>
      <c r="S165" s="294" t="s">
        <v>3126</v>
      </c>
      <c r="T165" s="83" t="s">
        <v>3138</v>
      </c>
      <c r="U165" s="82"/>
      <c r="V165" s="82" t="s">
        <v>3139</v>
      </c>
      <c r="W165" s="261" t="s">
        <v>3535</v>
      </c>
      <c r="X165" s="261" t="s">
        <v>3540</v>
      </c>
    </row>
    <row r="166" spans="1:24" ht="15.75" thickBot="1" x14ac:dyDescent="0.3">
      <c r="A166" s="82" t="s">
        <v>4696</v>
      </c>
      <c r="B166" s="82" t="s">
        <v>4696</v>
      </c>
      <c r="C166" s="82" t="str">
        <f t="shared" si="8"/>
        <v>X</v>
      </c>
      <c r="D166" s="235">
        <v>2022</v>
      </c>
      <c r="E166" s="82" t="s">
        <v>1653</v>
      </c>
      <c r="F166" s="82" t="s">
        <v>1745</v>
      </c>
      <c r="G166" s="82" t="s">
        <v>1746</v>
      </c>
      <c r="H166" s="234" t="s">
        <v>1864</v>
      </c>
      <c r="I166" s="295" t="s">
        <v>3131</v>
      </c>
      <c r="J166" s="123">
        <v>1</v>
      </c>
      <c r="K166" s="82" t="s">
        <v>586</v>
      </c>
      <c r="L166" s="235"/>
      <c r="M166" s="175">
        <v>21.6</v>
      </c>
      <c r="N166" s="173">
        <v>21.6</v>
      </c>
      <c r="O166" s="82" t="s">
        <v>1747</v>
      </c>
      <c r="P166" s="82" t="s">
        <v>3135</v>
      </c>
      <c r="Q166" s="173">
        <v>115</v>
      </c>
      <c r="R166" s="177">
        <f t="shared" si="9"/>
        <v>115</v>
      </c>
      <c r="S166" s="294" t="s">
        <v>3126</v>
      </c>
      <c r="T166" s="83" t="s">
        <v>3138</v>
      </c>
      <c r="U166" s="82"/>
      <c r="V166" s="82" t="s">
        <v>3139</v>
      </c>
      <c r="W166" s="261" t="s">
        <v>3535</v>
      </c>
      <c r="X166" s="261" t="s">
        <v>3540</v>
      </c>
    </row>
    <row r="167" spans="1:24" ht="15.75" thickBot="1" x14ac:dyDescent="0.3">
      <c r="A167" s="82" t="s">
        <v>4696</v>
      </c>
      <c r="B167" s="82" t="s">
        <v>4696</v>
      </c>
      <c r="C167" s="82" t="str">
        <f t="shared" si="8"/>
        <v>X</v>
      </c>
      <c r="D167" s="235">
        <v>2022</v>
      </c>
      <c r="E167" s="82" t="s">
        <v>1653</v>
      </c>
      <c r="F167" s="82" t="s">
        <v>1745</v>
      </c>
      <c r="G167" s="82" t="s">
        <v>1746</v>
      </c>
      <c r="H167" s="234" t="s">
        <v>1864</v>
      </c>
      <c r="I167" s="295" t="s">
        <v>3131</v>
      </c>
      <c r="J167" s="123">
        <v>1</v>
      </c>
      <c r="K167" s="82" t="s">
        <v>586</v>
      </c>
      <c r="L167" s="235"/>
      <c r="M167" s="175">
        <v>21.6</v>
      </c>
      <c r="N167" s="173">
        <v>21.6</v>
      </c>
      <c r="O167" s="82" t="s">
        <v>1747</v>
      </c>
      <c r="P167" s="82" t="s">
        <v>3135</v>
      </c>
      <c r="Q167" s="173">
        <v>115</v>
      </c>
      <c r="R167" s="177">
        <f t="shared" si="9"/>
        <v>115</v>
      </c>
      <c r="S167" s="294" t="s">
        <v>3126</v>
      </c>
      <c r="T167" s="83" t="s">
        <v>3138</v>
      </c>
      <c r="U167" s="82"/>
      <c r="V167" s="82" t="s">
        <v>3139</v>
      </c>
      <c r="W167" s="261" t="s">
        <v>3535</v>
      </c>
      <c r="X167" s="261" t="s">
        <v>3540</v>
      </c>
    </row>
    <row r="168" spans="1:24" ht="15.75" thickBot="1" x14ac:dyDescent="0.3">
      <c r="A168" s="82" t="s">
        <v>4695</v>
      </c>
      <c r="B168" s="82" t="s">
        <v>4695</v>
      </c>
      <c r="C168" s="82" t="str">
        <f t="shared" si="8"/>
        <v>X</v>
      </c>
      <c r="D168" s="235">
        <v>2022</v>
      </c>
      <c r="E168" s="82" t="s">
        <v>1653</v>
      </c>
      <c r="F168" s="82" t="s">
        <v>1745</v>
      </c>
      <c r="G168" s="82" t="s">
        <v>1746</v>
      </c>
      <c r="H168" s="234" t="s">
        <v>1864</v>
      </c>
      <c r="I168" s="295" t="s">
        <v>3131</v>
      </c>
      <c r="J168" s="123">
        <v>1</v>
      </c>
      <c r="K168" s="82" t="s">
        <v>586</v>
      </c>
      <c r="L168" s="235"/>
      <c r="M168" s="175">
        <v>21.6</v>
      </c>
      <c r="N168" s="173">
        <v>21.6</v>
      </c>
      <c r="O168" s="82" t="s">
        <v>1747</v>
      </c>
      <c r="P168" s="82" t="s">
        <v>3135</v>
      </c>
      <c r="Q168" s="173">
        <v>67</v>
      </c>
      <c r="R168" s="177">
        <f t="shared" si="9"/>
        <v>67</v>
      </c>
      <c r="S168" s="294" t="s">
        <v>3126</v>
      </c>
      <c r="T168" s="83" t="s">
        <v>3138</v>
      </c>
      <c r="U168" s="82"/>
      <c r="V168" s="82" t="s">
        <v>3139</v>
      </c>
      <c r="W168" s="261" t="s">
        <v>3535</v>
      </c>
      <c r="X168" s="261" t="s">
        <v>3540</v>
      </c>
    </row>
    <row r="169" spans="1:24" ht="15.75" thickBot="1" x14ac:dyDescent="0.3">
      <c r="A169" s="82" t="s">
        <v>4695</v>
      </c>
      <c r="B169" s="82" t="s">
        <v>4695</v>
      </c>
      <c r="C169" s="82" t="str">
        <f t="shared" si="8"/>
        <v>X</v>
      </c>
      <c r="D169" s="235">
        <v>2022</v>
      </c>
      <c r="E169" s="82" t="s">
        <v>1653</v>
      </c>
      <c r="F169" s="82" t="s">
        <v>1745</v>
      </c>
      <c r="G169" s="82" t="s">
        <v>1746</v>
      </c>
      <c r="H169" s="234" t="s">
        <v>1864</v>
      </c>
      <c r="I169" s="295" t="s">
        <v>3131</v>
      </c>
      <c r="J169" s="123">
        <v>1</v>
      </c>
      <c r="K169" s="82" t="s">
        <v>586</v>
      </c>
      <c r="L169" s="235"/>
      <c r="M169" s="175">
        <v>21.6</v>
      </c>
      <c r="N169" s="173">
        <v>21.6</v>
      </c>
      <c r="O169" s="82" t="s">
        <v>1747</v>
      </c>
      <c r="P169" s="82" t="s">
        <v>3135</v>
      </c>
      <c r="Q169" s="173">
        <v>67</v>
      </c>
      <c r="R169" s="177">
        <f t="shared" si="9"/>
        <v>67</v>
      </c>
      <c r="S169" s="294" t="s">
        <v>3126</v>
      </c>
      <c r="T169" s="83" t="s">
        <v>3138</v>
      </c>
      <c r="U169" s="82"/>
      <c r="V169" s="82" t="s">
        <v>3139</v>
      </c>
      <c r="W169" s="261" t="s">
        <v>3535</v>
      </c>
      <c r="X169" s="261" t="s">
        <v>3540</v>
      </c>
    </row>
    <row r="170" spans="1:24" ht="15.75" thickBot="1" x14ac:dyDescent="0.3">
      <c r="A170" s="82" t="s">
        <v>4695</v>
      </c>
      <c r="B170" s="82" t="s">
        <v>4695</v>
      </c>
      <c r="C170" s="82" t="str">
        <f t="shared" si="8"/>
        <v>X</v>
      </c>
      <c r="D170" s="235">
        <v>2022</v>
      </c>
      <c r="E170" s="82" t="s">
        <v>1653</v>
      </c>
      <c r="F170" s="82" t="s">
        <v>1745</v>
      </c>
      <c r="G170" s="82" t="s">
        <v>1746</v>
      </c>
      <c r="H170" s="234" t="s">
        <v>1864</v>
      </c>
      <c r="I170" s="295" t="s">
        <v>3131</v>
      </c>
      <c r="J170" s="123">
        <v>1</v>
      </c>
      <c r="K170" s="82" t="s">
        <v>586</v>
      </c>
      <c r="L170" s="235"/>
      <c r="M170" s="175">
        <v>21.6</v>
      </c>
      <c r="N170" s="173">
        <v>21.6</v>
      </c>
      <c r="O170" s="82" t="s">
        <v>1747</v>
      </c>
      <c r="P170" s="82" t="s">
        <v>3135</v>
      </c>
      <c r="Q170" s="173">
        <v>67</v>
      </c>
      <c r="R170" s="177">
        <f t="shared" si="9"/>
        <v>67</v>
      </c>
      <c r="S170" s="294" t="s">
        <v>3126</v>
      </c>
      <c r="T170" s="83" t="s">
        <v>3138</v>
      </c>
      <c r="U170" s="82"/>
      <c r="V170" s="82" t="s">
        <v>3139</v>
      </c>
      <c r="W170" s="261" t="s">
        <v>3535</v>
      </c>
      <c r="X170" s="261" t="s">
        <v>3540</v>
      </c>
    </row>
    <row r="171" spans="1:24" ht="15.75" thickBot="1" x14ac:dyDescent="0.3">
      <c r="A171" s="82" t="s">
        <v>4695</v>
      </c>
      <c r="B171" s="82" t="s">
        <v>4695</v>
      </c>
      <c r="C171" s="82" t="str">
        <f t="shared" si="8"/>
        <v>X</v>
      </c>
      <c r="D171" s="235">
        <v>2022</v>
      </c>
      <c r="E171" s="82" t="s">
        <v>1653</v>
      </c>
      <c r="F171" s="82" t="s">
        <v>1745</v>
      </c>
      <c r="G171" s="82" t="s">
        <v>1746</v>
      </c>
      <c r="H171" s="234" t="s">
        <v>1864</v>
      </c>
      <c r="I171" s="295" t="s">
        <v>3131</v>
      </c>
      <c r="J171" s="123">
        <v>1</v>
      </c>
      <c r="K171" s="82" t="s">
        <v>586</v>
      </c>
      <c r="L171" s="235"/>
      <c r="M171" s="175">
        <v>21.6</v>
      </c>
      <c r="N171" s="173">
        <v>21.6</v>
      </c>
      <c r="O171" s="82" t="s">
        <v>1747</v>
      </c>
      <c r="P171" s="82" t="s">
        <v>3135</v>
      </c>
      <c r="Q171" s="173">
        <v>67</v>
      </c>
      <c r="R171" s="177">
        <f t="shared" si="9"/>
        <v>67</v>
      </c>
      <c r="S171" s="294" t="s">
        <v>3126</v>
      </c>
      <c r="T171" s="83" t="s">
        <v>3138</v>
      </c>
      <c r="U171" s="82"/>
      <c r="V171" s="82" t="s">
        <v>3139</v>
      </c>
      <c r="W171" s="261" t="s">
        <v>3535</v>
      </c>
      <c r="X171" s="261" t="s">
        <v>3540</v>
      </c>
    </row>
    <row r="172" spans="1:24" ht="15.75" thickBot="1" x14ac:dyDescent="0.3">
      <c r="A172" s="82" t="s">
        <v>4695</v>
      </c>
      <c r="B172" s="82" t="s">
        <v>4695</v>
      </c>
      <c r="C172" s="82" t="str">
        <f t="shared" si="8"/>
        <v>X</v>
      </c>
      <c r="D172" s="235">
        <v>2022</v>
      </c>
      <c r="E172" s="82" t="s">
        <v>1653</v>
      </c>
      <c r="F172" s="82" t="s">
        <v>1745</v>
      </c>
      <c r="G172" s="82" t="s">
        <v>1746</v>
      </c>
      <c r="H172" s="234" t="s">
        <v>1864</v>
      </c>
      <c r="I172" s="295" t="s">
        <v>3131</v>
      </c>
      <c r="J172" s="123">
        <v>2</v>
      </c>
      <c r="K172" s="82" t="s">
        <v>586</v>
      </c>
      <c r="L172" s="235"/>
      <c r="M172" s="175">
        <v>21.6</v>
      </c>
      <c r="N172" s="173">
        <v>43.2</v>
      </c>
      <c r="O172" s="82" t="s">
        <v>1747</v>
      </c>
      <c r="P172" s="82" t="s">
        <v>3135</v>
      </c>
      <c r="Q172" s="173">
        <v>67</v>
      </c>
      <c r="R172" s="177">
        <f t="shared" si="9"/>
        <v>67</v>
      </c>
      <c r="S172" s="294" t="s">
        <v>3126</v>
      </c>
      <c r="T172" s="83" t="s">
        <v>3138</v>
      </c>
      <c r="U172" s="82"/>
      <c r="V172" s="82" t="s">
        <v>3139</v>
      </c>
      <c r="W172" s="261" t="s">
        <v>3535</v>
      </c>
      <c r="X172" s="261" t="s">
        <v>3540</v>
      </c>
    </row>
    <row r="173" spans="1:24" ht="15.75" thickBot="1" x14ac:dyDescent="0.3">
      <c r="A173" s="82" t="s">
        <v>4698</v>
      </c>
      <c r="B173" s="82" t="s">
        <v>4698</v>
      </c>
      <c r="C173" s="82" t="str">
        <f t="shared" si="8"/>
        <v>X</v>
      </c>
      <c r="D173" s="235">
        <v>2022</v>
      </c>
      <c r="E173" s="82" t="s">
        <v>1653</v>
      </c>
      <c r="F173" s="82" t="s">
        <v>1745</v>
      </c>
      <c r="G173" s="82" t="s">
        <v>1746</v>
      </c>
      <c r="H173" s="234" t="s">
        <v>1864</v>
      </c>
      <c r="I173" s="295" t="s">
        <v>3131</v>
      </c>
      <c r="J173" s="123">
        <v>1</v>
      </c>
      <c r="K173" s="82" t="s">
        <v>586</v>
      </c>
      <c r="L173" s="235"/>
      <c r="M173" s="175">
        <v>27.5</v>
      </c>
      <c r="N173" s="173">
        <v>27.5</v>
      </c>
      <c r="O173" s="82" t="s">
        <v>1747</v>
      </c>
      <c r="P173" s="82" t="s">
        <v>1748</v>
      </c>
      <c r="Q173" s="173">
        <v>79</v>
      </c>
      <c r="R173" s="177">
        <f t="shared" si="9"/>
        <v>79</v>
      </c>
      <c r="S173" s="294" t="s">
        <v>3126</v>
      </c>
      <c r="T173" s="83" t="s">
        <v>3138</v>
      </c>
      <c r="U173" s="82"/>
      <c r="V173" s="82" t="s">
        <v>3140</v>
      </c>
      <c r="W173" s="261" t="s">
        <v>3535</v>
      </c>
      <c r="X173" s="261" t="s">
        <v>3540</v>
      </c>
    </row>
    <row r="174" spans="1:24" ht="15.75" thickBot="1" x14ac:dyDescent="0.3">
      <c r="A174" s="82" t="s">
        <v>4698</v>
      </c>
      <c r="B174" s="82" t="s">
        <v>4698</v>
      </c>
      <c r="C174" s="82" t="str">
        <f t="shared" si="8"/>
        <v>X</v>
      </c>
      <c r="D174" s="235">
        <v>2022</v>
      </c>
      <c r="E174" s="82" t="s">
        <v>1653</v>
      </c>
      <c r="F174" s="82" t="s">
        <v>1745</v>
      </c>
      <c r="G174" s="82" t="s">
        <v>1746</v>
      </c>
      <c r="H174" s="234" t="s">
        <v>1864</v>
      </c>
      <c r="I174" s="295" t="s">
        <v>3131</v>
      </c>
      <c r="J174" s="123">
        <v>1</v>
      </c>
      <c r="K174" s="82" t="s">
        <v>586</v>
      </c>
      <c r="L174" s="235"/>
      <c r="M174" s="175">
        <v>27.5</v>
      </c>
      <c r="N174" s="173">
        <v>27.5</v>
      </c>
      <c r="O174" s="82" t="s">
        <v>1747</v>
      </c>
      <c r="P174" s="82" t="s">
        <v>1748</v>
      </c>
      <c r="Q174" s="173">
        <v>79</v>
      </c>
      <c r="R174" s="177">
        <f t="shared" si="9"/>
        <v>79</v>
      </c>
      <c r="S174" s="294" t="s">
        <v>3126</v>
      </c>
      <c r="T174" s="83" t="s">
        <v>3138</v>
      </c>
      <c r="U174" s="82"/>
      <c r="V174" s="82" t="s">
        <v>3140</v>
      </c>
      <c r="W174" s="261" t="s">
        <v>3535</v>
      </c>
      <c r="X174" s="261" t="s">
        <v>3540</v>
      </c>
    </row>
    <row r="175" spans="1:24" ht="15.75" thickBot="1" x14ac:dyDescent="0.3">
      <c r="A175" s="82" t="s">
        <v>4698</v>
      </c>
      <c r="B175" s="82" t="s">
        <v>4698</v>
      </c>
      <c r="C175" s="82" t="str">
        <f t="shared" si="8"/>
        <v>X</v>
      </c>
      <c r="D175" s="235">
        <v>2022</v>
      </c>
      <c r="E175" s="82" t="s">
        <v>1653</v>
      </c>
      <c r="F175" s="82" t="s">
        <v>1745</v>
      </c>
      <c r="G175" s="82" t="s">
        <v>1746</v>
      </c>
      <c r="H175" s="234" t="s">
        <v>1864</v>
      </c>
      <c r="I175" s="295" t="s">
        <v>3131</v>
      </c>
      <c r="J175" s="123">
        <v>1</v>
      </c>
      <c r="K175" s="82" t="s">
        <v>586</v>
      </c>
      <c r="L175" s="235"/>
      <c r="M175" s="175">
        <v>27.5</v>
      </c>
      <c r="N175" s="173">
        <v>27.5</v>
      </c>
      <c r="O175" s="82" t="s">
        <v>1747</v>
      </c>
      <c r="P175" s="82" t="s">
        <v>1748</v>
      </c>
      <c r="Q175" s="173">
        <v>79</v>
      </c>
      <c r="R175" s="177">
        <f t="shared" si="9"/>
        <v>79</v>
      </c>
      <c r="S175" s="294" t="s">
        <v>3126</v>
      </c>
      <c r="T175" s="83" t="s">
        <v>3138</v>
      </c>
      <c r="U175" s="82"/>
      <c r="V175" s="82" t="s">
        <v>3140</v>
      </c>
      <c r="W175" s="261" t="s">
        <v>3535</v>
      </c>
      <c r="X175" s="261" t="s">
        <v>3540</v>
      </c>
    </row>
    <row r="176" spans="1:24" ht="15.75" thickBot="1" x14ac:dyDescent="0.3">
      <c r="A176" s="82" t="s">
        <v>4698</v>
      </c>
      <c r="B176" s="82" t="s">
        <v>4698</v>
      </c>
      <c r="C176" s="82" t="str">
        <f t="shared" si="8"/>
        <v>X</v>
      </c>
      <c r="D176" s="235">
        <v>2022</v>
      </c>
      <c r="E176" s="82" t="s">
        <v>1653</v>
      </c>
      <c r="F176" s="82" t="s">
        <v>1745</v>
      </c>
      <c r="G176" s="82" t="s">
        <v>1746</v>
      </c>
      <c r="H176" s="234" t="s">
        <v>1864</v>
      </c>
      <c r="I176" s="295" t="s">
        <v>3131</v>
      </c>
      <c r="J176" s="123">
        <v>1</v>
      </c>
      <c r="K176" s="82" t="s">
        <v>586</v>
      </c>
      <c r="L176" s="235"/>
      <c r="M176" s="175">
        <v>27.5</v>
      </c>
      <c r="N176" s="173">
        <v>27.5</v>
      </c>
      <c r="O176" s="82" t="s">
        <v>1747</v>
      </c>
      <c r="P176" s="82" t="s">
        <v>1748</v>
      </c>
      <c r="Q176" s="173">
        <v>79</v>
      </c>
      <c r="R176" s="177">
        <f t="shared" si="9"/>
        <v>79</v>
      </c>
      <c r="S176" s="294" t="s">
        <v>3126</v>
      </c>
      <c r="T176" s="83" t="s">
        <v>3138</v>
      </c>
      <c r="U176" s="82"/>
      <c r="V176" s="82" t="s">
        <v>3140</v>
      </c>
      <c r="W176" s="261" t="s">
        <v>3535</v>
      </c>
      <c r="X176" s="261" t="s">
        <v>3540</v>
      </c>
    </row>
    <row r="177" spans="1:24" ht="15.75" thickBot="1" x14ac:dyDescent="0.3">
      <c r="A177" s="82" t="s">
        <v>4698</v>
      </c>
      <c r="B177" s="82" t="s">
        <v>4698</v>
      </c>
      <c r="C177" s="82" t="str">
        <f t="shared" si="8"/>
        <v>X</v>
      </c>
      <c r="D177" s="235">
        <v>2022</v>
      </c>
      <c r="E177" s="82" t="s">
        <v>1653</v>
      </c>
      <c r="F177" s="82" t="s">
        <v>1745</v>
      </c>
      <c r="G177" s="82" t="s">
        <v>1746</v>
      </c>
      <c r="H177" s="234" t="s">
        <v>1864</v>
      </c>
      <c r="I177" s="295" t="s">
        <v>3131</v>
      </c>
      <c r="J177" s="123">
        <v>1</v>
      </c>
      <c r="K177" s="82" t="s">
        <v>586</v>
      </c>
      <c r="L177" s="235"/>
      <c r="M177" s="175">
        <v>27.5</v>
      </c>
      <c r="N177" s="173">
        <v>27.5</v>
      </c>
      <c r="O177" s="82" t="s">
        <v>1747</v>
      </c>
      <c r="P177" s="82" t="s">
        <v>1748</v>
      </c>
      <c r="Q177" s="173">
        <v>79</v>
      </c>
      <c r="R177" s="177">
        <f t="shared" si="9"/>
        <v>79</v>
      </c>
      <c r="S177" s="294" t="s">
        <v>3126</v>
      </c>
      <c r="T177" s="83" t="s">
        <v>3138</v>
      </c>
      <c r="U177" s="82"/>
      <c r="V177" s="82" t="s">
        <v>3140</v>
      </c>
      <c r="W177" s="261" t="s">
        <v>3535</v>
      </c>
      <c r="X177" s="261" t="s">
        <v>3540</v>
      </c>
    </row>
    <row r="178" spans="1:24" ht="15.75" thickBot="1" x14ac:dyDescent="0.3">
      <c r="A178" s="82" t="s">
        <v>4698</v>
      </c>
      <c r="B178" s="82" t="s">
        <v>4698</v>
      </c>
      <c r="C178" s="82" t="str">
        <f t="shared" si="8"/>
        <v>X</v>
      </c>
      <c r="D178" s="235">
        <v>2022</v>
      </c>
      <c r="E178" s="82" t="s">
        <v>1653</v>
      </c>
      <c r="F178" s="82" t="s">
        <v>1745</v>
      </c>
      <c r="G178" s="82" t="s">
        <v>1746</v>
      </c>
      <c r="H178" s="234" t="s">
        <v>1864</v>
      </c>
      <c r="I178" s="295" t="s">
        <v>3131</v>
      </c>
      <c r="J178" s="123">
        <v>1</v>
      </c>
      <c r="K178" s="82" t="s">
        <v>586</v>
      </c>
      <c r="L178" s="235"/>
      <c r="M178" s="175">
        <v>27.5</v>
      </c>
      <c r="N178" s="173">
        <v>27.5</v>
      </c>
      <c r="O178" s="82" t="s">
        <v>1747</v>
      </c>
      <c r="P178" s="82" t="s">
        <v>1748</v>
      </c>
      <c r="Q178" s="173">
        <v>79</v>
      </c>
      <c r="R178" s="177">
        <f t="shared" si="9"/>
        <v>79</v>
      </c>
      <c r="S178" s="294" t="s">
        <v>3126</v>
      </c>
      <c r="T178" s="83" t="s">
        <v>3138</v>
      </c>
      <c r="U178" s="82"/>
      <c r="V178" s="82" t="s">
        <v>3140</v>
      </c>
      <c r="W178" s="261" t="s">
        <v>3535</v>
      </c>
      <c r="X178" s="261" t="s">
        <v>3540</v>
      </c>
    </row>
    <row r="179" spans="1:24" ht="15.75" thickBot="1" x14ac:dyDescent="0.3">
      <c r="A179" s="82" t="s">
        <v>4697</v>
      </c>
      <c r="B179" s="82" t="s">
        <v>4697</v>
      </c>
      <c r="C179" s="82" t="str">
        <f t="shared" si="8"/>
        <v>X</v>
      </c>
      <c r="D179" s="235">
        <v>2022</v>
      </c>
      <c r="E179" s="82" t="s">
        <v>1653</v>
      </c>
      <c r="F179" s="82" t="s">
        <v>1745</v>
      </c>
      <c r="G179" s="82" t="s">
        <v>1746</v>
      </c>
      <c r="H179" s="234" t="s">
        <v>1864</v>
      </c>
      <c r="I179" s="295" t="s">
        <v>3131</v>
      </c>
      <c r="J179" s="123">
        <v>1</v>
      </c>
      <c r="K179" s="82" t="s">
        <v>586</v>
      </c>
      <c r="L179" s="235"/>
      <c r="M179" s="175">
        <v>27.5</v>
      </c>
      <c r="N179" s="173">
        <v>27.5</v>
      </c>
      <c r="O179" s="82" t="s">
        <v>1747</v>
      </c>
      <c r="P179" s="82" t="s">
        <v>1748</v>
      </c>
      <c r="Q179" s="173">
        <v>48</v>
      </c>
      <c r="R179" s="177">
        <f t="shared" si="9"/>
        <v>48</v>
      </c>
      <c r="S179" s="294" t="s">
        <v>3126</v>
      </c>
      <c r="T179" s="83" t="s">
        <v>3138</v>
      </c>
      <c r="U179" s="82"/>
      <c r="V179" s="82" t="s">
        <v>3140</v>
      </c>
      <c r="W179" s="261" t="s">
        <v>3535</v>
      </c>
      <c r="X179" s="261" t="s">
        <v>3540</v>
      </c>
    </row>
    <row r="180" spans="1:24" ht="15.75" thickBot="1" x14ac:dyDescent="0.3">
      <c r="A180" s="82" t="s">
        <v>4697</v>
      </c>
      <c r="B180" s="82" t="s">
        <v>4697</v>
      </c>
      <c r="C180" s="82" t="str">
        <f t="shared" si="8"/>
        <v>X</v>
      </c>
      <c r="D180" s="235">
        <v>2022</v>
      </c>
      <c r="E180" s="82" t="s">
        <v>1653</v>
      </c>
      <c r="F180" s="82" t="s">
        <v>1745</v>
      </c>
      <c r="G180" s="82" t="s">
        <v>1746</v>
      </c>
      <c r="H180" s="234" t="s">
        <v>1864</v>
      </c>
      <c r="I180" s="295" t="s">
        <v>3131</v>
      </c>
      <c r="J180" s="123">
        <v>1</v>
      </c>
      <c r="K180" s="82" t="s">
        <v>586</v>
      </c>
      <c r="L180" s="235"/>
      <c r="M180" s="175">
        <v>27.5</v>
      </c>
      <c r="N180" s="173">
        <v>27.5</v>
      </c>
      <c r="O180" s="82" t="s">
        <v>1747</v>
      </c>
      <c r="P180" s="82" t="s">
        <v>1748</v>
      </c>
      <c r="Q180" s="173">
        <v>48</v>
      </c>
      <c r="R180" s="177">
        <f t="shared" si="9"/>
        <v>48</v>
      </c>
      <c r="S180" s="294" t="s">
        <v>3126</v>
      </c>
      <c r="T180" s="83" t="s">
        <v>3138</v>
      </c>
      <c r="U180" s="82"/>
      <c r="V180" s="82" t="s">
        <v>3140</v>
      </c>
      <c r="W180" s="261" t="s">
        <v>3535</v>
      </c>
      <c r="X180" s="261" t="s">
        <v>3540</v>
      </c>
    </row>
    <row r="181" spans="1:24" ht="15.75" thickBot="1" x14ac:dyDescent="0.3">
      <c r="A181" s="82" t="s">
        <v>4697</v>
      </c>
      <c r="B181" s="82" t="s">
        <v>4697</v>
      </c>
      <c r="C181" s="82" t="str">
        <f t="shared" si="8"/>
        <v>X</v>
      </c>
      <c r="D181" s="235">
        <v>2022</v>
      </c>
      <c r="E181" s="82" t="s">
        <v>1653</v>
      </c>
      <c r="F181" s="82" t="s">
        <v>1745</v>
      </c>
      <c r="G181" s="82" t="s">
        <v>1746</v>
      </c>
      <c r="H181" s="234" t="s">
        <v>1864</v>
      </c>
      <c r="I181" s="295" t="s">
        <v>3131</v>
      </c>
      <c r="J181" s="123">
        <v>1</v>
      </c>
      <c r="K181" s="82" t="s">
        <v>586</v>
      </c>
      <c r="L181" s="235"/>
      <c r="M181" s="175">
        <v>27.5</v>
      </c>
      <c r="N181" s="173">
        <v>27.5</v>
      </c>
      <c r="O181" s="82" t="s">
        <v>1747</v>
      </c>
      <c r="P181" s="82" t="s">
        <v>1748</v>
      </c>
      <c r="Q181" s="173">
        <v>48</v>
      </c>
      <c r="R181" s="177">
        <f t="shared" si="9"/>
        <v>48</v>
      </c>
      <c r="S181" s="294" t="s">
        <v>3126</v>
      </c>
      <c r="T181" s="83" t="s">
        <v>3138</v>
      </c>
      <c r="U181" s="82"/>
      <c r="V181" s="82" t="s">
        <v>3140</v>
      </c>
      <c r="W181" s="261" t="s">
        <v>3535</v>
      </c>
      <c r="X181" s="261" t="s">
        <v>3540</v>
      </c>
    </row>
    <row r="182" spans="1:24" ht="15.75" thickBot="1" x14ac:dyDescent="0.3">
      <c r="A182" s="82" t="s">
        <v>4696</v>
      </c>
      <c r="B182" s="82" t="s">
        <v>4696</v>
      </c>
      <c r="C182" s="82" t="str">
        <f t="shared" si="8"/>
        <v>X</v>
      </c>
      <c r="D182" s="235">
        <v>2022</v>
      </c>
      <c r="E182" s="82" t="s">
        <v>1653</v>
      </c>
      <c r="F182" s="82" t="s">
        <v>1745</v>
      </c>
      <c r="G182" s="82" t="s">
        <v>1746</v>
      </c>
      <c r="H182" s="234" t="s">
        <v>1864</v>
      </c>
      <c r="I182" s="295" t="s">
        <v>3131</v>
      </c>
      <c r="J182" s="123">
        <v>1</v>
      </c>
      <c r="K182" s="82" t="s">
        <v>586</v>
      </c>
      <c r="L182" s="235"/>
      <c r="M182" s="175">
        <v>27.5</v>
      </c>
      <c r="N182" s="173">
        <v>27.5</v>
      </c>
      <c r="O182" s="82" t="s">
        <v>1747</v>
      </c>
      <c r="P182" s="82" t="s">
        <v>1748</v>
      </c>
      <c r="Q182" s="173">
        <v>115</v>
      </c>
      <c r="R182" s="177">
        <f t="shared" si="9"/>
        <v>115</v>
      </c>
      <c r="S182" s="294" t="s">
        <v>3126</v>
      </c>
      <c r="T182" s="83" t="s">
        <v>3138</v>
      </c>
      <c r="U182" s="82"/>
      <c r="V182" s="82" t="s">
        <v>3140</v>
      </c>
      <c r="W182" s="261" t="s">
        <v>3535</v>
      </c>
      <c r="X182" s="261" t="s">
        <v>3540</v>
      </c>
    </row>
    <row r="183" spans="1:24" ht="15.75" thickBot="1" x14ac:dyDescent="0.3">
      <c r="A183" s="82" t="s">
        <v>4696</v>
      </c>
      <c r="B183" s="82" t="s">
        <v>4696</v>
      </c>
      <c r="C183" s="82" t="str">
        <f t="shared" si="8"/>
        <v>X</v>
      </c>
      <c r="D183" s="235">
        <v>2022</v>
      </c>
      <c r="E183" s="82" t="s">
        <v>1653</v>
      </c>
      <c r="F183" s="82" t="s">
        <v>1745</v>
      </c>
      <c r="G183" s="82" t="s">
        <v>1746</v>
      </c>
      <c r="H183" s="234" t="s">
        <v>1864</v>
      </c>
      <c r="I183" s="295" t="s">
        <v>3131</v>
      </c>
      <c r="J183" s="123">
        <v>1</v>
      </c>
      <c r="K183" s="82" t="s">
        <v>586</v>
      </c>
      <c r="L183" s="235"/>
      <c r="M183" s="175">
        <v>27.5</v>
      </c>
      <c r="N183" s="173">
        <v>27.5</v>
      </c>
      <c r="O183" s="82" t="s">
        <v>1747</v>
      </c>
      <c r="P183" s="82" t="s">
        <v>1748</v>
      </c>
      <c r="Q183" s="173">
        <v>115</v>
      </c>
      <c r="R183" s="177">
        <f t="shared" si="9"/>
        <v>115</v>
      </c>
      <c r="S183" s="294" t="s">
        <v>3126</v>
      </c>
      <c r="T183" s="83" t="s">
        <v>3138</v>
      </c>
      <c r="U183" s="82"/>
      <c r="V183" s="82" t="s">
        <v>3140</v>
      </c>
      <c r="W183" s="261" t="s">
        <v>3535</v>
      </c>
      <c r="X183" s="261" t="s">
        <v>3540</v>
      </c>
    </row>
    <row r="184" spans="1:24" ht="15.75" thickBot="1" x14ac:dyDescent="0.3">
      <c r="A184" s="82" t="s">
        <v>4696</v>
      </c>
      <c r="B184" s="82" t="s">
        <v>4696</v>
      </c>
      <c r="C184" s="82" t="str">
        <f t="shared" si="8"/>
        <v>X</v>
      </c>
      <c r="D184" s="235">
        <v>2022</v>
      </c>
      <c r="E184" s="82" t="s">
        <v>1653</v>
      </c>
      <c r="F184" s="82" t="s">
        <v>1745</v>
      </c>
      <c r="G184" s="82" t="s">
        <v>1746</v>
      </c>
      <c r="H184" s="234" t="s">
        <v>1864</v>
      </c>
      <c r="I184" s="295" t="s">
        <v>3131</v>
      </c>
      <c r="J184" s="123">
        <v>1</v>
      </c>
      <c r="K184" s="82" t="s">
        <v>586</v>
      </c>
      <c r="L184" s="235"/>
      <c r="M184" s="175">
        <v>27.5</v>
      </c>
      <c r="N184" s="173">
        <v>27.5</v>
      </c>
      <c r="O184" s="82" t="s">
        <v>1747</v>
      </c>
      <c r="P184" s="82" t="s">
        <v>1748</v>
      </c>
      <c r="Q184" s="173">
        <v>115</v>
      </c>
      <c r="R184" s="177">
        <f t="shared" si="9"/>
        <v>115</v>
      </c>
      <c r="S184" s="294" t="s">
        <v>3126</v>
      </c>
      <c r="T184" s="83" t="s">
        <v>3138</v>
      </c>
      <c r="U184" s="82"/>
      <c r="V184" s="82" t="s">
        <v>3140</v>
      </c>
      <c r="W184" s="261" t="s">
        <v>3535</v>
      </c>
      <c r="X184" s="261" t="s">
        <v>3540</v>
      </c>
    </row>
    <row r="185" spans="1:24" ht="15.75" thickBot="1" x14ac:dyDescent="0.3">
      <c r="A185" s="82" t="s">
        <v>4695</v>
      </c>
      <c r="B185" s="82" t="s">
        <v>4695</v>
      </c>
      <c r="C185" s="82" t="str">
        <f t="shared" si="8"/>
        <v>X</v>
      </c>
      <c r="D185" s="235">
        <v>2022</v>
      </c>
      <c r="E185" s="82" t="s">
        <v>1653</v>
      </c>
      <c r="F185" s="82" t="s">
        <v>1745</v>
      </c>
      <c r="G185" s="82" t="s">
        <v>1746</v>
      </c>
      <c r="H185" s="234" t="s">
        <v>1864</v>
      </c>
      <c r="I185" s="295" t="s">
        <v>3131</v>
      </c>
      <c r="J185" s="123">
        <v>2</v>
      </c>
      <c r="K185" s="82" t="s">
        <v>586</v>
      </c>
      <c r="L185" s="235"/>
      <c r="M185" s="175">
        <v>27.5</v>
      </c>
      <c r="N185" s="173">
        <v>55</v>
      </c>
      <c r="O185" s="82" t="s">
        <v>1747</v>
      </c>
      <c r="P185" s="82" t="s">
        <v>1748</v>
      </c>
      <c r="Q185" s="173">
        <v>67</v>
      </c>
      <c r="R185" s="177">
        <f t="shared" si="9"/>
        <v>67</v>
      </c>
      <c r="S185" s="294" t="s">
        <v>3126</v>
      </c>
      <c r="T185" s="83" t="s">
        <v>3138</v>
      </c>
      <c r="U185" s="82"/>
      <c r="V185" s="82" t="s">
        <v>3140</v>
      </c>
      <c r="W185" s="261" t="s">
        <v>3535</v>
      </c>
      <c r="X185" s="261" t="s">
        <v>3540</v>
      </c>
    </row>
    <row r="186" spans="1:24" ht="15.75" thickBot="1" x14ac:dyDescent="0.3">
      <c r="A186" s="82" t="s">
        <v>4695</v>
      </c>
      <c r="B186" s="82" t="s">
        <v>4695</v>
      </c>
      <c r="C186" s="82" t="str">
        <f t="shared" si="8"/>
        <v>X</v>
      </c>
      <c r="D186" s="235">
        <v>2022</v>
      </c>
      <c r="E186" s="82" t="s">
        <v>1653</v>
      </c>
      <c r="F186" s="82" t="s">
        <v>1745</v>
      </c>
      <c r="G186" s="82" t="s">
        <v>1746</v>
      </c>
      <c r="H186" s="234" t="s">
        <v>1864</v>
      </c>
      <c r="I186" s="295" t="s">
        <v>3131</v>
      </c>
      <c r="J186" s="123">
        <v>1</v>
      </c>
      <c r="K186" s="82" t="s">
        <v>586</v>
      </c>
      <c r="L186" s="235"/>
      <c r="M186" s="175">
        <v>27.5</v>
      </c>
      <c r="N186" s="173">
        <v>27.5</v>
      </c>
      <c r="O186" s="82" t="s">
        <v>1747</v>
      </c>
      <c r="P186" s="82" t="s">
        <v>1748</v>
      </c>
      <c r="Q186" s="173">
        <v>67</v>
      </c>
      <c r="R186" s="177">
        <f t="shared" si="9"/>
        <v>67</v>
      </c>
      <c r="S186" s="294" t="s">
        <v>3126</v>
      </c>
      <c r="T186" s="83" t="s">
        <v>3138</v>
      </c>
      <c r="U186" s="82"/>
      <c r="V186" s="82" t="s">
        <v>3140</v>
      </c>
      <c r="W186" s="261" t="s">
        <v>3535</v>
      </c>
      <c r="X186" s="261" t="s">
        <v>3540</v>
      </c>
    </row>
    <row r="187" spans="1:24" ht="15.75" thickBot="1" x14ac:dyDescent="0.3">
      <c r="A187" s="82" t="s">
        <v>4695</v>
      </c>
      <c r="B187" s="82" t="s">
        <v>4695</v>
      </c>
      <c r="C187" s="82" t="str">
        <f t="shared" si="8"/>
        <v>X</v>
      </c>
      <c r="D187" s="235">
        <v>2022</v>
      </c>
      <c r="E187" s="82" t="s">
        <v>1653</v>
      </c>
      <c r="F187" s="82" t="s">
        <v>1745</v>
      </c>
      <c r="G187" s="82" t="s">
        <v>1746</v>
      </c>
      <c r="H187" s="234" t="s">
        <v>1864</v>
      </c>
      <c r="I187" s="295" t="s">
        <v>3131</v>
      </c>
      <c r="J187" s="123">
        <v>1</v>
      </c>
      <c r="K187" s="82" t="s">
        <v>586</v>
      </c>
      <c r="L187" s="235"/>
      <c r="M187" s="175">
        <v>27.5</v>
      </c>
      <c r="N187" s="173">
        <v>27.5</v>
      </c>
      <c r="O187" s="82" t="s">
        <v>1747</v>
      </c>
      <c r="P187" s="82" t="s">
        <v>1748</v>
      </c>
      <c r="Q187" s="173">
        <v>67</v>
      </c>
      <c r="R187" s="177">
        <f t="shared" si="9"/>
        <v>67</v>
      </c>
      <c r="S187" s="294" t="s">
        <v>3126</v>
      </c>
      <c r="T187" s="83" t="s">
        <v>3138</v>
      </c>
      <c r="U187" s="82"/>
      <c r="V187" s="82" t="s">
        <v>3140</v>
      </c>
      <c r="W187" s="261" t="s">
        <v>3535</v>
      </c>
      <c r="X187" s="261" t="s">
        <v>3540</v>
      </c>
    </row>
    <row r="188" spans="1:24" ht="15.75" thickBot="1" x14ac:dyDescent="0.3">
      <c r="A188" s="82" t="s">
        <v>4695</v>
      </c>
      <c r="B188" s="82" t="s">
        <v>4695</v>
      </c>
      <c r="C188" s="82" t="str">
        <f t="shared" si="8"/>
        <v>X</v>
      </c>
      <c r="D188" s="235">
        <v>2022</v>
      </c>
      <c r="E188" s="82" t="s">
        <v>1653</v>
      </c>
      <c r="F188" s="82" t="s">
        <v>1745</v>
      </c>
      <c r="G188" s="82" t="s">
        <v>1746</v>
      </c>
      <c r="H188" s="234" t="s">
        <v>1864</v>
      </c>
      <c r="I188" s="295" t="s">
        <v>3131</v>
      </c>
      <c r="J188" s="123">
        <v>1</v>
      </c>
      <c r="K188" s="82" t="s">
        <v>586</v>
      </c>
      <c r="L188" s="235"/>
      <c r="M188" s="175">
        <v>27.5</v>
      </c>
      <c r="N188" s="173">
        <v>27.5</v>
      </c>
      <c r="O188" s="82" t="s">
        <v>1747</v>
      </c>
      <c r="P188" s="82" t="s">
        <v>1748</v>
      </c>
      <c r="Q188" s="173">
        <v>67</v>
      </c>
      <c r="R188" s="177">
        <f t="shared" si="9"/>
        <v>67</v>
      </c>
      <c r="S188" s="294" t="s">
        <v>3126</v>
      </c>
      <c r="T188" s="83" t="s">
        <v>3138</v>
      </c>
      <c r="U188" s="82"/>
      <c r="V188" s="82" t="s">
        <v>3140</v>
      </c>
      <c r="W188" s="261" t="s">
        <v>3535</v>
      </c>
      <c r="X188" s="261" t="s">
        <v>3540</v>
      </c>
    </row>
    <row r="189" spans="1:24" ht="15.75" thickBot="1" x14ac:dyDescent="0.3">
      <c r="A189" s="82" t="s">
        <v>4695</v>
      </c>
      <c r="B189" s="82" t="s">
        <v>4695</v>
      </c>
      <c r="C189" s="82" t="str">
        <f t="shared" si="8"/>
        <v>X</v>
      </c>
      <c r="D189" s="235">
        <v>2022</v>
      </c>
      <c r="E189" s="82" t="s">
        <v>1653</v>
      </c>
      <c r="F189" s="82" t="s">
        <v>1745</v>
      </c>
      <c r="G189" s="82" t="s">
        <v>1746</v>
      </c>
      <c r="H189" s="234" t="s">
        <v>1864</v>
      </c>
      <c r="I189" s="295" t="s">
        <v>3131</v>
      </c>
      <c r="J189" s="123">
        <v>1</v>
      </c>
      <c r="K189" s="82" t="s">
        <v>586</v>
      </c>
      <c r="L189" s="235"/>
      <c r="M189" s="175">
        <v>27.5</v>
      </c>
      <c r="N189" s="173">
        <v>27.5</v>
      </c>
      <c r="O189" s="82" t="s">
        <v>1747</v>
      </c>
      <c r="P189" s="82" t="s">
        <v>1748</v>
      </c>
      <c r="Q189" s="173">
        <v>67</v>
      </c>
      <c r="R189" s="177">
        <f t="shared" si="9"/>
        <v>67</v>
      </c>
      <c r="S189" s="294" t="s">
        <v>3126</v>
      </c>
      <c r="T189" s="83" t="s">
        <v>3138</v>
      </c>
      <c r="U189" s="82"/>
      <c r="V189" s="82" t="s">
        <v>3140</v>
      </c>
      <c r="W189" s="261" t="s">
        <v>3535</v>
      </c>
      <c r="X189" s="261" t="s">
        <v>3540</v>
      </c>
    </row>
    <row r="190" spans="1:24" ht="15.75" thickBot="1" x14ac:dyDescent="0.3">
      <c r="A190" s="82" t="s">
        <v>4695</v>
      </c>
      <c r="B190" s="82" t="s">
        <v>4695</v>
      </c>
      <c r="C190" s="82" t="str">
        <f t="shared" si="8"/>
        <v>X</v>
      </c>
      <c r="D190" s="235">
        <v>2022</v>
      </c>
      <c r="E190" s="82" t="s">
        <v>1653</v>
      </c>
      <c r="F190" s="82" t="s">
        <v>1745</v>
      </c>
      <c r="G190" s="82" t="s">
        <v>1746</v>
      </c>
      <c r="H190" s="234" t="s">
        <v>1864</v>
      </c>
      <c r="I190" s="295" t="s">
        <v>3131</v>
      </c>
      <c r="J190" s="123">
        <v>1</v>
      </c>
      <c r="K190" s="82" t="s">
        <v>586</v>
      </c>
      <c r="L190" s="235"/>
      <c r="M190" s="175">
        <v>27.5</v>
      </c>
      <c r="N190" s="173">
        <v>27.5</v>
      </c>
      <c r="O190" s="82" t="s">
        <v>1747</v>
      </c>
      <c r="P190" s="82" t="s">
        <v>1748</v>
      </c>
      <c r="Q190" s="173">
        <v>67</v>
      </c>
      <c r="R190" s="177">
        <f t="shared" si="9"/>
        <v>67</v>
      </c>
      <c r="S190" s="294" t="s">
        <v>3126</v>
      </c>
      <c r="T190" s="83" t="s">
        <v>3138</v>
      </c>
      <c r="U190" s="82"/>
      <c r="V190" s="82" t="s">
        <v>3140</v>
      </c>
      <c r="W190" s="261" t="s">
        <v>3535</v>
      </c>
      <c r="X190" s="261" t="s">
        <v>3540</v>
      </c>
    </row>
    <row r="191" spans="1:24" ht="15.75" thickBot="1" x14ac:dyDescent="0.3">
      <c r="A191" s="82" t="s">
        <v>4698</v>
      </c>
      <c r="B191" s="82" t="s">
        <v>4698</v>
      </c>
      <c r="C191" s="82" t="str">
        <f t="shared" si="8"/>
        <v>X</v>
      </c>
      <c r="D191" s="235">
        <v>2022</v>
      </c>
      <c r="E191" s="82" t="s">
        <v>1653</v>
      </c>
      <c r="F191" s="82" t="s">
        <v>1745</v>
      </c>
      <c r="G191" s="82" t="s">
        <v>1746</v>
      </c>
      <c r="H191" s="234" t="s">
        <v>1864</v>
      </c>
      <c r="I191" s="295" t="s">
        <v>3131</v>
      </c>
      <c r="J191" s="123">
        <v>1</v>
      </c>
      <c r="K191" s="82" t="s">
        <v>586</v>
      </c>
      <c r="L191" s="235"/>
      <c r="M191" s="175">
        <v>25.4</v>
      </c>
      <c r="N191" s="173">
        <v>25.4</v>
      </c>
      <c r="O191" s="82" t="s">
        <v>1747</v>
      </c>
      <c r="P191" s="82" t="s">
        <v>1748</v>
      </c>
      <c r="Q191" s="173">
        <v>79</v>
      </c>
      <c r="R191" s="177">
        <f t="shared" si="9"/>
        <v>79</v>
      </c>
      <c r="S191" s="294" t="s">
        <v>3126</v>
      </c>
      <c r="T191" s="83" t="s">
        <v>3138</v>
      </c>
      <c r="U191" s="82"/>
      <c r="V191" s="82" t="s">
        <v>3141</v>
      </c>
      <c r="W191" s="261" t="s">
        <v>3535</v>
      </c>
      <c r="X191" s="261" t="s">
        <v>3540</v>
      </c>
    </row>
    <row r="192" spans="1:24" ht="15.75" thickBot="1" x14ac:dyDescent="0.3">
      <c r="A192" s="82" t="s">
        <v>4698</v>
      </c>
      <c r="B192" s="82" t="s">
        <v>4698</v>
      </c>
      <c r="C192" s="82" t="str">
        <f t="shared" si="8"/>
        <v>X</v>
      </c>
      <c r="D192" s="235">
        <v>2022</v>
      </c>
      <c r="E192" s="82" t="s">
        <v>1653</v>
      </c>
      <c r="F192" s="82" t="s">
        <v>1745</v>
      </c>
      <c r="G192" s="82" t="s">
        <v>1746</v>
      </c>
      <c r="H192" s="234" t="s">
        <v>1864</v>
      </c>
      <c r="I192" s="295" t="s">
        <v>3131</v>
      </c>
      <c r="J192" s="123">
        <v>1</v>
      </c>
      <c r="K192" s="82" t="s">
        <v>586</v>
      </c>
      <c r="L192" s="235"/>
      <c r="M192" s="175">
        <v>25.4</v>
      </c>
      <c r="N192" s="173">
        <v>25.4</v>
      </c>
      <c r="O192" s="82" t="s">
        <v>1747</v>
      </c>
      <c r="P192" s="82" t="s">
        <v>1748</v>
      </c>
      <c r="Q192" s="173">
        <v>79</v>
      </c>
      <c r="R192" s="177">
        <f t="shared" si="9"/>
        <v>79</v>
      </c>
      <c r="S192" s="294" t="s">
        <v>3126</v>
      </c>
      <c r="T192" s="83" t="s">
        <v>3138</v>
      </c>
      <c r="U192" s="82"/>
      <c r="V192" s="82" t="s">
        <v>3141</v>
      </c>
      <c r="W192" s="261" t="s">
        <v>3535</v>
      </c>
      <c r="X192" s="261" t="s">
        <v>3540</v>
      </c>
    </row>
    <row r="193" spans="1:33" ht="15.75" thickBot="1" x14ac:dyDescent="0.3">
      <c r="A193" s="82" t="s">
        <v>4698</v>
      </c>
      <c r="B193" s="82" t="s">
        <v>4698</v>
      </c>
      <c r="C193" s="82" t="str">
        <f t="shared" si="8"/>
        <v>X</v>
      </c>
      <c r="D193" s="235">
        <v>2022</v>
      </c>
      <c r="E193" s="82" t="s">
        <v>1653</v>
      </c>
      <c r="F193" s="82" t="s">
        <v>1745</v>
      </c>
      <c r="G193" s="82" t="s">
        <v>1746</v>
      </c>
      <c r="H193" s="234" t="s">
        <v>1864</v>
      </c>
      <c r="I193" s="295" t="s">
        <v>3131</v>
      </c>
      <c r="J193" s="123">
        <v>2</v>
      </c>
      <c r="K193" s="82" t="s">
        <v>586</v>
      </c>
      <c r="L193" s="235"/>
      <c r="M193" s="175">
        <v>25.4</v>
      </c>
      <c r="N193" s="173">
        <v>50.8</v>
      </c>
      <c r="O193" s="82" t="s">
        <v>1747</v>
      </c>
      <c r="P193" s="82" t="s">
        <v>1748</v>
      </c>
      <c r="Q193" s="173">
        <v>79</v>
      </c>
      <c r="R193" s="177">
        <f t="shared" si="9"/>
        <v>79</v>
      </c>
      <c r="S193" s="294" t="s">
        <v>3126</v>
      </c>
      <c r="T193" s="83" t="s">
        <v>3138</v>
      </c>
      <c r="U193" s="82"/>
      <c r="V193" s="82" t="s">
        <v>3141</v>
      </c>
      <c r="W193" s="261" t="s">
        <v>3535</v>
      </c>
      <c r="X193" s="261" t="s">
        <v>3540</v>
      </c>
    </row>
    <row r="194" spans="1:33" ht="15.75" thickBot="1" x14ac:dyDescent="0.3">
      <c r="A194" s="82" t="s">
        <v>4698</v>
      </c>
      <c r="B194" s="82" t="s">
        <v>4698</v>
      </c>
      <c r="C194" s="82" t="str">
        <f t="shared" si="8"/>
        <v>X</v>
      </c>
      <c r="D194" s="235">
        <v>2022</v>
      </c>
      <c r="E194" s="82" t="s">
        <v>1653</v>
      </c>
      <c r="F194" s="82" t="s">
        <v>1745</v>
      </c>
      <c r="G194" s="82" t="s">
        <v>1746</v>
      </c>
      <c r="H194" s="234" t="s">
        <v>1864</v>
      </c>
      <c r="I194" s="295" t="s">
        <v>3131</v>
      </c>
      <c r="J194" s="123">
        <v>2</v>
      </c>
      <c r="K194" s="82" t="s">
        <v>586</v>
      </c>
      <c r="L194" s="235"/>
      <c r="M194" s="175">
        <v>25.4</v>
      </c>
      <c r="N194" s="173">
        <v>50.8</v>
      </c>
      <c r="O194" s="82" t="s">
        <v>1747</v>
      </c>
      <c r="P194" s="82" t="s">
        <v>1748</v>
      </c>
      <c r="Q194" s="173">
        <v>79</v>
      </c>
      <c r="R194" s="177">
        <f t="shared" si="9"/>
        <v>79</v>
      </c>
      <c r="S194" s="294" t="s">
        <v>3126</v>
      </c>
      <c r="T194" s="83" t="s">
        <v>3138</v>
      </c>
      <c r="U194" s="82"/>
      <c r="V194" s="82" t="s">
        <v>3141</v>
      </c>
      <c r="W194" s="261" t="s">
        <v>3535</v>
      </c>
      <c r="X194" s="261" t="s">
        <v>3540</v>
      </c>
    </row>
    <row r="195" spans="1:33" s="299" customFormat="1" ht="15.75" thickBot="1" x14ac:dyDescent="0.3">
      <c r="A195" s="292" t="s">
        <v>1929</v>
      </c>
      <c r="B195" s="292" t="s">
        <v>1929</v>
      </c>
      <c r="C195" s="292" t="str">
        <f t="shared" si="8"/>
        <v>X</v>
      </c>
      <c r="D195" s="235">
        <v>2022</v>
      </c>
      <c r="E195" s="276" t="s">
        <v>1681</v>
      </c>
      <c r="F195" s="292" t="s">
        <v>1745</v>
      </c>
      <c r="G195" s="292" t="s">
        <v>1746</v>
      </c>
      <c r="H195" s="390" t="s">
        <v>1864</v>
      </c>
      <c r="I195" s="391" t="s">
        <v>3131</v>
      </c>
      <c r="J195" s="298">
        <v>14156</v>
      </c>
      <c r="M195" s="296">
        <v>25.4</v>
      </c>
      <c r="N195" s="297">
        <v>50.8</v>
      </c>
      <c r="Q195" s="300"/>
      <c r="W195" s="261" t="s">
        <v>3535</v>
      </c>
      <c r="X195" s="261" t="s">
        <v>3540</v>
      </c>
      <c r="AA195" s="301"/>
      <c r="AB195" s="301"/>
      <c r="AC195" s="301"/>
      <c r="AD195" s="301"/>
      <c r="AE195" s="301"/>
      <c r="AF195" s="301"/>
      <c r="AG195" s="301"/>
    </row>
    <row r="196" spans="1:33" s="299" customFormat="1" ht="15.75" thickBot="1" x14ac:dyDescent="0.3">
      <c r="A196" s="292" t="s">
        <v>1929</v>
      </c>
      <c r="B196" s="292" t="s">
        <v>1929</v>
      </c>
      <c r="C196" s="292" t="str">
        <f>IF(A196=B196,"X",RIGHT(A196,LEN(A196)-LEN(B196)-3))</f>
        <v>X</v>
      </c>
      <c r="D196" s="235">
        <v>2022</v>
      </c>
      <c r="E196" s="276" t="s">
        <v>1655</v>
      </c>
      <c r="F196" s="292" t="s">
        <v>1745</v>
      </c>
      <c r="G196" s="292" t="s">
        <v>1746</v>
      </c>
      <c r="H196" s="390" t="s">
        <v>1864</v>
      </c>
      <c r="I196" s="391" t="s">
        <v>3131</v>
      </c>
      <c r="J196" s="298">
        <v>178</v>
      </c>
      <c r="M196" s="296">
        <v>25.4</v>
      </c>
      <c r="N196" s="297">
        <v>50.8</v>
      </c>
      <c r="Q196" s="300"/>
      <c r="W196" s="261" t="s">
        <v>3535</v>
      </c>
      <c r="X196" s="261" t="s">
        <v>3540</v>
      </c>
      <c r="AA196" s="301"/>
      <c r="AB196" s="301"/>
      <c r="AC196" s="301"/>
      <c r="AD196" s="301"/>
      <c r="AE196" s="301"/>
      <c r="AF196" s="301"/>
      <c r="AG196" s="301"/>
    </row>
    <row r="197" spans="1:33" s="299" customFormat="1" ht="15.75" thickBot="1" x14ac:dyDescent="0.3">
      <c r="A197" s="292" t="s">
        <v>1929</v>
      </c>
      <c r="B197" s="292" t="s">
        <v>1929</v>
      </c>
      <c r="C197" s="292" t="str">
        <f>IF(A197=B197,"X",RIGHT(A197,LEN(A197)-LEN(B197)-3))</f>
        <v>X</v>
      </c>
      <c r="D197" s="235">
        <v>2022</v>
      </c>
      <c r="E197" s="276" t="s">
        <v>1653</v>
      </c>
      <c r="F197" s="292" t="s">
        <v>1745</v>
      </c>
      <c r="G197" s="292" t="s">
        <v>1746</v>
      </c>
      <c r="H197" s="390" t="s">
        <v>1864</v>
      </c>
      <c r="I197" s="391" t="s">
        <v>3131</v>
      </c>
      <c r="J197" s="298">
        <v>291</v>
      </c>
      <c r="M197" s="296">
        <v>25.4</v>
      </c>
      <c r="N197" s="297">
        <v>50.8</v>
      </c>
      <c r="Q197" s="300"/>
      <c r="W197" s="261" t="s">
        <v>3535</v>
      </c>
      <c r="X197" s="261" t="s">
        <v>3540</v>
      </c>
      <c r="AA197" s="301"/>
      <c r="AB197" s="301"/>
      <c r="AC197" s="301"/>
      <c r="AD197" s="301"/>
      <c r="AE197" s="301"/>
      <c r="AF197" s="301"/>
      <c r="AG197" s="301"/>
    </row>
    <row r="198" spans="1:33" s="299" customFormat="1" ht="15.75" thickBot="1" x14ac:dyDescent="0.3">
      <c r="A198" s="292" t="s">
        <v>1929</v>
      </c>
      <c r="B198" s="292" t="s">
        <v>1929</v>
      </c>
      <c r="C198" s="292" t="str">
        <f>IF(A198=B198,"X",RIGHT(A198,LEN(A198)-LEN(B198)-3))</f>
        <v>X</v>
      </c>
      <c r="D198" s="235">
        <v>2022</v>
      </c>
      <c r="E198" s="276" t="s">
        <v>1658</v>
      </c>
      <c r="F198" s="292" t="s">
        <v>1745</v>
      </c>
      <c r="G198" s="292" t="s">
        <v>1746</v>
      </c>
      <c r="H198" s="390" t="s">
        <v>1864</v>
      </c>
      <c r="I198" s="391" t="s">
        <v>3131</v>
      </c>
      <c r="J198" s="298">
        <v>73</v>
      </c>
      <c r="M198" s="296">
        <v>25.4</v>
      </c>
      <c r="N198" s="297">
        <v>50.8</v>
      </c>
      <c r="Q198" s="300"/>
      <c r="W198" s="261" t="s">
        <v>3535</v>
      </c>
      <c r="X198" s="261" t="s">
        <v>3540</v>
      </c>
      <c r="AA198" s="301"/>
      <c r="AB198" s="301"/>
      <c r="AC198" s="301"/>
      <c r="AD198" s="301"/>
      <c r="AE198" s="301"/>
      <c r="AF198" s="301"/>
      <c r="AG198" s="301"/>
    </row>
    <row r="199" spans="1:33" s="299" customFormat="1" ht="15.75" thickBot="1" x14ac:dyDescent="0.3">
      <c r="A199" s="292" t="s">
        <v>1929</v>
      </c>
      <c r="B199" s="292" t="s">
        <v>1929</v>
      </c>
      <c r="C199" s="292" t="str">
        <f>IF(A199=B199,"X",RIGHT(A199,LEN(A199)-LEN(B199)-3))</f>
        <v>X</v>
      </c>
      <c r="D199" s="235">
        <v>2022</v>
      </c>
      <c r="E199" s="276" t="s">
        <v>3004</v>
      </c>
      <c r="F199" s="292" t="s">
        <v>1745</v>
      </c>
      <c r="G199" s="292" t="s">
        <v>1746</v>
      </c>
      <c r="H199" s="390" t="s">
        <v>1864</v>
      </c>
      <c r="I199" s="391" t="s">
        <v>3131</v>
      </c>
      <c r="J199" s="298">
        <v>394</v>
      </c>
      <c r="M199" s="296">
        <v>25.4</v>
      </c>
      <c r="N199" s="297">
        <v>50.8</v>
      </c>
      <c r="Q199" s="300"/>
      <c r="W199" s="261" t="s">
        <v>3535</v>
      </c>
      <c r="X199" s="261" t="s">
        <v>3540</v>
      </c>
      <c r="AA199" s="301"/>
      <c r="AB199" s="301"/>
      <c r="AC199" s="301"/>
      <c r="AD199" s="301"/>
      <c r="AE199" s="301"/>
      <c r="AF199" s="301"/>
      <c r="AG199" s="301"/>
    </row>
  </sheetData>
  <mergeCells count="21">
    <mergeCell ref="W1:W2"/>
    <mergeCell ref="X1:X2"/>
    <mergeCell ref="T1:T2"/>
    <mergeCell ref="U1:U2"/>
    <mergeCell ref="V1:V2"/>
    <mergeCell ref="A1:A2"/>
    <mergeCell ref="H1:H2"/>
    <mergeCell ref="B1:B2"/>
    <mergeCell ref="F1:F2"/>
    <mergeCell ref="C1:C2"/>
    <mergeCell ref="G1:G2"/>
    <mergeCell ref="P1:P2"/>
    <mergeCell ref="Q1:Q2"/>
    <mergeCell ref="R1:R2"/>
    <mergeCell ref="E1:E2"/>
    <mergeCell ref="D1:D2"/>
    <mergeCell ref="K1:K2"/>
    <mergeCell ref="M1:M2"/>
    <mergeCell ref="N1:N2"/>
    <mergeCell ref="O1:O2"/>
    <mergeCell ref="J1:J2"/>
  </mergeCells>
  <dataValidations count="4">
    <dataValidation type="list" allowBlank="1" showInputMessage="1" showErrorMessage="1" sqref="G3:G134">
      <formula1>"Meios Própios Empresa,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M24:M27 K3:K194 M100:M103">
      <formula1>"unidades, paletes, contentores, kWh, l (litros), kg (quilos), ton (toneladas), Nm3 (metros cubicos norm.), Outro/NA"</formula1>
    </dataValidation>
    <dataValidation type="list" allowBlank="1" showInputMessage="1" showErrorMessage="1" sqref="F3:F78 F80:F134">
      <formula1>"Rodoviário, Ferroviário, Aéreo, Marítimo, Outro"</formula1>
    </dataValidation>
    <dataValidation type="list" allowBlank="1" showInputMessage="1" showErrorMessage="1" sqref="E3:E133 E195:E199">
      <formula1>"Serviço Manutenção, Outros Serviços, Pneus, Componentes/Peças, Vidros, Baterias, Metais, Plásticos, Borrachas, Papel, Contrato Pneus, Outros, Total"</formula1>
    </dataValidation>
  </dataValidations>
  <pageMargins left="0.7" right="0.7" top="0.75" bottom="0.75" header="0.3" footer="0.3"/>
  <pageSetup paperSize="9" orientation="portrait" r:id="rId1"/>
  <customProperties>
    <customPr name="GUID" r:id="rId2"/>
  </customProperties>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5"/>
  <dimension ref="B6:X26"/>
  <sheetViews>
    <sheetView topLeftCell="A4" zoomScale="55" zoomScaleNormal="55" workbookViewId="0"/>
    <sheetView workbookViewId="1"/>
  </sheetViews>
  <sheetFormatPr defaultRowHeight="15" x14ac:dyDescent="0.25"/>
  <cols>
    <col min="2" max="2" width="20.7109375" customWidth="1"/>
    <col min="3" max="3" width="17.85546875" customWidth="1"/>
  </cols>
  <sheetData>
    <row r="6" spans="2:24" ht="15.75" thickBot="1" x14ac:dyDescent="0.3"/>
    <row r="7" spans="2:24" x14ac:dyDescent="0.25">
      <c r="B7" s="78" t="s">
        <v>118</v>
      </c>
      <c r="C7" s="79"/>
    </row>
    <row r="9" spans="2:24" x14ac:dyDescent="0.25">
      <c r="B9" s="516" t="str">
        <f>"Grupo Barraqueiro: "&amp;'Folha de Rosto'!C6&amp;" "&amp;'Folha de Rosto'!I6&amp;" - Emissões de GEE de Âmbito 3"</f>
        <v>Grupo Barraqueiro: PEGADA DE CARBONO 2022 - Emissões de GEE de Âmbito 3</v>
      </c>
      <c r="C9" s="516"/>
      <c r="D9" s="516"/>
      <c r="E9" s="516"/>
      <c r="F9" s="516"/>
      <c r="G9" s="516"/>
      <c r="H9" s="516"/>
      <c r="I9" s="516"/>
      <c r="J9" s="516"/>
      <c r="K9" s="516"/>
      <c r="L9" s="516"/>
      <c r="M9" s="516"/>
      <c r="N9" s="516"/>
      <c r="O9" s="516"/>
      <c r="P9" s="516"/>
      <c r="Q9" s="516"/>
      <c r="R9" s="516"/>
      <c r="S9" s="516"/>
      <c r="T9" s="516"/>
      <c r="U9" s="516"/>
      <c r="V9" s="516"/>
      <c r="W9" s="87"/>
      <c r="X9" s="87"/>
    </row>
    <row r="10" spans="2:24" ht="15.75" thickBot="1" x14ac:dyDescent="0.3"/>
    <row r="11" spans="2:24" ht="33.6" customHeight="1" thickBot="1" x14ac:dyDescent="0.3">
      <c r="B11" s="512" t="s">
        <v>119</v>
      </c>
      <c r="C11" s="512"/>
      <c r="D11" s="518" t="s">
        <v>522</v>
      </c>
      <c r="E11" s="518"/>
      <c r="F11" s="518"/>
      <c r="G11" s="518"/>
      <c r="H11" s="519"/>
      <c r="I11" s="519"/>
      <c r="J11" s="519"/>
      <c r="K11" s="519"/>
      <c r="L11" s="519"/>
      <c r="M11" s="519"/>
      <c r="N11" s="519"/>
      <c r="O11" s="519"/>
      <c r="P11" s="519"/>
      <c r="Q11" s="520"/>
    </row>
    <row r="12" spans="2:24" ht="60.95" customHeight="1" thickBot="1" x14ac:dyDescent="0.3">
      <c r="B12" s="512" t="s">
        <v>120</v>
      </c>
      <c r="C12" s="512"/>
      <c r="D12" s="521" t="s">
        <v>450</v>
      </c>
      <c r="E12" s="521"/>
      <c r="F12" s="521"/>
      <c r="G12" s="521"/>
      <c r="H12" s="522"/>
      <c r="I12" s="522"/>
      <c r="J12" s="522"/>
      <c r="K12" s="522"/>
      <c r="L12" s="522"/>
      <c r="M12" s="522"/>
      <c r="N12" s="522"/>
      <c r="O12" s="522"/>
      <c r="P12" s="522"/>
      <c r="Q12" s="523"/>
    </row>
    <row r="13" spans="2:24" ht="60.95" customHeight="1" thickBot="1" x14ac:dyDescent="0.3">
      <c r="B13" s="512" t="s">
        <v>121</v>
      </c>
      <c r="C13" s="512"/>
      <c r="D13" s="565" t="s">
        <v>76</v>
      </c>
      <c r="E13" s="565"/>
      <c r="F13" s="565"/>
      <c r="G13" s="565"/>
      <c r="H13" s="566"/>
      <c r="I13" s="566"/>
      <c r="J13" s="566"/>
      <c r="K13" s="566"/>
      <c r="L13" s="566"/>
      <c r="M13" s="566"/>
      <c r="N13" s="566"/>
      <c r="O13" s="566"/>
      <c r="P13" s="566"/>
      <c r="Q13" s="567"/>
    </row>
    <row r="14" spans="2:24" ht="60.95" customHeight="1" thickBot="1" x14ac:dyDescent="0.3">
      <c r="B14" s="512" t="s">
        <v>122</v>
      </c>
      <c r="C14" s="512"/>
      <c r="D14" s="565" t="s">
        <v>76</v>
      </c>
      <c r="E14" s="565"/>
      <c r="F14" s="565"/>
      <c r="G14" s="565"/>
      <c r="H14" s="566"/>
      <c r="I14" s="566"/>
      <c r="J14" s="566"/>
      <c r="K14" s="566"/>
      <c r="L14" s="566"/>
      <c r="M14" s="566"/>
      <c r="N14" s="566"/>
      <c r="O14" s="566"/>
      <c r="P14" s="566"/>
      <c r="Q14" s="567"/>
    </row>
    <row r="15" spans="2:24" ht="60" customHeight="1" thickBot="1" x14ac:dyDescent="0.3">
      <c r="B15" s="512" t="s">
        <v>128</v>
      </c>
      <c r="C15" s="512"/>
      <c r="D15" s="568" t="s">
        <v>76</v>
      </c>
      <c r="E15" s="569"/>
      <c r="F15" s="569"/>
      <c r="G15" s="569"/>
      <c r="H15" s="569"/>
      <c r="I15" s="569"/>
      <c r="J15" s="569"/>
      <c r="K15" s="569"/>
      <c r="L15" s="569"/>
      <c r="M15" s="569"/>
      <c r="N15" s="569"/>
      <c r="O15" s="569"/>
      <c r="P15" s="569"/>
      <c r="Q15" s="565"/>
    </row>
    <row r="17" spans="2:24" x14ac:dyDescent="0.25">
      <c r="B17" s="516" t="s">
        <v>1818</v>
      </c>
      <c r="C17" s="516"/>
      <c r="D17" s="516"/>
      <c r="E17" s="516"/>
      <c r="F17" s="516"/>
      <c r="G17" s="516"/>
      <c r="H17" s="516"/>
      <c r="I17" s="516"/>
      <c r="J17" s="516"/>
      <c r="K17" s="516"/>
      <c r="L17" s="516"/>
      <c r="M17" s="516"/>
      <c r="N17" s="516"/>
      <c r="O17" s="516"/>
      <c r="P17" s="516"/>
      <c r="Q17" s="516"/>
      <c r="R17" s="516"/>
      <c r="S17" s="516"/>
      <c r="T17" s="516"/>
      <c r="U17" s="516"/>
      <c r="V17" s="516"/>
      <c r="W17" s="516"/>
      <c r="X17" s="516"/>
    </row>
    <row r="18" spans="2:24" x14ac:dyDescent="0.25">
      <c r="B18" t="s">
        <v>130</v>
      </c>
    </row>
    <row r="20" spans="2:24" x14ac:dyDescent="0.25">
      <c r="B20" s="81" t="s">
        <v>135</v>
      </c>
    </row>
    <row r="21" spans="2:24" x14ac:dyDescent="0.25">
      <c r="B21" s="517"/>
      <c r="C21" s="517"/>
      <c r="D21" s="517"/>
      <c r="E21" s="517"/>
      <c r="F21" s="517"/>
      <c r="G21" s="517"/>
      <c r="H21" s="517"/>
      <c r="I21" s="517"/>
      <c r="J21" s="517"/>
      <c r="K21" s="517"/>
      <c r="L21" s="517"/>
      <c r="M21" s="517"/>
      <c r="N21" s="517"/>
      <c r="O21" s="517"/>
      <c r="P21" s="517"/>
      <c r="Q21" s="517"/>
      <c r="R21" s="517"/>
      <c r="S21" s="517"/>
      <c r="T21" s="517"/>
      <c r="U21" s="517"/>
      <c r="V21" s="517"/>
    </row>
    <row r="22" spans="2:24" x14ac:dyDescent="0.25">
      <c r="B22" s="517"/>
      <c r="C22" s="517"/>
      <c r="D22" s="517"/>
      <c r="E22" s="517"/>
      <c r="F22" s="517"/>
      <c r="G22" s="517"/>
      <c r="H22" s="517"/>
      <c r="I22" s="517"/>
      <c r="J22" s="517"/>
      <c r="K22" s="517"/>
      <c r="L22" s="517"/>
      <c r="M22" s="517"/>
      <c r="N22" s="517"/>
      <c r="O22" s="517"/>
      <c r="P22" s="517"/>
      <c r="Q22" s="517"/>
      <c r="R22" s="517"/>
      <c r="S22" s="517"/>
      <c r="T22" s="517"/>
      <c r="U22" s="517"/>
      <c r="V22" s="517"/>
    </row>
    <row r="24" spans="2:24" ht="15" customHeight="1" x14ac:dyDescent="0.25">
      <c r="B24" s="81" t="s">
        <v>136</v>
      </c>
    </row>
    <row r="25" spans="2:24" x14ac:dyDescent="0.25">
      <c r="B25" s="517"/>
      <c r="C25" s="517"/>
      <c r="D25" s="517"/>
      <c r="E25" s="517"/>
      <c r="F25" s="517"/>
      <c r="G25" s="517"/>
      <c r="H25" s="517"/>
      <c r="I25" s="517"/>
      <c r="J25" s="517"/>
      <c r="K25" s="517"/>
      <c r="L25" s="517"/>
      <c r="M25" s="517"/>
      <c r="N25" s="517"/>
      <c r="O25" s="517"/>
      <c r="P25" s="517"/>
      <c r="Q25" s="517"/>
      <c r="R25" s="517"/>
      <c r="S25" s="517"/>
      <c r="T25" s="517"/>
      <c r="U25" s="517"/>
      <c r="V25" s="517"/>
    </row>
    <row r="26" spans="2:24" x14ac:dyDescent="0.25">
      <c r="B26" s="517"/>
      <c r="C26" s="517"/>
      <c r="D26" s="517"/>
      <c r="E26" s="517"/>
      <c r="F26" s="517"/>
      <c r="G26" s="517"/>
      <c r="H26" s="517"/>
      <c r="I26" s="517"/>
      <c r="J26" s="517"/>
      <c r="K26" s="517"/>
      <c r="L26" s="517"/>
      <c r="M26" s="517"/>
      <c r="N26" s="517"/>
      <c r="O26" s="517"/>
      <c r="P26" s="517"/>
      <c r="Q26" s="517"/>
      <c r="R26" s="517"/>
      <c r="S26" s="517"/>
      <c r="T26" s="517"/>
      <c r="U26" s="517"/>
      <c r="V26" s="517"/>
    </row>
  </sheetData>
  <mergeCells count="14">
    <mergeCell ref="B25:V26"/>
    <mergeCell ref="B14:C14"/>
    <mergeCell ref="D14:Q14"/>
    <mergeCell ref="B15:C15"/>
    <mergeCell ref="D15:Q15"/>
    <mergeCell ref="B17:X17"/>
    <mergeCell ref="B21:V22"/>
    <mergeCell ref="B13:C13"/>
    <mergeCell ref="D13:Q13"/>
    <mergeCell ref="B9:V9"/>
    <mergeCell ref="B11:C11"/>
    <mergeCell ref="D11:Q11"/>
    <mergeCell ref="B12:C12"/>
    <mergeCell ref="D12:Q12"/>
  </mergeCells>
  <pageMargins left="0.7" right="0.7" top="0.75" bottom="0.75" header="0.3" footer="0.3"/>
  <customProperties>
    <customPr name="GUID" r:id="rId1"/>
  </customPropertie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6"/>
  <dimension ref="B6:X76"/>
  <sheetViews>
    <sheetView topLeftCell="A49" workbookViewId="0"/>
    <sheetView workbookViewId="1"/>
  </sheetViews>
  <sheetFormatPr defaultRowHeight="15" x14ac:dyDescent="0.25"/>
  <cols>
    <col min="2" max="2" width="43" customWidth="1"/>
    <col min="3" max="3" width="35.7109375" customWidth="1"/>
    <col min="4" max="4" width="40.85546875" customWidth="1"/>
    <col min="5" max="5" width="55.42578125" bestFit="1" customWidth="1"/>
    <col min="6" max="6" width="24.140625" customWidth="1"/>
    <col min="7" max="8" width="25.7109375" customWidth="1"/>
    <col min="9" max="9" width="28.7109375" style="177" customWidth="1"/>
    <col min="10" max="10" width="25.7109375" customWidth="1"/>
    <col min="11" max="11" width="43.28515625" customWidth="1"/>
  </cols>
  <sheetData>
    <row r="6" spans="2:22" ht="15.75" thickBot="1" x14ac:dyDescent="0.3"/>
    <row r="7" spans="2:22" x14ac:dyDescent="0.25">
      <c r="B7" s="78" t="s">
        <v>118</v>
      </c>
      <c r="C7" s="79"/>
      <c r="D7" s="93"/>
      <c r="E7" s="93"/>
      <c r="F7" s="93"/>
    </row>
    <row r="9" spans="2:22" x14ac:dyDescent="0.25">
      <c r="B9" s="516" t="str">
        <f>"Grupo Barraqueiro: "&amp;'Folha de Rosto'!C6&amp;" "&amp;'Folha de Rosto'!I6&amp;" - Emissões de GEE de Âmbito 3"</f>
        <v>Grupo Barraqueiro: PEGADA DE CARBONO 2022 - Emissões de GEE de Âmbito 3</v>
      </c>
      <c r="C9" s="516"/>
      <c r="D9" s="516"/>
      <c r="E9" s="516"/>
      <c r="F9" s="516"/>
      <c r="G9" s="516"/>
      <c r="H9" s="516"/>
      <c r="I9" s="516"/>
      <c r="J9" s="516"/>
      <c r="K9" s="516"/>
      <c r="L9" s="516"/>
      <c r="M9" s="516"/>
      <c r="N9" s="516"/>
      <c r="O9" s="516"/>
      <c r="P9" s="516"/>
      <c r="Q9" s="516"/>
      <c r="R9" s="516"/>
      <c r="S9" s="516"/>
      <c r="T9" s="516"/>
      <c r="U9" s="516"/>
      <c r="V9" s="516"/>
    </row>
    <row r="10" spans="2:22" ht="15.75" thickBot="1" x14ac:dyDescent="0.3"/>
    <row r="11" spans="2:22" ht="33.6" customHeight="1" thickBot="1" x14ac:dyDescent="0.3">
      <c r="B11" s="512" t="s">
        <v>119</v>
      </c>
      <c r="C11" s="512"/>
      <c r="D11" s="551" t="s">
        <v>522</v>
      </c>
      <c r="E11" s="552"/>
      <c r="F11" s="552"/>
      <c r="G11" s="552"/>
      <c r="H11" s="518"/>
    </row>
    <row r="12" spans="2:22" ht="60.95" customHeight="1" thickBot="1" x14ac:dyDescent="0.3">
      <c r="B12" s="512" t="s">
        <v>120</v>
      </c>
      <c r="C12" s="512"/>
      <c r="D12" s="554" t="s">
        <v>523</v>
      </c>
      <c r="E12" s="555"/>
      <c r="F12" s="555"/>
      <c r="G12" s="555"/>
      <c r="H12" s="521"/>
    </row>
    <row r="13" spans="2:22" ht="60.95" customHeight="1" thickBot="1" x14ac:dyDescent="0.3">
      <c r="B13" s="512" t="s">
        <v>121</v>
      </c>
      <c r="C13" s="512"/>
      <c r="D13" s="547" t="s">
        <v>1529</v>
      </c>
      <c r="E13" s="548"/>
      <c r="F13" s="548"/>
      <c r="G13" s="548"/>
      <c r="H13" s="513"/>
    </row>
    <row r="14" spans="2:22" ht="60.95" customHeight="1" thickBot="1" x14ac:dyDescent="0.3">
      <c r="B14" s="512" t="s">
        <v>122</v>
      </c>
      <c r="C14" s="512"/>
      <c r="D14" s="547" t="s">
        <v>123</v>
      </c>
      <c r="E14" s="548"/>
      <c r="F14" s="548"/>
      <c r="G14" s="548"/>
      <c r="H14" s="513"/>
    </row>
    <row r="15" spans="2:22" ht="60" customHeight="1" thickBot="1" x14ac:dyDescent="0.3">
      <c r="B15" s="512" t="s">
        <v>128</v>
      </c>
      <c r="C15" s="512"/>
      <c r="D15" s="547" t="s">
        <v>129</v>
      </c>
      <c r="E15" s="548"/>
      <c r="F15" s="548"/>
      <c r="G15" s="548"/>
      <c r="H15" s="548"/>
    </row>
    <row r="17" spans="2:24" x14ac:dyDescent="0.25">
      <c r="B17" s="516" t="s">
        <v>1817</v>
      </c>
      <c r="C17" s="516"/>
      <c r="D17" s="516"/>
      <c r="E17" s="516"/>
      <c r="F17" s="516"/>
      <c r="G17" s="516"/>
      <c r="H17" s="516"/>
      <c r="I17" s="516"/>
      <c r="J17" s="516"/>
      <c r="K17" s="516"/>
      <c r="L17" s="516"/>
      <c r="M17" s="516"/>
      <c r="N17" s="516"/>
      <c r="O17" s="516"/>
      <c r="P17" s="516"/>
      <c r="Q17" s="516"/>
      <c r="R17" s="516"/>
      <c r="S17" s="516"/>
      <c r="T17" s="516"/>
      <c r="U17" s="516"/>
      <c r="V17" s="516"/>
      <c r="W17" s="516"/>
      <c r="X17" s="516"/>
    </row>
    <row r="18" spans="2:24" x14ac:dyDescent="0.25">
      <c r="B18" t="s">
        <v>130</v>
      </c>
    </row>
    <row r="20" spans="2:24" x14ac:dyDescent="0.25">
      <c r="B20" s="81" t="s">
        <v>135</v>
      </c>
    </row>
    <row r="21" spans="2:24" x14ac:dyDescent="0.25">
      <c r="B21" s="517"/>
      <c r="C21" s="517"/>
      <c r="D21" s="517"/>
      <c r="E21" s="517"/>
      <c r="F21" s="517"/>
      <c r="G21" s="517"/>
      <c r="H21" s="517"/>
      <c r="I21" s="517"/>
      <c r="J21" s="517"/>
      <c r="K21" s="517"/>
      <c r="L21" s="517"/>
      <c r="M21" s="517"/>
      <c r="N21" s="517"/>
      <c r="O21" s="517"/>
      <c r="P21" s="517"/>
      <c r="Q21" s="517"/>
      <c r="R21" s="517"/>
      <c r="S21" s="517"/>
      <c r="T21" s="517"/>
      <c r="U21" s="517"/>
      <c r="V21" s="517"/>
    </row>
    <row r="22" spans="2:24" x14ac:dyDescent="0.25">
      <c r="B22" s="517"/>
      <c r="C22" s="517"/>
      <c r="D22" s="517"/>
      <c r="E22" s="517"/>
      <c r="F22" s="517"/>
      <c r="G22" s="517"/>
      <c r="H22" s="517"/>
      <c r="I22" s="517"/>
      <c r="J22" s="517"/>
      <c r="K22" s="517"/>
      <c r="L22" s="517"/>
      <c r="M22" s="517"/>
      <c r="N22" s="517"/>
      <c r="O22" s="517"/>
      <c r="P22" s="517"/>
      <c r="Q22" s="517"/>
      <c r="R22" s="517"/>
      <c r="S22" s="517"/>
      <c r="T22" s="517"/>
      <c r="U22" s="517"/>
      <c r="V22" s="517"/>
    </row>
    <row r="24" spans="2:24" ht="15" customHeight="1" x14ac:dyDescent="0.25">
      <c r="B24" s="81" t="s">
        <v>136</v>
      </c>
    </row>
    <row r="25" spans="2:24" x14ac:dyDescent="0.25">
      <c r="B25" s="517"/>
      <c r="C25" s="517"/>
      <c r="D25" s="517"/>
      <c r="E25" s="517"/>
      <c r="F25" s="517"/>
      <c r="G25" s="517"/>
      <c r="H25" s="517"/>
      <c r="I25" s="517"/>
      <c r="J25" s="517"/>
      <c r="K25" s="517"/>
      <c r="L25" s="517"/>
      <c r="M25" s="517"/>
      <c r="N25" s="517"/>
      <c r="O25" s="517"/>
      <c r="P25" s="517"/>
      <c r="Q25" s="517"/>
      <c r="R25" s="517"/>
      <c r="S25" s="517"/>
      <c r="T25" s="517"/>
      <c r="U25" s="517"/>
      <c r="V25" s="517"/>
    </row>
    <row r="26" spans="2:24" x14ac:dyDescent="0.25">
      <c r="B26" s="517"/>
      <c r="C26" s="517"/>
      <c r="D26" s="517"/>
      <c r="E26" s="517"/>
      <c r="F26" s="517"/>
      <c r="G26" s="517"/>
      <c r="H26" s="517"/>
      <c r="I26" s="517"/>
      <c r="J26" s="517"/>
      <c r="K26" s="517"/>
      <c r="L26" s="517"/>
      <c r="M26" s="517"/>
      <c r="N26" s="517"/>
      <c r="O26" s="517"/>
      <c r="P26" s="517"/>
      <c r="Q26" s="517"/>
      <c r="R26" s="517"/>
      <c r="S26" s="517"/>
      <c r="T26" s="517"/>
      <c r="U26" s="517"/>
      <c r="V26" s="517"/>
    </row>
    <row r="27" spans="2:24" ht="15.75" thickBot="1" x14ac:dyDescent="0.3"/>
    <row r="28" spans="2:24" s="94" customFormat="1" ht="15.75" customHeight="1" thickBot="1" x14ac:dyDescent="0.3">
      <c r="B28" s="508" t="s">
        <v>131</v>
      </c>
      <c r="C28" s="508" t="s">
        <v>459</v>
      </c>
      <c r="D28" s="508" t="s">
        <v>460</v>
      </c>
      <c r="E28" s="508" t="s">
        <v>461</v>
      </c>
      <c r="F28" s="508" t="s">
        <v>462</v>
      </c>
      <c r="G28" s="510" t="s">
        <v>445</v>
      </c>
      <c r="H28" s="508" t="s">
        <v>449</v>
      </c>
      <c r="I28" s="570" t="s">
        <v>556</v>
      </c>
      <c r="J28" s="510" t="s">
        <v>141</v>
      </c>
      <c r="K28" s="510" t="s">
        <v>134</v>
      </c>
    </row>
    <row r="29" spans="2:24" s="94" customFormat="1" ht="15" customHeight="1" thickBot="1" x14ac:dyDescent="0.3">
      <c r="B29" s="509"/>
      <c r="C29" s="509"/>
      <c r="D29" s="509"/>
      <c r="E29" s="509"/>
      <c r="F29" s="509"/>
      <c r="G29" s="508"/>
      <c r="H29" s="558"/>
      <c r="I29" s="571"/>
      <c r="J29" s="508"/>
      <c r="K29" s="510"/>
    </row>
    <row r="30" spans="2:24" ht="15.75" thickBot="1" x14ac:dyDescent="0.3">
      <c r="B30" s="82" t="s">
        <v>534</v>
      </c>
      <c r="C30" s="82" t="s">
        <v>553</v>
      </c>
      <c r="D30" s="83" t="s">
        <v>182</v>
      </c>
      <c r="E30" s="83" t="s">
        <v>554</v>
      </c>
      <c r="F30" s="83" t="s">
        <v>34</v>
      </c>
      <c r="G30" s="83" t="s">
        <v>558</v>
      </c>
      <c r="H30" s="83" t="s">
        <v>555</v>
      </c>
      <c r="I30" s="120">
        <v>12</v>
      </c>
      <c r="J30" s="85" t="s">
        <v>557</v>
      </c>
      <c r="K30" s="83"/>
    </row>
    <row r="31" spans="2:24" ht="15.75" thickBot="1" x14ac:dyDescent="0.3">
      <c r="B31" s="82" t="s">
        <v>534</v>
      </c>
      <c r="C31" s="82" t="s">
        <v>553</v>
      </c>
      <c r="D31" s="83" t="s">
        <v>182</v>
      </c>
      <c r="E31" s="83" t="s">
        <v>559</v>
      </c>
      <c r="F31" s="83" t="s">
        <v>34</v>
      </c>
      <c r="G31" s="83" t="s">
        <v>558</v>
      </c>
      <c r="H31" s="83" t="s">
        <v>555</v>
      </c>
      <c r="I31" s="120">
        <v>79.5</v>
      </c>
      <c r="J31" s="85" t="s">
        <v>557</v>
      </c>
      <c r="K31" s="83"/>
    </row>
    <row r="32" spans="2:24" ht="15.75" thickBot="1" x14ac:dyDescent="0.3">
      <c r="B32" s="82" t="s">
        <v>534</v>
      </c>
      <c r="C32" s="82" t="s">
        <v>553</v>
      </c>
      <c r="D32" s="83" t="s">
        <v>182</v>
      </c>
      <c r="E32" s="83" t="s">
        <v>565</v>
      </c>
      <c r="F32" s="83" t="s">
        <v>34</v>
      </c>
      <c r="G32" s="83" t="s">
        <v>558</v>
      </c>
      <c r="H32" s="83" t="s">
        <v>555</v>
      </c>
      <c r="I32" s="120">
        <v>12</v>
      </c>
      <c r="J32" s="85" t="s">
        <v>557</v>
      </c>
      <c r="K32" s="83"/>
    </row>
    <row r="33" spans="2:11" ht="15.75" thickBot="1" x14ac:dyDescent="0.3">
      <c r="B33" s="82" t="s">
        <v>534</v>
      </c>
      <c r="C33" s="82" t="s">
        <v>553</v>
      </c>
      <c r="D33" s="83" t="s">
        <v>182</v>
      </c>
      <c r="E33" s="83" t="s">
        <v>566</v>
      </c>
      <c r="F33" s="83" t="s">
        <v>34</v>
      </c>
      <c r="G33" s="83" t="s">
        <v>558</v>
      </c>
      <c r="H33" s="83" t="s">
        <v>555</v>
      </c>
      <c r="I33" s="120">
        <v>8</v>
      </c>
      <c r="J33" s="85" t="s">
        <v>557</v>
      </c>
      <c r="K33" s="83"/>
    </row>
    <row r="34" spans="2:11" ht="15.75" thickBot="1" x14ac:dyDescent="0.3">
      <c r="B34" s="82" t="s">
        <v>534</v>
      </c>
      <c r="C34" s="82" t="s">
        <v>553</v>
      </c>
      <c r="D34" s="83" t="s">
        <v>182</v>
      </c>
      <c r="E34" s="83" t="s">
        <v>567</v>
      </c>
      <c r="F34" s="83" t="s">
        <v>34</v>
      </c>
      <c r="G34" s="83" t="s">
        <v>558</v>
      </c>
      <c r="H34" s="83" t="s">
        <v>555</v>
      </c>
      <c r="I34" s="120">
        <v>30</v>
      </c>
      <c r="J34" s="85" t="s">
        <v>557</v>
      </c>
      <c r="K34" s="83"/>
    </row>
    <row r="35" spans="2:11" ht="15.75" thickBot="1" x14ac:dyDescent="0.3">
      <c r="B35" s="82" t="s">
        <v>534</v>
      </c>
      <c r="C35" s="82" t="s">
        <v>553</v>
      </c>
      <c r="D35" s="83" t="s">
        <v>182</v>
      </c>
      <c r="E35" s="83" t="s">
        <v>571</v>
      </c>
      <c r="F35" s="83" t="s">
        <v>34</v>
      </c>
      <c r="G35" s="83" t="s">
        <v>558</v>
      </c>
      <c r="H35" s="83" t="s">
        <v>555</v>
      </c>
      <c r="I35" s="120">
        <v>10</v>
      </c>
      <c r="J35" s="85" t="s">
        <v>557</v>
      </c>
      <c r="K35" s="83"/>
    </row>
    <row r="36" spans="2:11" ht="15.75" thickBot="1" x14ac:dyDescent="0.3">
      <c r="B36" s="82" t="s">
        <v>534</v>
      </c>
      <c r="C36" s="82" t="s">
        <v>553</v>
      </c>
      <c r="D36" s="83" t="s">
        <v>182</v>
      </c>
      <c r="E36" s="83" t="s">
        <v>577</v>
      </c>
      <c r="F36" s="83" t="s">
        <v>34</v>
      </c>
      <c r="G36" s="83" t="s">
        <v>558</v>
      </c>
      <c r="H36" s="83" t="s">
        <v>555</v>
      </c>
      <c r="I36" s="120">
        <v>3</v>
      </c>
      <c r="J36" s="85" t="s">
        <v>557</v>
      </c>
      <c r="K36" s="83"/>
    </row>
    <row r="37" spans="2:11" ht="15.75" thickBot="1" x14ac:dyDescent="0.3">
      <c r="B37" s="82" t="s">
        <v>534</v>
      </c>
      <c r="C37" s="82" t="s">
        <v>553</v>
      </c>
      <c r="D37" s="83" t="s">
        <v>182</v>
      </c>
      <c r="E37" s="83" t="s">
        <v>578</v>
      </c>
      <c r="F37" s="83" t="s">
        <v>34</v>
      </c>
      <c r="G37" s="83" t="s">
        <v>558</v>
      </c>
      <c r="H37" s="83" t="s">
        <v>555</v>
      </c>
      <c r="I37" s="120">
        <v>15</v>
      </c>
      <c r="J37" s="85" t="s">
        <v>557</v>
      </c>
      <c r="K37" s="83"/>
    </row>
    <row r="38" spans="2:11" ht="15.75" thickBot="1" x14ac:dyDescent="0.3">
      <c r="B38" s="82" t="s">
        <v>534</v>
      </c>
      <c r="C38" s="82" t="s">
        <v>553</v>
      </c>
      <c r="D38" s="83" t="s">
        <v>182</v>
      </c>
      <c r="E38" s="83" t="s">
        <v>583</v>
      </c>
      <c r="F38" s="83" t="s">
        <v>34</v>
      </c>
      <c r="G38" s="83" t="s">
        <v>558</v>
      </c>
      <c r="H38" s="83" t="s">
        <v>555</v>
      </c>
      <c r="I38" s="120">
        <v>128</v>
      </c>
      <c r="J38" s="85" t="s">
        <v>557</v>
      </c>
      <c r="K38" s="83"/>
    </row>
    <row r="39" spans="2:11" ht="15.75" thickBot="1" x14ac:dyDescent="0.3">
      <c r="B39" s="82" t="s">
        <v>534</v>
      </c>
      <c r="C39" s="82" t="s">
        <v>553</v>
      </c>
      <c r="D39" s="83" t="s">
        <v>182</v>
      </c>
      <c r="E39" s="83" t="s">
        <v>563</v>
      </c>
      <c r="F39" s="83" t="s">
        <v>42</v>
      </c>
      <c r="G39" s="83" t="s">
        <v>558</v>
      </c>
      <c r="H39" s="83" t="s">
        <v>555</v>
      </c>
      <c r="I39" s="120">
        <v>3</v>
      </c>
      <c r="J39" s="85" t="s">
        <v>557</v>
      </c>
      <c r="K39" s="83"/>
    </row>
    <row r="40" spans="2:11" ht="15.75" thickBot="1" x14ac:dyDescent="0.3">
      <c r="B40" s="82" t="s">
        <v>534</v>
      </c>
      <c r="C40" s="82" t="s">
        <v>553</v>
      </c>
      <c r="D40" s="83" t="s">
        <v>182</v>
      </c>
      <c r="E40" s="83" t="s">
        <v>564</v>
      </c>
      <c r="F40" s="83" t="s">
        <v>42</v>
      </c>
      <c r="G40" s="83" t="s">
        <v>558</v>
      </c>
      <c r="H40" s="83" t="s">
        <v>555</v>
      </c>
      <c r="I40" s="120">
        <v>4</v>
      </c>
      <c r="J40" s="85" t="s">
        <v>557</v>
      </c>
      <c r="K40" s="83"/>
    </row>
    <row r="41" spans="2:11" ht="15.75" thickBot="1" x14ac:dyDescent="0.3">
      <c r="B41" s="82" t="s">
        <v>534</v>
      </c>
      <c r="C41" s="82" t="s">
        <v>553</v>
      </c>
      <c r="D41" s="83" t="s">
        <v>182</v>
      </c>
      <c r="E41" s="83" t="s">
        <v>560</v>
      </c>
      <c r="F41" s="83" t="s">
        <v>42</v>
      </c>
      <c r="G41" s="83" t="s">
        <v>558</v>
      </c>
      <c r="H41" s="83" t="s">
        <v>555</v>
      </c>
      <c r="I41" s="120">
        <v>13</v>
      </c>
      <c r="J41" s="85" t="s">
        <v>557</v>
      </c>
      <c r="K41" s="83"/>
    </row>
    <row r="42" spans="2:11" ht="15.75" thickBot="1" x14ac:dyDescent="0.3">
      <c r="B42" s="82" t="s">
        <v>534</v>
      </c>
      <c r="C42" s="82" t="s">
        <v>553</v>
      </c>
      <c r="D42" s="83" t="s">
        <v>182</v>
      </c>
      <c r="E42" s="83" t="s">
        <v>561</v>
      </c>
      <c r="F42" s="83" t="s">
        <v>42</v>
      </c>
      <c r="G42" s="83" t="s">
        <v>558</v>
      </c>
      <c r="H42" s="83" t="s">
        <v>555</v>
      </c>
      <c r="I42" s="120">
        <v>235.1</v>
      </c>
      <c r="J42" s="85" t="s">
        <v>557</v>
      </c>
      <c r="K42" s="83"/>
    </row>
    <row r="43" spans="2:11" ht="15.75" thickBot="1" x14ac:dyDescent="0.3">
      <c r="B43" s="82" t="s">
        <v>534</v>
      </c>
      <c r="C43" s="82" t="s">
        <v>553</v>
      </c>
      <c r="D43" s="83" t="s">
        <v>182</v>
      </c>
      <c r="E43" s="83" t="s">
        <v>562</v>
      </c>
      <c r="F43" s="83" t="s">
        <v>42</v>
      </c>
      <c r="G43" s="83" t="s">
        <v>558</v>
      </c>
      <c r="H43" s="83" t="s">
        <v>555</v>
      </c>
      <c r="I43" s="120">
        <v>6</v>
      </c>
      <c r="J43" s="85" t="s">
        <v>557</v>
      </c>
      <c r="K43" s="83"/>
    </row>
    <row r="44" spans="2:11" ht="15.75" thickBot="1" x14ac:dyDescent="0.3">
      <c r="B44" s="82" t="s">
        <v>534</v>
      </c>
      <c r="C44" s="82" t="s">
        <v>553</v>
      </c>
      <c r="D44" s="83" t="s">
        <v>182</v>
      </c>
      <c r="E44" s="83" t="s">
        <v>568</v>
      </c>
      <c r="F44" s="83" t="s">
        <v>42</v>
      </c>
      <c r="G44" s="83" t="s">
        <v>558</v>
      </c>
      <c r="H44" s="83" t="s">
        <v>555</v>
      </c>
      <c r="I44" s="120">
        <v>3</v>
      </c>
      <c r="J44" s="85" t="s">
        <v>557</v>
      </c>
      <c r="K44" s="83"/>
    </row>
    <row r="45" spans="2:11" ht="15.75" thickBot="1" x14ac:dyDescent="0.3">
      <c r="B45" s="82" t="s">
        <v>534</v>
      </c>
      <c r="C45" s="82" t="s">
        <v>553</v>
      </c>
      <c r="D45" s="83" t="s">
        <v>182</v>
      </c>
      <c r="E45" s="83" t="s">
        <v>569</v>
      </c>
      <c r="F45" s="119" t="s">
        <v>42</v>
      </c>
      <c r="G45" s="83" t="s">
        <v>558</v>
      </c>
      <c r="H45" s="83" t="s">
        <v>555</v>
      </c>
      <c r="I45" s="120">
        <v>23.5</v>
      </c>
      <c r="J45" s="85" t="s">
        <v>557</v>
      </c>
      <c r="K45" s="83"/>
    </row>
    <row r="46" spans="2:11" ht="15.75" thickBot="1" x14ac:dyDescent="0.3">
      <c r="B46" s="82" t="s">
        <v>534</v>
      </c>
      <c r="C46" s="82" t="s">
        <v>553</v>
      </c>
      <c r="D46" s="83" t="s">
        <v>182</v>
      </c>
      <c r="E46" s="83" t="s">
        <v>570</v>
      </c>
      <c r="F46" s="83" t="s">
        <v>42</v>
      </c>
      <c r="G46" s="83" t="s">
        <v>558</v>
      </c>
      <c r="H46" s="83" t="s">
        <v>555</v>
      </c>
      <c r="I46" s="120">
        <v>2</v>
      </c>
      <c r="J46" s="85" t="s">
        <v>557</v>
      </c>
      <c r="K46" s="83"/>
    </row>
    <row r="47" spans="2:11" ht="15.75" thickBot="1" x14ac:dyDescent="0.3">
      <c r="B47" s="82" t="s">
        <v>534</v>
      </c>
      <c r="C47" s="82" t="s">
        <v>553</v>
      </c>
      <c r="D47" s="83" t="s">
        <v>182</v>
      </c>
      <c r="E47" s="83" t="s">
        <v>572</v>
      </c>
      <c r="F47" s="83" t="s">
        <v>42</v>
      </c>
      <c r="G47" s="83" t="s">
        <v>558</v>
      </c>
      <c r="H47" s="83" t="s">
        <v>555</v>
      </c>
      <c r="I47" s="120">
        <v>5</v>
      </c>
      <c r="J47" s="85" t="s">
        <v>557</v>
      </c>
      <c r="K47" s="83"/>
    </row>
    <row r="48" spans="2:11" ht="15.75" thickBot="1" x14ac:dyDescent="0.3">
      <c r="B48" s="82" t="s">
        <v>534</v>
      </c>
      <c r="C48" s="82" t="s">
        <v>553</v>
      </c>
      <c r="D48" s="83" t="s">
        <v>182</v>
      </c>
      <c r="E48" s="83" t="s">
        <v>573</v>
      </c>
      <c r="F48" s="83" t="s">
        <v>42</v>
      </c>
      <c r="G48" s="83" t="s">
        <v>558</v>
      </c>
      <c r="H48" s="83" t="s">
        <v>555</v>
      </c>
      <c r="I48" s="120">
        <v>1.5</v>
      </c>
      <c r="J48" s="85" t="s">
        <v>557</v>
      </c>
      <c r="K48" s="83"/>
    </row>
    <row r="49" spans="2:21" ht="15.75" thickBot="1" x14ac:dyDescent="0.3">
      <c r="B49" s="82" t="s">
        <v>534</v>
      </c>
      <c r="C49" s="82" t="s">
        <v>553</v>
      </c>
      <c r="D49" s="83" t="s">
        <v>182</v>
      </c>
      <c r="E49" s="83" t="s">
        <v>574</v>
      </c>
      <c r="F49" s="83" t="s">
        <v>42</v>
      </c>
      <c r="G49" s="83" t="s">
        <v>558</v>
      </c>
      <c r="H49" s="83" t="s">
        <v>555</v>
      </c>
      <c r="I49" s="120">
        <v>1</v>
      </c>
      <c r="J49" s="85" t="s">
        <v>557</v>
      </c>
      <c r="K49" s="83"/>
    </row>
    <row r="50" spans="2:21" ht="15.75" thickBot="1" x14ac:dyDescent="0.3">
      <c r="B50" s="82" t="s">
        <v>534</v>
      </c>
      <c r="C50" s="82" t="s">
        <v>553</v>
      </c>
      <c r="D50" s="83" t="s">
        <v>182</v>
      </c>
      <c r="E50" s="83" t="s">
        <v>575</v>
      </c>
      <c r="F50" s="83" t="s">
        <v>42</v>
      </c>
      <c r="G50" s="83" t="s">
        <v>558</v>
      </c>
      <c r="H50" s="83" t="s">
        <v>555</v>
      </c>
      <c r="I50" s="120">
        <v>14.5</v>
      </c>
      <c r="J50" s="85" t="s">
        <v>557</v>
      </c>
      <c r="K50" s="83"/>
    </row>
    <row r="51" spans="2:21" ht="15.75" thickBot="1" x14ac:dyDescent="0.3">
      <c r="B51" s="82" t="s">
        <v>534</v>
      </c>
      <c r="C51" s="82" t="s">
        <v>553</v>
      </c>
      <c r="D51" s="83" t="s">
        <v>182</v>
      </c>
      <c r="E51" s="83" t="s">
        <v>576</v>
      </c>
      <c r="F51" s="83" t="s">
        <v>42</v>
      </c>
      <c r="G51" s="83" t="s">
        <v>558</v>
      </c>
      <c r="H51" s="83" t="s">
        <v>555</v>
      </c>
      <c r="I51" s="120">
        <v>2</v>
      </c>
      <c r="J51" s="85" t="s">
        <v>557</v>
      </c>
      <c r="K51" s="83"/>
    </row>
    <row r="52" spans="2:21" ht="15.75" thickBot="1" x14ac:dyDescent="0.3">
      <c r="B52" s="82" t="s">
        <v>534</v>
      </c>
      <c r="C52" s="82" t="s">
        <v>553</v>
      </c>
      <c r="D52" s="83" t="s">
        <v>182</v>
      </c>
      <c r="E52" s="83" t="s">
        <v>579</v>
      </c>
      <c r="F52" s="83" t="s">
        <v>42</v>
      </c>
      <c r="G52" s="83" t="s">
        <v>558</v>
      </c>
      <c r="H52" s="83" t="s">
        <v>555</v>
      </c>
      <c r="I52" s="120">
        <v>6</v>
      </c>
      <c r="J52" s="85" t="s">
        <v>557</v>
      </c>
      <c r="K52" s="83"/>
    </row>
    <row r="53" spans="2:21" ht="15.75" thickBot="1" x14ac:dyDescent="0.3">
      <c r="B53" s="82" t="s">
        <v>534</v>
      </c>
      <c r="C53" s="82" t="s">
        <v>553</v>
      </c>
      <c r="D53" s="83" t="s">
        <v>182</v>
      </c>
      <c r="E53" s="83" t="s">
        <v>580</v>
      </c>
      <c r="F53" s="83" t="s">
        <v>42</v>
      </c>
      <c r="G53" s="83" t="s">
        <v>558</v>
      </c>
      <c r="H53" s="83" t="s">
        <v>555</v>
      </c>
      <c r="I53" s="120">
        <v>10</v>
      </c>
      <c r="J53" s="85" t="s">
        <v>557</v>
      </c>
      <c r="K53" s="83"/>
    </row>
    <row r="54" spans="2:21" ht="15.75" thickBot="1" x14ac:dyDescent="0.3">
      <c r="B54" s="82" t="s">
        <v>534</v>
      </c>
      <c r="C54" s="82" t="s">
        <v>553</v>
      </c>
      <c r="D54" s="83" t="s">
        <v>182</v>
      </c>
      <c r="E54" s="83" t="s">
        <v>581</v>
      </c>
      <c r="F54" s="83" t="s">
        <v>42</v>
      </c>
      <c r="G54" s="83" t="s">
        <v>558</v>
      </c>
      <c r="H54" s="83" t="s">
        <v>555</v>
      </c>
      <c r="I54" s="120">
        <v>162.5</v>
      </c>
      <c r="J54" s="85" t="s">
        <v>557</v>
      </c>
      <c r="K54" s="83"/>
    </row>
    <row r="55" spans="2:21" ht="15.75" thickBot="1" x14ac:dyDescent="0.3">
      <c r="B55" s="82" t="s">
        <v>534</v>
      </c>
      <c r="C55" s="82" t="s">
        <v>553</v>
      </c>
      <c r="D55" s="83" t="s">
        <v>182</v>
      </c>
      <c r="E55" s="83" t="s">
        <v>582</v>
      </c>
      <c r="F55" s="83" t="s">
        <v>42</v>
      </c>
      <c r="G55" s="83" t="s">
        <v>558</v>
      </c>
      <c r="H55" s="83" t="s">
        <v>555</v>
      </c>
      <c r="I55" s="120">
        <v>3</v>
      </c>
      <c r="J55" s="85" t="s">
        <v>557</v>
      </c>
      <c r="K55" s="83"/>
    </row>
    <row r="56" spans="2:21" ht="15.75" thickBot="1" x14ac:dyDescent="0.3">
      <c r="B56" s="82" t="s">
        <v>534</v>
      </c>
      <c r="C56" s="82" t="s">
        <v>585</v>
      </c>
      <c r="D56" s="83" t="s">
        <v>604</v>
      </c>
      <c r="E56" s="83"/>
      <c r="F56" s="83" t="s">
        <v>42</v>
      </c>
      <c r="G56" s="83" t="s">
        <v>558</v>
      </c>
      <c r="H56" s="83" t="s">
        <v>584</v>
      </c>
      <c r="I56" s="120">
        <v>1</v>
      </c>
      <c r="J56" s="85" t="s">
        <v>586</v>
      </c>
      <c r="K56" s="83" t="s">
        <v>587</v>
      </c>
      <c r="M56" s="126" t="s">
        <v>606</v>
      </c>
    </row>
    <row r="57" spans="2:21" ht="15.75" thickBot="1" x14ac:dyDescent="0.3">
      <c r="B57" s="82" t="s">
        <v>534</v>
      </c>
      <c r="C57" s="82" t="s">
        <v>585</v>
      </c>
      <c r="D57" s="83" t="s">
        <v>614</v>
      </c>
      <c r="E57" s="83"/>
      <c r="F57" s="83" t="s">
        <v>42</v>
      </c>
      <c r="G57" s="83" t="s">
        <v>558</v>
      </c>
      <c r="H57" s="83" t="s">
        <v>584</v>
      </c>
      <c r="I57" s="120">
        <v>14</v>
      </c>
      <c r="J57" s="85" t="s">
        <v>586</v>
      </c>
      <c r="K57" s="83" t="s">
        <v>615</v>
      </c>
      <c r="M57" s="126" t="s">
        <v>613</v>
      </c>
      <c r="U57" s="126" t="s">
        <v>612</v>
      </c>
    </row>
    <row r="58" spans="2:21" ht="15.75" thickBot="1" x14ac:dyDescent="0.3">
      <c r="B58" s="82" t="s">
        <v>534</v>
      </c>
      <c r="C58" s="82" t="s">
        <v>585</v>
      </c>
      <c r="D58" s="83" t="s">
        <v>603</v>
      </c>
      <c r="E58" s="83"/>
      <c r="F58" s="83" t="s">
        <v>42</v>
      </c>
      <c r="G58" s="83" t="s">
        <v>558</v>
      </c>
      <c r="H58" s="83" t="s">
        <v>584</v>
      </c>
      <c r="I58" s="120">
        <v>6</v>
      </c>
      <c r="J58" s="85" t="s">
        <v>586</v>
      </c>
      <c r="K58" s="83" t="s">
        <v>587</v>
      </c>
      <c r="M58" s="126" t="s">
        <v>608</v>
      </c>
    </row>
    <row r="59" spans="2:21" ht="15.75" thickBot="1" x14ac:dyDescent="0.3">
      <c r="B59" s="82" t="s">
        <v>534</v>
      </c>
      <c r="C59" s="82" t="s">
        <v>585</v>
      </c>
      <c r="D59" s="83" t="s">
        <v>610</v>
      </c>
      <c r="E59" s="83"/>
      <c r="F59" s="83" t="s">
        <v>42</v>
      </c>
      <c r="G59" s="83" t="s">
        <v>558</v>
      </c>
      <c r="H59" s="83" t="s">
        <v>584</v>
      </c>
      <c r="I59" s="120">
        <v>47</v>
      </c>
      <c r="J59" s="85" t="s">
        <v>586</v>
      </c>
      <c r="K59" s="83" t="s">
        <v>615</v>
      </c>
      <c r="M59" s="126" t="s">
        <v>611</v>
      </c>
      <c r="U59" s="126" t="s">
        <v>609</v>
      </c>
    </row>
    <row r="60" spans="2:21" ht="15.75" thickBot="1" x14ac:dyDescent="0.3">
      <c r="B60" s="82" t="s">
        <v>534</v>
      </c>
      <c r="C60" s="82" t="s">
        <v>585</v>
      </c>
      <c r="D60" s="83" t="s">
        <v>605</v>
      </c>
      <c r="E60" s="83"/>
      <c r="F60" s="83" t="s">
        <v>42</v>
      </c>
      <c r="G60" s="83" t="s">
        <v>558</v>
      </c>
      <c r="H60" s="83" t="s">
        <v>584</v>
      </c>
      <c r="I60" s="120">
        <v>1</v>
      </c>
      <c r="J60" s="85" t="s">
        <v>586</v>
      </c>
      <c r="K60" s="83" t="s">
        <v>587</v>
      </c>
      <c r="M60" s="126" t="s">
        <v>607</v>
      </c>
    </row>
    <row r="61" spans="2:21" ht="15.75" thickBot="1" x14ac:dyDescent="0.3">
      <c r="B61" s="82" t="s">
        <v>534</v>
      </c>
      <c r="C61" s="82" t="s">
        <v>1528</v>
      </c>
      <c r="D61" s="83" t="s">
        <v>620</v>
      </c>
      <c r="E61" s="83" t="s">
        <v>567</v>
      </c>
      <c r="F61" s="83" t="s">
        <v>34</v>
      </c>
      <c r="G61" s="83" t="s">
        <v>558</v>
      </c>
      <c r="H61" s="83" t="s">
        <v>555</v>
      </c>
      <c r="I61" s="120">
        <v>918.55000000000007</v>
      </c>
      <c r="J61" s="85" t="s">
        <v>630</v>
      </c>
      <c r="K61" s="83"/>
    </row>
    <row r="62" spans="2:21" ht="15.75" thickBot="1" x14ac:dyDescent="0.3">
      <c r="B62" s="82" t="s">
        <v>534</v>
      </c>
      <c r="C62" s="82" t="s">
        <v>1528</v>
      </c>
      <c r="D62" s="83" t="s">
        <v>620</v>
      </c>
      <c r="E62" s="83" t="s">
        <v>571</v>
      </c>
      <c r="F62" s="83" t="s">
        <v>34</v>
      </c>
      <c r="G62" s="83" t="s">
        <v>558</v>
      </c>
      <c r="H62" s="83" t="s">
        <v>555</v>
      </c>
      <c r="I62" s="120">
        <v>801301.57000000018</v>
      </c>
      <c r="J62" s="85" t="s">
        <v>630</v>
      </c>
      <c r="K62" s="83"/>
    </row>
    <row r="63" spans="2:21" ht="15.75" thickBot="1" x14ac:dyDescent="0.3">
      <c r="B63" s="82" t="s">
        <v>534</v>
      </c>
      <c r="C63" s="82" t="s">
        <v>1528</v>
      </c>
      <c r="D63" s="83" t="s">
        <v>620</v>
      </c>
      <c r="E63" s="83" t="s">
        <v>1795</v>
      </c>
      <c r="F63" s="83" t="s">
        <v>34</v>
      </c>
      <c r="G63" s="83" t="s">
        <v>558</v>
      </c>
      <c r="H63" s="83" t="s">
        <v>555</v>
      </c>
      <c r="I63" s="120">
        <f>7963.54+7930.46</f>
        <v>15894</v>
      </c>
      <c r="J63" s="85" t="s">
        <v>630</v>
      </c>
      <c r="K63" s="83"/>
    </row>
    <row r="64" spans="2:21" ht="15.75" thickBot="1" x14ac:dyDescent="0.3">
      <c r="B64" s="82" t="s">
        <v>534</v>
      </c>
      <c r="C64" s="82" t="s">
        <v>1528</v>
      </c>
      <c r="D64" s="83" t="s">
        <v>620</v>
      </c>
      <c r="E64" s="83" t="s">
        <v>565</v>
      </c>
      <c r="F64" s="83" t="s">
        <v>34</v>
      </c>
      <c r="G64" s="83" t="s">
        <v>558</v>
      </c>
      <c r="H64" s="83" t="s">
        <v>555</v>
      </c>
      <c r="I64" s="120">
        <v>3449.6899999999996</v>
      </c>
      <c r="J64" s="85" t="s">
        <v>630</v>
      </c>
      <c r="K64" s="83"/>
    </row>
    <row r="65" spans="2:11" ht="15.75" thickBot="1" x14ac:dyDescent="0.3">
      <c r="B65" s="82" t="s">
        <v>534</v>
      </c>
      <c r="C65" s="82" t="s">
        <v>1528</v>
      </c>
      <c r="D65" s="83" t="s">
        <v>620</v>
      </c>
      <c r="E65" s="83" t="s">
        <v>1799</v>
      </c>
      <c r="F65" s="83" t="s">
        <v>34</v>
      </c>
      <c r="G65" s="83" t="s">
        <v>558</v>
      </c>
      <c r="H65" s="83" t="s">
        <v>555</v>
      </c>
      <c r="I65" s="120">
        <v>101519.51000000001</v>
      </c>
      <c r="J65" s="85" t="s">
        <v>630</v>
      </c>
      <c r="K65" s="83"/>
    </row>
    <row r="66" spans="2:11" ht="15.75" thickBot="1" x14ac:dyDescent="0.3">
      <c r="B66" s="82" t="s">
        <v>534</v>
      </c>
      <c r="C66" s="82" t="s">
        <v>1528</v>
      </c>
      <c r="D66" s="83" t="s">
        <v>620</v>
      </c>
      <c r="E66" s="83" t="s">
        <v>583</v>
      </c>
      <c r="F66" s="83" t="s">
        <v>34</v>
      </c>
      <c r="G66" s="83" t="s">
        <v>558</v>
      </c>
      <c r="H66" s="83" t="s">
        <v>555</v>
      </c>
      <c r="I66" s="120">
        <v>8829.8100000000013</v>
      </c>
      <c r="J66" s="85" t="s">
        <v>630</v>
      </c>
      <c r="K66" s="83"/>
    </row>
    <row r="67" spans="2:11" ht="15.75" thickBot="1" x14ac:dyDescent="0.3">
      <c r="B67" s="82" t="s">
        <v>534</v>
      </c>
      <c r="C67" s="82" t="s">
        <v>1528</v>
      </c>
      <c r="D67" s="83" t="s">
        <v>620</v>
      </c>
      <c r="E67" s="83" t="s">
        <v>1796</v>
      </c>
      <c r="F67" s="83" t="s">
        <v>34</v>
      </c>
      <c r="G67" s="83" t="s">
        <v>558</v>
      </c>
      <c r="H67" s="83" t="s">
        <v>555</v>
      </c>
      <c r="I67" s="120">
        <v>7285.7499999999991</v>
      </c>
      <c r="J67" s="85" t="s">
        <v>630</v>
      </c>
      <c r="K67" s="83"/>
    </row>
    <row r="68" spans="2:11" ht="15.75" thickBot="1" x14ac:dyDescent="0.3">
      <c r="B68" s="82" t="s">
        <v>534</v>
      </c>
      <c r="C68" s="82" t="s">
        <v>1528</v>
      </c>
      <c r="D68" s="83" t="s">
        <v>620</v>
      </c>
      <c r="E68" s="83" t="s">
        <v>1794</v>
      </c>
      <c r="F68" s="83" t="s">
        <v>34</v>
      </c>
      <c r="G68" s="83" t="s">
        <v>558</v>
      </c>
      <c r="H68" s="83" t="s">
        <v>555</v>
      </c>
      <c r="I68" s="120">
        <v>163507.21</v>
      </c>
      <c r="J68" s="85" t="s">
        <v>630</v>
      </c>
      <c r="K68" s="83"/>
    </row>
    <row r="69" spans="2:11" ht="15.75" thickBot="1" x14ac:dyDescent="0.3">
      <c r="B69" s="82" t="s">
        <v>534</v>
      </c>
      <c r="C69" s="82" t="s">
        <v>1528</v>
      </c>
      <c r="D69" s="83" t="s">
        <v>620</v>
      </c>
      <c r="E69" s="83" t="s">
        <v>559</v>
      </c>
      <c r="F69" s="83" t="s">
        <v>34</v>
      </c>
      <c r="G69" s="83" t="s">
        <v>558</v>
      </c>
      <c r="H69" s="83" t="s">
        <v>555</v>
      </c>
      <c r="I69" s="120">
        <v>17142.89</v>
      </c>
      <c r="J69" s="85" t="s">
        <v>630</v>
      </c>
      <c r="K69" s="83"/>
    </row>
    <row r="70" spans="2:11" ht="15.75" thickBot="1" x14ac:dyDescent="0.3">
      <c r="B70" s="82" t="s">
        <v>534</v>
      </c>
      <c r="C70" s="82" t="s">
        <v>1528</v>
      </c>
      <c r="D70" s="83" t="s">
        <v>620</v>
      </c>
      <c r="E70" s="83" t="s">
        <v>578</v>
      </c>
      <c r="F70" s="83" t="s">
        <v>34</v>
      </c>
      <c r="G70" s="83" t="s">
        <v>558</v>
      </c>
      <c r="H70" s="83" t="s">
        <v>555</v>
      </c>
      <c r="I70" s="120">
        <v>70051.3</v>
      </c>
      <c r="J70" s="85" t="s">
        <v>630</v>
      </c>
      <c r="K70" s="83"/>
    </row>
    <row r="71" spans="2:11" ht="15.75" thickBot="1" x14ac:dyDescent="0.3">
      <c r="B71" s="82" t="s">
        <v>534</v>
      </c>
      <c r="C71" s="82" t="s">
        <v>1528</v>
      </c>
      <c r="D71" s="83" t="s">
        <v>620</v>
      </c>
      <c r="E71" s="83" t="s">
        <v>566</v>
      </c>
      <c r="F71" s="83" t="s">
        <v>34</v>
      </c>
      <c r="G71" s="83" t="s">
        <v>558</v>
      </c>
      <c r="H71" s="83" t="s">
        <v>555</v>
      </c>
      <c r="I71" s="120">
        <v>6761.1299999999992</v>
      </c>
      <c r="J71" s="85" t="s">
        <v>630</v>
      </c>
      <c r="K71" s="83"/>
    </row>
    <row r="72" spans="2:11" ht="15.75" thickBot="1" x14ac:dyDescent="0.3">
      <c r="B72" s="82" t="s">
        <v>534</v>
      </c>
      <c r="C72" s="82" t="s">
        <v>1528</v>
      </c>
      <c r="D72" s="83" t="s">
        <v>620</v>
      </c>
      <c r="E72" s="83" t="s">
        <v>1797</v>
      </c>
      <c r="F72" s="83" t="s">
        <v>34</v>
      </c>
      <c r="G72" s="83" t="s">
        <v>558</v>
      </c>
      <c r="H72" s="83" t="s">
        <v>555</v>
      </c>
      <c r="I72" s="120">
        <v>33305.33</v>
      </c>
      <c r="J72" s="85" t="s">
        <v>630</v>
      </c>
      <c r="K72" s="83"/>
    </row>
    <row r="73" spans="2:11" ht="15.75" thickBot="1" x14ac:dyDescent="0.3">
      <c r="B73" s="82" t="s">
        <v>534</v>
      </c>
      <c r="C73" s="82" t="s">
        <v>1528</v>
      </c>
      <c r="D73" s="83" t="s">
        <v>620</v>
      </c>
      <c r="E73" s="83" t="s">
        <v>1798</v>
      </c>
      <c r="F73" s="83" t="s">
        <v>34</v>
      </c>
      <c r="G73" s="83" t="s">
        <v>558</v>
      </c>
      <c r="H73" s="83" t="s">
        <v>555</v>
      </c>
      <c r="I73" s="120">
        <v>62285.520000000004</v>
      </c>
      <c r="J73" s="85" t="s">
        <v>630</v>
      </c>
      <c r="K73" s="83"/>
    </row>
    <row r="74" spans="2:11" ht="15.75" thickBot="1" x14ac:dyDescent="0.3">
      <c r="B74" s="82" t="s">
        <v>534</v>
      </c>
      <c r="C74" s="82" t="s">
        <v>1528</v>
      </c>
      <c r="D74" s="83" t="s">
        <v>620</v>
      </c>
      <c r="E74" s="83" t="s">
        <v>554</v>
      </c>
      <c r="F74" s="83" t="s">
        <v>34</v>
      </c>
      <c r="G74" s="83" t="s">
        <v>558</v>
      </c>
      <c r="H74" s="83" t="s">
        <v>555</v>
      </c>
      <c r="I74" s="120">
        <v>49922.01999999999</v>
      </c>
      <c r="J74" s="85" t="s">
        <v>630</v>
      </c>
      <c r="K74" s="83"/>
    </row>
    <row r="75" spans="2:11" ht="15.75" thickBot="1" x14ac:dyDescent="0.3">
      <c r="B75" s="82" t="s">
        <v>534</v>
      </c>
      <c r="C75" s="82" t="s">
        <v>1528</v>
      </c>
      <c r="D75" s="83" t="s">
        <v>620</v>
      </c>
      <c r="E75" s="83" t="s">
        <v>1793</v>
      </c>
      <c r="F75" s="83" t="s">
        <v>34</v>
      </c>
      <c r="G75" s="83" t="s">
        <v>558</v>
      </c>
      <c r="H75" s="83" t="s">
        <v>555</v>
      </c>
      <c r="I75" s="120">
        <v>8306.49</v>
      </c>
      <c r="J75" s="85" t="s">
        <v>630</v>
      </c>
      <c r="K75" s="83"/>
    </row>
    <row r="76" spans="2:11" ht="15.75" thickBot="1" x14ac:dyDescent="0.3">
      <c r="B76" s="82" t="s">
        <v>534</v>
      </c>
      <c r="C76" s="82" t="s">
        <v>1528</v>
      </c>
      <c r="D76" s="83" t="s">
        <v>620</v>
      </c>
      <c r="E76" s="83" t="s">
        <v>577</v>
      </c>
      <c r="F76" s="83" t="s">
        <v>34</v>
      </c>
      <c r="G76" s="83" t="s">
        <v>558</v>
      </c>
      <c r="H76" s="83" t="s">
        <v>555</v>
      </c>
      <c r="I76" s="120">
        <v>2504.71</v>
      </c>
      <c r="J76" s="85" t="s">
        <v>630</v>
      </c>
      <c r="K76" s="83"/>
    </row>
  </sheetData>
  <mergeCells count="24">
    <mergeCell ref="K28:K29"/>
    <mergeCell ref="B25:V26"/>
    <mergeCell ref="B28:B29"/>
    <mergeCell ref="C28:C29"/>
    <mergeCell ref="D28:D29"/>
    <mergeCell ref="E28:E29"/>
    <mergeCell ref="F28:F29"/>
    <mergeCell ref="G28:G29"/>
    <mergeCell ref="H28:H29"/>
    <mergeCell ref="I28:I29"/>
    <mergeCell ref="J28:J29"/>
    <mergeCell ref="B21:V22"/>
    <mergeCell ref="B9:V9"/>
    <mergeCell ref="B11:C11"/>
    <mergeCell ref="D11:H11"/>
    <mergeCell ref="B12:C12"/>
    <mergeCell ref="D12:H12"/>
    <mergeCell ref="B13:C13"/>
    <mergeCell ref="D13:H13"/>
    <mergeCell ref="B14:C14"/>
    <mergeCell ref="D14:H14"/>
    <mergeCell ref="B15:C15"/>
    <mergeCell ref="D15:H15"/>
    <mergeCell ref="B17:X17"/>
  </mergeCells>
  <dataValidations count="5">
    <dataValidation type="list" allowBlank="1" showInputMessage="1" showErrorMessage="1" sqref="H30:H76">
      <formula1>"Meios Próprios Cliente,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F30:F76">
      <formula1>"Sim, Não"</formula1>
    </dataValidation>
    <dataValidation type="list" allowBlank="1" showInputMessage="1" showErrorMessage="1" sqref="C30:C76">
      <formula1>"Combustíveis, Óleos e Aditivos, Equipamentos de AC, Gases Refrigerantes, Outro"</formula1>
    </dataValidation>
    <dataValidation type="list" allowBlank="1" showInputMessage="1" showErrorMessage="1" sqref="G30:G76">
      <formula1>"Não Aplicável, Rodoviário, Ferroviário, Aéreo, Marítimo, Outro"</formula1>
    </dataValidation>
    <dataValidation type="list" allowBlank="1" showInputMessage="1" showErrorMessage="1" sqref="J30:J76">
      <formula1>"unidades, paletes, contentores, kWh, l (litros), kg (quilos), ton (toneladas), Nm3 (metros cubicos norm.), Outro/NA"</formula1>
    </dataValidation>
  </dataValidations>
  <hyperlinks>
    <hyperlink ref="M56" r:id="rId1" display="https://esevel.pt/wp-content/uploads/2021/05/AC_515.pdf"/>
    <hyperlink ref="M60" r:id="rId2" display="https://esevel.pt/wp-content/uploads/2021/05/AC_520.pdf"/>
    <hyperlink ref="M58" r:id="rId3" display="https://esevel.pt/wp-content/uploads/2021/06/Broschure_AC353-5_en.pdf"/>
    <hyperlink ref="M59" r:id="rId4"/>
    <hyperlink ref="U59" r:id="rId5"/>
    <hyperlink ref="U57" r:id="rId6"/>
    <hyperlink ref="M57" r:id="rId7"/>
  </hyperlinks>
  <pageMargins left="0.7" right="0.7" top="0.75" bottom="0.75" header="0.3" footer="0.3"/>
  <customProperties>
    <customPr name="GUID" r:id="rId8"/>
  </customProperties>
  <drawing r:id="rId9"/>
  <legacyDrawing r:id="rId1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7"/>
  <dimension ref="A1:U78"/>
  <sheetViews>
    <sheetView topLeftCell="A22" zoomScale="55" zoomScaleNormal="55" workbookViewId="0">
      <selection activeCell="A35" sqref="A35"/>
    </sheetView>
    <sheetView workbookViewId="1">
      <selection sqref="A1:A2"/>
    </sheetView>
  </sheetViews>
  <sheetFormatPr defaultRowHeight="15" x14ac:dyDescent="0.25"/>
  <cols>
    <col min="1" max="2" width="69" bestFit="1" customWidth="1"/>
    <col min="3" max="3" width="43" customWidth="1"/>
    <col min="4" max="4" width="35.7109375" customWidth="1"/>
    <col min="5" max="7" width="40.85546875" customWidth="1"/>
    <col min="8" max="8" width="60.7109375" bestFit="1" customWidth="1"/>
    <col min="9" max="9" width="70.7109375" bestFit="1" customWidth="1"/>
    <col min="10" max="10" width="55.42578125" bestFit="1" customWidth="1"/>
    <col min="11" max="11" width="24.140625" customWidth="1"/>
    <col min="12" max="13" width="25.7109375" customWidth="1"/>
    <col min="14" max="15" width="28.7109375" style="177" customWidth="1"/>
    <col min="16" max="16" width="25.7109375" style="1" customWidth="1"/>
    <col min="17" max="20" width="43.28515625" customWidth="1"/>
    <col min="21" max="21" width="23.140625" customWidth="1"/>
  </cols>
  <sheetData>
    <row r="1" spans="1:21" s="94" customFormat="1" ht="15.75" thickBot="1" x14ac:dyDescent="0.3">
      <c r="A1" s="543" t="s">
        <v>1851</v>
      </c>
      <c r="B1" s="508" t="s">
        <v>131</v>
      </c>
      <c r="C1" s="508" t="s">
        <v>1852</v>
      </c>
      <c r="D1" s="508" t="s">
        <v>459</v>
      </c>
      <c r="E1" s="508" t="s">
        <v>460</v>
      </c>
      <c r="F1" s="209" t="s">
        <v>1915</v>
      </c>
      <c r="G1" s="209" t="s">
        <v>1659</v>
      </c>
      <c r="H1" s="529" t="s">
        <v>1897</v>
      </c>
      <c r="I1" s="212" t="s">
        <v>1916</v>
      </c>
      <c r="J1" s="508" t="s">
        <v>461</v>
      </c>
      <c r="K1" s="508" t="s">
        <v>462</v>
      </c>
      <c r="L1" s="510" t="s">
        <v>445</v>
      </c>
      <c r="M1" s="508" t="s">
        <v>449</v>
      </c>
      <c r="N1" s="570" t="s">
        <v>556</v>
      </c>
      <c r="O1" s="510" t="s">
        <v>141</v>
      </c>
      <c r="P1" s="528" t="s">
        <v>1860</v>
      </c>
      <c r="Q1" s="510" t="s">
        <v>134</v>
      </c>
      <c r="R1" s="305" t="s">
        <v>1856</v>
      </c>
      <c r="S1" s="528" t="s">
        <v>2831</v>
      </c>
      <c r="T1" s="528" t="s">
        <v>3628</v>
      </c>
      <c r="U1" s="528" t="s">
        <v>3723</v>
      </c>
    </row>
    <row r="2" spans="1:21" s="94" customFormat="1" ht="15.75" thickBot="1" x14ac:dyDescent="0.3">
      <c r="A2" s="544"/>
      <c r="B2" s="509"/>
      <c r="C2" s="509"/>
      <c r="D2" s="509"/>
      <c r="E2" s="509"/>
      <c r="F2" s="210"/>
      <c r="G2" s="210"/>
      <c r="H2" s="530"/>
      <c r="I2" s="213"/>
      <c r="J2" s="509"/>
      <c r="K2" s="509"/>
      <c r="L2" s="508"/>
      <c r="M2" s="558"/>
      <c r="N2" s="571"/>
      <c r="O2" s="508"/>
      <c r="P2" s="529"/>
      <c r="Q2" s="510"/>
      <c r="R2" s="305"/>
      <c r="S2" s="528"/>
      <c r="T2" s="528"/>
      <c r="U2" s="528"/>
    </row>
    <row r="3" spans="1:21" ht="15.75" thickBot="1" x14ac:dyDescent="0.3">
      <c r="A3" s="82" t="s">
        <v>45</v>
      </c>
      <c r="B3" s="82" t="str">
        <f>LEFT(A3,IFERROR(FIND(" - ",A3)-1,LEN(A3)))</f>
        <v>Barraqueiro Transportes, S.A.</v>
      </c>
      <c r="C3" s="82" t="str">
        <f>IF(A3=B3,"X",RIGHT(A3,LEN(A3)-LEN(B3)-3))</f>
        <v>X</v>
      </c>
      <c r="D3" s="82" t="s">
        <v>553</v>
      </c>
      <c r="E3" s="83" t="s">
        <v>1862</v>
      </c>
      <c r="F3" s="236">
        <v>1</v>
      </c>
      <c r="G3" s="236"/>
      <c r="H3" s="83" t="str">
        <f>D3&amp;": "&amp;E3</f>
        <v>Gases Refrigerantes: HFC134a</v>
      </c>
      <c r="I3" s="83" t="str">
        <f>IF(G3="",H3,H3&amp;": "&amp;G3)</f>
        <v>Gases Refrigerantes: HFC134a</v>
      </c>
      <c r="J3" s="83" t="s">
        <v>554</v>
      </c>
      <c r="K3" s="83" t="s">
        <v>34</v>
      </c>
      <c r="L3" s="83" t="s">
        <v>558</v>
      </c>
      <c r="M3" s="83" t="s">
        <v>555</v>
      </c>
      <c r="N3" s="120">
        <v>12</v>
      </c>
      <c r="O3" s="175" t="s">
        <v>1863</v>
      </c>
      <c r="P3" s="125" t="s">
        <v>557</v>
      </c>
      <c r="Q3" s="83"/>
      <c r="R3" s="284">
        <v>2022</v>
      </c>
      <c r="S3" s="261" t="s">
        <v>3535</v>
      </c>
      <c r="T3" s="261" t="s">
        <v>3542</v>
      </c>
      <c r="U3" t="str">
        <f>IF(K3="Sim","Sim","Não")</f>
        <v>Sim</v>
      </c>
    </row>
    <row r="4" spans="1:21" ht="15.75" thickBot="1" x14ac:dyDescent="0.3">
      <c r="A4" s="82" t="s">
        <v>45</v>
      </c>
      <c r="B4" s="82" t="str">
        <f t="shared" ref="B4:B49" si="0">LEFT(A4,IFERROR(FIND(" - ",A4)-1,LEN(A4)))</f>
        <v>Barraqueiro Transportes, S.A.</v>
      </c>
      <c r="C4" s="82" t="str">
        <f t="shared" ref="C4:C61" si="1">IF(A4=B4,"X",RIGHT(A4,LEN(A4)-LEN(B4)-3))</f>
        <v>X</v>
      </c>
      <c r="D4" s="82" t="s">
        <v>553</v>
      </c>
      <c r="E4" s="83" t="s">
        <v>1862</v>
      </c>
      <c r="F4" s="236">
        <v>1</v>
      </c>
      <c r="G4" s="236"/>
      <c r="H4" s="83" t="str">
        <f t="shared" ref="H4:H49" si="2">D4&amp;": "&amp;E4</f>
        <v>Gases Refrigerantes: HFC134a</v>
      </c>
      <c r="I4" s="83" t="str">
        <f t="shared" ref="I4:I49" si="3">IF(G4="",H4,H4&amp;": "&amp;G4)</f>
        <v>Gases Refrigerantes: HFC134a</v>
      </c>
      <c r="J4" s="83" t="s">
        <v>559</v>
      </c>
      <c r="K4" s="83" t="s">
        <v>34</v>
      </c>
      <c r="L4" s="83" t="s">
        <v>558</v>
      </c>
      <c r="M4" s="83" t="s">
        <v>555</v>
      </c>
      <c r="N4" s="120">
        <v>79.5</v>
      </c>
      <c r="O4" s="175" t="s">
        <v>1863</v>
      </c>
      <c r="P4" s="125" t="s">
        <v>557</v>
      </c>
      <c r="Q4" s="83"/>
      <c r="R4" s="284">
        <v>2022</v>
      </c>
      <c r="S4" s="261" t="s">
        <v>3535</v>
      </c>
      <c r="T4" s="261" t="s">
        <v>3542</v>
      </c>
      <c r="U4" t="str">
        <f t="shared" ref="U4:U67" si="4">IF(K4="Sim","Sim","Não")</f>
        <v>Sim</v>
      </c>
    </row>
    <row r="5" spans="1:21" ht="15.75" thickBot="1" x14ac:dyDescent="0.3">
      <c r="A5" s="82" t="s">
        <v>45</v>
      </c>
      <c r="B5" s="82" t="str">
        <f t="shared" si="0"/>
        <v>Barraqueiro Transportes, S.A.</v>
      </c>
      <c r="C5" s="82" t="str">
        <f t="shared" si="1"/>
        <v>X</v>
      </c>
      <c r="D5" s="82" t="s">
        <v>553</v>
      </c>
      <c r="E5" s="83" t="s">
        <v>1862</v>
      </c>
      <c r="F5" s="236">
        <v>1</v>
      </c>
      <c r="G5" s="236"/>
      <c r="H5" s="83" t="str">
        <f t="shared" si="2"/>
        <v>Gases Refrigerantes: HFC134a</v>
      </c>
      <c r="I5" s="83" t="str">
        <f t="shared" si="3"/>
        <v>Gases Refrigerantes: HFC134a</v>
      </c>
      <c r="J5" s="83" t="s">
        <v>565</v>
      </c>
      <c r="K5" s="83" t="s">
        <v>34</v>
      </c>
      <c r="L5" s="83" t="s">
        <v>558</v>
      </c>
      <c r="M5" s="83" t="s">
        <v>555</v>
      </c>
      <c r="N5" s="120">
        <v>12</v>
      </c>
      <c r="O5" s="175" t="s">
        <v>1863</v>
      </c>
      <c r="P5" s="125" t="s">
        <v>557</v>
      </c>
      <c r="Q5" s="83"/>
      <c r="R5" s="284">
        <v>2022</v>
      </c>
      <c r="S5" s="261" t="s">
        <v>3535</v>
      </c>
      <c r="T5" s="261" t="s">
        <v>3542</v>
      </c>
      <c r="U5" t="str">
        <f t="shared" si="4"/>
        <v>Sim</v>
      </c>
    </row>
    <row r="6" spans="1:21" ht="15.75" thickBot="1" x14ac:dyDescent="0.3">
      <c r="A6" s="82" t="s">
        <v>45</v>
      </c>
      <c r="B6" s="82" t="str">
        <f t="shared" si="0"/>
        <v>Barraqueiro Transportes, S.A.</v>
      </c>
      <c r="C6" s="82" t="str">
        <f t="shared" si="1"/>
        <v>X</v>
      </c>
      <c r="D6" s="82" t="s">
        <v>553</v>
      </c>
      <c r="E6" s="83" t="s">
        <v>1862</v>
      </c>
      <c r="F6" s="236">
        <v>1</v>
      </c>
      <c r="G6" s="236"/>
      <c r="H6" s="83" t="str">
        <f t="shared" si="2"/>
        <v>Gases Refrigerantes: HFC134a</v>
      </c>
      <c r="I6" s="83" t="str">
        <f t="shared" si="3"/>
        <v>Gases Refrigerantes: HFC134a</v>
      </c>
      <c r="J6" s="83" t="s">
        <v>566</v>
      </c>
      <c r="K6" s="83" t="s">
        <v>34</v>
      </c>
      <c r="L6" s="83" t="s">
        <v>558</v>
      </c>
      <c r="M6" s="83" t="s">
        <v>555</v>
      </c>
      <c r="N6" s="120">
        <v>8</v>
      </c>
      <c r="O6" s="175" t="s">
        <v>1863</v>
      </c>
      <c r="P6" s="125" t="s">
        <v>557</v>
      </c>
      <c r="Q6" s="83"/>
      <c r="R6" s="284">
        <v>2022</v>
      </c>
      <c r="S6" s="261" t="s">
        <v>3535</v>
      </c>
      <c r="T6" s="261" t="s">
        <v>3542</v>
      </c>
      <c r="U6" t="str">
        <f t="shared" si="4"/>
        <v>Sim</v>
      </c>
    </row>
    <row r="7" spans="1:21" ht="15.75" thickBot="1" x14ac:dyDescent="0.3">
      <c r="A7" s="82" t="s">
        <v>45</v>
      </c>
      <c r="B7" s="82" t="str">
        <f t="shared" si="0"/>
        <v>Barraqueiro Transportes, S.A.</v>
      </c>
      <c r="C7" s="82" t="str">
        <f t="shared" si="1"/>
        <v>X</v>
      </c>
      <c r="D7" s="82" t="s">
        <v>553</v>
      </c>
      <c r="E7" s="83" t="s">
        <v>1862</v>
      </c>
      <c r="F7" s="236">
        <v>1</v>
      </c>
      <c r="G7" s="236"/>
      <c r="H7" s="83" t="str">
        <f t="shared" si="2"/>
        <v>Gases Refrigerantes: HFC134a</v>
      </c>
      <c r="I7" s="83" t="str">
        <f t="shared" si="3"/>
        <v>Gases Refrigerantes: HFC134a</v>
      </c>
      <c r="J7" s="83" t="s">
        <v>567</v>
      </c>
      <c r="K7" s="83" t="s">
        <v>34</v>
      </c>
      <c r="L7" s="83" t="s">
        <v>558</v>
      </c>
      <c r="M7" s="83" t="s">
        <v>555</v>
      </c>
      <c r="N7" s="120">
        <v>30</v>
      </c>
      <c r="O7" s="175" t="s">
        <v>1863</v>
      </c>
      <c r="P7" s="125" t="s">
        <v>557</v>
      </c>
      <c r="Q7" s="83"/>
      <c r="R7" s="284">
        <v>2022</v>
      </c>
      <c r="S7" s="261" t="s">
        <v>3535</v>
      </c>
      <c r="T7" s="261" t="s">
        <v>3542</v>
      </c>
      <c r="U7" t="str">
        <f t="shared" si="4"/>
        <v>Sim</v>
      </c>
    </row>
    <row r="8" spans="1:21" ht="15.75" thickBot="1" x14ac:dyDescent="0.3">
      <c r="A8" s="82" t="s">
        <v>45</v>
      </c>
      <c r="B8" s="82" t="str">
        <f t="shared" si="0"/>
        <v>Barraqueiro Transportes, S.A.</v>
      </c>
      <c r="C8" s="82" t="str">
        <f t="shared" si="1"/>
        <v>X</v>
      </c>
      <c r="D8" s="82" t="s">
        <v>553</v>
      </c>
      <c r="E8" s="83" t="s">
        <v>1862</v>
      </c>
      <c r="F8" s="236">
        <v>1</v>
      </c>
      <c r="G8" s="236"/>
      <c r="H8" s="83" t="str">
        <f t="shared" si="2"/>
        <v>Gases Refrigerantes: HFC134a</v>
      </c>
      <c r="I8" s="83" t="str">
        <f t="shared" si="3"/>
        <v>Gases Refrigerantes: HFC134a</v>
      </c>
      <c r="J8" s="83" t="s">
        <v>571</v>
      </c>
      <c r="K8" s="83" t="s">
        <v>34</v>
      </c>
      <c r="L8" s="83" t="s">
        <v>558</v>
      </c>
      <c r="M8" s="83" t="s">
        <v>555</v>
      </c>
      <c r="N8" s="120">
        <v>10</v>
      </c>
      <c r="O8" s="175" t="s">
        <v>1863</v>
      </c>
      <c r="P8" s="125" t="s">
        <v>557</v>
      </c>
      <c r="Q8" s="83"/>
      <c r="R8" s="284">
        <v>2022</v>
      </c>
      <c r="S8" s="261" t="s">
        <v>3535</v>
      </c>
      <c r="T8" s="261" t="s">
        <v>3542</v>
      </c>
      <c r="U8" t="str">
        <f t="shared" si="4"/>
        <v>Sim</v>
      </c>
    </row>
    <row r="9" spans="1:21" ht="15.75" thickBot="1" x14ac:dyDescent="0.3">
      <c r="A9" s="82" t="s">
        <v>45</v>
      </c>
      <c r="B9" s="82" t="str">
        <f t="shared" si="0"/>
        <v>Barraqueiro Transportes, S.A.</v>
      </c>
      <c r="C9" s="82" t="str">
        <f t="shared" si="1"/>
        <v>X</v>
      </c>
      <c r="D9" s="82" t="s">
        <v>553</v>
      </c>
      <c r="E9" s="83" t="s">
        <v>1862</v>
      </c>
      <c r="F9" s="236">
        <v>1</v>
      </c>
      <c r="G9" s="236"/>
      <c r="H9" s="83" t="str">
        <f t="shared" si="2"/>
        <v>Gases Refrigerantes: HFC134a</v>
      </c>
      <c r="I9" s="83" t="str">
        <f t="shared" si="3"/>
        <v>Gases Refrigerantes: HFC134a</v>
      </c>
      <c r="J9" s="83" t="s">
        <v>577</v>
      </c>
      <c r="K9" s="83" t="s">
        <v>34</v>
      </c>
      <c r="L9" s="83" t="s">
        <v>558</v>
      </c>
      <c r="M9" s="83" t="s">
        <v>555</v>
      </c>
      <c r="N9" s="120">
        <v>3</v>
      </c>
      <c r="O9" s="175" t="s">
        <v>1863</v>
      </c>
      <c r="P9" s="125" t="s">
        <v>557</v>
      </c>
      <c r="Q9" s="83"/>
      <c r="R9" s="284">
        <v>2022</v>
      </c>
      <c r="S9" s="261" t="s">
        <v>3535</v>
      </c>
      <c r="T9" s="261" t="s">
        <v>3542</v>
      </c>
      <c r="U9" t="str">
        <f t="shared" si="4"/>
        <v>Sim</v>
      </c>
    </row>
    <row r="10" spans="1:21" ht="15.75" thickBot="1" x14ac:dyDescent="0.3">
      <c r="A10" s="82" t="s">
        <v>45</v>
      </c>
      <c r="B10" s="82" t="str">
        <f t="shared" si="0"/>
        <v>Barraqueiro Transportes, S.A.</v>
      </c>
      <c r="C10" s="82" t="str">
        <f t="shared" si="1"/>
        <v>X</v>
      </c>
      <c r="D10" s="82" t="s">
        <v>553</v>
      </c>
      <c r="E10" s="83" t="s">
        <v>1862</v>
      </c>
      <c r="F10" s="236">
        <v>1</v>
      </c>
      <c r="G10" s="236"/>
      <c r="H10" s="83" t="str">
        <f t="shared" si="2"/>
        <v>Gases Refrigerantes: HFC134a</v>
      </c>
      <c r="I10" s="83" t="str">
        <f t="shared" si="3"/>
        <v>Gases Refrigerantes: HFC134a</v>
      </c>
      <c r="J10" s="83" t="s">
        <v>578</v>
      </c>
      <c r="K10" s="83" t="s">
        <v>34</v>
      </c>
      <c r="L10" s="83" t="s">
        <v>558</v>
      </c>
      <c r="M10" s="83" t="s">
        <v>555</v>
      </c>
      <c r="N10" s="120">
        <v>15</v>
      </c>
      <c r="O10" s="175" t="s">
        <v>1863</v>
      </c>
      <c r="P10" s="125" t="s">
        <v>557</v>
      </c>
      <c r="Q10" s="83"/>
      <c r="R10" s="284">
        <v>2022</v>
      </c>
      <c r="S10" s="261" t="s">
        <v>3535</v>
      </c>
      <c r="T10" s="261" t="s">
        <v>3542</v>
      </c>
      <c r="U10" t="str">
        <f t="shared" si="4"/>
        <v>Sim</v>
      </c>
    </row>
    <row r="11" spans="1:21" ht="15.75" thickBot="1" x14ac:dyDescent="0.3">
      <c r="A11" s="82" t="s">
        <v>45</v>
      </c>
      <c r="B11" s="82" t="str">
        <f t="shared" si="0"/>
        <v>Barraqueiro Transportes, S.A.</v>
      </c>
      <c r="C11" s="82" t="str">
        <f t="shared" si="1"/>
        <v>X</v>
      </c>
      <c r="D11" s="82" t="s">
        <v>553</v>
      </c>
      <c r="E11" s="83" t="s">
        <v>1862</v>
      </c>
      <c r="F11" s="236">
        <v>1</v>
      </c>
      <c r="G11" s="236"/>
      <c r="H11" s="83" t="str">
        <f t="shared" si="2"/>
        <v>Gases Refrigerantes: HFC134a</v>
      </c>
      <c r="I11" s="83" t="str">
        <f t="shared" si="3"/>
        <v>Gases Refrigerantes: HFC134a</v>
      </c>
      <c r="J11" s="83" t="s">
        <v>583</v>
      </c>
      <c r="K11" s="83" t="s">
        <v>34</v>
      </c>
      <c r="L11" s="83" t="s">
        <v>558</v>
      </c>
      <c r="M11" s="83" t="s">
        <v>555</v>
      </c>
      <c r="N11" s="120">
        <v>128</v>
      </c>
      <c r="O11" s="175" t="s">
        <v>1863</v>
      </c>
      <c r="P11" s="125" t="s">
        <v>557</v>
      </c>
      <c r="Q11" s="83"/>
      <c r="R11" s="284">
        <v>2022</v>
      </c>
      <c r="S11" s="261" t="s">
        <v>3535</v>
      </c>
      <c r="T11" s="261" t="s">
        <v>3542</v>
      </c>
      <c r="U11" t="str">
        <f t="shared" si="4"/>
        <v>Sim</v>
      </c>
    </row>
    <row r="12" spans="1:21" ht="15.75" thickBot="1" x14ac:dyDescent="0.3">
      <c r="A12" s="82" t="s">
        <v>45</v>
      </c>
      <c r="B12" s="82" t="str">
        <f t="shared" si="0"/>
        <v>Barraqueiro Transportes, S.A.</v>
      </c>
      <c r="C12" s="82" t="str">
        <f t="shared" si="1"/>
        <v>X</v>
      </c>
      <c r="D12" s="82" t="s">
        <v>553</v>
      </c>
      <c r="E12" s="83" t="s">
        <v>1862</v>
      </c>
      <c r="F12" s="236">
        <v>1</v>
      </c>
      <c r="G12" s="236"/>
      <c r="H12" s="83" t="str">
        <f t="shared" si="2"/>
        <v>Gases Refrigerantes: HFC134a</v>
      </c>
      <c r="I12" s="83" t="str">
        <f t="shared" si="3"/>
        <v>Gases Refrigerantes: HFC134a</v>
      </c>
      <c r="J12" s="83" t="s">
        <v>563</v>
      </c>
      <c r="K12" s="83" t="s">
        <v>42</v>
      </c>
      <c r="L12" s="83" t="s">
        <v>558</v>
      </c>
      <c r="M12" s="83" t="s">
        <v>555</v>
      </c>
      <c r="N12" s="120">
        <v>3</v>
      </c>
      <c r="O12" s="175" t="s">
        <v>1863</v>
      </c>
      <c r="P12" s="125" t="s">
        <v>557</v>
      </c>
      <c r="Q12" s="83"/>
      <c r="R12" s="284">
        <v>2022</v>
      </c>
      <c r="S12" s="261" t="s">
        <v>3535</v>
      </c>
      <c r="T12" s="261" t="s">
        <v>3542</v>
      </c>
      <c r="U12" t="str">
        <f t="shared" si="4"/>
        <v>Não</v>
      </c>
    </row>
    <row r="13" spans="1:21" ht="15.75" thickBot="1" x14ac:dyDescent="0.3">
      <c r="A13" s="82" t="s">
        <v>45</v>
      </c>
      <c r="B13" s="82" t="str">
        <f t="shared" si="0"/>
        <v>Barraqueiro Transportes, S.A.</v>
      </c>
      <c r="C13" s="82" t="str">
        <f t="shared" si="1"/>
        <v>X</v>
      </c>
      <c r="D13" s="82" t="s">
        <v>553</v>
      </c>
      <c r="E13" s="83" t="s">
        <v>1862</v>
      </c>
      <c r="F13" s="236">
        <v>1</v>
      </c>
      <c r="G13" s="236"/>
      <c r="H13" s="83" t="str">
        <f t="shared" si="2"/>
        <v>Gases Refrigerantes: HFC134a</v>
      </c>
      <c r="I13" s="83" t="str">
        <f t="shared" si="3"/>
        <v>Gases Refrigerantes: HFC134a</v>
      </c>
      <c r="J13" s="83" t="s">
        <v>564</v>
      </c>
      <c r="K13" s="83" t="s">
        <v>42</v>
      </c>
      <c r="L13" s="83" t="s">
        <v>558</v>
      </c>
      <c r="M13" s="83" t="s">
        <v>555</v>
      </c>
      <c r="N13" s="120">
        <v>4</v>
      </c>
      <c r="O13" s="175" t="s">
        <v>1863</v>
      </c>
      <c r="P13" s="125" t="s">
        <v>557</v>
      </c>
      <c r="Q13" s="83"/>
      <c r="R13" s="284">
        <v>2022</v>
      </c>
      <c r="S13" s="261" t="s">
        <v>3535</v>
      </c>
      <c r="T13" s="261" t="s">
        <v>3542</v>
      </c>
      <c r="U13" t="str">
        <f t="shared" si="4"/>
        <v>Não</v>
      </c>
    </row>
    <row r="14" spans="1:21" ht="15.75" thickBot="1" x14ac:dyDescent="0.3">
      <c r="A14" s="82" t="s">
        <v>45</v>
      </c>
      <c r="B14" s="82" t="str">
        <f t="shared" si="0"/>
        <v>Barraqueiro Transportes, S.A.</v>
      </c>
      <c r="C14" s="82" t="str">
        <f t="shared" si="1"/>
        <v>X</v>
      </c>
      <c r="D14" s="82" t="s">
        <v>553</v>
      </c>
      <c r="E14" s="83" t="s">
        <v>1862</v>
      </c>
      <c r="F14" s="236">
        <v>1</v>
      </c>
      <c r="G14" s="236"/>
      <c r="H14" s="83" t="str">
        <f t="shared" si="2"/>
        <v>Gases Refrigerantes: HFC134a</v>
      </c>
      <c r="I14" s="83" t="str">
        <f t="shared" si="3"/>
        <v>Gases Refrigerantes: HFC134a</v>
      </c>
      <c r="J14" s="83" t="s">
        <v>560</v>
      </c>
      <c r="K14" s="83" t="s">
        <v>42</v>
      </c>
      <c r="L14" s="83" t="s">
        <v>558</v>
      </c>
      <c r="M14" s="83" t="s">
        <v>555</v>
      </c>
      <c r="N14" s="120">
        <v>13</v>
      </c>
      <c r="O14" s="175" t="s">
        <v>1863</v>
      </c>
      <c r="P14" s="125" t="s">
        <v>557</v>
      </c>
      <c r="Q14" s="83"/>
      <c r="R14" s="284">
        <v>2022</v>
      </c>
      <c r="S14" s="261" t="s">
        <v>3535</v>
      </c>
      <c r="T14" s="261" t="s">
        <v>3542</v>
      </c>
      <c r="U14" t="str">
        <f t="shared" si="4"/>
        <v>Não</v>
      </c>
    </row>
    <row r="15" spans="1:21" ht="15.75" thickBot="1" x14ac:dyDescent="0.3">
      <c r="A15" s="82" t="s">
        <v>45</v>
      </c>
      <c r="B15" s="82" t="str">
        <f t="shared" si="0"/>
        <v>Barraqueiro Transportes, S.A.</v>
      </c>
      <c r="C15" s="82" t="str">
        <f t="shared" si="1"/>
        <v>X</v>
      </c>
      <c r="D15" s="82" t="s">
        <v>553</v>
      </c>
      <c r="E15" s="83" t="s">
        <v>1862</v>
      </c>
      <c r="F15" s="236">
        <v>1</v>
      </c>
      <c r="G15" s="236"/>
      <c r="H15" s="83" t="str">
        <f t="shared" si="2"/>
        <v>Gases Refrigerantes: HFC134a</v>
      </c>
      <c r="I15" s="83" t="str">
        <f t="shared" si="3"/>
        <v>Gases Refrigerantes: HFC134a</v>
      </c>
      <c r="J15" s="83" t="s">
        <v>561</v>
      </c>
      <c r="K15" s="83" t="s">
        <v>42</v>
      </c>
      <c r="L15" s="83" t="s">
        <v>558</v>
      </c>
      <c r="M15" s="83" t="s">
        <v>555</v>
      </c>
      <c r="N15" s="120">
        <v>235.1</v>
      </c>
      <c r="O15" s="175" t="s">
        <v>1863</v>
      </c>
      <c r="P15" s="125" t="s">
        <v>557</v>
      </c>
      <c r="Q15" s="83"/>
      <c r="R15" s="284">
        <v>2022</v>
      </c>
      <c r="S15" s="261" t="s">
        <v>3535</v>
      </c>
      <c r="T15" s="261" t="s">
        <v>3542</v>
      </c>
      <c r="U15" t="str">
        <f t="shared" si="4"/>
        <v>Não</v>
      </c>
    </row>
    <row r="16" spans="1:21" ht="15.75" thickBot="1" x14ac:dyDescent="0.3">
      <c r="A16" s="82" t="s">
        <v>45</v>
      </c>
      <c r="B16" s="82" t="str">
        <f t="shared" si="0"/>
        <v>Barraqueiro Transportes, S.A.</v>
      </c>
      <c r="C16" s="82" t="str">
        <f t="shared" si="1"/>
        <v>X</v>
      </c>
      <c r="D16" s="82" t="s">
        <v>553</v>
      </c>
      <c r="E16" s="83" t="s">
        <v>1862</v>
      </c>
      <c r="F16" s="236">
        <v>1</v>
      </c>
      <c r="G16" s="236"/>
      <c r="H16" s="83" t="str">
        <f t="shared" si="2"/>
        <v>Gases Refrigerantes: HFC134a</v>
      </c>
      <c r="I16" s="83" t="str">
        <f t="shared" si="3"/>
        <v>Gases Refrigerantes: HFC134a</v>
      </c>
      <c r="J16" s="83" t="s">
        <v>562</v>
      </c>
      <c r="K16" s="83" t="s">
        <v>42</v>
      </c>
      <c r="L16" s="83" t="s">
        <v>558</v>
      </c>
      <c r="M16" s="83" t="s">
        <v>555</v>
      </c>
      <c r="N16" s="120">
        <v>6</v>
      </c>
      <c r="O16" s="175" t="s">
        <v>1863</v>
      </c>
      <c r="P16" s="125" t="s">
        <v>557</v>
      </c>
      <c r="Q16" s="83"/>
      <c r="R16" s="284">
        <v>2022</v>
      </c>
      <c r="S16" s="261" t="s">
        <v>3535</v>
      </c>
      <c r="T16" s="261" t="s">
        <v>3542</v>
      </c>
      <c r="U16" t="str">
        <f t="shared" si="4"/>
        <v>Não</v>
      </c>
    </row>
    <row r="17" spans="1:21" ht="15.75" thickBot="1" x14ac:dyDescent="0.3">
      <c r="A17" s="82" t="s">
        <v>45</v>
      </c>
      <c r="B17" s="82" t="str">
        <f t="shared" si="0"/>
        <v>Barraqueiro Transportes, S.A.</v>
      </c>
      <c r="C17" s="82" t="str">
        <f t="shared" si="1"/>
        <v>X</v>
      </c>
      <c r="D17" s="82" t="s">
        <v>553</v>
      </c>
      <c r="E17" s="83" t="s">
        <v>1862</v>
      </c>
      <c r="F17" s="236">
        <v>1</v>
      </c>
      <c r="G17" s="236"/>
      <c r="H17" s="83" t="str">
        <f t="shared" si="2"/>
        <v>Gases Refrigerantes: HFC134a</v>
      </c>
      <c r="I17" s="83" t="str">
        <f t="shared" si="3"/>
        <v>Gases Refrigerantes: HFC134a</v>
      </c>
      <c r="J17" s="83" t="s">
        <v>568</v>
      </c>
      <c r="K17" s="83" t="s">
        <v>42</v>
      </c>
      <c r="L17" s="83" t="s">
        <v>558</v>
      </c>
      <c r="M17" s="83" t="s">
        <v>555</v>
      </c>
      <c r="N17" s="120">
        <v>3</v>
      </c>
      <c r="O17" s="175" t="s">
        <v>1863</v>
      </c>
      <c r="P17" s="125" t="s">
        <v>557</v>
      </c>
      <c r="Q17" s="83"/>
      <c r="R17" s="284">
        <v>2022</v>
      </c>
      <c r="S17" s="261" t="s">
        <v>3535</v>
      </c>
      <c r="T17" s="261" t="s">
        <v>3542</v>
      </c>
      <c r="U17" t="str">
        <f t="shared" si="4"/>
        <v>Não</v>
      </c>
    </row>
    <row r="18" spans="1:21" ht="15.75" thickBot="1" x14ac:dyDescent="0.3">
      <c r="A18" s="82" t="s">
        <v>45</v>
      </c>
      <c r="B18" s="82" t="str">
        <f t="shared" si="0"/>
        <v>Barraqueiro Transportes, S.A.</v>
      </c>
      <c r="C18" s="82" t="str">
        <f t="shared" si="1"/>
        <v>X</v>
      </c>
      <c r="D18" s="82" t="s">
        <v>553</v>
      </c>
      <c r="E18" s="83" t="s">
        <v>1862</v>
      </c>
      <c r="F18" s="236">
        <v>1</v>
      </c>
      <c r="G18" s="236"/>
      <c r="H18" s="83" t="str">
        <f t="shared" si="2"/>
        <v>Gases Refrigerantes: HFC134a</v>
      </c>
      <c r="I18" s="83" t="str">
        <f t="shared" si="3"/>
        <v>Gases Refrigerantes: HFC134a</v>
      </c>
      <c r="J18" s="83" t="s">
        <v>569</v>
      </c>
      <c r="K18" s="119" t="s">
        <v>42</v>
      </c>
      <c r="L18" s="83" t="s">
        <v>558</v>
      </c>
      <c r="M18" s="83" t="s">
        <v>555</v>
      </c>
      <c r="N18" s="120">
        <v>23.5</v>
      </c>
      <c r="O18" s="175" t="s">
        <v>1863</v>
      </c>
      <c r="P18" s="125" t="s">
        <v>557</v>
      </c>
      <c r="Q18" s="83"/>
      <c r="R18" s="284">
        <v>2022</v>
      </c>
      <c r="S18" s="261" t="s">
        <v>3535</v>
      </c>
      <c r="T18" s="261" t="s">
        <v>3542</v>
      </c>
      <c r="U18" t="str">
        <f t="shared" si="4"/>
        <v>Não</v>
      </c>
    </row>
    <row r="19" spans="1:21" ht="15.75" thickBot="1" x14ac:dyDescent="0.3">
      <c r="A19" s="82" t="s">
        <v>45</v>
      </c>
      <c r="B19" s="82" t="str">
        <f t="shared" si="0"/>
        <v>Barraqueiro Transportes, S.A.</v>
      </c>
      <c r="C19" s="82" t="str">
        <f t="shared" si="1"/>
        <v>X</v>
      </c>
      <c r="D19" s="82" t="s">
        <v>553</v>
      </c>
      <c r="E19" s="83" t="s">
        <v>1862</v>
      </c>
      <c r="F19" s="236">
        <v>1</v>
      </c>
      <c r="G19" s="236"/>
      <c r="H19" s="83" t="str">
        <f t="shared" si="2"/>
        <v>Gases Refrigerantes: HFC134a</v>
      </c>
      <c r="I19" s="83" t="str">
        <f t="shared" si="3"/>
        <v>Gases Refrigerantes: HFC134a</v>
      </c>
      <c r="J19" s="83" t="s">
        <v>570</v>
      </c>
      <c r="K19" s="83" t="s">
        <v>42</v>
      </c>
      <c r="L19" s="83" t="s">
        <v>558</v>
      </c>
      <c r="M19" s="83" t="s">
        <v>555</v>
      </c>
      <c r="N19" s="120">
        <v>2</v>
      </c>
      <c r="O19" s="175" t="s">
        <v>1863</v>
      </c>
      <c r="P19" s="125" t="s">
        <v>557</v>
      </c>
      <c r="Q19" s="83"/>
      <c r="R19" s="284">
        <v>2022</v>
      </c>
      <c r="S19" s="261" t="s">
        <v>3535</v>
      </c>
      <c r="T19" s="261" t="s">
        <v>3542</v>
      </c>
      <c r="U19" t="str">
        <f t="shared" si="4"/>
        <v>Não</v>
      </c>
    </row>
    <row r="20" spans="1:21" ht="15.75" thickBot="1" x14ac:dyDescent="0.3">
      <c r="A20" s="82" t="s">
        <v>45</v>
      </c>
      <c r="B20" s="82" t="str">
        <f t="shared" si="0"/>
        <v>Barraqueiro Transportes, S.A.</v>
      </c>
      <c r="C20" s="82" t="str">
        <f t="shared" si="1"/>
        <v>X</v>
      </c>
      <c r="D20" s="82" t="s">
        <v>553</v>
      </c>
      <c r="E20" s="83" t="s">
        <v>1862</v>
      </c>
      <c r="F20" s="236">
        <v>1</v>
      </c>
      <c r="G20" s="236"/>
      <c r="H20" s="83" t="str">
        <f t="shared" si="2"/>
        <v>Gases Refrigerantes: HFC134a</v>
      </c>
      <c r="I20" s="83" t="str">
        <f t="shared" si="3"/>
        <v>Gases Refrigerantes: HFC134a</v>
      </c>
      <c r="J20" s="83" t="s">
        <v>572</v>
      </c>
      <c r="K20" s="83" t="s">
        <v>42</v>
      </c>
      <c r="L20" s="83" t="s">
        <v>558</v>
      </c>
      <c r="M20" s="83" t="s">
        <v>555</v>
      </c>
      <c r="N20" s="120">
        <v>5</v>
      </c>
      <c r="O20" s="175" t="s">
        <v>1863</v>
      </c>
      <c r="P20" s="125" t="s">
        <v>557</v>
      </c>
      <c r="Q20" s="83"/>
      <c r="R20" s="284">
        <v>2022</v>
      </c>
      <c r="S20" s="261" t="s">
        <v>3535</v>
      </c>
      <c r="T20" s="261" t="s">
        <v>3542</v>
      </c>
      <c r="U20" t="str">
        <f t="shared" si="4"/>
        <v>Não</v>
      </c>
    </row>
    <row r="21" spans="1:21" ht="15.75" thickBot="1" x14ac:dyDescent="0.3">
      <c r="A21" s="82" t="s">
        <v>45</v>
      </c>
      <c r="B21" s="82" t="str">
        <f t="shared" si="0"/>
        <v>Barraqueiro Transportes, S.A.</v>
      </c>
      <c r="C21" s="82" t="str">
        <f t="shared" si="1"/>
        <v>X</v>
      </c>
      <c r="D21" s="82" t="s">
        <v>553</v>
      </c>
      <c r="E21" s="83" t="s">
        <v>1862</v>
      </c>
      <c r="F21" s="236">
        <v>1</v>
      </c>
      <c r="G21" s="236"/>
      <c r="H21" s="83" t="str">
        <f t="shared" si="2"/>
        <v>Gases Refrigerantes: HFC134a</v>
      </c>
      <c r="I21" s="83" t="str">
        <f t="shared" si="3"/>
        <v>Gases Refrigerantes: HFC134a</v>
      </c>
      <c r="J21" s="83" t="s">
        <v>573</v>
      </c>
      <c r="K21" s="83" t="s">
        <v>42</v>
      </c>
      <c r="L21" s="83" t="s">
        <v>558</v>
      </c>
      <c r="M21" s="83" t="s">
        <v>555</v>
      </c>
      <c r="N21" s="120">
        <v>1.5</v>
      </c>
      <c r="O21" s="175" t="s">
        <v>1863</v>
      </c>
      <c r="P21" s="125" t="s">
        <v>557</v>
      </c>
      <c r="Q21" s="83"/>
      <c r="R21" s="284">
        <v>2022</v>
      </c>
      <c r="S21" s="261" t="s">
        <v>3535</v>
      </c>
      <c r="T21" s="261" t="s">
        <v>3542</v>
      </c>
      <c r="U21" t="str">
        <f t="shared" si="4"/>
        <v>Não</v>
      </c>
    </row>
    <row r="22" spans="1:21" ht="15.75" thickBot="1" x14ac:dyDescent="0.3">
      <c r="A22" s="82" t="s">
        <v>45</v>
      </c>
      <c r="B22" s="82" t="str">
        <f t="shared" si="0"/>
        <v>Barraqueiro Transportes, S.A.</v>
      </c>
      <c r="C22" s="82" t="str">
        <f t="shared" si="1"/>
        <v>X</v>
      </c>
      <c r="D22" s="82" t="s">
        <v>553</v>
      </c>
      <c r="E22" s="83" t="s">
        <v>1862</v>
      </c>
      <c r="F22" s="236">
        <v>1</v>
      </c>
      <c r="G22" s="236"/>
      <c r="H22" s="83" t="str">
        <f t="shared" si="2"/>
        <v>Gases Refrigerantes: HFC134a</v>
      </c>
      <c r="I22" s="83" t="str">
        <f t="shared" si="3"/>
        <v>Gases Refrigerantes: HFC134a</v>
      </c>
      <c r="J22" s="83" t="s">
        <v>574</v>
      </c>
      <c r="K22" s="83" t="s">
        <v>42</v>
      </c>
      <c r="L22" s="83" t="s">
        <v>558</v>
      </c>
      <c r="M22" s="83" t="s">
        <v>555</v>
      </c>
      <c r="N22" s="120">
        <v>1</v>
      </c>
      <c r="O22" s="175" t="s">
        <v>1863</v>
      </c>
      <c r="P22" s="125" t="s">
        <v>557</v>
      </c>
      <c r="Q22" s="83"/>
      <c r="R22" s="284">
        <v>2022</v>
      </c>
      <c r="S22" s="261" t="s">
        <v>3535</v>
      </c>
      <c r="T22" s="261" t="s">
        <v>3542</v>
      </c>
      <c r="U22" t="str">
        <f t="shared" si="4"/>
        <v>Não</v>
      </c>
    </row>
    <row r="23" spans="1:21" ht="15.75" thickBot="1" x14ac:dyDescent="0.3">
      <c r="A23" s="82" t="s">
        <v>45</v>
      </c>
      <c r="B23" s="82" t="str">
        <f t="shared" si="0"/>
        <v>Barraqueiro Transportes, S.A.</v>
      </c>
      <c r="C23" s="82" t="str">
        <f t="shared" si="1"/>
        <v>X</v>
      </c>
      <c r="D23" s="82" t="s">
        <v>553</v>
      </c>
      <c r="E23" s="83" t="s">
        <v>1862</v>
      </c>
      <c r="F23" s="236">
        <v>1</v>
      </c>
      <c r="G23" s="236"/>
      <c r="H23" s="83" t="str">
        <f t="shared" si="2"/>
        <v>Gases Refrigerantes: HFC134a</v>
      </c>
      <c r="I23" s="83" t="str">
        <f t="shared" si="3"/>
        <v>Gases Refrigerantes: HFC134a</v>
      </c>
      <c r="J23" s="83" t="s">
        <v>575</v>
      </c>
      <c r="K23" s="83" t="s">
        <v>42</v>
      </c>
      <c r="L23" s="83" t="s">
        <v>558</v>
      </c>
      <c r="M23" s="83" t="s">
        <v>555</v>
      </c>
      <c r="N23" s="120">
        <v>14.5</v>
      </c>
      <c r="O23" s="175" t="s">
        <v>1863</v>
      </c>
      <c r="P23" s="125" t="s">
        <v>557</v>
      </c>
      <c r="Q23" s="83"/>
      <c r="R23" s="284">
        <v>2022</v>
      </c>
      <c r="S23" s="261" t="s">
        <v>3535</v>
      </c>
      <c r="T23" s="261" t="s">
        <v>3542</v>
      </c>
      <c r="U23" t="str">
        <f t="shared" si="4"/>
        <v>Não</v>
      </c>
    </row>
    <row r="24" spans="1:21" ht="15.75" thickBot="1" x14ac:dyDescent="0.3">
      <c r="A24" s="82" t="s">
        <v>45</v>
      </c>
      <c r="B24" s="82" t="str">
        <f t="shared" si="0"/>
        <v>Barraqueiro Transportes, S.A.</v>
      </c>
      <c r="C24" s="82" t="str">
        <f t="shared" si="1"/>
        <v>X</v>
      </c>
      <c r="D24" s="82" t="s">
        <v>553</v>
      </c>
      <c r="E24" s="83" t="s">
        <v>1862</v>
      </c>
      <c r="F24" s="236">
        <v>1</v>
      </c>
      <c r="G24" s="236"/>
      <c r="H24" s="83" t="str">
        <f t="shared" si="2"/>
        <v>Gases Refrigerantes: HFC134a</v>
      </c>
      <c r="I24" s="83" t="str">
        <f t="shared" si="3"/>
        <v>Gases Refrigerantes: HFC134a</v>
      </c>
      <c r="J24" s="83" t="s">
        <v>576</v>
      </c>
      <c r="K24" s="83" t="s">
        <v>42</v>
      </c>
      <c r="L24" s="83" t="s">
        <v>558</v>
      </c>
      <c r="M24" s="83" t="s">
        <v>555</v>
      </c>
      <c r="N24" s="120">
        <v>2</v>
      </c>
      <c r="O24" s="175" t="s">
        <v>1863</v>
      </c>
      <c r="P24" s="125" t="s">
        <v>557</v>
      </c>
      <c r="Q24" s="83"/>
      <c r="R24" s="284">
        <v>2022</v>
      </c>
      <c r="S24" s="261" t="s">
        <v>3535</v>
      </c>
      <c r="T24" s="261" t="s">
        <v>3542</v>
      </c>
      <c r="U24" t="str">
        <f t="shared" si="4"/>
        <v>Não</v>
      </c>
    </row>
    <row r="25" spans="1:21" ht="15.75" thickBot="1" x14ac:dyDescent="0.3">
      <c r="A25" s="82" t="s">
        <v>45</v>
      </c>
      <c r="B25" s="82" t="str">
        <f t="shared" si="0"/>
        <v>Barraqueiro Transportes, S.A.</v>
      </c>
      <c r="C25" s="82" t="str">
        <f t="shared" si="1"/>
        <v>X</v>
      </c>
      <c r="D25" s="82" t="s">
        <v>553</v>
      </c>
      <c r="E25" s="83" t="s">
        <v>1862</v>
      </c>
      <c r="F25" s="236">
        <v>1</v>
      </c>
      <c r="G25" s="236"/>
      <c r="H25" s="83" t="str">
        <f t="shared" si="2"/>
        <v>Gases Refrigerantes: HFC134a</v>
      </c>
      <c r="I25" s="83" t="str">
        <f t="shared" si="3"/>
        <v>Gases Refrigerantes: HFC134a</v>
      </c>
      <c r="J25" s="83" t="s">
        <v>579</v>
      </c>
      <c r="K25" s="83" t="s">
        <v>42</v>
      </c>
      <c r="L25" s="83" t="s">
        <v>558</v>
      </c>
      <c r="M25" s="83" t="s">
        <v>555</v>
      </c>
      <c r="N25" s="120">
        <v>6</v>
      </c>
      <c r="O25" s="175" t="s">
        <v>1863</v>
      </c>
      <c r="P25" s="125" t="s">
        <v>557</v>
      </c>
      <c r="Q25" s="83"/>
      <c r="R25" s="284">
        <v>2022</v>
      </c>
      <c r="S25" s="261" t="s">
        <v>3535</v>
      </c>
      <c r="T25" s="261" t="s">
        <v>3542</v>
      </c>
      <c r="U25" t="str">
        <f t="shared" si="4"/>
        <v>Não</v>
      </c>
    </row>
    <row r="26" spans="1:21" ht="15.75" thickBot="1" x14ac:dyDescent="0.3">
      <c r="A26" s="82" t="s">
        <v>45</v>
      </c>
      <c r="B26" s="82" t="str">
        <f t="shared" si="0"/>
        <v>Barraqueiro Transportes, S.A.</v>
      </c>
      <c r="C26" s="82" t="str">
        <f t="shared" si="1"/>
        <v>X</v>
      </c>
      <c r="D26" s="82" t="s">
        <v>553</v>
      </c>
      <c r="E26" s="83" t="s">
        <v>1862</v>
      </c>
      <c r="F26" s="236">
        <v>1</v>
      </c>
      <c r="G26" s="236"/>
      <c r="H26" s="83" t="str">
        <f t="shared" si="2"/>
        <v>Gases Refrigerantes: HFC134a</v>
      </c>
      <c r="I26" s="83" t="str">
        <f t="shared" si="3"/>
        <v>Gases Refrigerantes: HFC134a</v>
      </c>
      <c r="J26" s="83" t="s">
        <v>580</v>
      </c>
      <c r="K26" s="83" t="s">
        <v>42</v>
      </c>
      <c r="L26" s="83" t="s">
        <v>558</v>
      </c>
      <c r="M26" s="83" t="s">
        <v>555</v>
      </c>
      <c r="N26" s="120">
        <v>10</v>
      </c>
      <c r="O26" s="175" t="s">
        <v>1863</v>
      </c>
      <c r="P26" s="125" t="s">
        <v>557</v>
      </c>
      <c r="Q26" s="83"/>
      <c r="R26" s="284">
        <v>2022</v>
      </c>
      <c r="S26" s="261" t="s">
        <v>3535</v>
      </c>
      <c r="T26" s="261" t="s">
        <v>3542</v>
      </c>
      <c r="U26" t="str">
        <f t="shared" si="4"/>
        <v>Não</v>
      </c>
    </row>
    <row r="27" spans="1:21" ht="15.75" thickBot="1" x14ac:dyDescent="0.3">
      <c r="A27" s="82" t="s">
        <v>45</v>
      </c>
      <c r="B27" s="82" t="str">
        <f t="shared" si="0"/>
        <v>Barraqueiro Transportes, S.A.</v>
      </c>
      <c r="C27" s="82" t="str">
        <f t="shared" si="1"/>
        <v>X</v>
      </c>
      <c r="D27" s="82" t="s">
        <v>553</v>
      </c>
      <c r="E27" s="83" t="s">
        <v>1862</v>
      </c>
      <c r="F27" s="236">
        <v>1</v>
      </c>
      <c r="G27" s="236"/>
      <c r="H27" s="83" t="str">
        <f t="shared" si="2"/>
        <v>Gases Refrigerantes: HFC134a</v>
      </c>
      <c r="I27" s="83" t="str">
        <f t="shared" si="3"/>
        <v>Gases Refrigerantes: HFC134a</v>
      </c>
      <c r="J27" s="83" t="s">
        <v>581</v>
      </c>
      <c r="K27" s="83" t="s">
        <v>42</v>
      </c>
      <c r="L27" s="83" t="s">
        <v>558</v>
      </c>
      <c r="M27" s="83" t="s">
        <v>555</v>
      </c>
      <c r="N27" s="120">
        <v>162.5</v>
      </c>
      <c r="O27" s="175" t="s">
        <v>1863</v>
      </c>
      <c r="P27" s="125" t="s">
        <v>557</v>
      </c>
      <c r="Q27" s="83"/>
      <c r="R27" s="284">
        <v>2022</v>
      </c>
      <c r="S27" s="261" t="s">
        <v>3535</v>
      </c>
      <c r="T27" s="261" t="s">
        <v>3542</v>
      </c>
      <c r="U27" t="str">
        <f t="shared" si="4"/>
        <v>Não</v>
      </c>
    </row>
    <row r="28" spans="1:21" ht="15.75" thickBot="1" x14ac:dyDescent="0.3">
      <c r="A28" s="82" t="s">
        <v>45</v>
      </c>
      <c r="B28" s="82" t="str">
        <f t="shared" si="0"/>
        <v>Barraqueiro Transportes, S.A.</v>
      </c>
      <c r="C28" s="82" t="str">
        <f t="shared" si="1"/>
        <v>X</v>
      </c>
      <c r="D28" s="82" t="s">
        <v>553</v>
      </c>
      <c r="E28" s="83" t="s">
        <v>1862</v>
      </c>
      <c r="F28" s="236">
        <v>1</v>
      </c>
      <c r="G28" s="236"/>
      <c r="H28" s="83" t="str">
        <f t="shared" si="2"/>
        <v>Gases Refrigerantes: HFC134a</v>
      </c>
      <c r="I28" s="83" t="str">
        <f t="shared" si="3"/>
        <v>Gases Refrigerantes: HFC134a</v>
      </c>
      <c r="J28" s="83" t="s">
        <v>582</v>
      </c>
      <c r="K28" s="83" t="s">
        <v>42</v>
      </c>
      <c r="L28" s="83" t="s">
        <v>558</v>
      </c>
      <c r="M28" s="83" t="s">
        <v>555</v>
      </c>
      <c r="N28" s="120">
        <v>3</v>
      </c>
      <c r="O28" s="175" t="s">
        <v>1863</v>
      </c>
      <c r="P28" s="125" t="s">
        <v>557</v>
      </c>
      <c r="Q28" s="83"/>
      <c r="R28" s="284">
        <v>2022</v>
      </c>
      <c r="S28" s="261" t="s">
        <v>3535</v>
      </c>
      <c r="T28" s="261" t="s">
        <v>3542</v>
      </c>
      <c r="U28" t="str">
        <f t="shared" si="4"/>
        <v>Não</v>
      </c>
    </row>
    <row r="29" spans="1:21" ht="15.75" thickBot="1" x14ac:dyDescent="0.3">
      <c r="A29" s="82" t="s">
        <v>45</v>
      </c>
      <c r="B29" s="82" t="str">
        <f t="shared" si="0"/>
        <v>Barraqueiro Transportes, S.A.</v>
      </c>
      <c r="C29" s="82" t="str">
        <f t="shared" si="1"/>
        <v>X</v>
      </c>
      <c r="D29" s="82" t="s">
        <v>585</v>
      </c>
      <c r="E29" s="83" t="s">
        <v>604</v>
      </c>
      <c r="F29" s="236">
        <v>2.5</v>
      </c>
      <c r="G29" s="236" t="s">
        <v>1862</v>
      </c>
      <c r="H29" s="83" t="str">
        <f t="shared" si="2"/>
        <v>Equipamentos de AC: AC EB515 15kW 93kg; 2,5kg r134a</v>
      </c>
      <c r="I29" s="83" t="str">
        <f t="shared" si="3"/>
        <v>Equipamentos de AC: AC EB515 15kW 93kg; 2,5kg r134a: HFC134a</v>
      </c>
      <c r="J29" s="83"/>
      <c r="K29" s="83" t="s">
        <v>42</v>
      </c>
      <c r="L29" s="83" t="s">
        <v>558</v>
      </c>
      <c r="M29" s="83" t="s">
        <v>584</v>
      </c>
      <c r="N29" s="120">
        <v>1</v>
      </c>
      <c r="O29" s="175" t="s">
        <v>1889</v>
      </c>
      <c r="P29" s="125" t="s">
        <v>586</v>
      </c>
      <c r="Q29" s="83" t="s">
        <v>587</v>
      </c>
      <c r="R29" s="284">
        <v>2022</v>
      </c>
      <c r="S29" s="261" t="s">
        <v>3535</v>
      </c>
      <c r="T29" s="261" t="s">
        <v>3542</v>
      </c>
      <c r="U29" t="str">
        <f t="shared" si="4"/>
        <v>Não</v>
      </c>
    </row>
    <row r="30" spans="1:21" ht="15.75" thickBot="1" x14ac:dyDescent="0.3">
      <c r="A30" s="82" t="s">
        <v>45</v>
      </c>
      <c r="B30" s="82" t="str">
        <f t="shared" si="0"/>
        <v>Barraqueiro Transportes, S.A.</v>
      </c>
      <c r="C30" s="82" t="str">
        <f t="shared" si="1"/>
        <v>X</v>
      </c>
      <c r="D30" s="82" t="s">
        <v>585</v>
      </c>
      <c r="E30" s="83" t="s">
        <v>614</v>
      </c>
      <c r="F30" s="236">
        <v>3.5</v>
      </c>
      <c r="G30" s="236" t="s">
        <v>1862</v>
      </c>
      <c r="H30" s="83" t="str">
        <f t="shared" si="2"/>
        <v>Equipamentos de AC: AC Olmo 34 SC 34kW 44kg; 3,5kg r134a</v>
      </c>
      <c r="I30" s="83" t="str">
        <f t="shared" si="3"/>
        <v>Equipamentos de AC: AC Olmo 34 SC 34kW 44kg; 3,5kg r134a: HFC134a</v>
      </c>
      <c r="J30" s="83"/>
      <c r="K30" s="83" t="s">
        <v>42</v>
      </c>
      <c r="L30" s="83" t="s">
        <v>558</v>
      </c>
      <c r="M30" s="83" t="s">
        <v>584</v>
      </c>
      <c r="N30" s="120">
        <v>14</v>
      </c>
      <c r="O30" s="175" t="s">
        <v>1889</v>
      </c>
      <c r="P30" s="125" t="s">
        <v>586</v>
      </c>
      <c r="Q30" s="83" t="s">
        <v>615</v>
      </c>
      <c r="R30" s="284">
        <v>2022</v>
      </c>
      <c r="S30" s="261" t="s">
        <v>3535</v>
      </c>
      <c r="T30" s="261" t="s">
        <v>3542</v>
      </c>
      <c r="U30" t="str">
        <f t="shared" si="4"/>
        <v>Não</v>
      </c>
    </row>
    <row r="31" spans="1:21" ht="15.75" thickBot="1" x14ac:dyDescent="0.3">
      <c r="A31" s="82" t="s">
        <v>45</v>
      </c>
      <c r="B31" s="82" t="str">
        <f t="shared" si="0"/>
        <v>Barraqueiro Transportes, S.A.</v>
      </c>
      <c r="C31" s="82" t="str">
        <f t="shared" si="1"/>
        <v>X</v>
      </c>
      <c r="D31" s="82" t="s">
        <v>585</v>
      </c>
      <c r="E31" s="83" t="s">
        <v>603</v>
      </c>
      <c r="F31" s="236">
        <v>5.5</v>
      </c>
      <c r="G31" s="236" t="s">
        <v>1862</v>
      </c>
      <c r="H31" s="83" t="str">
        <f t="shared" si="2"/>
        <v>Equipamentos de AC: AC EB353 32kW 121 kg; 5,5kg r134a</v>
      </c>
      <c r="I31" s="83" t="str">
        <f t="shared" si="3"/>
        <v>Equipamentos de AC: AC EB353 32kW 121 kg; 5,5kg r134a: HFC134a</v>
      </c>
      <c r="J31" s="83"/>
      <c r="K31" s="83" t="s">
        <v>42</v>
      </c>
      <c r="L31" s="83" t="s">
        <v>558</v>
      </c>
      <c r="M31" s="83" t="s">
        <v>584</v>
      </c>
      <c r="N31" s="120">
        <v>6</v>
      </c>
      <c r="O31" s="175" t="s">
        <v>1889</v>
      </c>
      <c r="P31" s="125" t="s">
        <v>586</v>
      </c>
      <c r="Q31" s="83" t="s">
        <v>587</v>
      </c>
      <c r="R31" s="284">
        <v>2022</v>
      </c>
      <c r="S31" s="261" t="s">
        <v>3535</v>
      </c>
      <c r="T31" s="261" t="s">
        <v>3542</v>
      </c>
      <c r="U31" t="str">
        <f t="shared" si="4"/>
        <v>Não</v>
      </c>
    </row>
    <row r="32" spans="1:21" ht="15.75" thickBot="1" x14ac:dyDescent="0.3">
      <c r="A32" s="82" t="s">
        <v>45</v>
      </c>
      <c r="B32" s="82" t="str">
        <f t="shared" si="0"/>
        <v>Barraqueiro Transportes, S.A.</v>
      </c>
      <c r="C32" s="82" t="str">
        <f t="shared" si="1"/>
        <v>X</v>
      </c>
      <c r="D32" s="82" t="s">
        <v>585</v>
      </c>
      <c r="E32" s="83" t="s">
        <v>610</v>
      </c>
      <c r="F32" s="236">
        <v>1.5</v>
      </c>
      <c r="G32" s="236" t="s">
        <v>1862</v>
      </c>
      <c r="H32" s="83" t="str">
        <f t="shared" si="2"/>
        <v>Equipamentos de AC: AC Dreiha 12SC 11kW 38kg; 1,5kg r134a</v>
      </c>
      <c r="I32" s="83" t="str">
        <f t="shared" si="3"/>
        <v>Equipamentos de AC: AC Dreiha 12SC 11kW 38kg; 1,5kg r134a: HFC134a</v>
      </c>
      <c r="J32" s="83"/>
      <c r="K32" s="83" t="s">
        <v>42</v>
      </c>
      <c r="L32" s="83" t="s">
        <v>558</v>
      </c>
      <c r="M32" s="83" t="s">
        <v>584</v>
      </c>
      <c r="N32" s="120">
        <v>47</v>
      </c>
      <c r="O32" s="175" t="s">
        <v>1889</v>
      </c>
      <c r="P32" s="125" t="s">
        <v>586</v>
      </c>
      <c r="Q32" s="83" t="s">
        <v>615</v>
      </c>
      <c r="R32" s="284">
        <v>2022</v>
      </c>
      <c r="S32" s="261" t="s">
        <v>3535</v>
      </c>
      <c r="T32" s="261" t="s">
        <v>3542</v>
      </c>
      <c r="U32" t="str">
        <f t="shared" si="4"/>
        <v>Não</v>
      </c>
    </row>
    <row r="33" spans="1:21" ht="15.75" thickBot="1" x14ac:dyDescent="0.3">
      <c r="A33" s="82" t="s">
        <v>45</v>
      </c>
      <c r="B33" s="82" t="str">
        <f t="shared" si="0"/>
        <v>Barraqueiro Transportes, S.A.</v>
      </c>
      <c r="C33" s="82" t="str">
        <f t="shared" si="1"/>
        <v>X</v>
      </c>
      <c r="D33" s="82" t="s">
        <v>585</v>
      </c>
      <c r="E33" s="83" t="s">
        <v>605</v>
      </c>
      <c r="F33" s="236">
        <v>3</v>
      </c>
      <c r="G33" s="236" t="s">
        <v>1862</v>
      </c>
      <c r="H33" s="83" t="str">
        <f t="shared" si="2"/>
        <v>Equipamentos de AC: AC EB520 20kW 167kg; 3,0kg r134a</v>
      </c>
      <c r="I33" s="83" t="str">
        <f t="shared" si="3"/>
        <v>Equipamentos de AC: AC EB520 20kW 167kg; 3,0kg r134a: HFC134a</v>
      </c>
      <c r="J33" s="83"/>
      <c r="K33" s="83" t="s">
        <v>42</v>
      </c>
      <c r="L33" s="83" t="s">
        <v>558</v>
      </c>
      <c r="M33" s="83" t="s">
        <v>584</v>
      </c>
      <c r="N33" s="120">
        <v>1</v>
      </c>
      <c r="O33" s="175" t="s">
        <v>1889</v>
      </c>
      <c r="P33" s="125" t="s">
        <v>586</v>
      </c>
      <c r="Q33" s="83" t="s">
        <v>587</v>
      </c>
      <c r="R33" s="284">
        <v>2022</v>
      </c>
      <c r="S33" s="261" t="s">
        <v>3535</v>
      </c>
      <c r="T33" s="261" t="s">
        <v>3542</v>
      </c>
      <c r="U33" t="str">
        <f t="shared" si="4"/>
        <v>Não</v>
      </c>
    </row>
    <row r="34" spans="1:21" ht="15.75" thickBot="1" x14ac:dyDescent="0.3">
      <c r="A34" s="82" t="s">
        <v>45</v>
      </c>
      <c r="B34" s="82" t="str">
        <f t="shared" si="0"/>
        <v>Barraqueiro Transportes, S.A.</v>
      </c>
      <c r="C34" s="82" t="str">
        <f t="shared" si="1"/>
        <v>X</v>
      </c>
      <c r="D34" s="82" t="s">
        <v>1528</v>
      </c>
      <c r="E34" s="83" t="s">
        <v>620</v>
      </c>
      <c r="F34" s="236">
        <v>1</v>
      </c>
      <c r="G34" s="236"/>
      <c r="H34" s="83" t="str">
        <f t="shared" si="2"/>
        <v>Combustíveis: Gasóleo</v>
      </c>
      <c r="I34" s="83" t="str">
        <f t="shared" si="3"/>
        <v>Combustíveis: Gasóleo</v>
      </c>
      <c r="J34" s="83" t="s">
        <v>567</v>
      </c>
      <c r="K34" s="83" t="s">
        <v>34</v>
      </c>
      <c r="L34" s="83" t="s">
        <v>558</v>
      </c>
      <c r="M34" s="83" t="s">
        <v>555</v>
      </c>
      <c r="N34" s="120">
        <v>918.55000000000007</v>
      </c>
      <c r="O34" s="175" t="s">
        <v>1861</v>
      </c>
      <c r="P34" s="125" t="s">
        <v>630</v>
      </c>
      <c r="Q34" s="83"/>
      <c r="R34" s="284">
        <v>2022</v>
      </c>
      <c r="S34" s="261" t="s">
        <v>3535</v>
      </c>
      <c r="T34" s="261" t="s">
        <v>3542</v>
      </c>
      <c r="U34" t="str">
        <f t="shared" si="4"/>
        <v>Sim</v>
      </c>
    </row>
    <row r="35" spans="1:21" ht="15.75" thickBot="1" x14ac:dyDescent="0.3">
      <c r="A35" s="82" t="s">
        <v>45</v>
      </c>
      <c r="B35" s="82" t="str">
        <f t="shared" si="0"/>
        <v>Barraqueiro Transportes, S.A.</v>
      </c>
      <c r="C35" s="82" t="str">
        <f t="shared" si="1"/>
        <v>X</v>
      </c>
      <c r="D35" s="82" t="s">
        <v>1528</v>
      </c>
      <c r="E35" s="83" t="s">
        <v>620</v>
      </c>
      <c r="F35" s="236">
        <v>1</v>
      </c>
      <c r="G35" s="236"/>
      <c r="H35" s="83" t="str">
        <f t="shared" si="2"/>
        <v>Combustíveis: Gasóleo</v>
      </c>
      <c r="I35" s="83" t="str">
        <f t="shared" si="3"/>
        <v>Combustíveis: Gasóleo</v>
      </c>
      <c r="J35" s="83" t="s">
        <v>571</v>
      </c>
      <c r="K35" s="83" t="s">
        <v>34</v>
      </c>
      <c r="L35" s="83" t="s">
        <v>558</v>
      </c>
      <c r="M35" s="83" t="s">
        <v>555</v>
      </c>
      <c r="N35" s="120">
        <v>801301.57000000018</v>
      </c>
      <c r="O35" s="175" t="s">
        <v>1861</v>
      </c>
      <c r="P35" s="125" t="s">
        <v>630</v>
      </c>
      <c r="Q35" s="83"/>
      <c r="R35" s="284">
        <v>2022</v>
      </c>
      <c r="S35" s="261" t="s">
        <v>3535</v>
      </c>
      <c r="T35" s="261" t="s">
        <v>3542</v>
      </c>
      <c r="U35" t="str">
        <f t="shared" si="4"/>
        <v>Sim</v>
      </c>
    </row>
    <row r="36" spans="1:21" ht="15.75" thickBot="1" x14ac:dyDescent="0.3">
      <c r="A36" s="82" t="s">
        <v>45</v>
      </c>
      <c r="B36" s="82" t="str">
        <f t="shared" si="0"/>
        <v>Barraqueiro Transportes, S.A.</v>
      </c>
      <c r="C36" s="82" t="str">
        <f t="shared" si="1"/>
        <v>X</v>
      </c>
      <c r="D36" s="82" t="s">
        <v>1528</v>
      </c>
      <c r="E36" s="83" t="s">
        <v>620</v>
      </c>
      <c r="F36" s="236">
        <v>1</v>
      </c>
      <c r="G36" s="236"/>
      <c r="H36" s="83" t="str">
        <f t="shared" si="2"/>
        <v>Combustíveis: Gasóleo</v>
      </c>
      <c r="I36" s="83" t="str">
        <f t="shared" si="3"/>
        <v>Combustíveis: Gasóleo</v>
      </c>
      <c r="J36" s="83" t="s">
        <v>1795</v>
      </c>
      <c r="K36" s="83" t="s">
        <v>34</v>
      </c>
      <c r="L36" s="83" t="s">
        <v>558</v>
      </c>
      <c r="M36" s="83" t="s">
        <v>555</v>
      </c>
      <c r="N36" s="120">
        <f>7963.54+7930.46</f>
        <v>15894</v>
      </c>
      <c r="O36" s="175" t="s">
        <v>1861</v>
      </c>
      <c r="P36" s="125" t="s">
        <v>630</v>
      </c>
      <c r="Q36" s="83"/>
      <c r="R36" s="284">
        <v>2022</v>
      </c>
      <c r="S36" s="261" t="s">
        <v>3535</v>
      </c>
      <c r="T36" s="261" t="s">
        <v>3542</v>
      </c>
      <c r="U36" t="str">
        <f t="shared" si="4"/>
        <v>Sim</v>
      </c>
    </row>
    <row r="37" spans="1:21" ht="15.75" thickBot="1" x14ac:dyDescent="0.3">
      <c r="A37" s="82" t="s">
        <v>45</v>
      </c>
      <c r="B37" s="82" t="str">
        <f t="shared" si="0"/>
        <v>Barraqueiro Transportes, S.A.</v>
      </c>
      <c r="C37" s="82" t="str">
        <f t="shared" si="1"/>
        <v>X</v>
      </c>
      <c r="D37" s="82" t="s">
        <v>1528</v>
      </c>
      <c r="E37" s="83" t="s">
        <v>620</v>
      </c>
      <c r="F37" s="236">
        <v>1</v>
      </c>
      <c r="G37" s="236"/>
      <c r="H37" s="83" t="str">
        <f t="shared" si="2"/>
        <v>Combustíveis: Gasóleo</v>
      </c>
      <c r="I37" s="83" t="str">
        <f t="shared" si="3"/>
        <v>Combustíveis: Gasóleo</v>
      </c>
      <c r="J37" s="83" t="s">
        <v>565</v>
      </c>
      <c r="K37" s="83" t="s">
        <v>34</v>
      </c>
      <c r="L37" s="83" t="s">
        <v>558</v>
      </c>
      <c r="M37" s="83" t="s">
        <v>555</v>
      </c>
      <c r="N37" s="120">
        <v>3449.6899999999996</v>
      </c>
      <c r="O37" s="175" t="s">
        <v>1861</v>
      </c>
      <c r="P37" s="125" t="s">
        <v>630</v>
      </c>
      <c r="Q37" s="83"/>
      <c r="R37" s="284">
        <v>2022</v>
      </c>
      <c r="S37" s="261" t="s">
        <v>3535</v>
      </c>
      <c r="T37" s="261" t="s">
        <v>3542</v>
      </c>
      <c r="U37" t="str">
        <f t="shared" si="4"/>
        <v>Sim</v>
      </c>
    </row>
    <row r="38" spans="1:21" ht="15.75" thickBot="1" x14ac:dyDescent="0.3">
      <c r="A38" s="82" t="s">
        <v>45</v>
      </c>
      <c r="B38" s="82" t="str">
        <f t="shared" si="0"/>
        <v>Barraqueiro Transportes, S.A.</v>
      </c>
      <c r="C38" s="82" t="str">
        <f t="shared" si="1"/>
        <v>X</v>
      </c>
      <c r="D38" s="82" t="s">
        <v>1528</v>
      </c>
      <c r="E38" s="83" t="s">
        <v>620</v>
      </c>
      <c r="F38" s="236">
        <v>1</v>
      </c>
      <c r="G38" s="236"/>
      <c r="H38" s="83" t="str">
        <f t="shared" si="2"/>
        <v>Combustíveis: Gasóleo</v>
      </c>
      <c r="I38" s="83" t="str">
        <f t="shared" si="3"/>
        <v>Combustíveis: Gasóleo</v>
      </c>
      <c r="J38" s="83" t="s">
        <v>1799</v>
      </c>
      <c r="K38" s="83" t="s">
        <v>34</v>
      </c>
      <c r="L38" s="83" t="s">
        <v>558</v>
      </c>
      <c r="M38" s="83" t="s">
        <v>555</v>
      </c>
      <c r="N38" s="120">
        <v>101519.51000000001</v>
      </c>
      <c r="O38" s="175" t="s">
        <v>1861</v>
      </c>
      <c r="P38" s="125" t="s">
        <v>630</v>
      </c>
      <c r="Q38" s="83"/>
      <c r="R38" s="284">
        <v>2022</v>
      </c>
      <c r="S38" s="261" t="s">
        <v>3535</v>
      </c>
      <c r="T38" s="261" t="s">
        <v>3542</v>
      </c>
      <c r="U38" t="str">
        <f t="shared" si="4"/>
        <v>Sim</v>
      </c>
    </row>
    <row r="39" spans="1:21" ht="15.75" thickBot="1" x14ac:dyDescent="0.3">
      <c r="A39" s="82" t="s">
        <v>45</v>
      </c>
      <c r="B39" s="82" t="str">
        <f t="shared" si="0"/>
        <v>Barraqueiro Transportes, S.A.</v>
      </c>
      <c r="C39" s="82" t="str">
        <f t="shared" si="1"/>
        <v>X</v>
      </c>
      <c r="D39" s="82" t="s">
        <v>1528</v>
      </c>
      <c r="E39" s="83" t="s">
        <v>620</v>
      </c>
      <c r="F39" s="236">
        <v>1</v>
      </c>
      <c r="G39" s="236"/>
      <c r="H39" s="83" t="str">
        <f t="shared" si="2"/>
        <v>Combustíveis: Gasóleo</v>
      </c>
      <c r="I39" s="83" t="str">
        <f t="shared" si="3"/>
        <v>Combustíveis: Gasóleo</v>
      </c>
      <c r="J39" s="83" t="s">
        <v>583</v>
      </c>
      <c r="K39" s="83" t="s">
        <v>34</v>
      </c>
      <c r="L39" s="83" t="s">
        <v>558</v>
      </c>
      <c r="M39" s="83" t="s">
        <v>555</v>
      </c>
      <c r="N39" s="120">
        <v>8829.8100000000013</v>
      </c>
      <c r="O39" s="175" t="s">
        <v>1861</v>
      </c>
      <c r="P39" s="125" t="s">
        <v>630</v>
      </c>
      <c r="Q39" s="83"/>
      <c r="R39" s="284">
        <v>2022</v>
      </c>
      <c r="S39" s="261" t="s">
        <v>3535</v>
      </c>
      <c r="T39" s="261" t="s">
        <v>3542</v>
      </c>
      <c r="U39" t="str">
        <f t="shared" si="4"/>
        <v>Sim</v>
      </c>
    </row>
    <row r="40" spans="1:21" ht="15.75" thickBot="1" x14ac:dyDescent="0.3">
      <c r="A40" s="82" t="s">
        <v>45</v>
      </c>
      <c r="B40" s="82" t="str">
        <f t="shared" si="0"/>
        <v>Barraqueiro Transportes, S.A.</v>
      </c>
      <c r="C40" s="82" t="str">
        <f t="shared" si="1"/>
        <v>X</v>
      </c>
      <c r="D40" s="82" t="s">
        <v>1528</v>
      </c>
      <c r="E40" s="83" t="s">
        <v>620</v>
      </c>
      <c r="F40" s="236">
        <v>1</v>
      </c>
      <c r="G40" s="236"/>
      <c r="H40" s="83" t="str">
        <f t="shared" si="2"/>
        <v>Combustíveis: Gasóleo</v>
      </c>
      <c r="I40" s="83" t="str">
        <f t="shared" si="3"/>
        <v>Combustíveis: Gasóleo</v>
      </c>
      <c r="J40" s="83" t="s">
        <v>1796</v>
      </c>
      <c r="K40" s="83" t="s">
        <v>34</v>
      </c>
      <c r="L40" s="83" t="s">
        <v>558</v>
      </c>
      <c r="M40" s="83" t="s">
        <v>555</v>
      </c>
      <c r="N40" s="120">
        <v>7285.7499999999991</v>
      </c>
      <c r="O40" s="175" t="s">
        <v>1861</v>
      </c>
      <c r="P40" s="125" t="s">
        <v>630</v>
      </c>
      <c r="Q40" s="83"/>
      <c r="R40" s="284">
        <v>2022</v>
      </c>
      <c r="S40" s="261" t="s">
        <v>3535</v>
      </c>
      <c r="T40" s="261" t="s">
        <v>3542</v>
      </c>
      <c r="U40" t="str">
        <f t="shared" si="4"/>
        <v>Sim</v>
      </c>
    </row>
    <row r="41" spans="1:21" ht="15.75" thickBot="1" x14ac:dyDescent="0.3">
      <c r="A41" s="82" t="s">
        <v>45</v>
      </c>
      <c r="B41" s="82" t="str">
        <f t="shared" si="0"/>
        <v>Barraqueiro Transportes, S.A.</v>
      </c>
      <c r="C41" s="82" t="str">
        <f t="shared" si="1"/>
        <v>X</v>
      </c>
      <c r="D41" s="82" t="s">
        <v>1528</v>
      </c>
      <c r="E41" s="83" t="s">
        <v>620</v>
      </c>
      <c r="F41" s="236">
        <v>1</v>
      </c>
      <c r="G41" s="236"/>
      <c r="H41" s="83" t="str">
        <f t="shared" si="2"/>
        <v>Combustíveis: Gasóleo</v>
      </c>
      <c r="I41" s="83" t="str">
        <f t="shared" si="3"/>
        <v>Combustíveis: Gasóleo</v>
      </c>
      <c r="J41" s="83" t="s">
        <v>1794</v>
      </c>
      <c r="K41" s="83" t="s">
        <v>34</v>
      </c>
      <c r="L41" s="83" t="s">
        <v>558</v>
      </c>
      <c r="M41" s="83" t="s">
        <v>555</v>
      </c>
      <c r="N41" s="120">
        <v>163507.21</v>
      </c>
      <c r="O41" s="175" t="s">
        <v>1861</v>
      </c>
      <c r="P41" s="125" t="s">
        <v>630</v>
      </c>
      <c r="Q41" s="83"/>
      <c r="R41" s="284">
        <v>2022</v>
      </c>
      <c r="S41" s="261" t="s">
        <v>3535</v>
      </c>
      <c r="T41" s="261" t="s">
        <v>3542</v>
      </c>
      <c r="U41" t="str">
        <f t="shared" si="4"/>
        <v>Sim</v>
      </c>
    </row>
    <row r="42" spans="1:21" ht="15.75" thickBot="1" x14ac:dyDescent="0.3">
      <c r="A42" s="82" t="s">
        <v>45</v>
      </c>
      <c r="B42" s="82" t="str">
        <f t="shared" si="0"/>
        <v>Barraqueiro Transportes, S.A.</v>
      </c>
      <c r="C42" s="82" t="str">
        <f t="shared" si="1"/>
        <v>X</v>
      </c>
      <c r="D42" s="82" t="s">
        <v>1528</v>
      </c>
      <c r="E42" s="83" t="s">
        <v>620</v>
      </c>
      <c r="F42" s="236">
        <v>1</v>
      </c>
      <c r="G42" s="236"/>
      <c r="H42" s="83" t="str">
        <f t="shared" si="2"/>
        <v>Combustíveis: Gasóleo</v>
      </c>
      <c r="I42" s="83" t="str">
        <f t="shared" si="3"/>
        <v>Combustíveis: Gasóleo</v>
      </c>
      <c r="J42" s="83" t="s">
        <v>559</v>
      </c>
      <c r="K42" s="83" t="s">
        <v>34</v>
      </c>
      <c r="L42" s="83" t="s">
        <v>558</v>
      </c>
      <c r="M42" s="83" t="s">
        <v>555</v>
      </c>
      <c r="N42" s="120">
        <v>17142.89</v>
      </c>
      <c r="O42" s="175" t="s">
        <v>1861</v>
      </c>
      <c r="P42" s="125" t="s">
        <v>630</v>
      </c>
      <c r="Q42" s="83"/>
      <c r="R42" s="284">
        <v>2022</v>
      </c>
      <c r="S42" s="261" t="s">
        <v>3535</v>
      </c>
      <c r="T42" s="261" t="s">
        <v>3542</v>
      </c>
      <c r="U42" t="str">
        <f t="shared" si="4"/>
        <v>Sim</v>
      </c>
    </row>
    <row r="43" spans="1:21" ht="15.75" thickBot="1" x14ac:dyDescent="0.3">
      <c r="A43" s="82" t="s">
        <v>45</v>
      </c>
      <c r="B43" s="82" t="str">
        <f t="shared" si="0"/>
        <v>Barraqueiro Transportes, S.A.</v>
      </c>
      <c r="C43" s="82" t="str">
        <f t="shared" si="1"/>
        <v>X</v>
      </c>
      <c r="D43" s="82" t="s">
        <v>1528</v>
      </c>
      <c r="E43" s="83" t="s">
        <v>620</v>
      </c>
      <c r="F43" s="236">
        <v>1</v>
      </c>
      <c r="G43" s="236"/>
      <c r="H43" s="83" t="str">
        <f t="shared" si="2"/>
        <v>Combustíveis: Gasóleo</v>
      </c>
      <c r="I43" s="83" t="str">
        <f t="shared" si="3"/>
        <v>Combustíveis: Gasóleo</v>
      </c>
      <c r="J43" s="83" t="s">
        <v>578</v>
      </c>
      <c r="K43" s="83" t="s">
        <v>34</v>
      </c>
      <c r="L43" s="83" t="s">
        <v>558</v>
      </c>
      <c r="M43" s="83" t="s">
        <v>555</v>
      </c>
      <c r="N43" s="120">
        <v>70051.3</v>
      </c>
      <c r="O43" s="175" t="s">
        <v>1861</v>
      </c>
      <c r="P43" s="125" t="s">
        <v>630</v>
      </c>
      <c r="Q43" s="83"/>
      <c r="R43" s="284">
        <v>2022</v>
      </c>
      <c r="S43" s="261" t="s">
        <v>3535</v>
      </c>
      <c r="T43" s="261" t="s">
        <v>3542</v>
      </c>
      <c r="U43" t="str">
        <f t="shared" si="4"/>
        <v>Sim</v>
      </c>
    </row>
    <row r="44" spans="1:21" ht="15.75" thickBot="1" x14ac:dyDescent="0.3">
      <c r="A44" s="82" t="s">
        <v>45</v>
      </c>
      <c r="B44" s="82" t="str">
        <f t="shared" si="0"/>
        <v>Barraqueiro Transportes, S.A.</v>
      </c>
      <c r="C44" s="82" t="str">
        <f t="shared" si="1"/>
        <v>X</v>
      </c>
      <c r="D44" s="82" t="s">
        <v>1528</v>
      </c>
      <c r="E44" s="83" t="s">
        <v>620</v>
      </c>
      <c r="F44" s="236">
        <v>1</v>
      </c>
      <c r="G44" s="236"/>
      <c r="H44" s="83" t="str">
        <f t="shared" si="2"/>
        <v>Combustíveis: Gasóleo</v>
      </c>
      <c r="I44" s="83" t="str">
        <f t="shared" si="3"/>
        <v>Combustíveis: Gasóleo</v>
      </c>
      <c r="J44" s="83" t="s">
        <v>566</v>
      </c>
      <c r="K44" s="83" t="s">
        <v>34</v>
      </c>
      <c r="L44" s="83" t="s">
        <v>558</v>
      </c>
      <c r="M44" s="83" t="s">
        <v>555</v>
      </c>
      <c r="N44" s="120">
        <v>6761.1299999999992</v>
      </c>
      <c r="O44" s="175" t="s">
        <v>1861</v>
      </c>
      <c r="P44" s="125" t="s">
        <v>630</v>
      </c>
      <c r="Q44" s="83"/>
      <c r="R44" s="284">
        <v>2022</v>
      </c>
      <c r="S44" s="261" t="s">
        <v>3535</v>
      </c>
      <c r="T44" s="261" t="s">
        <v>3542</v>
      </c>
      <c r="U44" t="str">
        <f t="shared" si="4"/>
        <v>Sim</v>
      </c>
    </row>
    <row r="45" spans="1:21" ht="15.75" thickBot="1" x14ac:dyDescent="0.3">
      <c r="A45" s="82" t="s">
        <v>45</v>
      </c>
      <c r="B45" s="82" t="str">
        <f t="shared" si="0"/>
        <v>Barraqueiro Transportes, S.A.</v>
      </c>
      <c r="C45" s="82" t="str">
        <f t="shared" si="1"/>
        <v>X</v>
      </c>
      <c r="D45" s="82" t="s">
        <v>1528</v>
      </c>
      <c r="E45" s="83" t="s">
        <v>620</v>
      </c>
      <c r="F45" s="236">
        <v>1</v>
      </c>
      <c r="G45" s="236"/>
      <c r="H45" s="83" t="str">
        <f t="shared" si="2"/>
        <v>Combustíveis: Gasóleo</v>
      </c>
      <c r="I45" s="83" t="str">
        <f t="shared" si="3"/>
        <v>Combustíveis: Gasóleo</v>
      </c>
      <c r="J45" s="83" t="s">
        <v>1797</v>
      </c>
      <c r="K45" s="83" t="s">
        <v>34</v>
      </c>
      <c r="L45" s="83" t="s">
        <v>558</v>
      </c>
      <c r="M45" s="83" t="s">
        <v>555</v>
      </c>
      <c r="N45" s="120">
        <v>33305.33</v>
      </c>
      <c r="O45" s="175" t="s">
        <v>1861</v>
      </c>
      <c r="P45" s="125" t="s">
        <v>630</v>
      </c>
      <c r="Q45" s="83"/>
      <c r="R45" s="284">
        <v>2022</v>
      </c>
      <c r="S45" s="261" t="s">
        <v>3535</v>
      </c>
      <c r="T45" s="261" t="s">
        <v>3542</v>
      </c>
      <c r="U45" t="str">
        <f t="shared" si="4"/>
        <v>Sim</v>
      </c>
    </row>
    <row r="46" spans="1:21" ht="15.75" thickBot="1" x14ac:dyDescent="0.3">
      <c r="A46" s="82" t="s">
        <v>45</v>
      </c>
      <c r="B46" s="82" t="str">
        <f t="shared" si="0"/>
        <v>Barraqueiro Transportes, S.A.</v>
      </c>
      <c r="C46" s="82" t="str">
        <f t="shared" si="1"/>
        <v>X</v>
      </c>
      <c r="D46" s="82" t="s">
        <v>1528</v>
      </c>
      <c r="E46" s="83" t="s">
        <v>620</v>
      </c>
      <c r="F46" s="236">
        <v>1</v>
      </c>
      <c r="G46" s="236"/>
      <c r="H46" s="83" t="str">
        <f t="shared" si="2"/>
        <v>Combustíveis: Gasóleo</v>
      </c>
      <c r="I46" s="83" t="str">
        <f t="shared" si="3"/>
        <v>Combustíveis: Gasóleo</v>
      </c>
      <c r="J46" s="83" t="s">
        <v>1798</v>
      </c>
      <c r="K46" s="83" t="s">
        <v>34</v>
      </c>
      <c r="L46" s="83" t="s">
        <v>558</v>
      </c>
      <c r="M46" s="83" t="s">
        <v>555</v>
      </c>
      <c r="N46" s="120">
        <v>62285.520000000004</v>
      </c>
      <c r="O46" s="175" t="s">
        <v>1861</v>
      </c>
      <c r="P46" s="125" t="s">
        <v>630</v>
      </c>
      <c r="Q46" s="83"/>
      <c r="R46" s="284">
        <v>2022</v>
      </c>
      <c r="S46" s="261" t="s">
        <v>3535</v>
      </c>
      <c r="T46" s="261" t="s">
        <v>3542</v>
      </c>
      <c r="U46" t="str">
        <f t="shared" si="4"/>
        <v>Sim</v>
      </c>
    </row>
    <row r="47" spans="1:21" ht="15.75" thickBot="1" x14ac:dyDescent="0.3">
      <c r="A47" s="82" t="s">
        <v>45</v>
      </c>
      <c r="B47" s="82" t="str">
        <f t="shared" si="0"/>
        <v>Barraqueiro Transportes, S.A.</v>
      </c>
      <c r="C47" s="82" t="str">
        <f t="shared" si="1"/>
        <v>X</v>
      </c>
      <c r="D47" s="82" t="s">
        <v>1528</v>
      </c>
      <c r="E47" s="83" t="s">
        <v>620</v>
      </c>
      <c r="F47" s="236">
        <v>1</v>
      </c>
      <c r="G47" s="236"/>
      <c r="H47" s="83" t="str">
        <f t="shared" si="2"/>
        <v>Combustíveis: Gasóleo</v>
      </c>
      <c r="I47" s="83" t="str">
        <f t="shared" si="3"/>
        <v>Combustíveis: Gasóleo</v>
      </c>
      <c r="J47" s="83" t="s">
        <v>554</v>
      </c>
      <c r="K47" s="83" t="s">
        <v>34</v>
      </c>
      <c r="L47" s="83" t="s">
        <v>558</v>
      </c>
      <c r="M47" s="83" t="s">
        <v>555</v>
      </c>
      <c r="N47" s="120">
        <v>49922.01999999999</v>
      </c>
      <c r="O47" s="175" t="s">
        <v>1861</v>
      </c>
      <c r="P47" s="125" t="s">
        <v>630</v>
      </c>
      <c r="Q47" s="83"/>
      <c r="R47" s="284">
        <v>2022</v>
      </c>
      <c r="S47" s="261" t="s">
        <v>3535</v>
      </c>
      <c r="T47" s="261" t="s">
        <v>3542</v>
      </c>
      <c r="U47" t="str">
        <f t="shared" si="4"/>
        <v>Sim</v>
      </c>
    </row>
    <row r="48" spans="1:21" ht="15.75" thickBot="1" x14ac:dyDescent="0.3">
      <c r="A48" s="82" t="s">
        <v>45</v>
      </c>
      <c r="B48" s="82" t="str">
        <f t="shared" si="0"/>
        <v>Barraqueiro Transportes, S.A.</v>
      </c>
      <c r="C48" s="82" t="str">
        <f t="shared" si="1"/>
        <v>X</v>
      </c>
      <c r="D48" s="82" t="s">
        <v>1528</v>
      </c>
      <c r="E48" s="83" t="s">
        <v>620</v>
      </c>
      <c r="F48" s="236">
        <v>1</v>
      </c>
      <c r="G48" s="236"/>
      <c r="H48" s="83" t="str">
        <f t="shared" si="2"/>
        <v>Combustíveis: Gasóleo</v>
      </c>
      <c r="I48" s="83" t="str">
        <f t="shared" si="3"/>
        <v>Combustíveis: Gasóleo</v>
      </c>
      <c r="J48" s="83" t="s">
        <v>1793</v>
      </c>
      <c r="K48" s="83" t="s">
        <v>34</v>
      </c>
      <c r="L48" s="83" t="s">
        <v>558</v>
      </c>
      <c r="M48" s="83" t="s">
        <v>555</v>
      </c>
      <c r="N48" s="120">
        <v>8306.49</v>
      </c>
      <c r="O48" s="175" t="s">
        <v>1861</v>
      </c>
      <c r="P48" s="125" t="s">
        <v>630</v>
      </c>
      <c r="Q48" s="83"/>
      <c r="R48" s="284">
        <v>2022</v>
      </c>
      <c r="S48" s="261" t="s">
        <v>3535</v>
      </c>
      <c r="T48" s="261" t="s">
        <v>3542</v>
      </c>
      <c r="U48" t="str">
        <f t="shared" si="4"/>
        <v>Sim</v>
      </c>
    </row>
    <row r="49" spans="1:21" ht="15.75" thickBot="1" x14ac:dyDescent="0.3">
      <c r="A49" s="82" t="s">
        <v>45</v>
      </c>
      <c r="B49" s="82" t="str">
        <f t="shared" si="0"/>
        <v>Barraqueiro Transportes, S.A.</v>
      </c>
      <c r="C49" s="82" t="str">
        <f t="shared" si="1"/>
        <v>X</v>
      </c>
      <c r="D49" s="82" t="s">
        <v>1528</v>
      </c>
      <c r="E49" s="83" t="s">
        <v>620</v>
      </c>
      <c r="F49" s="236">
        <v>1</v>
      </c>
      <c r="G49" s="236"/>
      <c r="H49" s="83" t="str">
        <f t="shared" si="2"/>
        <v>Combustíveis: Gasóleo</v>
      </c>
      <c r="I49" s="83" t="str">
        <f t="shared" si="3"/>
        <v>Combustíveis: Gasóleo</v>
      </c>
      <c r="J49" s="83" t="s">
        <v>577</v>
      </c>
      <c r="K49" s="83" t="s">
        <v>34</v>
      </c>
      <c r="L49" s="83" t="s">
        <v>558</v>
      </c>
      <c r="M49" s="83" t="s">
        <v>555</v>
      </c>
      <c r="N49" s="120">
        <v>2504.71</v>
      </c>
      <c r="O49" s="175" t="s">
        <v>1861</v>
      </c>
      <c r="P49" s="125" t="s">
        <v>630</v>
      </c>
      <c r="Q49" s="83"/>
      <c r="R49" s="284">
        <v>2022</v>
      </c>
      <c r="S49" s="261" t="s">
        <v>3535</v>
      </c>
      <c r="T49" s="261" t="s">
        <v>3542</v>
      </c>
      <c r="U49" t="str">
        <f t="shared" si="4"/>
        <v>Sim</v>
      </c>
    </row>
    <row r="50" spans="1:21" ht="15.75" thickBot="1" x14ac:dyDescent="0.3">
      <c r="A50" t="s">
        <v>1929</v>
      </c>
      <c r="B50" t="s">
        <v>1929</v>
      </c>
      <c r="C50" s="82" t="str">
        <f t="shared" si="1"/>
        <v>X</v>
      </c>
      <c r="D50" s="82" t="s">
        <v>1528</v>
      </c>
      <c r="E50" s="83" t="s">
        <v>620</v>
      </c>
      <c r="F50" s="236">
        <v>1</v>
      </c>
      <c r="G50" s="236"/>
      <c r="H50" s="83" t="str">
        <f>D50&amp;": "&amp;E50</f>
        <v>Combustíveis: Gasóleo</v>
      </c>
      <c r="I50" s="83" t="str">
        <f>IF(G50="",H50,H50&amp;": "&amp;G50)</f>
        <v>Combustíveis: Gasóleo</v>
      </c>
      <c r="J50" s="83" t="s">
        <v>558</v>
      </c>
      <c r="K50" s="303" t="s">
        <v>34</v>
      </c>
      <c r="L50" s="83" t="s">
        <v>558</v>
      </c>
      <c r="M50" s="83" t="s">
        <v>555</v>
      </c>
      <c r="N50" s="120">
        <v>9395.32</v>
      </c>
      <c r="O50" s="175" t="s">
        <v>1861</v>
      </c>
      <c r="P50" s="304" t="s">
        <v>630</v>
      </c>
      <c r="Q50" s="83"/>
      <c r="R50" s="284">
        <v>2022</v>
      </c>
      <c r="S50" s="261" t="s">
        <v>3535</v>
      </c>
      <c r="T50" s="261" t="s">
        <v>3542</v>
      </c>
      <c r="U50" t="str">
        <f t="shared" si="4"/>
        <v>Sim</v>
      </c>
    </row>
    <row r="51" spans="1:21" ht="15.75" thickBot="1" x14ac:dyDescent="0.3">
      <c r="A51" s="82" t="s">
        <v>4696</v>
      </c>
      <c r="B51" s="82" t="s">
        <v>4696</v>
      </c>
      <c r="C51" s="82" t="str">
        <f t="shared" si="1"/>
        <v>X</v>
      </c>
      <c r="D51" s="82" t="s">
        <v>1528</v>
      </c>
      <c r="E51" s="83" t="s">
        <v>620</v>
      </c>
      <c r="F51" s="236">
        <v>1</v>
      </c>
      <c r="G51" s="236"/>
      <c r="H51" s="83" t="str">
        <f>D51&amp;": "&amp;E51</f>
        <v>Combustíveis: Gasóleo</v>
      </c>
      <c r="I51" s="83" t="str">
        <f>IF(G51="",H51,H51&amp;": "&amp;G51)</f>
        <v>Combustíveis: Gasóleo</v>
      </c>
      <c r="J51" s="83" t="s">
        <v>3142</v>
      </c>
      <c r="K51" s="83" t="s">
        <v>42</v>
      </c>
      <c r="L51" s="83" t="s">
        <v>558</v>
      </c>
      <c r="M51" s="83" t="s">
        <v>555</v>
      </c>
      <c r="N51" s="120">
        <v>14736</v>
      </c>
      <c r="O51" s="175" t="s">
        <v>1861</v>
      </c>
      <c r="P51" s="125" t="s">
        <v>630</v>
      </c>
      <c r="Q51" s="83"/>
      <c r="R51" s="284">
        <v>2022</v>
      </c>
      <c r="S51" s="261" t="s">
        <v>3535</v>
      </c>
      <c r="T51" s="261" t="s">
        <v>3542</v>
      </c>
      <c r="U51" t="str">
        <f t="shared" si="4"/>
        <v>Não</v>
      </c>
    </row>
    <row r="52" spans="1:21" ht="15.75" thickBot="1" x14ac:dyDescent="0.3">
      <c r="A52" s="82" t="s">
        <v>4696</v>
      </c>
      <c r="B52" s="82" t="s">
        <v>4696</v>
      </c>
      <c r="C52" s="82" t="str">
        <f t="shared" si="1"/>
        <v>X</v>
      </c>
      <c r="D52" s="82" t="s">
        <v>1528</v>
      </c>
      <c r="E52" s="83" t="s">
        <v>620</v>
      </c>
      <c r="F52" s="236">
        <v>1</v>
      </c>
      <c r="G52" s="236"/>
      <c r="H52" s="83" t="str">
        <f>D52&amp;": "&amp;E52</f>
        <v>Combustíveis: Gasóleo</v>
      </c>
      <c r="I52" s="83" t="str">
        <f>IF(G52="",H52,H52&amp;": "&amp;G52)</f>
        <v>Combustíveis: Gasóleo</v>
      </c>
      <c r="J52" s="83" t="s">
        <v>3143</v>
      </c>
      <c r="K52" s="83" t="s">
        <v>42</v>
      </c>
      <c r="L52" s="83" t="s">
        <v>558</v>
      </c>
      <c r="M52" s="83" t="s">
        <v>555</v>
      </c>
      <c r="N52" s="120">
        <v>141</v>
      </c>
      <c r="O52" s="175" t="s">
        <v>1861</v>
      </c>
      <c r="P52" s="125" t="s">
        <v>630</v>
      </c>
      <c r="Q52" s="83"/>
      <c r="R52" s="284">
        <v>2022</v>
      </c>
      <c r="S52" s="261" t="s">
        <v>3535</v>
      </c>
      <c r="T52" s="261" t="s">
        <v>3542</v>
      </c>
      <c r="U52" t="str">
        <f t="shared" si="4"/>
        <v>Não</v>
      </c>
    </row>
    <row r="53" spans="1:21" ht="15.75" thickBot="1" x14ac:dyDescent="0.3">
      <c r="A53" s="82" t="s">
        <v>4696</v>
      </c>
      <c r="B53" s="82" t="s">
        <v>4696</v>
      </c>
      <c r="C53" s="82" t="str">
        <f t="shared" si="1"/>
        <v>X</v>
      </c>
      <c r="D53" s="82" t="s">
        <v>1528</v>
      </c>
      <c r="E53" s="83" t="s">
        <v>620</v>
      </c>
      <c r="F53" s="236">
        <v>1</v>
      </c>
      <c r="G53" s="236"/>
      <c r="H53" s="83" t="str">
        <f t="shared" ref="H53:H61" si="5">D53&amp;": "&amp;E53</f>
        <v>Combustíveis: Gasóleo</v>
      </c>
      <c r="I53" s="83" t="str">
        <f t="shared" ref="I53:I61" si="6">IF(G53="",H53,H53&amp;": "&amp;G53)</f>
        <v>Combustíveis: Gasóleo</v>
      </c>
      <c r="J53" s="83" t="s">
        <v>534</v>
      </c>
      <c r="K53" s="83" t="s">
        <v>34</v>
      </c>
      <c r="L53" s="83" t="s">
        <v>558</v>
      </c>
      <c r="M53" s="83" t="s">
        <v>555</v>
      </c>
      <c r="N53" s="120">
        <v>1772</v>
      </c>
      <c r="O53" s="175" t="s">
        <v>1861</v>
      </c>
      <c r="P53" s="304" t="s">
        <v>630</v>
      </c>
      <c r="Q53" s="83"/>
      <c r="R53" s="284">
        <v>2022</v>
      </c>
      <c r="S53" s="261" t="s">
        <v>3535</v>
      </c>
      <c r="T53" s="261" t="s">
        <v>3542</v>
      </c>
      <c r="U53" t="str">
        <f t="shared" si="4"/>
        <v>Sim</v>
      </c>
    </row>
    <row r="54" spans="1:21" ht="15.75" thickBot="1" x14ac:dyDescent="0.3">
      <c r="A54" s="82" t="s">
        <v>4696</v>
      </c>
      <c r="B54" s="82" t="s">
        <v>4696</v>
      </c>
      <c r="C54" s="82" t="str">
        <f t="shared" si="1"/>
        <v>X</v>
      </c>
      <c r="D54" s="82" t="s">
        <v>1528</v>
      </c>
      <c r="E54" s="83" t="s">
        <v>620</v>
      </c>
      <c r="F54" s="236">
        <v>1</v>
      </c>
      <c r="G54" s="236"/>
      <c r="H54" s="83" t="str">
        <f t="shared" si="5"/>
        <v>Combustíveis: Gasóleo</v>
      </c>
      <c r="I54" s="83" t="str">
        <f t="shared" si="6"/>
        <v>Combustíveis: Gasóleo</v>
      </c>
      <c r="J54" s="83" t="s">
        <v>3144</v>
      </c>
      <c r="K54" s="83" t="s">
        <v>34</v>
      </c>
      <c r="L54" s="83" t="s">
        <v>558</v>
      </c>
      <c r="M54" s="83" t="s">
        <v>555</v>
      </c>
      <c r="N54" s="120">
        <v>292</v>
      </c>
      <c r="O54" s="175" t="s">
        <v>1861</v>
      </c>
      <c r="P54" s="125" t="s">
        <v>630</v>
      </c>
      <c r="Q54" s="83"/>
      <c r="R54" s="284">
        <v>2022</v>
      </c>
      <c r="S54" s="261" t="s">
        <v>3535</v>
      </c>
      <c r="T54" s="261" t="s">
        <v>3542</v>
      </c>
      <c r="U54" t="str">
        <f t="shared" si="4"/>
        <v>Sim</v>
      </c>
    </row>
    <row r="55" spans="1:21" ht="15.75" thickBot="1" x14ac:dyDescent="0.3">
      <c r="A55" s="82" t="s">
        <v>4696</v>
      </c>
      <c r="B55" s="82" t="s">
        <v>4696</v>
      </c>
      <c r="C55" s="82" t="str">
        <f t="shared" si="1"/>
        <v>X</v>
      </c>
      <c r="D55" s="82" t="s">
        <v>1528</v>
      </c>
      <c r="E55" s="83" t="s">
        <v>620</v>
      </c>
      <c r="F55" s="236">
        <v>1</v>
      </c>
      <c r="G55" s="236"/>
      <c r="H55" s="83" t="str">
        <f t="shared" si="5"/>
        <v>Combustíveis: Gasóleo</v>
      </c>
      <c r="I55" s="83" t="str">
        <f t="shared" si="6"/>
        <v>Combustíveis: Gasóleo</v>
      </c>
      <c r="J55" s="83" t="s">
        <v>3050</v>
      </c>
      <c r="K55" s="83" t="s">
        <v>34</v>
      </c>
      <c r="L55" s="83" t="s">
        <v>558</v>
      </c>
      <c r="M55" s="83" t="s">
        <v>555</v>
      </c>
      <c r="N55" s="120">
        <v>4933</v>
      </c>
      <c r="O55" s="175" t="s">
        <v>1861</v>
      </c>
      <c r="P55" s="125" t="s">
        <v>630</v>
      </c>
      <c r="Q55" s="83"/>
      <c r="R55" s="284">
        <v>2022</v>
      </c>
      <c r="S55" s="261" t="s">
        <v>3535</v>
      </c>
      <c r="T55" s="261" t="s">
        <v>3542</v>
      </c>
      <c r="U55" t="str">
        <f t="shared" si="4"/>
        <v>Sim</v>
      </c>
    </row>
    <row r="56" spans="1:21" ht="15.75" thickBot="1" x14ac:dyDescent="0.3">
      <c r="A56" s="82" t="s">
        <v>4696</v>
      </c>
      <c r="B56" s="82" t="s">
        <v>4696</v>
      </c>
      <c r="C56" s="82" t="str">
        <f t="shared" si="1"/>
        <v>X</v>
      </c>
      <c r="D56" s="82" t="s">
        <v>1528</v>
      </c>
      <c r="E56" s="83" t="s">
        <v>620</v>
      </c>
      <c r="F56" s="236">
        <v>1</v>
      </c>
      <c r="G56" s="236"/>
      <c r="H56" s="83" t="str">
        <f t="shared" si="5"/>
        <v>Combustíveis: Gasóleo</v>
      </c>
      <c r="I56" s="83" t="str">
        <f t="shared" si="6"/>
        <v>Combustíveis: Gasóleo</v>
      </c>
      <c r="J56" s="83" t="s">
        <v>3145</v>
      </c>
      <c r="K56" s="83" t="s">
        <v>34</v>
      </c>
      <c r="L56" s="83" t="s">
        <v>558</v>
      </c>
      <c r="M56" s="83" t="s">
        <v>555</v>
      </c>
      <c r="N56" s="120">
        <v>410</v>
      </c>
      <c r="O56" s="175" t="s">
        <v>1861</v>
      </c>
      <c r="P56" s="304" t="s">
        <v>630</v>
      </c>
      <c r="Q56" s="83"/>
      <c r="R56" s="284">
        <v>2022</v>
      </c>
      <c r="S56" s="261" t="s">
        <v>3535</v>
      </c>
      <c r="T56" s="261" t="s">
        <v>3542</v>
      </c>
      <c r="U56" t="str">
        <f t="shared" si="4"/>
        <v>Sim</v>
      </c>
    </row>
    <row r="57" spans="1:21" ht="15.75" thickBot="1" x14ac:dyDescent="0.3">
      <c r="A57" s="82" t="s">
        <v>4696</v>
      </c>
      <c r="B57" s="82" t="s">
        <v>4696</v>
      </c>
      <c r="C57" s="82" t="str">
        <f t="shared" si="1"/>
        <v>X</v>
      </c>
      <c r="D57" s="82" t="s">
        <v>1528</v>
      </c>
      <c r="E57" s="83" t="s">
        <v>620</v>
      </c>
      <c r="F57" s="236">
        <v>1</v>
      </c>
      <c r="G57" s="236"/>
      <c r="H57" s="83" t="str">
        <f t="shared" si="5"/>
        <v>Combustíveis: Gasóleo</v>
      </c>
      <c r="I57" s="83" t="str">
        <f t="shared" si="6"/>
        <v>Combustíveis: Gasóleo</v>
      </c>
      <c r="J57" s="83" t="s">
        <v>3146</v>
      </c>
      <c r="K57" s="83" t="s">
        <v>34</v>
      </c>
      <c r="L57" s="83" t="s">
        <v>558</v>
      </c>
      <c r="M57" s="83" t="s">
        <v>555</v>
      </c>
      <c r="N57" s="120">
        <v>2835</v>
      </c>
      <c r="O57" s="175" t="s">
        <v>1861</v>
      </c>
      <c r="P57" s="125" t="s">
        <v>630</v>
      </c>
      <c r="Q57" s="83"/>
      <c r="R57" s="284">
        <v>2022</v>
      </c>
      <c r="S57" s="261" t="s">
        <v>3535</v>
      </c>
      <c r="T57" s="261" t="s">
        <v>3542</v>
      </c>
      <c r="U57" t="str">
        <f t="shared" si="4"/>
        <v>Sim</v>
      </c>
    </row>
    <row r="58" spans="1:21" ht="15.75" thickBot="1" x14ac:dyDescent="0.3">
      <c r="A58" s="82" t="s">
        <v>4695</v>
      </c>
      <c r="B58" s="82" t="s">
        <v>4695</v>
      </c>
      <c r="C58" s="82" t="str">
        <f t="shared" si="1"/>
        <v>X</v>
      </c>
      <c r="D58" s="82" t="s">
        <v>1528</v>
      </c>
      <c r="E58" s="83" t="s">
        <v>620</v>
      </c>
      <c r="F58" s="236">
        <v>1</v>
      </c>
      <c r="G58" s="236"/>
      <c r="H58" s="83" t="str">
        <f t="shared" si="5"/>
        <v>Combustíveis: Gasóleo</v>
      </c>
      <c r="I58" s="83" t="str">
        <f t="shared" si="6"/>
        <v>Combustíveis: Gasóleo</v>
      </c>
      <c r="J58" s="83" t="s">
        <v>534</v>
      </c>
      <c r="K58" s="83" t="s">
        <v>34</v>
      </c>
      <c r="L58" s="83" t="s">
        <v>558</v>
      </c>
      <c r="M58" s="83" t="s">
        <v>555</v>
      </c>
      <c r="N58" s="120">
        <v>150</v>
      </c>
      <c r="O58" s="175" t="s">
        <v>1861</v>
      </c>
      <c r="P58" s="125" t="s">
        <v>630</v>
      </c>
      <c r="Q58" s="83"/>
      <c r="R58" s="284">
        <v>2022</v>
      </c>
      <c r="S58" s="261" t="s">
        <v>3535</v>
      </c>
      <c r="T58" s="261" t="s">
        <v>3542</v>
      </c>
      <c r="U58" t="str">
        <f t="shared" si="4"/>
        <v>Sim</v>
      </c>
    </row>
    <row r="59" spans="1:21" ht="15.75" thickBot="1" x14ac:dyDescent="0.3">
      <c r="A59" s="82" t="s">
        <v>4695</v>
      </c>
      <c r="B59" s="82" t="s">
        <v>4695</v>
      </c>
      <c r="C59" s="82" t="str">
        <f t="shared" si="1"/>
        <v>X</v>
      </c>
      <c r="D59" s="82" t="s">
        <v>1528</v>
      </c>
      <c r="E59" s="83" t="s">
        <v>620</v>
      </c>
      <c r="F59" s="236">
        <v>1</v>
      </c>
      <c r="G59" s="236"/>
      <c r="H59" s="83" t="str">
        <f t="shared" si="5"/>
        <v>Combustíveis: Gasóleo</v>
      </c>
      <c r="I59" s="83" t="str">
        <f t="shared" si="6"/>
        <v>Combustíveis: Gasóleo</v>
      </c>
      <c r="J59" s="83" t="s">
        <v>3145</v>
      </c>
      <c r="K59" s="83" t="s">
        <v>34</v>
      </c>
      <c r="L59" s="83" t="s">
        <v>558</v>
      </c>
      <c r="M59" s="83" t="s">
        <v>555</v>
      </c>
      <c r="N59" s="120">
        <v>10023</v>
      </c>
      <c r="O59" s="175" t="s">
        <v>1861</v>
      </c>
      <c r="P59" s="304" t="s">
        <v>630</v>
      </c>
      <c r="Q59" s="83"/>
      <c r="R59" s="284">
        <v>2022</v>
      </c>
      <c r="S59" s="261" t="s">
        <v>3535</v>
      </c>
      <c r="T59" s="261" t="s">
        <v>3542</v>
      </c>
      <c r="U59" t="str">
        <f t="shared" si="4"/>
        <v>Sim</v>
      </c>
    </row>
    <row r="60" spans="1:21" ht="15.75" thickBot="1" x14ac:dyDescent="0.3">
      <c r="A60" s="82" t="s">
        <v>4698</v>
      </c>
      <c r="B60" s="82" t="s">
        <v>4698</v>
      </c>
      <c r="C60" s="82" t="str">
        <f t="shared" si="1"/>
        <v>X</v>
      </c>
      <c r="D60" s="82" t="s">
        <v>1528</v>
      </c>
      <c r="E60" s="83" t="s">
        <v>620</v>
      </c>
      <c r="F60" s="236">
        <v>1</v>
      </c>
      <c r="G60" s="236"/>
      <c r="H60" s="83" t="str">
        <f t="shared" si="5"/>
        <v>Combustíveis: Gasóleo</v>
      </c>
      <c r="I60" s="83" t="str">
        <f t="shared" si="6"/>
        <v>Combustíveis: Gasóleo</v>
      </c>
      <c r="J60" s="83" t="s">
        <v>3147</v>
      </c>
      <c r="K60" s="83" t="s">
        <v>42</v>
      </c>
      <c r="L60" s="83" t="s">
        <v>558</v>
      </c>
      <c r="M60" s="83" t="s">
        <v>555</v>
      </c>
      <c r="N60" s="120">
        <v>49</v>
      </c>
      <c r="O60" s="175" t="s">
        <v>1861</v>
      </c>
      <c r="P60" s="125" t="s">
        <v>630</v>
      </c>
      <c r="Q60" s="83"/>
      <c r="R60" s="284">
        <v>2022</v>
      </c>
      <c r="S60" s="261" t="s">
        <v>3535</v>
      </c>
      <c r="T60" s="261" t="s">
        <v>3542</v>
      </c>
      <c r="U60" t="str">
        <f t="shared" si="4"/>
        <v>Não</v>
      </c>
    </row>
    <row r="61" spans="1:21" ht="15.75" thickBot="1" x14ac:dyDescent="0.3">
      <c r="A61" s="82" t="s">
        <v>4698</v>
      </c>
      <c r="B61" s="82" t="s">
        <v>4698</v>
      </c>
      <c r="C61" s="82" t="str">
        <f t="shared" si="1"/>
        <v>X</v>
      </c>
      <c r="D61" s="82" t="s">
        <v>1528</v>
      </c>
      <c r="E61" s="83" t="s">
        <v>620</v>
      </c>
      <c r="F61" s="236">
        <v>1</v>
      </c>
      <c r="G61" s="236"/>
      <c r="H61" s="83" t="str">
        <f t="shared" si="5"/>
        <v>Combustíveis: Gasóleo</v>
      </c>
      <c r="I61" s="83" t="str">
        <f t="shared" si="6"/>
        <v>Combustíveis: Gasóleo</v>
      </c>
      <c r="J61" s="83" t="s">
        <v>3143</v>
      </c>
      <c r="K61" s="83" t="s">
        <v>42</v>
      </c>
      <c r="L61" s="83" t="s">
        <v>558</v>
      </c>
      <c r="M61" s="83" t="s">
        <v>555</v>
      </c>
      <c r="N61" s="120">
        <v>1599</v>
      </c>
      <c r="O61" s="175" t="s">
        <v>1861</v>
      </c>
      <c r="P61" s="125" t="s">
        <v>630</v>
      </c>
      <c r="Q61" s="83"/>
      <c r="R61" s="284">
        <v>2022</v>
      </c>
      <c r="S61" s="261" t="s">
        <v>3535</v>
      </c>
      <c r="T61" s="261" t="s">
        <v>3542</v>
      </c>
      <c r="U61" t="str">
        <f t="shared" si="4"/>
        <v>Não</v>
      </c>
    </row>
    <row r="62" spans="1:21" ht="15.75" thickBot="1" x14ac:dyDescent="0.3">
      <c r="A62" s="82" t="s">
        <v>1931</v>
      </c>
      <c r="B62" s="82" t="s">
        <v>1931</v>
      </c>
      <c r="C62" s="82" t="str">
        <f t="shared" ref="C62:C78" si="7">IF(A62=B62,"X",RIGHT(A62,LEN(A62)-LEN(B62)-3))</f>
        <v>X</v>
      </c>
      <c r="D62" s="82" t="s">
        <v>1528</v>
      </c>
      <c r="E62" s="83" t="s">
        <v>620</v>
      </c>
      <c r="F62" s="236">
        <v>1</v>
      </c>
      <c r="G62" s="236"/>
      <c r="H62" s="83" t="str">
        <f>D62&amp;": "&amp;E62</f>
        <v>Combustíveis: Gasóleo</v>
      </c>
      <c r="I62" s="83" t="str">
        <f>IF(G62="",H62,H62&amp;": "&amp;G62)</f>
        <v>Combustíveis: Gasóleo</v>
      </c>
      <c r="J62" s="83" t="s">
        <v>534</v>
      </c>
      <c r="K62" s="83" t="s">
        <v>34</v>
      </c>
      <c r="L62" s="83" t="s">
        <v>558</v>
      </c>
      <c r="M62" s="83" t="s">
        <v>555</v>
      </c>
      <c r="N62" s="120">
        <v>768.98</v>
      </c>
      <c r="O62" s="175" t="s">
        <v>1861</v>
      </c>
      <c r="P62" s="125" t="s">
        <v>630</v>
      </c>
      <c r="Q62" s="83"/>
      <c r="R62" s="284">
        <v>2022</v>
      </c>
      <c r="S62" s="261" t="s">
        <v>3535</v>
      </c>
      <c r="T62" s="261" t="s">
        <v>3542</v>
      </c>
      <c r="U62" t="str">
        <f t="shared" si="4"/>
        <v>Sim</v>
      </c>
    </row>
    <row r="63" spans="1:21" ht="15.75" thickBot="1" x14ac:dyDescent="0.3">
      <c r="A63" s="289" t="s">
        <v>2836</v>
      </c>
      <c r="B63" s="289" t="s">
        <v>2836</v>
      </c>
      <c r="C63" s="82" t="str">
        <f t="shared" si="7"/>
        <v>X</v>
      </c>
      <c r="D63" s="82" t="s">
        <v>553</v>
      </c>
      <c r="E63" s="83" t="s">
        <v>1862</v>
      </c>
      <c r="F63" s="236">
        <v>1</v>
      </c>
      <c r="G63" s="236"/>
      <c r="H63" s="83" t="str">
        <f>D63&amp;": "&amp;E63</f>
        <v>Gases Refrigerantes: HFC134a</v>
      </c>
      <c r="I63" s="83" t="str">
        <f>IF(G63="",H63,H63&amp;": "&amp;G63)</f>
        <v>Gases Refrigerantes: HFC134a</v>
      </c>
      <c r="J63" s="83" t="s">
        <v>3149</v>
      </c>
      <c r="K63" s="83" t="s">
        <v>42</v>
      </c>
      <c r="L63" s="83" t="s">
        <v>558</v>
      </c>
      <c r="M63" s="83" t="s">
        <v>555</v>
      </c>
      <c r="N63" s="120">
        <v>105</v>
      </c>
      <c r="O63" s="175" t="s">
        <v>1863</v>
      </c>
      <c r="P63" s="125" t="s">
        <v>557</v>
      </c>
      <c r="Q63" s="83" t="s">
        <v>3148</v>
      </c>
      <c r="R63" s="284">
        <v>2022</v>
      </c>
      <c r="S63" s="261" t="s">
        <v>3535</v>
      </c>
      <c r="T63" s="261" t="s">
        <v>3542</v>
      </c>
      <c r="U63" t="str">
        <f t="shared" si="4"/>
        <v>Não</v>
      </c>
    </row>
    <row r="64" spans="1:21" s="299" customFormat="1" ht="15.75" thickBot="1" x14ac:dyDescent="0.3">
      <c r="A64" s="137" t="s">
        <v>4693</v>
      </c>
      <c r="B64" s="137" t="s">
        <v>4693</v>
      </c>
      <c r="C64" s="137" t="str">
        <f t="shared" si="7"/>
        <v>X</v>
      </c>
      <c r="D64" s="137" t="s">
        <v>3150</v>
      </c>
      <c r="E64" s="141" t="s">
        <v>3151</v>
      </c>
      <c r="F64" s="141">
        <v>1</v>
      </c>
      <c r="G64" s="141"/>
      <c r="H64" s="141" t="str">
        <f t="shared" ref="H64:H78" si="8">D64&amp;": "&amp;E64</f>
        <v>Outro: Cartão Navegante (plást. PVC + chip)</v>
      </c>
      <c r="I64" s="141" t="str">
        <f t="shared" ref="I64:I78" si="9">IF(G64="",H64,H64&amp;": "&amp;G64)</f>
        <v>Outro: Cartão Navegante (plást. PVC + chip)</v>
      </c>
      <c r="J64" s="250"/>
      <c r="K64" s="141" t="s">
        <v>42</v>
      </c>
      <c r="L64" s="141" t="s">
        <v>558</v>
      </c>
      <c r="M64" s="141" t="s">
        <v>555</v>
      </c>
      <c r="N64" s="367">
        <v>2887</v>
      </c>
      <c r="O64" s="368"/>
      <c r="P64" s="369" t="s">
        <v>586</v>
      </c>
      <c r="Q64" s="366">
        <v>16571.27</v>
      </c>
      <c r="R64" s="308">
        <v>2022</v>
      </c>
      <c r="S64" s="261" t="s">
        <v>3535</v>
      </c>
      <c r="T64" s="261" t="s">
        <v>3542</v>
      </c>
      <c r="U64" t="str">
        <f t="shared" si="4"/>
        <v>Não</v>
      </c>
    </row>
    <row r="65" spans="1:21" s="299" customFormat="1" ht="15.75" thickBot="1" x14ac:dyDescent="0.3">
      <c r="A65" s="292" t="s">
        <v>1929</v>
      </c>
      <c r="B65" s="299" t="s">
        <v>1929</v>
      </c>
      <c r="C65" s="292" t="str">
        <f t="shared" si="7"/>
        <v>X</v>
      </c>
      <c r="D65" s="292" t="s">
        <v>3152</v>
      </c>
      <c r="E65" s="276" t="s">
        <v>3154</v>
      </c>
      <c r="F65" s="276">
        <v>1</v>
      </c>
      <c r="G65" s="276"/>
      <c r="H65" s="276" t="str">
        <f t="shared" si="8"/>
        <v>Óleos e Aditivos: óleo</v>
      </c>
      <c r="I65" s="276" t="str">
        <f t="shared" si="9"/>
        <v>Óleos e Aditivos: óleo</v>
      </c>
      <c r="K65" s="276" t="s">
        <v>34</v>
      </c>
      <c r="L65" s="276" t="s">
        <v>558</v>
      </c>
      <c r="M65" s="276" t="s">
        <v>555</v>
      </c>
      <c r="N65" s="307">
        <v>60</v>
      </c>
      <c r="O65" s="306"/>
      <c r="P65" s="309" t="s">
        <v>630</v>
      </c>
      <c r="Q65" s="276" t="s">
        <v>3160</v>
      </c>
      <c r="R65" s="308">
        <v>2022</v>
      </c>
      <c r="S65" s="261" t="s">
        <v>3535</v>
      </c>
      <c r="T65" s="261" t="s">
        <v>3542</v>
      </c>
      <c r="U65" t="str">
        <f t="shared" si="4"/>
        <v>Sim</v>
      </c>
    </row>
    <row r="66" spans="1:21" s="299" customFormat="1" ht="15.75" thickBot="1" x14ac:dyDescent="0.3">
      <c r="A66" s="292" t="s">
        <v>1929</v>
      </c>
      <c r="B66" s="299" t="s">
        <v>1929</v>
      </c>
      <c r="C66" s="292" t="str">
        <f t="shared" si="7"/>
        <v>X</v>
      </c>
      <c r="D66" s="292" t="s">
        <v>3152</v>
      </c>
      <c r="E66" s="276" t="s">
        <v>3155</v>
      </c>
      <c r="F66" s="276">
        <v>1</v>
      </c>
      <c r="G66" s="276"/>
      <c r="H66" s="276" t="str">
        <f t="shared" si="8"/>
        <v>Óleos e Aditivos: adblue</v>
      </c>
      <c r="I66" s="276" t="str">
        <f t="shared" si="9"/>
        <v>Óleos e Aditivos: adblue</v>
      </c>
      <c r="K66" s="276" t="s">
        <v>34</v>
      </c>
      <c r="L66" s="276" t="s">
        <v>558</v>
      </c>
      <c r="M66" s="276" t="s">
        <v>555</v>
      </c>
      <c r="N66" s="307">
        <v>169.72</v>
      </c>
      <c r="O66" s="306"/>
      <c r="P66" s="309" t="s">
        <v>630</v>
      </c>
      <c r="Q66" s="276" t="s">
        <v>3161</v>
      </c>
      <c r="R66" s="308">
        <v>2022</v>
      </c>
      <c r="S66" s="261" t="s">
        <v>3535</v>
      </c>
      <c r="T66" s="261" t="s">
        <v>3542</v>
      </c>
      <c r="U66" t="str">
        <f t="shared" si="4"/>
        <v>Sim</v>
      </c>
    </row>
    <row r="67" spans="1:21" s="299" customFormat="1" ht="15.75" thickBot="1" x14ac:dyDescent="0.3">
      <c r="A67" s="292" t="s">
        <v>1929</v>
      </c>
      <c r="B67" s="299" t="s">
        <v>1929</v>
      </c>
      <c r="C67" s="292" t="str">
        <f t="shared" si="7"/>
        <v>X</v>
      </c>
      <c r="D67" s="292" t="s">
        <v>3150</v>
      </c>
      <c r="E67" s="276" t="s">
        <v>3022</v>
      </c>
      <c r="F67" s="276">
        <v>1</v>
      </c>
      <c r="G67" s="276"/>
      <c r="H67" s="276" t="str">
        <f t="shared" si="8"/>
        <v>Outro: Motor</v>
      </c>
      <c r="I67" s="276" t="str">
        <f t="shared" si="9"/>
        <v>Outro: Motor</v>
      </c>
      <c r="K67" s="276" t="s">
        <v>34</v>
      </c>
      <c r="L67" s="276" t="s">
        <v>558</v>
      </c>
      <c r="M67" s="276" t="s">
        <v>555</v>
      </c>
      <c r="N67" s="307">
        <v>2</v>
      </c>
      <c r="O67" s="306"/>
      <c r="P67" s="309" t="s">
        <v>586</v>
      </c>
      <c r="Q67" s="276" t="s">
        <v>3162</v>
      </c>
      <c r="R67" s="308">
        <v>2022</v>
      </c>
      <c r="S67" s="261" t="s">
        <v>3535</v>
      </c>
      <c r="T67" s="261" t="s">
        <v>3542</v>
      </c>
      <c r="U67" t="str">
        <f t="shared" si="4"/>
        <v>Sim</v>
      </c>
    </row>
    <row r="68" spans="1:21" s="299" customFormat="1" ht="15.75" thickBot="1" x14ac:dyDescent="0.3">
      <c r="A68" s="292" t="s">
        <v>1929</v>
      </c>
      <c r="B68" s="299" t="s">
        <v>1929</v>
      </c>
      <c r="C68" s="292" t="str">
        <f t="shared" si="7"/>
        <v>X</v>
      </c>
      <c r="D68" s="292" t="s">
        <v>3150</v>
      </c>
      <c r="E68" s="276" t="s">
        <v>3031</v>
      </c>
      <c r="F68" s="276">
        <v>1</v>
      </c>
      <c r="G68" s="276"/>
      <c r="H68" s="276" t="str">
        <f t="shared" si="8"/>
        <v>Outro: Aparelhos sonoros</v>
      </c>
      <c r="I68" s="276" t="str">
        <f t="shared" si="9"/>
        <v>Outro: Aparelhos sonoros</v>
      </c>
      <c r="K68" s="276" t="s">
        <v>34</v>
      </c>
      <c r="L68" s="276" t="s">
        <v>558</v>
      </c>
      <c r="M68" s="276" t="s">
        <v>555</v>
      </c>
      <c r="N68" s="307">
        <v>4</v>
      </c>
      <c r="O68" s="306"/>
      <c r="P68" s="309" t="s">
        <v>586</v>
      </c>
      <c r="Q68" s="276" t="s">
        <v>3163</v>
      </c>
      <c r="R68" s="308">
        <v>2022</v>
      </c>
      <c r="S68" s="261" t="s">
        <v>3535</v>
      </c>
      <c r="T68" s="261" t="s">
        <v>3542</v>
      </c>
      <c r="U68" t="str">
        <f t="shared" ref="U68:U78" si="10">IF(K68="Sim","Sim","Não")</f>
        <v>Sim</v>
      </c>
    </row>
    <row r="69" spans="1:21" s="299" customFormat="1" ht="15.75" thickBot="1" x14ac:dyDescent="0.3">
      <c r="A69" s="292" t="s">
        <v>1929</v>
      </c>
      <c r="B69" s="299" t="s">
        <v>1929</v>
      </c>
      <c r="C69" s="292" t="str">
        <f t="shared" si="7"/>
        <v>X</v>
      </c>
      <c r="D69" s="292" t="s">
        <v>3150</v>
      </c>
      <c r="E69" s="276" t="s">
        <v>3036</v>
      </c>
      <c r="F69" s="276">
        <v>1</v>
      </c>
      <c r="G69" s="276"/>
      <c r="H69" s="276" t="str">
        <f t="shared" si="8"/>
        <v>Outro: Material elétrico</v>
      </c>
      <c r="I69" s="276" t="str">
        <f t="shared" si="9"/>
        <v>Outro: Material elétrico</v>
      </c>
      <c r="K69" s="276" t="s">
        <v>34</v>
      </c>
      <c r="L69" s="276" t="s">
        <v>558</v>
      </c>
      <c r="M69" s="276" t="s">
        <v>555</v>
      </c>
      <c r="N69" s="307">
        <v>1626</v>
      </c>
      <c r="O69" s="306"/>
      <c r="P69" s="309" t="s">
        <v>586</v>
      </c>
      <c r="Q69" s="276" t="s">
        <v>3164</v>
      </c>
      <c r="R69" s="308">
        <v>2022</v>
      </c>
      <c r="S69" s="261" t="s">
        <v>3535</v>
      </c>
      <c r="T69" s="261" t="s">
        <v>3542</v>
      </c>
      <c r="U69" t="str">
        <f t="shared" si="10"/>
        <v>Sim</v>
      </c>
    </row>
    <row r="70" spans="1:21" s="299" customFormat="1" ht="15.75" thickBot="1" x14ac:dyDescent="0.3">
      <c r="A70" s="292" t="s">
        <v>1929</v>
      </c>
      <c r="B70" s="299" t="s">
        <v>1929</v>
      </c>
      <c r="C70" s="292" t="str">
        <f t="shared" si="7"/>
        <v>X</v>
      </c>
      <c r="D70" s="292" t="s">
        <v>3150</v>
      </c>
      <c r="E70" s="276" t="s">
        <v>3037</v>
      </c>
      <c r="F70" s="276">
        <v>1</v>
      </c>
      <c r="G70" s="276"/>
      <c r="H70" s="276" t="str">
        <f t="shared" si="8"/>
        <v>Outro: Material de soldadura</v>
      </c>
      <c r="I70" s="276" t="str">
        <f t="shared" si="9"/>
        <v>Outro: Material de soldadura</v>
      </c>
      <c r="K70" s="276" t="s">
        <v>34</v>
      </c>
      <c r="L70" s="276" t="s">
        <v>558</v>
      </c>
      <c r="M70" s="276" t="s">
        <v>555</v>
      </c>
      <c r="N70" s="307">
        <v>10</v>
      </c>
      <c r="O70" s="306"/>
      <c r="P70" s="268" t="s">
        <v>586</v>
      </c>
      <c r="Q70" s="276" t="s">
        <v>3165</v>
      </c>
      <c r="R70" s="308">
        <v>2022</v>
      </c>
      <c r="S70" s="261" t="s">
        <v>3535</v>
      </c>
      <c r="T70" s="261" t="s">
        <v>3542</v>
      </c>
      <c r="U70" t="str">
        <f t="shared" si="10"/>
        <v>Sim</v>
      </c>
    </row>
    <row r="71" spans="1:21" s="299" customFormat="1" ht="15.75" thickBot="1" x14ac:dyDescent="0.3">
      <c r="A71" s="292" t="s">
        <v>1929</v>
      </c>
      <c r="B71" s="299" t="s">
        <v>1929</v>
      </c>
      <c r="C71" s="292" t="str">
        <f t="shared" si="7"/>
        <v>X</v>
      </c>
      <c r="D71" s="292" t="s">
        <v>3150</v>
      </c>
      <c r="E71" s="276" t="s">
        <v>3039</v>
      </c>
      <c r="F71" s="276">
        <v>1</v>
      </c>
      <c r="G71" s="276"/>
      <c r="H71" s="276" t="str">
        <f t="shared" si="8"/>
        <v>Outro: Acessórios de carrocaria</v>
      </c>
      <c r="I71" s="276" t="str">
        <f t="shared" si="9"/>
        <v>Outro: Acessórios de carrocaria</v>
      </c>
      <c r="K71" s="276" t="s">
        <v>34</v>
      </c>
      <c r="L71" s="276" t="s">
        <v>558</v>
      </c>
      <c r="M71" s="276" t="s">
        <v>555</v>
      </c>
      <c r="N71" s="307">
        <v>2</v>
      </c>
      <c r="O71" s="306"/>
      <c r="P71" s="268" t="s">
        <v>586</v>
      </c>
      <c r="Q71" s="276" t="s">
        <v>3166</v>
      </c>
      <c r="R71" s="308">
        <v>2022</v>
      </c>
      <c r="S71" s="261" t="s">
        <v>3535</v>
      </c>
      <c r="T71" s="261" t="s">
        <v>3542</v>
      </c>
      <c r="U71" t="str">
        <f t="shared" si="10"/>
        <v>Sim</v>
      </c>
    </row>
    <row r="72" spans="1:21" s="299" customFormat="1" ht="15.75" thickBot="1" x14ac:dyDescent="0.3">
      <c r="A72" s="292" t="s">
        <v>1929</v>
      </c>
      <c r="B72" s="299" t="s">
        <v>1929</v>
      </c>
      <c r="C72" s="292" t="str">
        <f t="shared" si="7"/>
        <v>X</v>
      </c>
      <c r="D72" s="292" t="s">
        <v>3150</v>
      </c>
      <c r="E72" s="276" t="s">
        <v>3156</v>
      </c>
      <c r="F72" s="276">
        <v>1</v>
      </c>
      <c r="G72" s="276"/>
      <c r="H72" s="276" t="str">
        <f t="shared" si="8"/>
        <v>Outro: Ferram.e utens.de desg. Rapido</v>
      </c>
      <c r="I72" s="276" t="str">
        <f t="shared" si="9"/>
        <v>Outro: Ferram.e utens.de desg. Rapido</v>
      </c>
      <c r="K72" s="276" t="s">
        <v>34</v>
      </c>
      <c r="L72" s="276" t="s">
        <v>558</v>
      </c>
      <c r="M72" s="276" t="s">
        <v>555</v>
      </c>
      <c r="N72" s="307">
        <v>412</v>
      </c>
      <c r="O72" s="306"/>
      <c r="P72" s="268" t="s">
        <v>586</v>
      </c>
      <c r="Q72" s="276" t="s">
        <v>3167</v>
      </c>
      <c r="R72" s="308">
        <v>2022</v>
      </c>
      <c r="S72" s="261" t="s">
        <v>3535</v>
      </c>
      <c r="T72" s="261" t="s">
        <v>3542</v>
      </c>
      <c r="U72" t="str">
        <f t="shared" si="10"/>
        <v>Sim</v>
      </c>
    </row>
    <row r="73" spans="1:21" s="299" customFormat="1" ht="15.75" thickBot="1" x14ac:dyDescent="0.3">
      <c r="A73" s="292" t="s">
        <v>1929</v>
      </c>
      <c r="B73" s="299" t="s">
        <v>1929</v>
      </c>
      <c r="C73" s="292" t="str">
        <f t="shared" si="7"/>
        <v>X</v>
      </c>
      <c r="D73" s="292" t="s">
        <v>3150</v>
      </c>
      <c r="E73" s="276" t="s">
        <v>1653</v>
      </c>
      <c r="F73" s="276">
        <v>1</v>
      </c>
      <c r="G73" s="276"/>
      <c r="H73" s="276" t="str">
        <f t="shared" si="8"/>
        <v>Outro: Baterias</v>
      </c>
      <c r="I73" s="276" t="str">
        <f t="shared" si="9"/>
        <v>Outro: Baterias</v>
      </c>
      <c r="K73" s="276" t="s">
        <v>34</v>
      </c>
      <c r="L73" s="276" t="s">
        <v>558</v>
      </c>
      <c r="M73" s="276" t="s">
        <v>555</v>
      </c>
      <c r="N73" s="307">
        <v>3</v>
      </c>
      <c r="O73" s="306"/>
      <c r="P73" s="268" t="s">
        <v>586</v>
      </c>
      <c r="Q73" s="276" t="s">
        <v>3168</v>
      </c>
      <c r="R73" s="308">
        <v>2022</v>
      </c>
      <c r="S73" s="261" t="s">
        <v>3535</v>
      </c>
      <c r="T73" s="261" t="s">
        <v>3542</v>
      </c>
      <c r="U73" t="str">
        <f t="shared" si="10"/>
        <v>Sim</v>
      </c>
    </row>
    <row r="74" spans="1:21" s="299" customFormat="1" ht="15.75" thickBot="1" x14ac:dyDescent="0.3">
      <c r="A74" s="292" t="s">
        <v>1929</v>
      </c>
      <c r="B74" s="299" t="s">
        <v>1929</v>
      </c>
      <c r="C74" s="292" t="str">
        <f t="shared" si="7"/>
        <v>X</v>
      </c>
      <c r="D74" s="292" t="s">
        <v>3150</v>
      </c>
      <c r="E74" s="276" t="s">
        <v>3157</v>
      </c>
      <c r="F74" s="276">
        <v>1</v>
      </c>
      <c r="G74" s="276"/>
      <c r="H74" s="276" t="str">
        <f t="shared" si="8"/>
        <v>Outro: Material de expediente</v>
      </c>
      <c r="I74" s="276" t="str">
        <f t="shared" si="9"/>
        <v>Outro: Material de expediente</v>
      </c>
      <c r="K74" s="276" t="s">
        <v>34</v>
      </c>
      <c r="L74" s="276" t="s">
        <v>558</v>
      </c>
      <c r="M74" s="276" t="s">
        <v>555</v>
      </c>
      <c r="N74" s="307">
        <v>490</v>
      </c>
      <c r="O74" s="306"/>
      <c r="P74" s="268" t="s">
        <v>586</v>
      </c>
      <c r="Q74" s="276" t="s">
        <v>3169</v>
      </c>
      <c r="R74" s="308">
        <v>2022</v>
      </c>
      <c r="S74" s="261" t="s">
        <v>3535</v>
      </c>
      <c r="T74" s="261" t="s">
        <v>3542</v>
      </c>
      <c r="U74" t="str">
        <f t="shared" si="10"/>
        <v>Sim</v>
      </c>
    </row>
    <row r="75" spans="1:21" s="299" customFormat="1" ht="15.75" thickBot="1" x14ac:dyDescent="0.3">
      <c r="A75" s="292" t="s">
        <v>1929</v>
      </c>
      <c r="B75" s="299" t="s">
        <v>1929</v>
      </c>
      <c r="C75" s="292" t="str">
        <f t="shared" si="7"/>
        <v>X</v>
      </c>
      <c r="D75" s="292" t="s">
        <v>3150</v>
      </c>
      <c r="E75" s="276" t="s">
        <v>3158</v>
      </c>
      <c r="F75" s="276">
        <v>1</v>
      </c>
      <c r="G75" s="276"/>
      <c r="H75" s="276" t="str">
        <f t="shared" si="8"/>
        <v>Outro: Bilhetes e senhas de despacho</v>
      </c>
      <c r="I75" s="276" t="str">
        <f t="shared" si="9"/>
        <v>Outro: Bilhetes e senhas de despacho</v>
      </c>
      <c r="K75" s="276" t="s">
        <v>34</v>
      </c>
      <c r="L75" s="276" t="s">
        <v>558</v>
      </c>
      <c r="M75" s="276" t="s">
        <v>555</v>
      </c>
      <c r="N75" s="307">
        <v>3460</v>
      </c>
      <c r="O75" s="306"/>
      <c r="P75" s="268" t="s">
        <v>586</v>
      </c>
      <c r="Q75" s="276" t="s">
        <v>3170</v>
      </c>
      <c r="R75" s="308">
        <v>2022</v>
      </c>
      <c r="S75" s="261" t="s">
        <v>3535</v>
      </c>
      <c r="T75" s="261" t="s">
        <v>3542</v>
      </c>
      <c r="U75" t="str">
        <f t="shared" si="10"/>
        <v>Sim</v>
      </c>
    </row>
    <row r="76" spans="1:21" s="299" customFormat="1" ht="15.75" thickBot="1" x14ac:dyDescent="0.3">
      <c r="A76" s="137" t="s">
        <v>1929</v>
      </c>
      <c r="B76" s="250" t="s">
        <v>1929</v>
      </c>
      <c r="C76" s="137" t="str">
        <f t="shared" si="7"/>
        <v>X</v>
      </c>
      <c r="D76" s="137" t="s">
        <v>3150</v>
      </c>
      <c r="E76" s="141" t="s">
        <v>3159</v>
      </c>
      <c r="F76" s="141">
        <v>1</v>
      </c>
      <c r="G76" s="141"/>
      <c r="H76" s="141" t="str">
        <f t="shared" si="8"/>
        <v>Outro: Fardamentos e equipamento individual</v>
      </c>
      <c r="I76" s="141" t="str">
        <f t="shared" si="9"/>
        <v>Outro: Fardamentos e equipamento individual</v>
      </c>
      <c r="J76" s="250"/>
      <c r="K76" s="141" t="s">
        <v>34</v>
      </c>
      <c r="L76" s="141" t="s">
        <v>558</v>
      </c>
      <c r="M76" s="141" t="s">
        <v>555</v>
      </c>
      <c r="N76" s="367">
        <v>5227</v>
      </c>
      <c r="O76" s="368"/>
      <c r="P76" s="369" t="s">
        <v>586</v>
      </c>
      <c r="Q76" s="141" t="s">
        <v>3171</v>
      </c>
      <c r="R76" s="308">
        <v>2022</v>
      </c>
      <c r="S76" s="261" t="s">
        <v>3535</v>
      </c>
      <c r="T76" s="261" t="s">
        <v>3542</v>
      </c>
      <c r="U76" t="str">
        <f t="shared" si="10"/>
        <v>Sim</v>
      </c>
    </row>
    <row r="77" spans="1:21" s="299" customFormat="1" ht="15.75" thickBot="1" x14ac:dyDescent="0.3">
      <c r="A77" s="292" t="s">
        <v>1929</v>
      </c>
      <c r="B77" s="299" t="s">
        <v>1929</v>
      </c>
      <c r="C77" s="292" t="str">
        <f t="shared" si="7"/>
        <v>X</v>
      </c>
      <c r="D77" s="292" t="s">
        <v>3150</v>
      </c>
      <c r="E77" s="276" t="s">
        <v>3049</v>
      </c>
      <c r="F77" s="276">
        <v>1</v>
      </c>
      <c r="G77" s="276"/>
      <c r="H77" s="276" t="str">
        <f t="shared" si="8"/>
        <v>Outro: Artigos de higiene e conforto</v>
      </c>
      <c r="I77" s="276" t="str">
        <f t="shared" si="9"/>
        <v>Outro: Artigos de higiene e conforto</v>
      </c>
      <c r="K77" s="276" t="s">
        <v>34</v>
      </c>
      <c r="L77" s="276" t="s">
        <v>558</v>
      </c>
      <c r="M77" s="276" t="s">
        <v>555</v>
      </c>
      <c r="N77" s="307">
        <v>867</v>
      </c>
      <c r="O77" s="306"/>
      <c r="P77" s="268" t="s">
        <v>586</v>
      </c>
      <c r="Q77" s="276" t="s">
        <v>3172</v>
      </c>
      <c r="R77" s="308">
        <v>2022</v>
      </c>
      <c r="S77" s="261" t="s">
        <v>3535</v>
      </c>
      <c r="T77" s="261" t="s">
        <v>3542</v>
      </c>
      <c r="U77" t="str">
        <f t="shared" si="10"/>
        <v>Sim</v>
      </c>
    </row>
    <row r="78" spans="1:21" s="299" customFormat="1" ht="15.75" thickBot="1" x14ac:dyDescent="0.3">
      <c r="A78" s="292" t="s">
        <v>1929</v>
      </c>
      <c r="B78" s="299" t="s">
        <v>1929</v>
      </c>
      <c r="C78" s="292" t="str">
        <f t="shared" si="7"/>
        <v>X</v>
      </c>
      <c r="D78" s="292" t="s">
        <v>3150</v>
      </c>
      <c r="E78" s="276" t="s">
        <v>1659</v>
      </c>
      <c r="F78" s="276">
        <v>1</v>
      </c>
      <c r="G78" s="276"/>
      <c r="H78" s="276" t="str">
        <f t="shared" si="8"/>
        <v>Outro: Outros</v>
      </c>
      <c r="I78" s="276" t="str">
        <f t="shared" si="9"/>
        <v>Outro: Outros</v>
      </c>
      <c r="K78" s="276" t="s">
        <v>34</v>
      </c>
      <c r="L78" s="276" t="s">
        <v>558</v>
      </c>
      <c r="M78" s="276" t="s">
        <v>555</v>
      </c>
      <c r="N78" s="307">
        <v>9</v>
      </c>
      <c r="O78" s="306"/>
      <c r="P78" s="268" t="s">
        <v>586</v>
      </c>
      <c r="Q78" s="276" t="s">
        <v>3173</v>
      </c>
      <c r="R78" s="308">
        <v>2022</v>
      </c>
      <c r="S78" s="261" t="s">
        <v>3535</v>
      </c>
      <c r="T78" s="261" t="s">
        <v>3542</v>
      </c>
      <c r="U78" t="str">
        <f t="shared" si="10"/>
        <v>Sim</v>
      </c>
    </row>
  </sheetData>
  <mergeCells count="17">
    <mergeCell ref="P1:P2"/>
    <mergeCell ref="U1:U2"/>
    <mergeCell ref="S1:S2"/>
    <mergeCell ref="T1:T2"/>
    <mergeCell ref="Q1:Q2"/>
    <mergeCell ref="A1:A2"/>
    <mergeCell ref="O1:O2"/>
    <mergeCell ref="C1:C2"/>
    <mergeCell ref="H1:H2"/>
    <mergeCell ref="B1:B2"/>
    <mergeCell ref="D1:D2"/>
    <mergeCell ref="E1:E2"/>
    <mergeCell ref="J1:J2"/>
    <mergeCell ref="K1:K2"/>
    <mergeCell ref="L1:L2"/>
    <mergeCell ref="M1:M2"/>
    <mergeCell ref="N1:N2"/>
  </mergeCells>
  <dataValidations count="5">
    <dataValidation type="list" allowBlank="1" showInputMessage="1" showErrorMessage="1" sqref="P3:P62 P64:P78">
      <formula1>"unidades, paletes, contentores, kWh, l (litros), kg (quilos), ton (toneladas), Nm3 (metros cubicos norm.), Outro/NA"</formula1>
    </dataValidation>
    <dataValidation type="list" allowBlank="1" showInputMessage="1" showErrorMessage="1" sqref="J50 L3:L78">
      <formula1>"Não Aplicável, Rodoviário, Ferroviário, Aéreo, Marítimo, Outro"</formula1>
    </dataValidation>
    <dataValidation type="list" allowBlank="1" showInputMessage="1" showErrorMessage="1" sqref="D3:D78 N51:N54">
      <formula1>"Combustíveis, Óleos e Aditivos, Equipamentos de AC, Gases Refrigerantes, Outro"</formula1>
    </dataValidation>
    <dataValidation type="list" allowBlank="1" showInputMessage="1" showErrorMessage="1" sqref="K3:K49 K51:K78">
      <formula1>"Sim, Não"</formula1>
    </dataValidation>
    <dataValidation type="list" allowBlank="1" showInputMessage="1" showErrorMessage="1" sqref="M3:M78">
      <formula1>"Meios Próprios Cliente, LCV/Van, HDV Rigid, HDV Articulated, HDV Avg, HDV refrigerated, Freight Flights, Rail, Sea Tanker (products), Sea Tanker (chem. Tanker), Cargo Ship (bulk), Cargo Ship (general), Cargo Ship (container ship), Outro"</formula1>
    </dataValidation>
  </dataValidations>
  <pageMargins left="0.7" right="0.7" top="0.75" bottom="0.75" header="0.3" footer="0.3"/>
  <customProperties>
    <customPr name="GUID" r:id="rId1"/>
  </customPropertie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8"/>
  <dimension ref="B6:AC45"/>
  <sheetViews>
    <sheetView topLeftCell="A10" workbookViewId="0"/>
    <sheetView workbookViewId="1"/>
  </sheetViews>
  <sheetFormatPr defaultRowHeight="15" x14ac:dyDescent="0.25"/>
  <cols>
    <col min="2" max="2" width="53.140625" customWidth="1"/>
    <col min="3" max="5" width="35.7109375" customWidth="1"/>
    <col min="6" max="7" width="24.140625" customWidth="1"/>
    <col min="8" max="8" width="20.5703125" customWidth="1"/>
    <col min="9" max="9" width="20.28515625" customWidth="1"/>
    <col min="10" max="10" width="25.7109375" customWidth="1"/>
    <col min="11" max="11" width="28.7109375" customWidth="1"/>
    <col min="12" max="13" width="25.7109375" customWidth="1"/>
    <col min="14" max="14" width="88.5703125" bestFit="1" customWidth="1"/>
    <col min="15" max="15" width="30.5703125" customWidth="1"/>
    <col min="16" max="16" width="43.28515625" customWidth="1"/>
  </cols>
  <sheetData>
    <row r="6" spans="2:27" ht="15.75" thickBot="1" x14ac:dyDescent="0.3"/>
    <row r="7" spans="2:27" x14ac:dyDescent="0.25">
      <c r="B7" s="78" t="s">
        <v>118</v>
      </c>
      <c r="C7" s="79"/>
      <c r="D7" s="93"/>
      <c r="E7" s="93"/>
      <c r="F7" s="93"/>
      <c r="G7" s="93"/>
      <c r="H7" s="93"/>
    </row>
    <row r="9" spans="2:27" x14ac:dyDescent="0.25">
      <c r="B9" s="516" t="str">
        <f>"Grupo Barraqueiro: "&amp;'Folha de Rosto'!C6&amp;" "&amp;'Folha de Rosto'!I6&amp;" - Emissões de GEE de Âmbito 3"</f>
        <v>Grupo Barraqueiro: PEGADA DE CARBONO 2022 - Emissões de GEE de Âmbito 3</v>
      </c>
      <c r="C9" s="516"/>
      <c r="D9" s="516"/>
      <c r="E9" s="516"/>
      <c r="F9" s="516"/>
      <c r="G9" s="516"/>
      <c r="H9" s="516"/>
      <c r="I9" s="516"/>
      <c r="J9" s="516"/>
      <c r="K9" s="516"/>
      <c r="L9" s="516"/>
      <c r="M9" s="516"/>
      <c r="N9" s="516"/>
      <c r="O9" s="516"/>
      <c r="P9" s="516"/>
      <c r="Q9" s="516"/>
      <c r="R9" s="516"/>
      <c r="S9" s="516"/>
      <c r="T9" s="516"/>
      <c r="U9" s="516"/>
      <c r="V9" s="516"/>
      <c r="W9" s="516"/>
      <c r="X9" s="516"/>
      <c r="Y9" s="516"/>
      <c r="Z9" s="516"/>
      <c r="AA9" s="516"/>
    </row>
    <row r="10" spans="2:27" ht="15.75" thickBot="1" x14ac:dyDescent="0.3"/>
    <row r="11" spans="2:27" ht="33.6" customHeight="1" thickBot="1" x14ac:dyDescent="0.3">
      <c r="B11" s="512" t="s">
        <v>119</v>
      </c>
      <c r="C11" s="512"/>
      <c r="D11" s="551" t="s">
        <v>522</v>
      </c>
      <c r="E11" s="552"/>
      <c r="F11" s="552"/>
      <c r="G11" s="552"/>
      <c r="H11" s="552"/>
      <c r="I11" s="552"/>
      <c r="J11" s="518"/>
    </row>
    <row r="12" spans="2:27" ht="60.95" customHeight="1" thickBot="1" x14ac:dyDescent="0.3">
      <c r="B12" s="512" t="s">
        <v>120</v>
      </c>
      <c r="C12" s="512"/>
      <c r="D12" s="554" t="s">
        <v>524</v>
      </c>
      <c r="E12" s="555"/>
      <c r="F12" s="555"/>
      <c r="G12" s="555"/>
      <c r="H12" s="555"/>
      <c r="I12" s="555"/>
      <c r="J12" s="521"/>
    </row>
    <row r="13" spans="2:27" ht="60.95" customHeight="1" thickBot="1" x14ac:dyDescent="0.3">
      <c r="B13" s="512" t="s">
        <v>121</v>
      </c>
      <c r="C13" s="512"/>
      <c r="D13" s="547" t="s">
        <v>1529</v>
      </c>
      <c r="E13" s="548"/>
      <c r="F13" s="548"/>
      <c r="G13" s="548"/>
      <c r="H13" s="548"/>
      <c r="I13" s="548"/>
      <c r="J13" s="513"/>
    </row>
    <row r="14" spans="2:27" ht="60.95" customHeight="1" thickBot="1" x14ac:dyDescent="0.3">
      <c r="B14" s="512" t="s">
        <v>122</v>
      </c>
      <c r="C14" s="512"/>
      <c r="D14" s="547" t="s">
        <v>123</v>
      </c>
      <c r="E14" s="548"/>
      <c r="F14" s="548"/>
      <c r="G14" s="548"/>
      <c r="H14" s="548"/>
      <c r="I14" s="548"/>
      <c r="J14" s="513"/>
    </row>
    <row r="15" spans="2:27" ht="60" customHeight="1" thickBot="1" x14ac:dyDescent="0.3">
      <c r="B15" s="512" t="s">
        <v>128</v>
      </c>
      <c r="C15" s="512"/>
      <c r="D15" s="547" t="s">
        <v>129</v>
      </c>
      <c r="E15" s="548"/>
      <c r="F15" s="548"/>
      <c r="G15" s="548"/>
      <c r="H15" s="548"/>
      <c r="I15" s="548"/>
      <c r="J15" s="548"/>
    </row>
    <row r="17" spans="2:29" x14ac:dyDescent="0.25">
      <c r="B17" s="516" t="s">
        <v>43</v>
      </c>
      <c r="C17" s="516"/>
      <c r="D17" s="516"/>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row>
    <row r="18" spans="2:29" x14ac:dyDescent="0.25">
      <c r="B18" t="s">
        <v>130</v>
      </c>
    </row>
    <row r="20" spans="2:29" x14ac:dyDescent="0.25">
      <c r="B20" s="81" t="s">
        <v>135</v>
      </c>
    </row>
    <row r="21" spans="2:29" x14ac:dyDescent="0.25">
      <c r="B21" s="517" t="s">
        <v>1811</v>
      </c>
      <c r="C21" s="517"/>
      <c r="D21" s="517"/>
      <c r="E21" s="517"/>
      <c r="F21" s="517"/>
      <c r="G21" s="517"/>
      <c r="H21" s="517"/>
      <c r="I21" s="517"/>
      <c r="J21" s="517"/>
      <c r="K21" s="517"/>
      <c r="L21" s="517"/>
      <c r="M21" s="517"/>
      <c r="N21" s="517"/>
      <c r="O21" s="517"/>
      <c r="P21" s="517"/>
      <c r="Q21" s="517"/>
      <c r="R21" s="517"/>
      <c r="S21" s="517"/>
      <c r="T21" s="517"/>
      <c r="U21" s="517"/>
      <c r="V21" s="517"/>
      <c r="W21" s="517"/>
      <c r="X21" s="517"/>
      <c r="Y21" s="517"/>
      <c r="Z21" s="517"/>
      <c r="AA21" s="517"/>
    </row>
    <row r="22" spans="2:29" x14ac:dyDescent="0.25">
      <c r="B22" s="517"/>
      <c r="C22" s="517"/>
      <c r="D22" s="517"/>
      <c r="E22" s="517"/>
      <c r="F22" s="517"/>
      <c r="G22" s="517"/>
      <c r="H22" s="517"/>
      <c r="I22" s="517"/>
      <c r="J22" s="517"/>
      <c r="K22" s="517"/>
      <c r="L22" s="517"/>
      <c r="M22" s="517"/>
      <c r="N22" s="517"/>
      <c r="O22" s="517"/>
      <c r="P22" s="517"/>
      <c r="Q22" s="517"/>
      <c r="R22" s="517"/>
      <c r="S22" s="517"/>
      <c r="T22" s="517"/>
      <c r="U22" s="517"/>
      <c r="V22" s="517"/>
      <c r="W22" s="517"/>
      <c r="X22" s="517"/>
      <c r="Y22" s="517"/>
      <c r="Z22" s="517"/>
      <c r="AA22" s="517"/>
    </row>
    <row r="24" spans="2:29" ht="15" customHeight="1" x14ac:dyDescent="0.25">
      <c r="B24" s="81" t="s">
        <v>136</v>
      </c>
    </row>
    <row r="25" spans="2:29" x14ac:dyDescent="0.25">
      <c r="B25" s="517" t="s">
        <v>1812</v>
      </c>
      <c r="C25" s="517"/>
      <c r="D25" s="517"/>
      <c r="E25" s="517"/>
      <c r="F25" s="517"/>
      <c r="G25" s="517"/>
      <c r="H25" s="517"/>
      <c r="I25" s="517"/>
      <c r="J25" s="517"/>
      <c r="K25" s="517"/>
      <c r="L25" s="517"/>
      <c r="M25" s="517"/>
      <c r="N25" s="517"/>
      <c r="O25" s="517"/>
      <c r="P25" s="517"/>
      <c r="Q25" s="517"/>
      <c r="R25" s="517"/>
      <c r="S25" s="517"/>
      <c r="T25" s="517"/>
      <c r="U25" s="517"/>
      <c r="V25" s="517"/>
      <c r="W25" s="517"/>
      <c r="X25" s="517"/>
      <c r="Y25" s="517"/>
      <c r="Z25" s="517"/>
      <c r="AA25" s="517"/>
    </row>
    <row r="26" spans="2:29" x14ac:dyDescent="0.25">
      <c r="B26" s="517"/>
      <c r="C26" s="517"/>
      <c r="D26" s="517"/>
      <c r="E26" s="517"/>
      <c r="F26" s="517"/>
      <c r="G26" s="517"/>
      <c r="H26" s="517"/>
      <c r="I26" s="517"/>
      <c r="J26" s="517"/>
      <c r="K26" s="517"/>
      <c r="L26" s="517"/>
      <c r="M26" s="517"/>
      <c r="N26" s="517"/>
      <c r="O26" s="517"/>
      <c r="P26" s="517"/>
      <c r="Q26" s="517"/>
      <c r="R26" s="517"/>
      <c r="S26" s="517"/>
      <c r="T26" s="517"/>
      <c r="U26" s="517"/>
      <c r="V26" s="517"/>
      <c r="W26" s="517"/>
      <c r="X26" s="517"/>
      <c r="Y26" s="517"/>
      <c r="Z26" s="517"/>
      <c r="AA26" s="517"/>
    </row>
    <row r="27" spans="2:29" ht="15.75" thickBot="1" x14ac:dyDescent="0.3"/>
    <row r="28" spans="2:29" s="94" customFormat="1" ht="15.75" customHeight="1" thickBot="1" x14ac:dyDescent="0.3">
      <c r="B28" s="508" t="s">
        <v>131</v>
      </c>
      <c r="C28" s="508" t="s">
        <v>529</v>
      </c>
      <c r="D28" s="508" t="s">
        <v>525</v>
      </c>
      <c r="E28" s="510" t="s">
        <v>445</v>
      </c>
      <c r="F28" s="508" t="s">
        <v>449</v>
      </c>
      <c r="G28" s="529" t="s">
        <v>1743</v>
      </c>
      <c r="H28" s="529" t="s">
        <v>526</v>
      </c>
      <c r="I28" s="510" t="s">
        <v>446</v>
      </c>
      <c r="J28" s="510" t="s">
        <v>141</v>
      </c>
      <c r="K28" s="508" t="s">
        <v>527</v>
      </c>
      <c r="L28" s="508" t="s">
        <v>528</v>
      </c>
      <c r="M28" s="510" t="s">
        <v>448</v>
      </c>
      <c r="N28" s="510" t="s">
        <v>134</v>
      </c>
    </row>
    <row r="29" spans="2:29" s="94" customFormat="1" ht="15" customHeight="1" thickBot="1" x14ac:dyDescent="0.3">
      <c r="B29" s="509"/>
      <c r="C29" s="509"/>
      <c r="D29" s="509"/>
      <c r="E29" s="508"/>
      <c r="F29" s="558"/>
      <c r="G29" s="530"/>
      <c r="H29" s="530"/>
      <c r="I29" s="508"/>
      <c r="J29" s="508"/>
      <c r="K29" s="558"/>
      <c r="L29" s="558"/>
      <c r="M29" s="508"/>
      <c r="N29" s="510"/>
    </row>
    <row r="30" spans="2:29" ht="15.75" thickBot="1" x14ac:dyDescent="0.3">
      <c r="B30" s="82" t="s">
        <v>534</v>
      </c>
      <c r="C30" s="83" t="s">
        <v>1835</v>
      </c>
      <c r="D30" s="83"/>
      <c r="E30" s="83" t="s">
        <v>1745</v>
      </c>
      <c r="F30" s="83" t="s">
        <v>1836</v>
      </c>
      <c r="G30" s="83"/>
      <c r="H30" s="83" t="s">
        <v>34</v>
      </c>
      <c r="I30" s="160">
        <f>SUM(I31:I36)</f>
        <v>4803925.8900000006</v>
      </c>
      <c r="J30" s="85" t="s">
        <v>1837</v>
      </c>
      <c r="K30" s="83"/>
      <c r="L30" s="83"/>
      <c r="M30" s="83"/>
      <c r="N30" s="83" t="s">
        <v>1838</v>
      </c>
    </row>
    <row r="31" spans="2:29" ht="15.75" thickBot="1" x14ac:dyDescent="0.3">
      <c r="B31" s="82" t="s">
        <v>1072</v>
      </c>
      <c r="C31" s="83" t="s">
        <v>1835</v>
      </c>
      <c r="D31" s="83"/>
      <c r="E31" s="83" t="s">
        <v>1745</v>
      </c>
      <c r="F31" s="83" t="s">
        <v>1836</v>
      </c>
      <c r="G31" s="83"/>
      <c r="H31" s="83" t="s">
        <v>34</v>
      </c>
      <c r="I31" s="160">
        <v>1597749.55</v>
      </c>
      <c r="J31" s="85" t="s">
        <v>1837</v>
      </c>
      <c r="K31" s="83"/>
      <c r="L31" s="83"/>
      <c r="M31" s="83"/>
      <c r="N31" s="83" t="s">
        <v>1838</v>
      </c>
    </row>
    <row r="32" spans="2:29" ht="15.75" thickBot="1" x14ac:dyDescent="0.3">
      <c r="B32" s="82" t="s">
        <v>545</v>
      </c>
      <c r="C32" s="83" t="s">
        <v>1835</v>
      </c>
      <c r="D32" s="83"/>
      <c r="E32" s="83" t="s">
        <v>1745</v>
      </c>
      <c r="F32" s="83" t="s">
        <v>1836</v>
      </c>
      <c r="G32" s="83"/>
      <c r="H32" s="83" t="s">
        <v>34</v>
      </c>
      <c r="I32" s="160">
        <f>1113833.47+146.23</f>
        <v>1113979.7</v>
      </c>
      <c r="J32" s="85" t="s">
        <v>1837</v>
      </c>
      <c r="K32" s="83"/>
      <c r="L32" s="83"/>
      <c r="M32" s="83"/>
      <c r="N32" s="83" t="s">
        <v>1838</v>
      </c>
    </row>
    <row r="33" spans="2:14" ht="15.75" thickBot="1" x14ac:dyDescent="0.3">
      <c r="B33" s="82" t="s">
        <v>542</v>
      </c>
      <c r="C33" s="83" t="s">
        <v>1835</v>
      </c>
      <c r="D33" s="83"/>
      <c r="E33" s="83" t="s">
        <v>1745</v>
      </c>
      <c r="F33" s="83" t="s">
        <v>1836</v>
      </c>
      <c r="G33" s="83"/>
      <c r="H33" s="83" t="s">
        <v>34</v>
      </c>
      <c r="I33" s="160">
        <v>180</v>
      </c>
      <c r="J33" s="85" t="s">
        <v>1837</v>
      </c>
      <c r="K33" s="83"/>
      <c r="L33" s="83"/>
      <c r="M33" s="83"/>
      <c r="N33" s="83" t="s">
        <v>1838</v>
      </c>
    </row>
    <row r="34" spans="2:14" ht="15.75" thickBot="1" x14ac:dyDescent="0.3">
      <c r="B34" s="82" t="s">
        <v>543</v>
      </c>
      <c r="C34" s="83" t="s">
        <v>1835</v>
      </c>
      <c r="D34" s="83"/>
      <c r="E34" s="83" t="s">
        <v>1745</v>
      </c>
      <c r="F34" s="83" t="s">
        <v>1836</v>
      </c>
      <c r="G34" s="83"/>
      <c r="H34" s="83" t="s">
        <v>34</v>
      </c>
      <c r="I34" s="160">
        <v>560300.35</v>
      </c>
      <c r="J34" s="85" t="s">
        <v>1837</v>
      </c>
      <c r="K34" s="83"/>
      <c r="L34" s="83"/>
      <c r="M34" s="83"/>
      <c r="N34" s="83" t="s">
        <v>1838</v>
      </c>
    </row>
    <row r="35" spans="2:14" ht="15.75" thickBot="1" x14ac:dyDescent="0.3">
      <c r="B35" s="82" t="s">
        <v>544</v>
      </c>
      <c r="C35" s="83" t="s">
        <v>1835</v>
      </c>
      <c r="D35" s="83"/>
      <c r="E35" s="83" t="s">
        <v>1745</v>
      </c>
      <c r="F35" s="83" t="s">
        <v>1836</v>
      </c>
      <c r="G35" s="83"/>
      <c r="H35" s="83" t="s">
        <v>34</v>
      </c>
      <c r="I35" s="160">
        <v>31709.35</v>
      </c>
      <c r="J35" s="85" t="s">
        <v>1837</v>
      </c>
      <c r="K35" s="83"/>
      <c r="L35" s="83"/>
      <c r="M35" s="83"/>
      <c r="N35" s="83" t="s">
        <v>1838</v>
      </c>
    </row>
    <row r="36" spans="2:14" ht="15.75" thickBot="1" x14ac:dyDescent="0.3">
      <c r="B36" s="82" t="s">
        <v>541</v>
      </c>
      <c r="C36" s="83" t="s">
        <v>1835</v>
      </c>
      <c r="D36" s="83"/>
      <c r="E36" s="83" t="s">
        <v>1745</v>
      </c>
      <c r="F36" s="83" t="s">
        <v>1836</v>
      </c>
      <c r="G36" s="83"/>
      <c r="H36" s="83" t="s">
        <v>34</v>
      </c>
      <c r="I36" s="160">
        <v>1500006.94</v>
      </c>
      <c r="J36" s="85" t="s">
        <v>1837</v>
      </c>
      <c r="K36" s="83"/>
      <c r="L36" s="83"/>
      <c r="M36" s="83"/>
      <c r="N36" s="83" t="s">
        <v>1838</v>
      </c>
    </row>
    <row r="37" spans="2:14" ht="15.75" thickBot="1" x14ac:dyDescent="0.3">
      <c r="B37" s="82"/>
      <c r="C37" s="83"/>
      <c r="D37" s="83"/>
      <c r="E37" s="83"/>
      <c r="F37" s="83"/>
      <c r="G37" s="83"/>
      <c r="H37" s="83"/>
      <c r="I37" s="83"/>
      <c r="J37" s="85"/>
      <c r="K37" s="83"/>
      <c r="L37" s="83"/>
      <c r="M37" s="83"/>
      <c r="N37" s="83"/>
    </row>
    <row r="38" spans="2:14" ht="15.75" thickBot="1" x14ac:dyDescent="0.3">
      <c r="B38" s="82"/>
      <c r="C38" s="83"/>
      <c r="D38" s="83"/>
      <c r="E38" s="83"/>
      <c r="F38" s="83"/>
      <c r="G38" s="83"/>
      <c r="H38" s="83"/>
      <c r="I38" s="83"/>
      <c r="J38" s="85"/>
      <c r="K38" s="83"/>
      <c r="L38" s="83"/>
      <c r="M38" s="83"/>
      <c r="N38" s="83"/>
    </row>
    <row r="39" spans="2:14" ht="15.75" thickBot="1" x14ac:dyDescent="0.3">
      <c r="B39" s="82"/>
      <c r="C39" s="83"/>
      <c r="D39" s="83"/>
      <c r="E39" s="83"/>
      <c r="F39" s="83"/>
      <c r="G39" s="83"/>
      <c r="H39" s="83"/>
      <c r="I39" s="83"/>
      <c r="J39" s="85"/>
      <c r="K39" s="83"/>
      <c r="L39" s="83"/>
      <c r="M39" s="83"/>
      <c r="N39" s="83"/>
    </row>
    <row r="40" spans="2:14" ht="15.75" thickBot="1" x14ac:dyDescent="0.3">
      <c r="B40" s="82"/>
      <c r="C40" s="83"/>
      <c r="D40" s="83"/>
      <c r="E40" s="83"/>
      <c r="F40" s="83"/>
      <c r="G40" s="83"/>
      <c r="H40" s="83"/>
      <c r="I40" s="83"/>
      <c r="J40" s="85"/>
      <c r="K40" s="83"/>
      <c r="L40" s="83"/>
      <c r="M40" s="83"/>
      <c r="N40" s="83"/>
    </row>
    <row r="41" spans="2:14" ht="15.75" thickBot="1" x14ac:dyDescent="0.3">
      <c r="B41" s="82"/>
      <c r="C41" s="83"/>
      <c r="D41" s="83"/>
      <c r="E41" s="83"/>
      <c r="F41" s="83"/>
      <c r="G41" s="83"/>
      <c r="H41" s="83"/>
      <c r="I41" s="83"/>
      <c r="J41" s="85"/>
      <c r="K41" s="83"/>
      <c r="L41" s="83"/>
      <c r="M41" s="83"/>
      <c r="N41" s="83"/>
    </row>
    <row r="42" spans="2:14" ht="15.75" thickBot="1" x14ac:dyDescent="0.3">
      <c r="B42" s="82"/>
      <c r="C42" s="83"/>
      <c r="D42" s="83"/>
      <c r="E42" s="83"/>
      <c r="F42" s="83"/>
      <c r="G42" s="83"/>
      <c r="H42" s="83"/>
      <c r="I42" s="83"/>
      <c r="J42" s="85"/>
      <c r="K42" s="83"/>
      <c r="L42" s="83"/>
      <c r="M42" s="83"/>
      <c r="N42" s="83"/>
    </row>
    <row r="43" spans="2:14" ht="15.75" thickBot="1" x14ac:dyDescent="0.3">
      <c r="B43" s="82"/>
      <c r="C43" s="83"/>
      <c r="D43" s="83"/>
      <c r="E43" s="83"/>
      <c r="F43" s="83"/>
      <c r="G43" s="83"/>
      <c r="H43" s="83"/>
      <c r="I43" s="83"/>
      <c r="J43" s="85"/>
      <c r="K43" s="83"/>
      <c r="L43" s="83"/>
      <c r="M43" s="83"/>
      <c r="N43" s="83"/>
    </row>
    <row r="44" spans="2:14" ht="15.75" thickBot="1" x14ac:dyDescent="0.3">
      <c r="B44" s="82"/>
      <c r="C44" s="83"/>
      <c r="D44" s="83"/>
      <c r="E44" s="83"/>
      <c r="F44" s="83"/>
      <c r="G44" s="83"/>
      <c r="H44" s="83"/>
      <c r="I44" s="83"/>
      <c r="J44" s="85"/>
      <c r="K44" s="83"/>
      <c r="L44" s="83"/>
      <c r="M44" s="83"/>
      <c r="N44" s="83"/>
    </row>
    <row r="45" spans="2:14" ht="15.75" thickBot="1" x14ac:dyDescent="0.3">
      <c r="B45" s="82"/>
      <c r="C45" s="83"/>
      <c r="D45" s="83"/>
      <c r="E45" s="83"/>
      <c r="F45" s="83"/>
      <c r="G45" s="83"/>
      <c r="H45" s="83"/>
      <c r="I45" s="83"/>
      <c r="J45" s="85"/>
      <c r="K45" s="83"/>
      <c r="L45" s="83"/>
      <c r="M45" s="83"/>
      <c r="N45" s="83"/>
    </row>
  </sheetData>
  <mergeCells count="27">
    <mergeCell ref="B25:AA26"/>
    <mergeCell ref="B28:B29"/>
    <mergeCell ref="C28:C29"/>
    <mergeCell ref="D28:D29"/>
    <mergeCell ref="E28:E29"/>
    <mergeCell ref="F28:F29"/>
    <mergeCell ref="I28:I29"/>
    <mergeCell ref="J28:J29"/>
    <mergeCell ref="K28:K29"/>
    <mergeCell ref="L28:L29"/>
    <mergeCell ref="M28:M29"/>
    <mergeCell ref="N28:N29"/>
    <mergeCell ref="G28:G29"/>
    <mergeCell ref="H28:H29"/>
    <mergeCell ref="B21:AA22"/>
    <mergeCell ref="B9:AA9"/>
    <mergeCell ref="B11:C11"/>
    <mergeCell ref="D11:J11"/>
    <mergeCell ref="B12:C12"/>
    <mergeCell ref="D12:J12"/>
    <mergeCell ref="B13:C13"/>
    <mergeCell ref="D13:J13"/>
    <mergeCell ref="B14:C14"/>
    <mergeCell ref="D14:J14"/>
    <mergeCell ref="B15:C15"/>
    <mergeCell ref="D15:J15"/>
    <mergeCell ref="B17:AC17"/>
  </mergeCells>
  <dataValidations disablePrompts="1" count="5">
    <dataValidation type="list" allowBlank="1" showInputMessage="1" showErrorMessage="1" sqref="F37:F45">
      <formula1>"Meios Próprios Cliente,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H30:H45 D30:D45">
      <formula1>"Sim, Não"</formula1>
    </dataValidation>
    <dataValidation type="list" allowBlank="1" showInputMessage="1" showErrorMessage="1" sqref="E30:E45">
      <formula1>"Rodoviário, Ferroviário, Aéreo, Marítimo, Outro"</formula1>
    </dataValidation>
    <dataValidation type="list" allowBlank="1" showInputMessage="1" showErrorMessage="1" sqref="F30:F36">
      <formula1>"Bus,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J30:J45">
      <formula1>"passageiros, unidades, paletes, contentores, kWh, l (litros), kg (quilos), ton (toneladas), Nm3 (metros cubicos norm.), Outro/NA"</formula1>
    </dataValidation>
  </dataValidations>
  <pageMargins left="0.7" right="0.7" top="0.75" bottom="0.75" header="0.3" footer="0.3"/>
  <customProperties>
    <customPr name="GUID" r:id="rId1"/>
  </customPropertie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9"/>
  <dimension ref="A1:V53"/>
  <sheetViews>
    <sheetView topLeftCell="A19" zoomScale="85" zoomScaleNormal="85" workbookViewId="0">
      <selection activeCell="E26" sqref="E26"/>
    </sheetView>
    <sheetView topLeftCell="G1" workbookViewId="1">
      <selection activeCell="L27" sqref="L27:L53"/>
    </sheetView>
  </sheetViews>
  <sheetFormatPr defaultRowHeight="15" x14ac:dyDescent="0.25"/>
  <cols>
    <col min="1" max="3" width="53.140625" customWidth="1"/>
    <col min="4" max="4" width="57.28515625" bestFit="1" customWidth="1"/>
    <col min="5" max="6" width="35.7109375" customWidth="1"/>
    <col min="7" max="8" width="24.140625" customWidth="1"/>
    <col min="9" max="9" width="51.85546875" customWidth="1"/>
    <col min="10" max="10" width="24.140625" customWidth="1"/>
    <col min="11" max="11" width="20.5703125" customWidth="1"/>
    <col min="12" max="12" width="20.28515625" style="364" customWidth="1"/>
    <col min="13" max="13" width="25.7109375" customWidth="1"/>
    <col min="14" max="14" width="28.7109375" customWidth="1"/>
    <col min="15" max="16" width="25.7109375" customWidth="1"/>
    <col min="17" max="17" width="88.5703125" bestFit="1" customWidth="1"/>
    <col min="18" max="18" width="30.5703125" customWidth="1"/>
    <col min="19" max="19" width="43.28515625" customWidth="1"/>
    <col min="22" max="22" width="14.140625" customWidth="1"/>
  </cols>
  <sheetData>
    <row r="1" spans="1:22" s="94" customFormat="1" ht="15.75" customHeight="1" thickBot="1" x14ac:dyDescent="0.3">
      <c r="A1" s="543" t="s">
        <v>1851</v>
      </c>
      <c r="B1" s="508" t="s">
        <v>131</v>
      </c>
      <c r="C1" s="508" t="s">
        <v>1852</v>
      </c>
      <c r="D1" s="508" t="s">
        <v>529</v>
      </c>
      <c r="E1" s="508" t="s">
        <v>525</v>
      </c>
      <c r="F1" s="510" t="s">
        <v>445</v>
      </c>
      <c r="G1" s="508" t="s">
        <v>449</v>
      </c>
      <c r="H1" s="225" t="s">
        <v>3129</v>
      </c>
      <c r="I1" s="508" t="s">
        <v>119</v>
      </c>
      <c r="J1" s="529" t="s">
        <v>1743</v>
      </c>
      <c r="K1" s="529" t="s">
        <v>526</v>
      </c>
      <c r="L1" s="572" t="s">
        <v>446</v>
      </c>
      <c r="M1" s="510" t="s">
        <v>141</v>
      </c>
      <c r="N1" s="508" t="s">
        <v>527</v>
      </c>
      <c r="O1" s="508" t="s">
        <v>528</v>
      </c>
      <c r="P1" s="510" t="s">
        <v>448</v>
      </c>
      <c r="Q1" s="510" t="s">
        <v>134</v>
      </c>
      <c r="R1" s="508" t="s">
        <v>1917</v>
      </c>
      <c r="S1" s="508" t="s">
        <v>1856</v>
      </c>
      <c r="T1" s="528" t="s">
        <v>2831</v>
      </c>
      <c r="U1" s="528" t="s">
        <v>3628</v>
      </c>
      <c r="V1" s="528" t="s">
        <v>3723</v>
      </c>
    </row>
    <row r="2" spans="1:22" s="94" customFormat="1" ht="15" customHeight="1" thickBot="1" x14ac:dyDescent="0.3">
      <c r="A2" s="544"/>
      <c r="B2" s="509"/>
      <c r="C2" s="509"/>
      <c r="D2" s="509"/>
      <c r="E2" s="509"/>
      <c r="F2" s="508"/>
      <c r="G2" s="558"/>
      <c r="H2" s="233"/>
      <c r="I2" s="558"/>
      <c r="J2" s="530"/>
      <c r="K2" s="530"/>
      <c r="L2" s="560"/>
      <c r="M2" s="508"/>
      <c r="N2" s="558"/>
      <c r="O2" s="558"/>
      <c r="P2" s="508"/>
      <c r="Q2" s="510"/>
      <c r="R2" s="558"/>
      <c r="S2" s="558"/>
      <c r="T2" s="528"/>
      <c r="U2" s="528"/>
      <c r="V2" s="528"/>
    </row>
    <row r="3" spans="1:22" ht="15.75" thickBot="1" x14ac:dyDescent="0.3">
      <c r="A3" s="82" t="s">
        <v>45</v>
      </c>
      <c r="B3" s="82" t="str">
        <f>LEFT(A3,IFERROR(FIND(" - ",A3)-1,LEN(A3)))</f>
        <v>Barraqueiro Transportes, S.A.</v>
      </c>
      <c r="C3" s="82" t="str">
        <f>IF(A3=B3,"X",RIGHT(A3,LEN(A3)-LEN(B3)-3))</f>
        <v>X</v>
      </c>
      <c r="D3" s="83" t="s">
        <v>1835</v>
      </c>
      <c r="E3" s="83" t="s">
        <v>1835</v>
      </c>
      <c r="F3" s="83" t="s">
        <v>1745</v>
      </c>
      <c r="G3" s="83" t="s">
        <v>1836</v>
      </c>
      <c r="H3" s="83" t="s">
        <v>3187</v>
      </c>
      <c r="I3" s="83" t="s">
        <v>3188</v>
      </c>
      <c r="J3" s="83"/>
      <c r="K3" s="83" t="s">
        <v>34</v>
      </c>
      <c r="L3" s="363">
        <f>SUM(L4:L9)</f>
        <v>4803925.8900000006</v>
      </c>
      <c r="M3" s="85" t="s">
        <v>1837</v>
      </c>
      <c r="N3" s="83"/>
      <c r="O3" s="83"/>
      <c r="P3" s="314">
        <f>L3/R3</f>
        <v>3202617.2600000002</v>
      </c>
      <c r="Q3" s="83" t="s">
        <v>1838</v>
      </c>
      <c r="R3" s="311">
        <v>1.5</v>
      </c>
      <c r="S3" s="234">
        <v>2022</v>
      </c>
      <c r="T3" s="261" t="s">
        <v>3535</v>
      </c>
      <c r="U3" s="261" t="s">
        <v>3543</v>
      </c>
      <c r="V3" t="str">
        <f>IF(E3="Sim","Sim","Não")</f>
        <v>Não</v>
      </c>
    </row>
    <row r="4" spans="1:22" ht="15.75" thickBot="1" x14ac:dyDescent="0.3">
      <c r="A4" s="82" t="s">
        <v>3508</v>
      </c>
      <c r="B4" s="82" t="str">
        <f t="shared" ref="B4:B9" si="0">LEFT(A4,IFERROR(FIND(" - ",A4)-1,LEN(A4)))</f>
        <v>Barraqueiro Transportes, S.A.</v>
      </c>
      <c r="C4" s="82" t="str">
        <f t="shared" ref="C4:C26" si="1">IF(A4=B4,"X",RIGHT(A4,LEN(A4)-LEN(B4)-3))</f>
        <v>Frota Azul</v>
      </c>
      <c r="D4" s="83" t="s">
        <v>1835</v>
      </c>
      <c r="E4" s="83" t="s">
        <v>1835</v>
      </c>
      <c r="F4" s="83" t="s">
        <v>1745</v>
      </c>
      <c r="G4" s="83" t="s">
        <v>1836</v>
      </c>
      <c r="H4" s="83" t="s">
        <v>3187</v>
      </c>
      <c r="I4" s="83" t="s">
        <v>3188</v>
      </c>
      <c r="J4" s="83"/>
      <c r="K4" s="83" t="s">
        <v>34</v>
      </c>
      <c r="L4" s="363">
        <v>1597749.55</v>
      </c>
      <c r="M4" s="85" t="s">
        <v>1837</v>
      </c>
      <c r="N4" s="83"/>
      <c r="O4" s="83"/>
      <c r="P4" s="314">
        <f t="shared" ref="P4:P12" si="2">L4/R4</f>
        <v>1065166.3666666667</v>
      </c>
      <c r="Q4" s="83" t="s">
        <v>1838</v>
      </c>
      <c r="R4" s="311">
        <v>1.5</v>
      </c>
      <c r="S4" s="234">
        <v>2022</v>
      </c>
      <c r="T4" s="261" t="s">
        <v>3535</v>
      </c>
      <c r="U4" s="261" t="s">
        <v>3543</v>
      </c>
      <c r="V4" t="str">
        <f t="shared" ref="V4:V25" si="3">IF(E4="Sim","Sim","Não")</f>
        <v>Não</v>
      </c>
    </row>
    <row r="5" spans="1:22" ht="15.75" thickBot="1" x14ac:dyDescent="0.3">
      <c r="A5" s="82" t="s">
        <v>3507</v>
      </c>
      <c r="B5" s="82" t="str">
        <f t="shared" si="0"/>
        <v>Barraqueiro Transportes, S.A.</v>
      </c>
      <c r="C5" s="82" t="str">
        <f t="shared" si="1"/>
        <v>Estremadura</v>
      </c>
      <c r="D5" s="83" t="s">
        <v>1835</v>
      </c>
      <c r="E5" s="83" t="s">
        <v>1835</v>
      </c>
      <c r="F5" s="83" t="s">
        <v>1745</v>
      </c>
      <c r="G5" s="83" t="s">
        <v>1836</v>
      </c>
      <c r="H5" s="83" t="s">
        <v>3187</v>
      </c>
      <c r="I5" s="83" t="s">
        <v>3188</v>
      </c>
      <c r="J5" s="83"/>
      <c r="K5" s="83" t="s">
        <v>34</v>
      </c>
      <c r="L5" s="363">
        <f>1113833.47+146.23</f>
        <v>1113979.7</v>
      </c>
      <c r="M5" s="85" t="s">
        <v>1837</v>
      </c>
      <c r="N5" s="83"/>
      <c r="O5" s="83"/>
      <c r="P5" s="314">
        <f t="shared" si="2"/>
        <v>742653.1333333333</v>
      </c>
      <c r="Q5" s="83" t="s">
        <v>1838</v>
      </c>
      <c r="R5" s="311">
        <v>1.5</v>
      </c>
      <c r="S5" s="234">
        <v>2022</v>
      </c>
      <c r="T5" s="261" t="s">
        <v>3535</v>
      </c>
      <c r="U5" s="261" t="s">
        <v>3543</v>
      </c>
      <c r="V5" t="str">
        <f t="shared" si="3"/>
        <v>Não</v>
      </c>
    </row>
    <row r="6" spans="1:22" ht="15.75" thickBot="1" x14ac:dyDescent="0.3">
      <c r="A6" s="82" t="s">
        <v>3509</v>
      </c>
      <c r="B6" s="82" t="str">
        <f t="shared" si="0"/>
        <v>Barraqueiro Transportes, S.A.</v>
      </c>
      <c r="C6" s="82" t="str">
        <f t="shared" si="1"/>
        <v>Barraqueiro Oeste</v>
      </c>
      <c r="D6" s="83" t="s">
        <v>1835</v>
      </c>
      <c r="E6" s="83" t="s">
        <v>1835</v>
      </c>
      <c r="F6" s="83" t="s">
        <v>1745</v>
      </c>
      <c r="G6" s="83" t="s">
        <v>1836</v>
      </c>
      <c r="H6" s="83" t="s">
        <v>3187</v>
      </c>
      <c r="I6" s="83" t="s">
        <v>3188</v>
      </c>
      <c r="J6" s="83"/>
      <c r="K6" s="83" t="s">
        <v>34</v>
      </c>
      <c r="L6" s="363">
        <v>180</v>
      </c>
      <c r="M6" s="85" t="s">
        <v>1837</v>
      </c>
      <c r="N6" s="83"/>
      <c r="O6" s="83"/>
      <c r="P6" s="314">
        <f t="shared" si="2"/>
        <v>120</v>
      </c>
      <c r="Q6" s="83" t="s">
        <v>1838</v>
      </c>
      <c r="R6" s="311">
        <v>1.5</v>
      </c>
      <c r="S6" s="234">
        <v>2022</v>
      </c>
      <c r="T6" s="261" t="s">
        <v>3535</v>
      </c>
      <c r="U6" s="261" t="s">
        <v>3543</v>
      </c>
      <c r="V6" t="str">
        <f t="shared" si="3"/>
        <v>Não</v>
      </c>
    </row>
    <row r="7" spans="1:22" ht="15.75" thickBot="1" x14ac:dyDescent="0.3">
      <c r="A7" s="82" t="s">
        <v>3510</v>
      </c>
      <c r="B7" s="82" t="str">
        <f t="shared" si="0"/>
        <v>Barraqueiro Transportes, S.A.</v>
      </c>
      <c r="C7" s="82" t="str">
        <f t="shared" si="1"/>
        <v>Boa Viagem</v>
      </c>
      <c r="D7" s="83" t="s">
        <v>1835</v>
      </c>
      <c r="E7" s="83" t="s">
        <v>1835</v>
      </c>
      <c r="F7" s="83" t="s">
        <v>1745</v>
      </c>
      <c r="G7" s="83" t="s">
        <v>1836</v>
      </c>
      <c r="H7" s="83" t="s">
        <v>3187</v>
      </c>
      <c r="I7" s="83" t="s">
        <v>3188</v>
      </c>
      <c r="J7" s="83"/>
      <c r="K7" s="83" t="s">
        <v>34</v>
      </c>
      <c r="L7" s="363">
        <v>560300.35</v>
      </c>
      <c r="M7" s="85" t="s">
        <v>1837</v>
      </c>
      <c r="N7" s="83"/>
      <c r="O7" s="83"/>
      <c r="P7" s="314">
        <f t="shared" si="2"/>
        <v>373533.56666666665</v>
      </c>
      <c r="Q7" s="83" t="s">
        <v>1838</v>
      </c>
      <c r="R7" s="311">
        <v>1.5</v>
      </c>
      <c r="S7" s="234">
        <v>2022</v>
      </c>
      <c r="T7" s="261" t="s">
        <v>3535</v>
      </c>
      <c r="U7" s="261" t="s">
        <v>3543</v>
      </c>
      <c r="V7" t="str">
        <f t="shared" si="3"/>
        <v>Não</v>
      </c>
    </row>
    <row r="8" spans="1:22" ht="15.75" thickBot="1" x14ac:dyDescent="0.3">
      <c r="A8" s="82" t="s">
        <v>3506</v>
      </c>
      <c r="B8" s="82" t="str">
        <f t="shared" si="0"/>
        <v>Barraqueiro Transportes, S.A.</v>
      </c>
      <c r="C8" s="82" t="str">
        <f t="shared" si="1"/>
        <v>Mafrense</v>
      </c>
      <c r="D8" s="83" t="s">
        <v>1835</v>
      </c>
      <c r="E8" s="83" t="s">
        <v>1835</v>
      </c>
      <c r="F8" s="83" t="s">
        <v>1745</v>
      </c>
      <c r="G8" s="83" t="s">
        <v>1836</v>
      </c>
      <c r="H8" s="83" t="s">
        <v>3187</v>
      </c>
      <c r="I8" s="83" t="s">
        <v>3188</v>
      </c>
      <c r="J8" s="83"/>
      <c r="K8" s="83" t="s">
        <v>34</v>
      </c>
      <c r="L8" s="363">
        <v>31709.35</v>
      </c>
      <c r="M8" s="85" t="s">
        <v>1837</v>
      </c>
      <c r="N8" s="83"/>
      <c r="O8" s="83"/>
      <c r="P8" s="314">
        <f t="shared" si="2"/>
        <v>21139.566666666666</v>
      </c>
      <c r="Q8" s="83" t="s">
        <v>1838</v>
      </c>
      <c r="R8" s="311">
        <v>1.5</v>
      </c>
      <c r="S8" s="234">
        <v>2022</v>
      </c>
      <c r="T8" s="261" t="s">
        <v>3535</v>
      </c>
      <c r="U8" s="261" t="s">
        <v>3543</v>
      </c>
      <c r="V8" t="str">
        <f t="shared" si="3"/>
        <v>Não</v>
      </c>
    </row>
    <row r="9" spans="1:22" ht="15.75" thickBot="1" x14ac:dyDescent="0.3">
      <c r="A9" s="82" t="s">
        <v>3314</v>
      </c>
      <c r="B9" s="82" t="str">
        <f t="shared" si="0"/>
        <v>Barraqueiro Transportes, S.A.</v>
      </c>
      <c r="C9" s="82" t="str">
        <f t="shared" si="1"/>
        <v>Barraqueiro Alugueres</v>
      </c>
      <c r="D9" s="83" t="s">
        <v>1835</v>
      </c>
      <c r="E9" s="83" t="s">
        <v>1835</v>
      </c>
      <c r="F9" s="83" t="s">
        <v>1745</v>
      </c>
      <c r="G9" s="83" t="s">
        <v>1836</v>
      </c>
      <c r="H9" s="83" t="s">
        <v>3187</v>
      </c>
      <c r="I9" s="83" t="s">
        <v>3188</v>
      </c>
      <c r="J9" s="83"/>
      <c r="K9" s="83" t="s">
        <v>34</v>
      </c>
      <c r="L9" s="363">
        <v>1500006.94</v>
      </c>
      <c r="M9" s="85" t="s">
        <v>1837</v>
      </c>
      <c r="N9" s="83"/>
      <c r="O9" s="83"/>
      <c r="P9" s="314">
        <f t="shared" si="2"/>
        <v>1000004.6266666666</v>
      </c>
      <c r="Q9" s="83" t="s">
        <v>1838</v>
      </c>
      <c r="R9" s="311">
        <v>1.5</v>
      </c>
      <c r="S9" s="234">
        <v>2022</v>
      </c>
      <c r="T9" s="261" t="s">
        <v>3535</v>
      </c>
      <c r="U9" s="261" t="s">
        <v>3543</v>
      </c>
      <c r="V9" t="str">
        <f t="shared" si="3"/>
        <v>Não</v>
      </c>
    </row>
    <row r="10" spans="1:22" ht="15.75" thickBot="1" x14ac:dyDescent="0.3">
      <c r="A10" s="82" t="s">
        <v>1931</v>
      </c>
      <c r="B10" s="82" t="s">
        <v>1931</v>
      </c>
      <c r="C10" s="82" t="str">
        <f t="shared" si="1"/>
        <v>X</v>
      </c>
      <c r="D10" s="83" t="s">
        <v>1835</v>
      </c>
      <c r="E10" s="83" t="s">
        <v>1835</v>
      </c>
      <c r="F10" s="83" t="s">
        <v>1745</v>
      </c>
      <c r="G10" s="83" t="s">
        <v>1836</v>
      </c>
      <c r="H10" s="83" t="s">
        <v>3187</v>
      </c>
      <c r="I10" s="83" t="s">
        <v>3188</v>
      </c>
      <c r="J10" s="83"/>
      <c r="K10" s="83" t="s">
        <v>34</v>
      </c>
      <c r="L10" s="363">
        <v>11689</v>
      </c>
      <c r="M10" s="85" t="s">
        <v>1837</v>
      </c>
      <c r="P10" s="310">
        <f t="shared" si="2"/>
        <v>7792.666666666667</v>
      </c>
      <c r="Q10" s="83"/>
      <c r="R10" s="312">
        <v>1.5</v>
      </c>
      <c r="S10" s="234">
        <v>2022</v>
      </c>
      <c r="T10" s="261" t="s">
        <v>3535</v>
      </c>
      <c r="U10" s="261" t="s">
        <v>3543</v>
      </c>
      <c r="V10" t="str">
        <f t="shared" si="3"/>
        <v>Não</v>
      </c>
    </row>
    <row r="11" spans="1:22" ht="15.75" thickBot="1" x14ac:dyDescent="0.3">
      <c r="A11" s="82" t="s">
        <v>1935</v>
      </c>
      <c r="B11" s="82" t="s">
        <v>1935</v>
      </c>
      <c r="C11" s="82" t="str">
        <f t="shared" si="1"/>
        <v>X</v>
      </c>
      <c r="D11" s="83" t="s">
        <v>1835</v>
      </c>
      <c r="E11" s="83" t="s">
        <v>1835</v>
      </c>
      <c r="F11" s="83" t="s">
        <v>1745</v>
      </c>
      <c r="G11" s="83" t="s">
        <v>1836</v>
      </c>
      <c r="H11" s="83" t="s">
        <v>3187</v>
      </c>
      <c r="I11" s="83" t="s">
        <v>3188</v>
      </c>
      <c r="J11" s="83"/>
      <c r="K11" s="83" t="s">
        <v>34</v>
      </c>
      <c r="L11" s="363">
        <v>12366</v>
      </c>
      <c r="M11" s="85" t="s">
        <v>1837</v>
      </c>
      <c r="P11" s="310">
        <f t="shared" si="2"/>
        <v>8244</v>
      </c>
      <c r="Q11" s="83" t="s">
        <v>1838</v>
      </c>
      <c r="R11" s="312">
        <v>1.5</v>
      </c>
      <c r="S11" s="234">
        <v>2022</v>
      </c>
      <c r="T11" s="261" t="s">
        <v>3535</v>
      </c>
      <c r="U11" s="261" t="s">
        <v>3543</v>
      </c>
      <c r="V11" t="str">
        <f t="shared" si="3"/>
        <v>Não</v>
      </c>
    </row>
    <row r="12" spans="1:22" ht="15.75" thickBot="1" x14ac:dyDescent="0.3">
      <c r="A12" s="82" t="s">
        <v>2964</v>
      </c>
      <c r="B12" s="82" t="s">
        <v>2964</v>
      </c>
      <c r="C12" s="82" t="str">
        <f t="shared" si="1"/>
        <v>X</v>
      </c>
      <c r="D12" s="83" t="s">
        <v>3174</v>
      </c>
      <c r="E12" s="83" t="s">
        <v>42</v>
      </c>
      <c r="F12" s="83" t="s">
        <v>1745</v>
      </c>
      <c r="G12" s="83" t="s">
        <v>1836</v>
      </c>
      <c r="H12" s="83" t="s">
        <v>3187</v>
      </c>
      <c r="I12" s="83" t="s">
        <v>3188</v>
      </c>
      <c r="J12" s="83"/>
      <c r="K12" s="83" t="s">
        <v>34</v>
      </c>
      <c r="L12" s="363">
        <v>182362</v>
      </c>
      <c r="M12" s="85" t="s">
        <v>1837</v>
      </c>
      <c r="P12" s="310">
        <f t="shared" si="2"/>
        <v>121574.66666666667</v>
      </c>
      <c r="Q12" s="83" t="s">
        <v>1838</v>
      </c>
      <c r="R12" s="312">
        <v>1.5</v>
      </c>
      <c r="S12" s="234">
        <v>2022</v>
      </c>
      <c r="T12" s="261" t="s">
        <v>3535</v>
      </c>
      <c r="U12" s="261" t="s">
        <v>3543</v>
      </c>
      <c r="V12" t="str">
        <f t="shared" si="3"/>
        <v>Não</v>
      </c>
    </row>
    <row r="13" spans="1:22" ht="15.75" thickBot="1" x14ac:dyDescent="0.3">
      <c r="A13" s="82" t="s">
        <v>4686</v>
      </c>
      <c r="B13" s="82" t="s">
        <v>4686</v>
      </c>
      <c r="C13" s="82" t="str">
        <f t="shared" si="1"/>
        <v>X</v>
      </c>
      <c r="D13" s="83" t="s">
        <v>3175</v>
      </c>
      <c r="E13" s="83" t="s">
        <v>1835</v>
      </c>
      <c r="F13" s="83" t="s">
        <v>1745</v>
      </c>
      <c r="G13" s="83" t="s">
        <v>1836</v>
      </c>
      <c r="H13" s="83" t="s">
        <v>3187</v>
      </c>
      <c r="I13" s="83" t="s">
        <v>3188</v>
      </c>
      <c r="J13" s="83"/>
      <c r="K13" s="83" t="s">
        <v>34</v>
      </c>
      <c r="L13" s="412">
        <f>P13*R13</f>
        <v>5657.5199999999995</v>
      </c>
      <c r="M13" s="85" t="s">
        <v>1837</v>
      </c>
      <c r="P13" s="315">
        <v>3771.68</v>
      </c>
      <c r="Q13" s="83"/>
      <c r="R13" s="312">
        <v>1.5</v>
      </c>
      <c r="S13" s="234">
        <v>2022</v>
      </c>
      <c r="T13" s="261" t="s">
        <v>3535</v>
      </c>
      <c r="U13" s="261" t="s">
        <v>3543</v>
      </c>
      <c r="V13" t="str">
        <f t="shared" si="3"/>
        <v>Não</v>
      </c>
    </row>
    <row r="14" spans="1:22" ht="15.75" thickBot="1" x14ac:dyDescent="0.3">
      <c r="A14" s="82" t="s">
        <v>4686</v>
      </c>
      <c r="B14" s="82" t="s">
        <v>4686</v>
      </c>
      <c r="C14" s="82" t="str">
        <f t="shared" si="1"/>
        <v>X</v>
      </c>
      <c r="D14" s="82" t="s">
        <v>1935</v>
      </c>
      <c r="E14" s="83" t="s">
        <v>34</v>
      </c>
      <c r="F14" s="83" t="s">
        <v>1745</v>
      </c>
      <c r="G14" s="83" t="s">
        <v>1836</v>
      </c>
      <c r="H14" s="83" t="s">
        <v>3187</v>
      </c>
      <c r="I14" s="83" t="s">
        <v>3188</v>
      </c>
      <c r="J14" s="83"/>
      <c r="K14" s="83" t="s">
        <v>34</v>
      </c>
      <c r="L14" s="412">
        <f t="shared" ref="L14:L21" si="4">P14*R14</f>
        <v>4785</v>
      </c>
      <c r="M14" s="85" t="s">
        <v>1837</v>
      </c>
      <c r="P14" s="315">
        <v>3190</v>
      </c>
      <c r="Q14" s="83"/>
      <c r="R14" s="312">
        <v>1.5</v>
      </c>
      <c r="S14" s="234">
        <v>2022</v>
      </c>
      <c r="T14" s="261" t="s">
        <v>3535</v>
      </c>
      <c r="U14" s="261" t="s">
        <v>3543</v>
      </c>
      <c r="V14" t="str">
        <f t="shared" si="3"/>
        <v>Sim</v>
      </c>
    </row>
    <row r="15" spans="1:22" ht="15.75" thickBot="1" x14ac:dyDescent="0.3">
      <c r="A15" s="82" t="s">
        <v>4686</v>
      </c>
      <c r="B15" s="82" t="s">
        <v>4686</v>
      </c>
      <c r="C15" s="82" t="str">
        <f t="shared" si="1"/>
        <v>X</v>
      </c>
      <c r="D15" s="83" t="s">
        <v>3176</v>
      </c>
      <c r="E15" s="83" t="s">
        <v>42</v>
      </c>
      <c r="F15" s="83" t="s">
        <v>1745</v>
      </c>
      <c r="G15" s="83" t="s">
        <v>1836</v>
      </c>
      <c r="H15" s="83" t="s">
        <v>3187</v>
      </c>
      <c r="I15" s="83" t="s">
        <v>3188</v>
      </c>
      <c r="J15" s="83"/>
      <c r="K15" s="83" t="s">
        <v>34</v>
      </c>
      <c r="L15" s="412">
        <f t="shared" si="4"/>
        <v>600</v>
      </c>
      <c r="M15" s="85" t="s">
        <v>1837</v>
      </c>
      <c r="P15" s="315">
        <v>400</v>
      </c>
      <c r="Q15" s="83"/>
      <c r="R15" s="312">
        <v>1.5</v>
      </c>
      <c r="S15" s="234">
        <v>2022</v>
      </c>
      <c r="T15" s="261" t="s">
        <v>3535</v>
      </c>
      <c r="U15" s="261" t="s">
        <v>3543</v>
      </c>
      <c r="V15" t="str">
        <f t="shared" si="3"/>
        <v>Não</v>
      </c>
    </row>
    <row r="16" spans="1:22" ht="15.75" thickBot="1" x14ac:dyDescent="0.3">
      <c r="A16" s="82" t="s">
        <v>4686</v>
      </c>
      <c r="B16" s="82" t="s">
        <v>4686</v>
      </c>
      <c r="C16" s="82" t="str">
        <f t="shared" si="1"/>
        <v>X</v>
      </c>
      <c r="D16" s="83" t="s">
        <v>3177</v>
      </c>
      <c r="E16" s="83" t="s">
        <v>42</v>
      </c>
      <c r="F16" s="83" t="s">
        <v>1745</v>
      </c>
      <c r="G16" s="83" t="s">
        <v>1836</v>
      </c>
      <c r="H16" s="83" t="s">
        <v>3187</v>
      </c>
      <c r="I16" s="83" t="s">
        <v>3188</v>
      </c>
      <c r="J16" s="83"/>
      <c r="K16" s="83" t="s">
        <v>34</v>
      </c>
      <c r="L16" s="412">
        <f t="shared" si="4"/>
        <v>9742.89</v>
      </c>
      <c r="M16" s="85" t="s">
        <v>1837</v>
      </c>
      <c r="P16" s="315">
        <v>6495.26</v>
      </c>
      <c r="Q16" s="83"/>
      <c r="R16" s="312">
        <v>1.5</v>
      </c>
      <c r="S16" s="234">
        <v>2022</v>
      </c>
      <c r="T16" s="261" t="s">
        <v>3535</v>
      </c>
      <c r="U16" s="261" t="s">
        <v>3543</v>
      </c>
      <c r="V16" t="str">
        <f t="shared" si="3"/>
        <v>Não</v>
      </c>
    </row>
    <row r="17" spans="1:22" ht="15.75" thickBot="1" x14ac:dyDescent="0.3">
      <c r="A17" s="82" t="s">
        <v>4686</v>
      </c>
      <c r="B17" s="82" t="s">
        <v>4686</v>
      </c>
      <c r="C17" s="82" t="str">
        <f t="shared" si="1"/>
        <v>X</v>
      </c>
      <c r="D17" s="83" t="s">
        <v>3178</v>
      </c>
      <c r="E17" s="83" t="s">
        <v>34</v>
      </c>
      <c r="F17" s="83" t="s">
        <v>1745</v>
      </c>
      <c r="G17" s="83" t="s">
        <v>1836</v>
      </c>
      <c r="H17" s="83" t="s">
        <v>3187</v>
      </c>
      <c r="I17" s="83" t="s">
        <v>3188</v>
      </c>
      <c r="J17" s="83"/>
      <c r="K17" s="83" t="s">
        <v>34</v>
      </c>
      <c r="L17" s="412">
        <f t="shared" si="4"/>
        <v>1415.085</v>
      </c>
      <c r="M17" s="85" t="s">
        <v>1837</v>
      </c>
      <c r="P17" s="315">
        <v>943.39</v>
      </c>
      <c r="Q17" s="83"/>
      <c r="R17" s="312">
        <v>1.5</v>
      </c>
      <c r="S17" s="234">
        <v>2022</v>
      </c>
      <c r="T17" s="261" t="s">
        <v>3535</v>
      </c>
      <c r="U17" s="261" t="s">
        <v>3543</v>
      </c>
      <c r="V17" t="str">
        <f t="shared" si="3"/>
        <v>Sim</v>
      </c>
    </row>
    <row r="18" spans="1:22" ht="15.75" thickBot="1" x14ac:dyDescent="0.3">
      <c r="A18" s="82" t="s">
        <v>4686</v>
      </c>
      <c r="B18" s="82" t="s">
        <v>4686</v>
      </c>
      <c r="C18" s="82" t="str">
        <f t="shared" si="1"/>
        <v>X</v>
      </c>
      <c r="D18" s="83" t="s">
        <v>3179</v>
      </c>
      <c r="E18" s="83" t="s">
        <v>34</v>
      </c>
      <c r="F18" s="83" t="s">
        <v>1745</v>
      </c>
      <c r="G18" s="83" t="s">
        <v>1836</v>
      </c>
      <c r="H18" s="83" t="s">
        <v>3187</v>
      </c>
      <c r="I18" s="83" t="s">
        <v>3188</v>
      </c>
      <c r="J18" s="83"/>
      <c r="K18" s="83" t="s">
        <v>34</v>
      </c>
      <c r="L18" s="412">
        <f t="shared" si="4"/>
        <v>5727.7650000000003</v>
      </c>
      <c r="M18" s="85" t="s">
        <v>1837</v>
      </c>
      <c r="P18" s="315">
        <v>3818.51</v>
      </c>
      <c r="Q18" s="83"/>
      <c r="R18" s="312">
        <v>1.5</v>
      </c>
      <c r="S18" s="234">
        <v>2022</v>
      </c>
      <c r="T18" s="261" t="s">
        <v>3535</v>
      </c>
      <c r="U18" s="261" t="s">
        <v>3543</v>
      </c>
      <c r="V18" t="str">
        <f t="shared" si="3"/>
        <v>Sim</v>
      </c>
    </row>
    <row r="19" spans="1:22" ht="15.75" thickBot="1" x14ac:dyDescent="0.3">
      <c r="A19" s="82" t="s">
        <v>4687</v>
      </c>
      <c r="B19" s="82" t="s">
        <v>4687</v>
      </c>
      <c r="C19" s="82" t="str">
        <f t="shared" si="1"/>
        <v>X</v>
      </c>
      <c r="D19" s="83" t="s">
        <v>3175</v>
      </c>
      <c r="E19" s="83" t="s">
        <v>42</v>
      </c>
      <c r="F19" s="83" t="s">
        <v>1745</v>
      </c>
      <c r="G19" s="83" t="s">
        <v>1836</v>
      </c>
      <c r="H19" s="83" t="s">
        <v>3187</v>
      </c>
      <c r="I19" s="83" t="s">
        <v>3188</v>
      </c>
      <c r="J19" s="83"/>
      <c r="K19" s="83" t="s">
        <v>34</v>
      </c>
      <c r="L19" s="412">
        <f t="shared" si="4"/>
        <v>1342108.5</v>
      </c>
      <c r="M19" s="85" t="s">
        <v>1837</v>
      </c>
      <c r="P19" s="315">
        <v>894739</v>
      </c>
      <c r="Q19" s="83"/>
      <c r="R19" s="312">
        <v>1.5</v>
      </c>
      <c r="S19" s="234">
        <v>2022</v>
      </c>
      <c r="T19" s="261" t="s">
        <v>3535</v>
      </c>
      <c r="U19" s="261" t="s">
        <v>3543</v>
      </c>
      <c r="V19" t="str">
        <f t="shared" si="3"/>
        <v>Não</v>
      </c>
    </row>
    <row r="20" spans="1:22" ht="15.75" thickBot="1" x14ac:dyDescent="0.3">
      <c r="A20" s="82" t="s">
        <v>4687</v>
      </c>
      <c r="B20" s="82" t="s">
        <v>4687</v>
      </c>
      <c r="C20" s="82" t="str">
        <f t="shared" si="1"/>
        <v>X</v>
      </c>
      <c r="D20" s="83" t="s">
        <v>3179</v>
      </c>
      <c r="E20" s="83" t="s">
        <v>34</v>
      </c>
      <c r="F20" s="83" t="s">
        <v>1745</v>
      </c>
      <c r="G20" s="83" t="s">
        <v>1836</v>
      </c>
      <c r="H20" s="83" t="s">
        <v>3187</v>
      </c>
      <c r="I20" s="83" t="s">
        <v>3188</v>
      </c>
      <c r="J20" s="83"/>
      <c r="K20" s="83" t="s">
        <v>34</v>
      </c>
      <c r="L20" s="412">
        <f t="shared" si="4"/>
        <v>71898</v>
      </c>
      <c r="M20" s="85" t="s">
        <v>1837</v>
      </c>
      <c r="P20" s="315">
        <v>47932</v>
      </c>
      <c r="Q20" s="83"/>
      <c r="R20" s="312">
        <v>1.5</v>
      </c>
      <c r="S20" s="234">
        <v>2022</v>
      </c>
      <c r="T20" s="261" t="s">
        <v>3535</v>
      </c>
      <c r="U20" s="261" t="s">
        <v>3543</v>
      </c>
      <c r="V20" t="str">
        <f t="shared" si="3"/>
        <v>Sim</v>
      </c>
    </row>
    <row r="21" spans="1:22" ht="15.75" thickBot="1" x14ac:dyDescent="0.3">
      <c r="A21" s="82" t="s">
        <v>4687</v>
      </c>
      <c r="B21" s="82" t="s">
        <v>4687</v>
      </c>
      <c r="C21" s="82" t="str">
        <f t="shared" si="1"/>
        <v>X</v>
      </c>
      <c r="D21" s="83" t="s">
        <v>3180</v>
      </c>
      <c r="E21" s="83" t="s">
        <v>42</v>
      </c>
      <c r="F21" s="83" t="s">
        <v>1745</v>
      </c>
      <c r="G21" s="83" t="s">
        <v>1836</v>
      </c>
      <c r="H21" s="83" t="s">
        <v>3187</v>
      </c>
      <c r="I21" s="83" t="s">
        <v>3188</v>
      </c>
      <c r="J21" s="83"/>
      <c r="K21" s="83" t="s">
        <v>34</v>
      </c>
      <c r="L21" s="412">
        <f t="shared" si="4"/>
        <v>62902.5</v>
      </c>
      <c r="M21" s="85" t="s">
        <v>1837</v>
      </c>
      <c r="P21" s="315">
        <v>41935</v>
      </c>
      <c r="Q21" s="83"/>
      <c r="R21" s="312">
        <v>1.5</v>
      </c>
      <c r="S21" s="234">
        <v>2022</v>
      </c>
      <c r="T21" s="261" t="s">
        <v>3535</v>
      </c>
      <c r="U21" s="261" t="s">
        <v>3543</v>
      </c>
      <c r="V21" t="str">
        <f t="shared" si="3"/>
        <v>Não</v>
      </c>
    </row>
    <row r="22" spans="1:22" ht="15.75" thickBot="1" x14ac:dyDescent="0.3">
      <c r="A22" s="82" t="s">
        <v>4694</v>
      </c>
      <c r="B22" s="82" t="s">
        <v>4694</v>
      </c>
      <c r="C22" s="82" t="str">
        <f t="shared" si="1"/>
        <v>X</v>
      </c>
      <c r="D22" s="83" t="s">
        <v>3182</v>
      </c>
      <c r="E22" s="83" t="s">
        <v>42</v>
      </c>
      <c r="F22" s="83" t="s">
        <v>1745</v>
      </c>
      <c r="G22" s="83" t="s">
        <v>3183</v>
      </c>
      <c r="H22" s="276" t="s">
        <v>3187</v>
      </c>
      <c r="I22" s="299" t="s">
        <v>3189</v>
      </c>
      <c r="J22" s="276"/>
      <c r="K22" s="276" t="s">
        <v>42</v>
      </c>
      <c r="L22" s="363">
        <v>25339.86</v>
      </c>
      <c r="M22" s="85" t="s">
        <v>1837</v>
      </c>
      <c r="P22" s="310">
        <f>L22/R22</f>
        <v>16893.240000000002</v>
      </c>
      <c r="Q22" s="83" t="s">
        <v>3184</v>
      </c>
      <c r="R22" s="312">
        <v>1.5</v>
      </c>
      <c r="S22" s="234">
        <v>2022</v>
      </c>
      <c r="T22" s="261" t="s">
        <v>3535</v>
      </c>
      <c r="U22" s="261" t="s">
        <v>3543</v>
      </c>
      <c r="V22" t="str">
        <f t="shared" si="3"/>
        <v>Não</v>
      </c>
    </row>
    <row r="23" spans="1:22" ht="15.75" thickBot="1" x14ac:dyDescent="0.3">
      <c r="A23" s="82" t="s">
        <v>4694</v>
      </c>
      <c r="B23" s="82" t="s">
        <v>4694</v>
      </c>
      <c r="C23" s="82" t="str">
        <f t="shared" si="1"/>
        <v>X</v>
      </c>
      <c r="D23" s="83" t="s">
        <v>3181</v>
      </c>
      <c r="E23" s="83" t="s">
        <v>42</v>
      </c>
      <c r="F23" s="83" t="s">
        <v>1745</v>
      </c>
      <c r="G23" s="83" t="s">
        <v>3183</v>
      </c>
      <c r="H23" s="276" t="s">
        <v>3187</v>
      </c>
      <c r="I23" s="299" t="s">
        <v>3189</v>
      </c>
      <c r="J23" s="276"/>
      <c r="K23" s="276" t="s">
        <v>42</v>
      </c>
      <c r="L23" s="363">
        <v>896645.06</v>
      </c>
      <c r="M23" s="85" t="s">
        <v>1837</v>
      </c>
      <c r="P23" s="310">
        <f>L23/R23</f>
        <v>597763.37333333341</v>
      </c>
      <c r="Q23" s="83" t="s">
        <v>3184</v>
      </c>
      <c r="R23" s="312">
        <v>1.5</v>
      </c>
      <c r="S23" s="234">
        <v>2022</v>
      </c>
      <c r="T23" s="261" t="s">
        <v>3535</v>
      </c>
      <c r="U23" s="261" t="s">
        <v>3543</v>
      </c>
      <c r="V23" t="str">
        <f t="shared" si="3"/>
        <v>Não</v>
      </c>
    </row>
    <row r="24" spans="1:22" ht="15.75" thickBot="1" x14ac:dyDescent="0.3">
      <c r="A24" s="82" t="s">
        <v>2836</v>
      </c>
      <c r="B24" s="82" t="s">
        <v>2836</v>
      </c>
      <c r="C24" s="82" t="str">
        <f t="shared" si="1"/>
        <v>X</v>
      </c>
      <c r="D24" s="83" t="s">
        <v>1835</v>
      </c>
      <c r="E24" s="83" t="s">
        <v>1835</v>
      </c>
      <c r="F24" s="83" t="s">
        <v>1745</v>
      </c>
      <c r="G24" s="83" t="s">
        <v>1836</v>
      </c>
      <c r="H24" s="83" t="s">
        <v>3187</v>
      </c>
      <c r="I24" s="83" t="s">
        <v>3188</v>
      </c>
      <c r="J24" s="83"/>
      <c r="K24" s="83" t="s">
        <v>34</v>
      </c>
      <c r="L24" s="363">
        <v>189248.03</v>
      </c>
      <c r="M24" s="85" t="s">
        <v>1837</v>
      </c>
      <c r="P24" s="316">
        <f>L24/R24</f>
        <v>126165.35333333333</v>
      </c>
      <c r="Q24" s="236" t="s">
        <v>3185</v>
      </c>
      <c r="R24" s="313">
        <v>1.5</v>
      </c>
      <c r="S24" s="234">
        <v>2022</v>
      </c>
      <c r="T24" s="261" t="s">
        <v>3535</v>
      </c>
      <c r="U24" s="261" t="s">
        <v>3543</v>
      </c>
      <c r="V24" t="str">
        <f t="shared" si="3"/>
        <v>Não</v>
      </c>
    </row>
    <row r="25" spans="1:22" ht="15.75" thickBot="1" x14ac:dyDescent="0.3">
      <c r="A25" s="292" t="s">
        <v>2889</v>
      </c>
      <c r="B25" s="292" t="s">
        <v>2889</v>
      </c>
      <c r="C25" s="82" t="str">
        <f t="shared" si="1"/>
        <v>X</v>
      </c>
      <c r="D25" s="83" t="s">
        <v>1835</v>
      </c>
      <c r="E25" s="83" t="s">
        <v>1835</v>
      </c>
      <c r="F25" s="83" t="s">
        <v>1745</v>
      </c>
      <c r="G25" s="83" t="s">
        <v>1836</v>
      </c>
      <c r="H25" s="83" t="s">
        <v>3187</v>
      </c>
      <c r="I25" s="83" t="s">
        <v>3188</v>
      </c>
      <c r="J25" s="83"/>
      <c r="K25" s="83" t="s">
        <v>34</v>
      </c>
      <c r="L25" s="361">
        <v>819596</v>
      </c>
      <c r="M25" s="85" t="s">
        <v>1837</v>
      </c>
      <c r="P25" s="310">
        <f>L25/R25</f>
        <v>546397.33333333337</v>
      </c>
      <c r="Q25" s="83" t="s">
        <v>3186</v>
      </c>
      <c r="R25" s="312">
        <v>1.5</v>
      </c>
      <c r="S25" s="234">
        <v>2022</v>
      </c>
      <c r="T25" s="261" t="s">
        <v>3535</v>
      </c>
      <c r="U25" s="261" t="s">
        <v>3543</v>
      </c>
      <c r="V25" t="str">
        <f t="shared" si="3"/>
        <v>Não</v>
      </c>
    </row>
    <row r="26" spans="1:22" ht="15.75" thickBot="1" x14ac:dyDescent="0.3">
      <c r="A26" s="82" t="s">
        <v>4704</v>
      </c>
      <c r="B26" s="82" t="s">
        <v>4704</v>
      </c>
      <c r="C26" s="82" t="str">
        <f t="shared" si="1"/>
        <v>X</v>
      </c>
      <c r="D26" s="83" t="s">
        <v>3921</v>
      </c>
      <c r="E26" s="83" t="s">
        <v>42</v>
      </c>
      <c r="F26" s="83" t="s">
        <v>1745</v>
      </c>
      <c r="G26" s="83" t="s">
        <v>1836</v>
      </c>
      <c r="H26" s="83" t="s">
        <v>3187</v>
      </c>
      <c r="I26" s="83" t="s">
        <v>3188</v>
      </c>
      <c r="J26" s="83"/>
      <c r="K26" s="83" t="s">
        <v>34</v>
      </c>
      <c r="L26" s="361">
        <v>1685984.52</v>
      </c>
      <c r="M26" s="85" t="s">
        <v>1837</v>
      </c>
      <c r="P26" s="411">
        <f>L26/R26</f>
        <v>842992.26</v>
      </c>
      <c r="Q26" s="83" t="s">
        <v>1838</v>
      </c>
      <c r="R26" s="413">
        <v>2</v>
      </c>
      <c r="S26" s="234">
        <v>2022</v>
      </c>
      <c r="T26" s="261" t="s">
        <v>3535</v>
      </c>
      <c r="U26" s="261" t="s">
        <v>3543</v>
      </c>
      <c r="V26" s="299" t="str">
        <f t="shared" ref="V26:V27" si="5">IF(E26="Sim","Sim","Não")</f>
        <v>Não</v>
      </c>
    </row>
    <row r="27" spans="1:22" ht="15.75" thickBot="1" x14ac:dyDescent="0.3">
      <c r="A27" t="s">
        <v>4718</v>
      </c>
      <c r="B27" t="s">
        <v>4718</v>
      </c>
      <c r="C27" t="s">
        <v>1969</v>
      </c>
      <c r="D27" s="83" t="s">
        <v>3050</v>
      </c>
      <c r="E27" s="83" t="s">
        <v>34</v>
      </c>
      <c r="F27" s="83" t="s">
        <v>1745</v>
      </c>
      <c r="G27" s="83" t="s">
        <v>1836</v>
      </c>
      <c r="H27" s="83" t="s">
        <v>3187</v>
      </c>
      <c r="I27" s="83" t="s">
        <v>4743</v>
      </c>
      <c r="K27" s="83" t="s">
        <v>34</v>
      </c>
      <c r="L27" s="174">
        <v>4682410</v>
      </c>
      <c r="M27" s="85" t="s">
        <v>1837</v>
      </c>
      <c r="P27">
        <v>4682410</v>
      </c>
      <c r="Q27" s="83" t="s">
        <v>4744</v>
      </c>
      <c r="S27" s="234">
        <v>2022</v>
      </c>
      <c r="T27" s="261" t="s">
        <v>3535</v>
      </c>
      <c r="U27" s="261" t="s">
        <v>3543</v>
      </c>
      <c r="V27" t="str">
        <f t="shared" si="5"/>
        <v>Sim</v>
      </c>
    </row>
    <row r="28" spans="1:22" ht="15.75" thickBot="1" x14ac:dyDescent="0.3">
      <c r="A28" t="s">
        <v>4718</v>
      </c>
      <c r="B28" t="s">
        <v>4718</v>
      </c>
      <c r="C28" t="s">
        <v>1969</v>
      </c>
      <c r="D28" s="83" t="s">
        <v>4720</v>
      </c>
      <c r="E28" s="83" t="s">
        <v>34</v>
      </c>
      <c r="F28" s="83" t="s">
        <v>1745</v>
      </c>
      <c r="G28" s="83" t="s">
        <v>1836</v>
      </c>
      <c r="H28" s="83" t="s">
        <v>3187</v>
      </c>
      <c r="I28" s="83" t="s">
        <v>4743</v>
      </c>
      <c r="K28" s="83" t="s">
        <v>34</v>
      </c>
      <c r="L28" s="174">
        <v>8905764</v>
      </c>
      <c r="M28" s="85" t="s">
        <v>1837</v>
      </c>
      <c r="P28">
        <v>8905764</v>
      </c>
      <c r="Q28" s="83" t="s">
        <v>4744</v>
      </c>
      <c r="S28" s="234">
        <v>2023</v>
      </c>
      <c r="T28" s="261" t="s">
        <v>4745</v>
      </c>
      <c r="U28" s="261" t="s">
        <v>3544</v>
      </c>
      <c r="V28" t="str">
        <f t="shared" ref="V28:V53" si="6">IF(E28="Sim","Sim","Não")</f>
        <v>Sim</v>
      </c>
    </row>
    <row r="29" spans="1:22" ht="15.75" thickBot="1" x14ac:dyDescent="0.3">
      <c r="A29" t="s">
        <v>4718</v>
      </c>
      <c r="B29" t="s">
        <v>4718</v>
      </c>
      <c r="C29" t="s">
        <v>1969</v>
      </c>
      <c r="D29" s="83" t="s">
        <v>534</v>
      </c>
      <c r="E29" s="83" t="s">
        <v>34</v>
      </c>
      <c r="F29" s="83" t="s">
        <v>1745</v>
      </c>
      <c r="G29" s="83" t="s">
        <v>1836</v>
      </c>
      <c r="H29" s="83" t="s">
        <v>3187</v>
      </c>
      <c r="I29" s="83" t="s">
        <v>4743</v>
      </c>
      <c r="K29" s="83" t="s">
        <v>34</v>
      </c>
      <c r="L29" s="174">
        <v>11504268</v>
      </c>
      <c r="M29" s="85" t="s">
        <v>1837</v>
      </c>
      <c r="P29">
        <v>11504268</v>
      </c>
      <c r="Q29" s="83" t="s">
        <v>4744</v>
      </c>
      <c r="S29" s="234">
        <v>2024</v>
      </c>
      <c r="T29" s="261" t="s">
        <v>4746</v>
      </c>
      <c r="U29" s="261" t="s">
        <v>3545</v>
      </c>
      <c r="V29" t="str">
        <f t="shared" si="6"/>
        <v>Sim</v>
      </c>
    </row>
    <row r="30" spans="1:22" ht="15.75" thickBot="1" x14ac:dyDescent="0.3">
      <c r="A30" t="s">
        <v>4718</v>
      </c>
      <c r="B30" t="s">
        <v>4718</v>
      </c>
      <c r="C30" t="s">
        <v>1969</v>
      </c>
      <c r="D30" s="83" t="s">
        <v>3146</v>
      </c>
      <c r="E30" s="83" t="s">
        <v>34</v>
      </c>
      <c r="F30" s="83" t="s">
        <v>1745</v>
      </c>
      <c r="G30" s="83" t="s">
        <v>1836</v>
      </c>
      <c r="H30" s="83" t="s">
        <v>3187</v>
      </c>
      <c r="I30" s="83" t="s">
        <v>4743</v>
      </c>
      <c r="K30" s="83" t="s">
        <v>34</v>
      </c>
      <c r="L30" s="174">
        <v>1346084</v>
      </c>
      <c r="M30" s="85" t="s">
        <v>1837</v>
      </c>
      <c r="P30">
        <v>1346084</v>
      </c>
      <c r="Q30" s="83" t="s">
        <v>4744</v>
      </c>
      <c r="S30" s="234">
        <v>2025</v>
      </c>
      <c r="T30" s="261" t="s">
        <v>4747</v>
      </c>
      <c r="U30" s="261" t="s">
        <v>3546</v>
      </c>
      <c r="V30" t="str">
        <f t="shared" si="6"/>
        <v>Sim</v>
      </c>
    </row>
    <row r="31" spans="1:22" ht="15.75" thickBot="1" x14ac:dyDescent="0.3">
      <c r="A31" t="s">
        <v>4718</v>
      </c>
      <c r="B31" t="s">
        <v>4718</v>
      </c>
      <c r="C31" t="s">
        <v>1969</v>
      </c>
      <c r="D31" s="83" t="s">
        <v>4721</v>
      </c>
      <c r="E31" s="83" t="s">
        <v>34</v>
      </c>
      <c r="F31" s="83" t="s">
        <v>1745</v>
      </c>
      <c r="G31" s="83" t="s">
        <v>1836</v>
      </c>
      <c r="H31" s="83" t="s">
        <v>3187</v>
      </c>
      <c r="I31" s="83" t="s">
        <v>4743</v>
      </c>
      <c r="K31" s="83" t="s">
        <v>34</v>
      </c>
      <c r="L31" s="174">
        <v>987467</v>
      </c>
      <c r="M31" s="85" t="s">
        <v>1837</v>
      </c>
      <c r="P31">
        <v>987467</v>
      </c>
      <c r="Q31" s="83" t="s">
        <v>4744</v>
      </c>
      <c r="S31" s="234">
        <v>2026</v>
      </c>
      <c r="T31" s="261" t="s">
        <v>4748</v>
      </c>
      <c r="U31" s="261" t="s">
        <v>3547</v>
      </c>
      <c r="V31" t="str">
        <f t="shared" si="6"/>
        <v>Sim</v>
      </c>
    </row>
    <row r="32" spans="1:22" ht="15.75" thickBot="1" x14ac:dyDescent="0.3">
      <c r="A32" t="s">
        <v>4718</v>
      </c>
      <c r="B32" t="s">
        <v>4718</v>
      </c>
      <c r="C32" t="s">
        <v>1969</v>
      </c>
      <c r="D32" s="83" t="s">
        <v>4722</v>
      </c>
      <c r="E32" s="83" t="s">
        <v>34</v>
      </c>
      <c r="F32" s="83" t="s">
        <v>1745</v>
      </c>
      <c r="G32" s="83" t="s">
        <v>1836</v>
      </c>
      <c r="H32" s="83" t="s">
        <v>3187</v>
      </c>
      <c r="I32" s="83" t="s">
        <v>4743</v>
      </c>
      <c r="K32" s="83" t="s">
        <v>34</v>
      </c>
      <c r="L32" s="174">
        <v>1574364</v>
      </c>
      <c r="M32" s="85" t="s">
        <v>1837</v>
      </c>
      <c r="P32">
        <v>1574364</v>
      </c>
      <c r="Q32" s="83" t="s">
        <v>4744</v>
      </c>
      <c r="S32" s="234">
        <v>2027</v>
      </c>
      <c r="T32" s="261" t="s">
        <v>4749</v>
      </c>
      <c r="U32" s="261" t="s">
        <v>3548</v>
      </c>
      <c r="V32" t="str">
        <f t="shared" si="6"/>
        <v>Sim</v>
      </c>
    </row>
    <row r="33" spans="1:22" ht="15.75" thickBot="1" x14ac:dyDescent="0.3">
      <c r="A33" t="s">
        <v>4718</v>
      </c>
      <c r="B33" t="s">
        <v>4718</v>
      </c>
      <c r="C33" t="s">
        <v>1969</v>
      </c>
      <c r="D33" s="83" t="s">
        <v>3147</v>
      </c>
      <c r="E33" s="83" t="s">
        <v>42</v>
      </c>
      <c r="F33" s="83" t="s">
        <v>1745</v>
      </c>
      <c r="G33" s="83" t="s">
        <v>1836</v>
      </c>
      <c r="H33" s="83" t="s">
        <v>3187</v>
      </c>
      <c r="I33" s="83" t="s">
        <v>4743</v>
      </c>
      <c r="K33" s="83" t="s">
        <v>34</v>
      </c>
      <c r="L33" s="174">
        <v>5064582</v>
      </c>
      <c r="M33" s="85" t="s">
        <v>1837</v>
      </c>
      <c r="P33">
        <v>5064582</v>
      </c>
      <c r="Q33" s="83" t="s">
        <v>4744</v>
      </c>
      <c r="S33" s="234">
        <v>2028</v>
      </c>
      <c r="T33" s="261" t="s">
        <v>4750</v>
      </c>
      <c r="U33" s="261" t="s">
        <v>4751</v>
      </c>
      <c r="V33" t="str">
        <f t="shared" si="6"/>
        <v>Não</v>
      </c>
    </row>
    <row r="34" spans="1:22" ht="15.75" thickBot="1" x14ac:dyDescent="0.3">
      <c r="A34" t="s">
        <v>4718</v>
      </c>
      <c r="B34" t="s">
        <v>4718</v>
      </c>
      <c r="C34" t="s">
        <v>1969</v>
      </c>
      <c r="D34" s="83" t="s">
        <v>4723</v>
      </c>
      <c r="E34" s="83" t="s">
        <v>42</v>
      </c>
      <c r="F34" s="83" t="s">
        <v>1745</v>
      </c>
      <c r="G34" s="83" t="s">
        <v>1836</v>
      </c>
      <c r="H34" s="83" t="s">
        <v>3187</v>
      </c>
      <c r="I34" s="83" t="s">
        <v>4743</v>
      </c>
      <c r="K34" s="83" t="s">
        <v>34</v>
      </c>
      <c r="L34" s="174">
        <v>4826153</v>
      </c>
      <c r="M34" s="85" t="s">
        <v>1837</v>
      </c>
      <c r="P34">
        <v>4826153</v>
      </c>
      <c r="Q34" s="83" t="s">
        <v>4744</v>
      </c>
      <c r="S34" s="234">
        <v>2029</v>
      </c>
      <c r="T34" s="261" t="s">
        <v>4752</v>
      </c>
      <c r="U34" s="261" t="s">
        <v>4753</v>
      </c>
      <c r="V34" t="str">
        <f t="shared" si="6"/>
        <v>Não</v>
      </c>
    </row>
    <row r="35" spans="1:22" ht="15.75" thickBot="1" x14ac:dyDescent="0.3">
      <c r="A35" t="s">
        <v>4718</v>
      </c>
      <c r="B35" t="s">
        <v>4718</v>
      </c>
      <c r="C35" t="s">
        <v>1969</v>
      </c>
      <c r="D35" s="83" t="s">
        <v>4724</v>
      </c>
      <c r="E35" s="83" t="s">
        <v>42</v>
      </c>
      <c r="F35" s="83" t="s">
        <v>1745</v>
      </c>
      <c r="G35" s="83" t="s">
        <v>1836</v>
      </c>
      <c r="H35" s="83" t="s">
        <v>3187</v>
      </c>
      <c r="I35" s="83" t="s">
        <v>4743</v>
      </c>
      <c r="K35" s="83" t="s">
        <v>34</v>
      </c>
      <c r="L35" s="174">
        <v>3380633</v>
      </c>
      <c r="M35" s="85" t="s">
        <v>1837</v>
      </c>
      <c r="P35">
        <v>3380633</v>
      </c>
      <c r="Q35" s="83" t="s">
        <v>4744</v>
      </c>
      <c r="S35" s="234">
        <v>2030</v>
      </c>
      <c r="T35" s="261" t="s">
        <v>4754</v>
      </c>
      <c r="U35" s="261" t="s">
        <v>4755</v>
      </c>
      <c r="V35" t="str">
        <f t="shared" si="6"/>
        <v>Não</v>
      </c>
    </row>
    <row r="36" spans="1:22" ht="15.75" thickBot="1" x14ac:dyDescent="0.3">
      <c r="A36" t="s">
        <v>4718</v>
      </c>
      <c r="B36" t="s">
        <v>4718</v>
      </c>
      <c r="C36" t="s">
        <v>1969</v>
      </c>
      <c r="D36" s="83" t="s">
        <v>4725</v>
      </c>
      <c r="E36" s="83" t="s">
        <v>42</v>
      </c>
      <c r="F36" s="83" t="s">
        <v>1745</v>
      </c>
      <c r="G36" s="83" t="s">
        <v>1836</v>
      </c>
      <c r="H36" s="83" t="s">
        <v>3187</v>
      </c>
      <c r="I36" s="83" t="s">
        <v>4743</v>
      </c>
      <c r="K36" s="83" t="s">
        <v>34</v>
      </c>
      <c r="L36" s="174">
        <v>4445721</v>
      </c>
      <c r="M36" s="85" t="s">
        <v>1837</v>
      </c>
      <c r="P36">
        <v>4445721</v>
      </c>
      <c r="Q36" s="83" t="s">
        <v>4744</v>
      </c>
      <c r="S36" s="234">
        <v>2031</v>
      </c>
      <c r="T36" s="261" t="s">
        <v>4756</v>
      </c>
      <c r="U36" s="261" t="s">
        <v>4757</v>
      </c>
      <c r="V36" t="str">
        <f t="shared" si="6"/>
        <v>Não</v>
      </c>
    </row>
    <row r="37" spans="1:22" ht="15.75" thickBot="1" x14ac:dyDescent="0.3">
      <c r="A37" t="s">
        <v>4718</v>
      </c>
      <c r="B37" t="s">
        <v>4718</v>
      </c>
      <c r="C37" t="s">
        <v>1969</v>
      </c>
      <c r="D37" s="83" t="s">
        <v>4726</v>
      </c>
      <c r="E37" s="83" t="s">
        <v>42</v>
      </c>
      <c r="F37" s="83" t="s">
        <v>1745</v>
      </c>
      <c r="G37" s="83" t="s">
        <v>1836</v>
      </c>
      <c r="H37" s="83" t="s">
        <v>3187</v>
      </c>
      <c r="I37" s="83" t="s">
        <v>4743</v>
      </c>
      <c r="K37" s="83" t="s">
        <v>34</v>
      </c>
      <c r="L37" s="174">
        <v>64181</v>
      </c>
      <c r="M37" s="85" t="s">
        <v>1837</v>
      </c>
      <c r="P37">
        <v>64181</v>
      </c>
      <c r="Q37" s="83" t="s">
        <v>4744</v>
      </c>
      <c r="S37" s="234">
        <v>2032</v>
      </c>
      <c r="T37" s="261" t="s">
        <v>4758</v>
      </c>
      <c r="U37" s="261" t="s">
        <v>4759</v>
      </c>
      <c r="V37" t="str">
        <f t="shared" si="6"/>
        <v>Não</v>
      </c>
    </row>
    <row r="38" spans="1:22" ht="15.75" thickBot="1" x14ac:dyDescent="0.3">
      <c r="A38" t="s">
        <v>4718</v>
      </c>
      <c r="B38" t="s">
        <v>4718</v>
      </c>
      <c r="C38" t="s">
        <v>1969</v>
      </c>
      <c r="D38" s="83" t="s">
        <v>4727</v>
      </c>
      <c r="E38" s="83" t="s">
        <v>42</v>
      </c>
      <c r="F38" s="83" t="s">
        <v>1745</v>
      </c>
      <c r="G38" s="83" t="s">
        <v>1836</v>
      </c>
      <c r="H38" s="83" t="s">
        <v>3187</v>
      </c>
      <c r="I38" s="83" t="s">
        <v>4743</v>
      </c>
      <c r="K38" s="83" t="s">
        <v>34</v>
      </c>
      <c r="L38" s="174">
        <v>1537564</v>
      </c>
      <c r="M38" s="85" t="s">
        <v>1837</v>
      </c>
      <c r="P38">
        <v>1537564</v>
      </c>
      <c r="Q38" s="83" t="s">
        <v>4744</v>
      </c>
      <c r="S38" s="234">
        <v>2033</v>
      </c>
      <c r="T38" s="261" t="s">
        <v>4760</v>
      </c>
      <c r="U38" s="261" t="s">
        <v>4761</v>
      </c>
      <c r="V38" t="str">
        <f t="shared" si="6"/>
        <v>Não</v>
      </c>
    </row>
    <row r="39" spans="1:22" ht="15.75" thickBot="1" x14ac:dyDescent="0.3">
      <c r="A39" t="s">
        <v>4718</v>
      </c>
      <c r="B39" t="s">
        <v>4718</v>
      </c>
      <c r="C39" t="s">
        <v>1969</v>
      </c>
      <c r="D39" s="83" t="s">
        <v>4728</v>
      </c>
      <c r="E39" s="83" t="s">
        <v>34</v>
      </c>
      <c r="F39" s="83" t="s">
        <v>1745</v>
      </c>
      <c r="G39" s="83" t="s">
        <v>1836</v>
      </c>
      <c r="H39" s="83" t="s">
        <v>3187</v>
      </c>
      <c r="I39" s="83" t="s">
        <v>4743</v>
      </c>
      <c r="K39" s="83" t="s">
        <v>34</v>
      </c>
      <c r="L39" s="174">
        <v>730504</v>
      </c>
      <c r="M39" s="85" t="s">
        <v>1837</v>
      </c>
      <c r="P39">
        <v>730504</v>
      </c>
      <c r="Q39" s="83" t="s">
        <v>4744</v>
      </c>
      <c r="S39" s="234">
        <v>2034</v>
      </c>
      <c r="T39" s="261" t="s">
        <v>4762</v>
      </c>
      <c r="U39" s="261" t="s">
        <v>4763</v>
      </c>
      <c r="V39" t="str">
        <f t="shared" si="6"/>
        <v>Sim</v>
      </c>
    </row>
    <row r="40" spans="1:22" ht="15.75" thickBot="1" x14ac:dyDescent="0.3">
      <c r="A40" t="s">
        <v>4718</v>
      </c>
      <c r="B40" t="s">
        <v>4718</v>
      </c>
      <c r="C40" t="s">
        <v>1969</v>
      </c>
      <c r="D40" s="83" t="s">
        <v>4729</v>
      </c>
      <c r="E40" s="83" t="s">
        <v>34</v>
      </c>
      <c r="F40" s="83" t="s">
        <v>1745</v>
      </c>
      <c r="G40" s="83" t="s">
        <v>1836</v>
      </c>
      <c r="H40" s="83" t="s">
        <v>3187</v>
      </c>
      <c r="I40" s="83" t="s">
        <v>4743</v>
      </c>
      <c r="K40" s="83" t="s">
        <v>34</v>
      </c>
      <c r="L40" s="174">
        <v>2519409</v>
      </c>
      <c r="M40" s="85" t="s">
        <v>1837</v>
      </c>
      <c r="P40">
        <v>2519409</v>
      </c>
      <c r="Q40" s="83" t="s">
        <v>4744</v>
      </c>
      <c r="S40" s="234">
        <v>2035</v>
      </c>
      <c r="T40" s="261" t="s">
        <v>4764</v>
      </c>
      <c r="U40" s="261" t="s">
        <v>4765</v>
      </c>
      <c r="V40" t="str">
        <f t="shared" si="6"/>
        <v>Sim</v>
      </c>
    </row>
    <row r="41" spans="1:22" ht="15.75" thickBot="1" x14ac:dyDescent="0.3">
      <c r="A41" t="s">
        <v>4718</v>
      </c>
      <c r="B41" t="s">
        <v>4718</v>
      </c>
      <c r="C41" t="s">
        <v>1969</v>
      </c>
      <c r="D41" s="83" t="s">
        <v>4730</v>
      </c>
      <c r="E41" s="83" t="s">
        <v>34</v>
      </c>
      <c r="F41" s="83" t="s">
        <v>1745</v>
      </c>
      <c r="G41" s="83" t="s">
        <v>1836</v>
      </c>
      <c r="H41" s="83" t="s">
        <v>3187</v>
      </c>
      <c r="I41" s="83" t="s">
        <v>4743</v>
      </c>
      <c r="K41" s="83" t="s">
        <v>34</v>
      </c>
      <c r="L41" s="174">
        <v>1198906</v>
      </c>
      <c r="M41" s="85" t="s">
        <v>1837</v>
      </c>
      <c r="P41">
        <v>1198906</v>
      </c>
      <c r="Q41" s="83" t="s">
        <v>4744</v>
      </c>
      <c r="S41" s="234">
        <v>2036</v>
      </c>
      <c r="T41" s="261" t="s">
        <v>4766</v>
      </c>
      <c r="U41" s="261" t="s">
        <v>4767</v>
      </c>
      <c r="V41" t="str">
        <f t="shared" si="6"/>
        <v>Sim</v>
      </c>
    </row>
    <row r="42" spans="1:22" ht="15.75" thickBot="1" x14ac:dyDescent="0.3">
      <c r="A42" t="s">
        <v>4718</v>
      </c>
      <c r="B42" t="s">
        <v>4718</v>
      </c>
      <c r="C42" t="s">
        <v>1969</v>
      </c>
      <c r="D42" s="83" t="s">
        <v>4731</v>
      </c>
      <c r="E42" s="83" t="s">
        <v>34</v>
      </c>
      <c r="F42" s="83" t="s">
        <v>1745</v>
      </c>
      <c r="G42" s="83" t="s">
        <v>1836</v>
      </c>
      <c r="H42" s="83" t="s">
        <v>3187</v>
      </c>
      <c r="I42" s="83" t="s">
        <v>4743</v>
      </c>
      <c r="K42" s="83" t="s">
        <v>34</v>
      </c>
      <c r="L42" s="174">
        <v>618087</v>
      </c>
      <c r="M42" s="85" t="s">
        <v>1837</v>
      </c>
      <c r="P42">
        <v>618087</v>
      </c>
      <c r="Q42" s="83" t="s">
        <v>4744</v>
      </c>
      <c r="S42" s="234">
        <v>2037</v>
      </c>
      <c r="T42" s="261" t="s">
        <v>4768</v>
      </c>
      <c r="U42" s="261" t="s">
        <v>4769</v>
      </c>
      <c r="V42" t="str">
        <f t="shared" si="6"/>
        <v>Sim</v>
      </c>
    </row>
    <row r="43" spans="1:22" ht="15.75" thickBot="1" x14ac:dyDescent="0.3">
      <c r="A43" t="s">
        <v>4718</v>
      </c>
      <c r="B43" t="s">
        <v>4718</v>
      </c>
      <c r="C43" t="s">
        <v>1969</v>
      </c>
      <c r="D43" s="83" t="s">
        <v>4732</v>
      </c>
      <c r="E43" s="83" t="s">
        <v>42</v>
      </c>
      <c r="F43" s="83" t="s">
        <v>1745</v>
      </c>
      <c r="G43" s="83" t="s">
        <v>1836</v>
      </c>
      <c r="H43" s="83" t="s">
        <v>3187</v>
      </c>
      <c r="I43" s="83" t="s">
        <v>4743</v>
      </c>
      <c r="K43" s="83" t="s">
        <v>34</v>
      </c>
      <c r="L43" s="174">
        <v>700636</v>
      </c>
      <c r="M43" s="85" t="s">
        <v>1837</v>
      </c>
      <c r="P43">
        <v>700636</v>
      </c>
      <c r="Q43" s="83" t="s">
        <v>4744</v>
      </c>
      <c r="S43" s="234">
        <v>2038</v>
      </c>
      <c r="T43" s="261" t="s">
        <v>4770</v>
      </c>
      <c r="U43" s="261" t="s">
        <v>4771</v>
      </c>
      <c r="V43" t="str">
        <f t="shared" si="6"/>
        <v>Não</v>
      </c>
    </row>
    <row r="44" spans="1:22" ht="15.75" thickBot="1" x14ac:dyDescent="0.3">
      <c r="A44" t="s">
        <v>4718</v>
      </c>
      <c r="B44" t="s">
        <v>4718</v>
      </c>
      <c r="C44" t="s">
        <v>1969</v>
      </c>
      <c r="D44" s="83" t="s">
        <v>4733</v>
      </c>
      <c r="E44" s="83" t="s">
        <v>42</v>
      </c>
      <c r="F44" s="83" t="s">
        <v>1745</v>
      </c>
      <c r="G44" s="83" t="s">
        <v>1836</v>
      </c>
      <c r="H44" s="83" t="s">
        <v>3187</v>
      </c>
      <c r="I44" s="83" t="s">
        <v>4743</v>
      </c>
      <c r="K44" s="83" t="s">
        <v>34</v>
      </c>
      <c r="L44" s="174">
        <v>1660709</v>
      </c>
      <c r="M44" s="85" t="s">
        <v>1837</v>
      </c>
      <c r="P44">
        <v>1660709</v>
      </c>
      <c r="Q44" s="83" t="s">
        <v>4744</v>
      </c>
      <c r="S44" s="234">
        <v>2039</v>
      </c>
      <c r="T44" s="261" t="s">
        <v>4772</v>
      </c>
      <c r="U44" s="261" t="s">
        <v>4773</v>
      </c>
      <c r="V44" t="str">
        <f t="shared" si="6"/>
        <v>Não</v>
      </c>
    </row>
    <row r="45" spans="1:22" ht="15.75" thickBot="1" x14ac:dyDescent="0.3">
      <c r="A45" t="s">
        <v>4718</v>
      </c>
      <c r="B45" t="s">
        <v>4718</v>
      </c>
      <c r="C45" t="s">
        <v>1969</v>
      </c>
      <c r="D45" s="83" t="s">
        <v>4734</v>
      </c>
      <c r="E45" s="83" t="s">
        <v>34</v>
      </c>
      <c r="F45" s="83" t="s">
        <v>1745</v>
      </c>
      <c r="G45" s="83" t="s">
        <v>1836</v>
      </c>
      <c r="H45" s="83" t="s">
        <v>3187</v>
      </c>
      <c r="I45" s="83" t="s">
        <v>4743</v>
      </c>
      <c r="K45" s="83" t="s">
        <v>34</v>
      </c>
      <c r="L45" s="174">
        <v>2001495</v>
      </c>
      <c r="M45" s="85" t="s">
        <v>1837</v>
      </c>
      <c r="P45">
        <v>2001495</v>
      </c>
      <c r="Q45" s="83" t="s">
        <v>4744</v>
      </c>
      <c r="S45" s="234">
        <v>2040</v>
      </c>
      <c r="T45" s="261" t="s">
        <v>4774</v>
      </c>
      <c r="U45" s="261" t="s">
        <v>4775</v>
      </c>
      <c r="V45" t="str">
        <f t="shared" si="6"/>
        <v>Sim</v>
      </c>
    </row>
    <row r="46" spans="1:22" ht="15.75" thickBot="1" x14ac:dyDescent="0.3">
      <c r="A46" t="s">
        <v>4718</v>
      </c>
      <c r="B46" t="s">
        <v>4718</v>
      </c>
      <c r="C46" t="s">
        <v>1969</v>
      </c>
      <c r="D46" s="83" t="s">
        <v>4735</v>
      </c>
      <c r="E46" s="83" t="s">
        <v>42</v>
      </c>
      <c r="F46" s="83" t="s">
        <v>1745</v>
      </c>
      <c r="G46" s="83" t="s">
        <v>1836</v>
      </c>
      <c r="H46" s="83" t="s">
        <v>3187</v>
      </c>
      <c r="I46" s="83" t="s">
        <v>4743</v>
      </c>
      <c r="K46" s="83" t="s">
        <v>34</v>
      </c>
      <c r="L46" s="174">
        <v>1136664</v>
      </c>
      <c r="M46" s="85" t="s">
        <v>1837</v>
      </c>
      <c r="P46">
        <v>1136664</v>
      </c>
      <c r="Q46" s="83" t="s">
        <v>4744</v>
      </c>
      <c r="S46" s="234">
        <v>2041</v>
      </c>
      <c r="T46" s="261" t="s">
        <v>4776</v>
      </c>
      <c r="U46" s="261" t="s">
        <v>4777</v>
      </c>
      <c r="V46" t="str">
        <f t="shared" si="6"/>
        <v>Não</v>
      </c>
    </row>
    <row r="47" spans="1:22" ht="15.75" thickBot="1" x14ac:dyDescent="0.3">
      <c r="A47" t="s">
        <v>4718</v>
      </c>
      <c r="B47" t="s">
        <v>4718</v>
      </c>
      <c r="C47" t="s">
        <v>1969</v>
      </c>
      <c r="D47" s="83" t="s">
        <v>4736</v>
      </c>
      <c r="E47" s="83" t="s">
        <v>42</v>
      </c>
      <c r="F47" s="83" t="s">
        <v>1745</v>
      </c>
      <c r="G47" s="83" t="s">
        <v>1836</v>
      </c>
      <c r="H47" s="83" t="s">
        <v>3187</v>
      </c>
      <c r="I47" s="83" t="s">
        <v>4743</v>
      </c>
      <c r="K47" s="83" t="s">
        <v>34</v>
      </c>
      <c r="L47" s="174">
        <v>597377</v>
      </c>
      <c r="M47" s="85" t="s">
        <v>1837</v>
      </c>
      <c r="P47">
        <v>597377</v>
      </c>
      <c r="Q47" s="83" t="s">
        <v>4744</v>
      </c>
      <c r="S47" s="234">
        <v>2042</v>
      </c>
      <c r="T47" s="261" t="s">
        <v>4778</v>
      </c>
      <c r="U47" s="261" t="s">
        <v>4779</v>
      </c>
      <c r="V47" t="str">
        <f t="shared" si="6"/>
        <v>Não</v>
      </c>
    </row>
    <row r="48" spans="1:22" ht="15.75" thickBot="1" x14ac:dyDescent="0.3">
      <c r="A48" t="s">
        <v>4718</v>
      </c>
      <c r="B48" t="s">
        <v>4718</v>
      </c>
      <c r="C48" t="s">
        <v>1969</v>
      </c>
      <c r="D48" s="83" t="s">
        <v>4737</v>
      </c>
      <c r="E48" s="83" t="s">
        <v>42</v>
      </c>
      <c r="F48" s="83" t="s">
        <v>1745</v>
      </c>
      <c r="G48" s="83" t="s">
        <v>1836</v>
      </c>
      <c r="H48" s="83" t="s">
        <v>3187</v>
      </c>
      <c r="I48" s="83" t="s">
        <v>4743</v>
      </c>
      <c r="K48" s="83" t="s">
        <v>34</v>
      </c>
      <c r="L48" s="174">
        <v>2047728</v>
      </c>
      <c r="M48" s="85" t="s">
        <v>1837</v>
      </c>
      <c r="P48">
        <v>2047728</v>
      </c>
      <c r="Q48" s="83" t="s">
        <v>4744</v>
      </c>
      <c r="S48" s="234">
        <v>2043</v>
      </c>
      <c r="T48" s="261" t="s">
        <v>4780</v>
      </c>
      <c r="U48" s="261" t="s">
        <v>4781</v>
      </c>
      <c r="V48" t="str">
        <f t="shared" si="6"/>
        <v>Não</v>
      </c>
    </row>
    <row r="49" spans="1:22" ht="15.75" thickBot="1" x14ac:dyDescent="0.3">
      <c r="A49" t="s">
        <v>4718</v>
      </c>
      <c r="B49" t="s">
        <v>4718</v>
      </c>
      <c r="C49" t="s">
        <v>1969</v>
      </c>
      <c r="D49" s="83" t="s">
        <v>4738</v>
      </c>
      <c r="E49" s="83" t="s">
        <v>42</v>
      </c>
      <c r="F49" s="83" t="s">
        <v>1745</v>
      </c>
      <c r="G49" s="83" t="s">
        <v>1836</v>
      </c>
      <c r="H49" s="83" t="s">
        <v>3187</v>
      </c>
      <c r="I49" s="83" t="s">
        <v>4743</v>
      </c>
      <c r="K49" s="83" t="s">
        <v>34</v>
      </c>
      <c r="L49" s="174">
        <v>6950108</v>
      </c>
      <c r="M49" s="85" t="s">
        <v>1837</v>
      </c>
      <c r="P49">
        <v>6950108</v>
      </c>
      <c r="Q49" s="83" t="s">
        <v>4744</v>
      </c>
      <c r="S49" s="234">
        <v>2044</v>
      </c>
      <c r="T49" s="261" t="s">
        <v>4782</v>
      </c>
      <c r="U49" s="261" t="s">
        <v>4783</v>
      </c>
      <c r="V49" t="str">
        <f t="shared" si="6"/>
        <v>Não</v>
      </c>
    </row>
    <row r="50" spans="1:22" ht="15.75" thickBot="1" x14ac:dyDescent="0.3">
      <c r="A50" t="s">
        <v>4718</v>
      </c>
      <c r="B50" t="s">
        <v>4718</v>
      </c>
      <c r="C50" t="s">
        <v>1969</v>
      </c>
      <c r="D50" s="83" t="s">
        <v>4739</v>
      </c>
      <c r="E50" s="83" t="s">
        <v>42</v>
      </c>
      <c r="F50" s="83" t="s">
        <v>1745</v>
      </c>
      <c r="G50" s="83" t="s">
        <v>1836</v>
      </c>
      <c r="H50" s="83" t="s">
        <v>3187</v>
      </c>
      <c r="I50" s="83" t="s">
        <v>4743</v>
      </c>
      <c r="K50" s="83" t="s">
        <v>34</v>
      </c>
      <c r="L50" s="174">
        <v>332675</v>
      </c>
      <c r="M50" s="85" t="s">
        <v>1837</v>
      </c>
      <c r="P50">
        <v>332675</v>
      </c>
      <c r="Q50" s="83" t="s">
        <v>4744</v>
      </c>
      <c r="S50" s="234">
        <v>2045</v>
      </c>
      <c r="T50" s="261" t="s">
        <v>4784</v>
      </c>
      <c r="U50" s="261" t="s">
        <v>4785</v>
      </c>
      <c r="V50" t="str">
        <f t="shared" si="6"/>
        <v>Não</v>
      </c>
    </row>
    <row r="51" spans="1:22" ht="15.75" thickBot="1" x14ac:dyDescent="0.3">
      <c r="A51" t="s">
        <v>4718</v>
      </c>
      <c r="B51" t="s">
        <v>4718</v>
      </c>
      <c r="C51" t="s">
        <v>1969</v>
      </c>
      <c r="D51" s="83" t="s">
        <v>4740</v>
      </c>
      <c r="E51" s="83" t="s">
        <v>42</v>
      </c>
      <c r="F51" s="83" t="s">
        <v>1745</v>
      </c>
      <c r="G51" s="83" t="s">
        <v>1836</v>
      </c>
      <c r="H51" s="83" t="s">
        <v>3187</v>
      </c>
      <c r="I51" s="83" t="s">
        <v>4743</v>
      </c>
      <c r="K51" s="83" t="s">
        <v>34</v>
      </c>
      <c r="L51" s="174">
        <v>1179466</v>
      </c>
      <c r="M51" s="85" t="s">
        <v>1837</v>
      </c>
      <c r="P51">
        <v>1179466</v>
      </c>
      <c r="Q51" s="83" t="s">
        <v>4744</v>
      </c>
      <c r="S51" s="234">
        <v>2046</v>
      </c>
      <c r="T51" s="261" t="s">
        <v>4786</v>
      </c>
      <c r="U51" s="261" t="s">
        <v>4787</v>
      </c>
      <c r="V51" t="str">
        <f t="shared" si="6"/>
        <v>Não</v>
      </c>
    </row>
    <row r="52" spans="1:22" ht="15.75" thickBot="1" x14ac:dyDescent="0.3">
      <c r="A52" t="s">
        <v>4718</v>
      </c>
      <c r="B52" t="s">
        <v>4718</v>
      </c>
      <c r="C52" t="s">
        <v>1969</v>
      </c>
      <c r="D52" s="83" t="s">
        <v>4741</v>
      </c>
      <c r="E52" s="83" t="s">
        <v>42</v>
      </c>
      <c r="F52" s="83" t="s">
        <v>1745</v>
      </c>
      <c r="G52" s="83" t="s">
        <v>1836</v>
      </c>
      <c r="H52" s="83" t="s">
        <v>3187</v>
      </c>
      <c r="I52" s="83" t="s">
        <v>4743</v>
      </c>
      <c r="K52" s="83" t="s">
        <v>34</v>
      </c>
      <c r="L52" s="174">
        <v>383306</v>
      </c>
      <c r="M52" s="85" t="s">
        <v>1837</v>
      </c>
      <c r="P52">
        <v>383306</v>
      </c>
      <c r="Q52" s="83" t="s">
        <v>4744</v>
      </c>
      <c r="S52" s="234">
        <v>2047</v>
      </c>
      <c r="T52" s="261" t="s">
        <v>4788</v>
      </c>
      <c r="U52" s="261" t="s">
        <v>4789</v>
      </c>
      <c r="V52" t="str">
        <f t="shared" si="6"/>
        <v>Não</v>
      </c>
    </row>
    <row r="53" spans="1:22" ht="15.75" thickBot="1" x14ac:dyDescent="0.3">
      <c r="A53" t="s">
        <v>4718</v>
      </c>
      <c r="B53" t="s">
        <v>4718</v>
      </c>
      <c r="C53" t="s">
        <v>1969</v>
      </c>
      <c r="D53" s="83" t="s">
        <v>4742</v>
      </c>
      <c r="E53" s="83" t="s">
        <v>42</v>
      </c>
      <c r="F53" s="83" t="s">
        <v>1745</v>
      </c>
      <c r="G53" s="83" t="s">
        <v>1836</v>
      </c>
      <c r="H53" s="83" t="s">
        <v>3187</v>
      </c>
      <c r="I53" s="83" t="s">
        <v>4743</v>
      </c>
      <c r="K53" s="83" t="s">
        <v>34</v>
      </c>
      <c r="L53" s="174">
        <v>455297</v>
      </c>
      <c r="M53" s="85" t="s">
        <v>1837</v>
      </c>
      <c r="P53">
        <v>455297</v>
      </c>
      <c r="Q53" s="83" t="s">
        <v>4744</v>
      </c>
      <c r="S53" s="234">
        <v>2048</v>
      </c>
      <c r="T53" s="261" t="s">
        <v>4790</v>
      </c>
      <c r="U53" s="261" t="s">
        <v>4791</v>
      </c>
      <c r="V53" t="str">
        <f t="shared" si="6"/>
        <v>Não</v>
      </c>
    </row>
  </sheetData>
  <mergeCells count="21">
    <mergeCell ref="R1:R2"/>
    <mergeCell ref="N1:N2"/>
    <mergeCell ref="O1:O2"/>
    <mergeCell ref="P1:P2"/>
    <mergeCell ref="Q1:Q2"/>
    <mergeCell ref="V1:V2"/>
    <mergeCell ref="T1:T2"/>
    <mergeCell ref="U1:U2"/>
    <mergeCell ref="A1:A2"/>
    <mergeCell ref="C1:C2"/>
    <mergeCell ref="I1:I2"/>
    <mergeCell ref="B1:B2"/>
    <mergeCell ref="D1:D2"/>
    <mergeCell ref="E1:E2"/>
    <mergeCell ref="F1:F2"/>
    <mergeCell ref="G1:G2"/>
    <mergeCell ref="J1:J2"/>
    <mergeCell ref="K1:K2"/>
    <mergeCell ref="L1:L2"/>
    <mergeCell ref="M1:M2"/>
    <mergeCell ref="S1:S2"/>
  </mergeCells>
  <dataValidations count="4">
    <dataValidation type="list" allowBlank="1" showInputMessage="1" showErrorMessage="1" sqref="M3:M53">
      <formula1>"passageiros, unidades, paletes, contentores, kWh, l (litros), kg (quilos), ton (toneladas), Nm3 (metros cubicos norm.), Outro/NA"</formula1>
    </dataValidation>
    <dataValidation type="list" allowBlank="1" showInputMessage="1" showErrorMessage="1" sqref="G3:G53">
      <formula1>"Bus,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F3:F53">
      <formula1>"Rodoviário, Ferroviário, Aéreo, Marítimo, Outro"</formula1>
    </dataValidation>
    <dataValidation type="list" allowBlank="1" showInputMessage="1" showErrorMessage="1" sqref="E12 E14:E23 E26:E53 K3:K53">
      <formula1>"Sim, Não"</formula1>
    </dataValidation>
  </dataValidations>
  <pageMargins left="0.7" right="0.7" top="0.75" bottom="0.75" header="0.3" footer="0.3"/>
  <customProperties>
    <customPr name="GUID" r:id="rId1"/>
  </customPropertie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0"/>
  <dimension ref="B6:Y224"/>
  <sheetViews>
    <sheetView topLeftCell="A208" workbookViewId="0">
      <selection activeCell="D53" sqref="D53"/>
    </sheetView>
    <sheetView workbookViewId="1"/>
  </sheetViews>
  <sheetFormatPr defaultRowHeight="15" x14ac:dyDescent="0.25"/>
  <cols>
    <col min="2" max="2" width="48.42578125" customWidth="1"/>
    <col min="3" max="3" width="37.7109375" customWidth="1"/>
    <col min="4" max="4" width="94.5703125" style="146" customWidth="1"/>
    <col min="5" max="5" width="16" customWidth="1"/>
    <col min="6" max="6" width="18.7109375" customWidth="1"/>
    <col min="7" max="7" width="19.140625" style="89" customWidth="1"/>
    <col min="8" max="8" width="22" customWidth="1"/>
    <col min="9" max="9" width="114.5703125" style="94" customWidth="1"/>
    <col min="10" max="10" width="65.140625" customWidth="1"/>
    <col min="11" max="11" width="108.85546875" bestFit="1" customWidth="1"/>
    <col min="12" max="12" width="59.28515625" bestFit="1" customWidth="1"/>
  </cols>
  <sheetData>
    <row r="6" spans="2:25" ht="15.75" thickBot="1" x14ac:dyDescent="0.3"/>
    <row r="7" spans="2:25" x14ac:dyDescent="0.25">
      <c r="B7" s="78" t="s">
        <v>118</v>
      </c>
      <c r="C7" s="79"/>
    </row>
    <row r="9" spans="2:25" x14ac:dyDescent="0.25">
      <c r="B9" s="516" t="str">
        <f>"Grupo Barraqueiro: "&amp;'Folha de Rosto'!C6&amp;" "&amp;'Folha de Rosto'!I6&amp;" - Emissões de GEE de Âmbito 3"</f>
        <v>Grupo Barraqueiro: PEGADA DE CARBONO 2022 - Emissões de GEE de Âmbito 3</v>
      </c>
      <c r="C9" s="516"/>
      <c r="D9" s="516"/>
      <c r="E9" s="516"/>
      <c r="F9" s="516"/>
      <c r="G9" s="516"/>
      <c r="H9" s="516"/>
      <c r="I9" s="516"/>
      <c r="J9" s="516"/>
      <c r="K9" s="516"/>
      <c r="L9" s="516"/>
      <c r="M9" s="516"/>
      <c r="N9" s="516"/>
      <c r="O9" s="516"/>
      <c r="P9" s="516"/>
      <c r="Q9" s="516"/>
      <c r="R9" s="516"/>
      <c r="S9" s="516"/>
      <c r="T9" s="516"/>
      <c r="U9" s="516"/>
      <c r="V9" s="516"/>
      <c r="W9" s="516"/>
      <c r="X9" s="516"/>
      <c r="Y9" s="516"/>
    </row>
    <row r="10" spans="2:25" ht="15.75" thickBot="1" x14ac:dyDescent="0.3"/>
    <row r="11" spans="2:25" ht="33.6" customHeight="1" thickBot="1" x14ac:dyDescent="0.3">
      <c r="B11" s="549" t="s">
        <v>119</v>
      </c>
      <c r="C11" s="550"/>
      <c r="D11" s="551" t="s">
        <v>522</v>
      </c>
      <c r="E11" s="552"/>
      <c r="F11" s="552"/>
      <c r="G11" s="552"/>
      <c r="H11" s="552"/>
      <c r="I11" s="552"/>
      <c r="J11" s="552"/>
      <c r="K11" s="552"/>
      <c r="L11" s="552"/>
      <c r="M11" s="552"/>
      <c r="N11" s="552"/>
      <c r="O11" s="552"/>
      <c r="P11" s="552"/>
      <c r="Q11" s="552"/>
      <c r="R11" s="553"/>
    </row>
    <row r="12" spans="2:25" ht="60.95" customHeight="1" thickBot="1" x14ac:dyDescent="0.3">
      <c r="B12" s="549" t="s">
        <v>120</v>
      </c>
      <c r="C12" s="550"/>
      <c r="D12" s="554" t="s">
        <v>463</v>
      </c>
      <c r="E12" s="555"/>
      <c r="F12" s="555"/>
      <c r="G12" s="555"/>
      <c r="H12" s="555"/>
      <c r="I12" s="555"/>
      <c r="J12" s="555"/>
      <c r="K12" s="555"/>
      <c r="L12" s="555"/>
      <c r="M12" s="555"/>
      <c r="N12" s="555"/>
      <c r="O12" s="555"/>
      <c r="P12" s="555"/>
      <c r="Q12" s="555"/>
      <c r="R12" s="556"/>
    </row>
    <row r="13" spans="2:25" ht="60.95" customHeight="1" thickBot="1" x14ac:dyDescent="0.3">
      <c r="B13" s="549" t="s">
        <v>121</v>
      </c>
      <c r="C13" s="550"/>
      <c r="D13" s="547" t="s">
        <v>1529</v>
      </c>
      <c r="E13" s="548"/>
      <c r="F13" s="548"/>
      <c r="G13" s="548"/>
      <c r="H13" s="548"/>
      <c r="I13" s="548"/>
      <c r="J13" s="548"/>
      <c r="K13" s="548"/>
      <c r="L13" s="548"/>
      <c r="M13" s="548"/>
      <c r="N13" s="548"/>
      <c r="O13" s="548"/>
      <c r="P13" s="548"/>
      <c r="Q13" s="548"/>
      <c r="R13" s="557"/>
    </row>
    <row r="14" spans="2:25" ht="60.95" customHeight="1" thickBot="1" x14ac:dyDescent="0.3">
      <c r="B14" s="549" t="s">
        <v>122</v>
      </c>
      <c r="C14" s="550"/>
      <c r="D14" s="547" t="s">
        <v>123</v>
      </c>
      <c r="E14" s="548"/>
      <c r="F14" s="548"/>
      <c r="G14" s="548"/>
      <c r="H14" s="548"/>
      <c r="I14" s="548"/>
      <c r="J14" s="548"/>
      <c r="K14" s="548"/>
      <c r="L14" s="548"/>
      <c r="M14" s="548"/>
      <c r="N14" s="548"/>
      <c r="O14" s="548"/>
      <c r="P14" s="548"/>
      <c r="Q14" s="548"/>
      <c r="R14" s="557"/>
    </row>
    <row r="15" spans="2:25" ht="60" customHeight="1" thickBot="1" x14ac:dyDescent="0.3">
      <c r="B15" s="549" t="s">
        <v>128</v>
      </c>
      <c r="C15" s="550"/>
      <c r="D15" s="547" t="s">
        <v>129</v>
      </c>
      <c r="E15" s="548"/>
      <c r="F15" s="548"/>
      <c r="G15" s="548"/>
      <c r="H15" s="548"/>
      <c r="I15" s="548"/>
      <c r="J15" s="548"/>
      <c r="K15" s="548"/>
      <c r="L15" s="548"/>
      <c r="M15" s="548"/>
      <c r="N15" s="548"/>
      <c r="O15" s="548"/>
      <c r="P15" s="548"/>
      <c r="Q15" s="548"/>
      <c r="R15" s="513"/>
    </row>
    <row r="17" spans="2:25" x14ac:dyDescent="0.25">
      <c r="B17" s="516" t="s">
        <v>1813</v>
      </c>
      <c r="C17" s="516"/>
      <c r="D17" s="516"/>
      <c r="E17" s="516"/>
      <c r="F17" s="516"/>
      <c r="G17" s="516"/>
      <c r="H17" s="516"/>
      <c r="I17" s="516"/>
      <c r="J17" s="516"/>
      <c r="K17" s="516"/>
      <c r="L17" s="516"/>
      <c r="M17" s="516"/>
      <c r="N17" s="516"/>
      <c r="O17" s="516"/>
      <c r="P17" s="516"/>
      <c r="Q17" s="516"/>
      <c r="R17" s="516"/>
      <c r="S17" s="516"/>
      <c r="T17" s="516"/>
      <c r="U17" s="516"/>
      <c r="V17" s="516"/>
      <c r="W17" s="516"/>
      <c r="X17" s="516"/>
      <c r="Y17" s="516"/>
    </row>
    <row r="18" spans="2:25" x14ac:dyDescent="0.25">
      <c r="B18" t="s">
        <v>130</v>
      </c>
    </row>
    <row r="20" spans="2:25" x14ac:dyDescent="0.25">
      <c r="B20" s="81" t="s">
        <v>135</v>
      </c>
    </row>
    <row r="21" spans="2:25" x14ac:dyDescent="0.25">
      <c r="B21" s="517"/>
      <c r="C21" s="517"/>
      <c r="D21" s="517"/>
      <c r="E21" s="517"/>
      <c r="F21" s="517"/>
      <c r="G21" s="517"/>
      <c r="H21" s="517"/>
      <c r="I21" s="517"/>
      <c r="J21" s="517"/>
      <c r="K21" s="517"/>
      <c r="L21" s="517"/>
      <c r="M21" s="517"/>
      <c r="N21" s="517"/>
      <c r="O21" s="517"/>
      <c r="P21" s="517"/>
      <c r="Q21" s="517"/>
      <c r="R21" s="517"/>
      <c r="S21" s="517"/>
      <c r="T21" s="517"/>
      <c r="U21" s="517"/>
      <c r="V21" s="517"/>
      <c r="W21" s="517"/>
    </row>
    <row r="22" spans="2:25" x14ac:dyDescent="0.25">
      <c r="B22" s="517"/>
      <c r="C22" s="517"/>
      <c r="D22" s="517"/>
      <c r="E22" s="517"/>
      <c r="F22" s="517"/>
      <c r="G22" s="517"/>
      <c r="H22" s="517"/>
      <c r="I22" s="517"/>
      <c r="J22" s="517"/>
      <c r="K22" s="517"/>
      <c r="L22" s="517"/>
      <c r="M22" s="517"/>
      <c r="N22" s="517"/>
      <c r="O22" s="517"/>
      <c r="P22" s="517"/>
      <c r="Q22" s="517"/>
      <c r="R22" s="517"/>
      <c r="S22" s="517"/>
      <c r="T22" s="517"/>
      <c r="U22" s="517"/>
      <c r="V22" s="517"/>
      <c r="W22" s="517"/>
    </row>
    <row r="24" spans="2:25" ht="15" customHeight="1" x14ac:dyDescent="0.25">
      <c r="B24" s="81" t="s">
        <v>136</v>
      </c>
    </row>
    <row r="25" spans="2:25" x14ac:dyDescent="0.25">
      <c r="B25" s="517"/>
      <c r="C25" s="517"/>
      <c r="D25" s="517"/>
      <c r="E25" s="517"/>
      <c r="F25" s="517"/>
      <c r="G25" s="517"/>
      <c r="H25" s="517"/>
      <c r="I25" s="517"/>
      <c r="J25" s="517"/>
      <c r="K25" s="517"/>
      <c r="L25" s="517"/>
      <c r="M25" s="517"/>
      <c r="N25" s="517"/>
      <c r="O25" s="517"/>
      <c r="P25" s="517"/>
      <c r="Q25" s="517"/>
      <c r="R25" s="517"/>
      <c r="S25" s="517"/>
      <c r="T25" s="517"/>
      <c r="U25" s="517"/>
      <c r="V25" s="517"/>
      <c r="W25" s="517"/>
    </row>
    <row r="26" spans="2:25" x14ac:dyDescent="0.25">
      <c r="B26" s="517"/>
      <c r="C26" s="517"/>
      <c r="D26" s="517"/>
      <c r="E26" s="517"/>
      <c r="F26" s="517"/>
      <c r="G26" s="517"/>
      <c r="H26" s="517"/>
      <c r="I26" s="517"/>
      <c r="J26" s="517"/>
      <c r="K26" s="517"/>
      <c r="L26" s="517"/>
      <c r="M26" s="517"/>
      <c r="N26" s="517"/>
      <c r="O26" s="517"/>
      <c r="P26" s="517"/>
      <c r="Q26" s="517"/>
      <c r="R26" s="517"/>
      <c r="S26" s="517"/>
      <c r="T26" s="517"/>
      <c r="U26" s="517"/>
      <c r="V26" s="517"/>
      <c r="W26" s="517"/>
    </row>
    <row r="27" spans="2:25" ht="15.75" thickBot="1" x14ac:dyDescent="0.3"/>
    <row r="28" spans="2:25" s="94" customFormat="1" ht="30.75" customHeight="1" x14ac:dyDescent="0.25">
      <c r="B28" s="508" t="s">
        <v>131</v>
      </c>
      <c r="C28" s="508" t="s">
        <v>465</v>
      </c>
      <c r="D28" s="573" t="s">
        <v>466</v>
      </c>
      <c r="E28" s="529" t="s">
        <v>1530</v>
      </c>
      <c r="F28" s="508" t="s">
        <v>464</v>
      </c>
      <c r="G28" s="529" t="s">
        <v>141</v>
      </c>
      <c r="H28" s="508" t="s">
        <v>467</v>
      </c>
      <c r="I28" s="508" t="s">
        <v>468</v>
      </c>
      <c r="J28" s="508" t="s">
        <v>1533</v>
      </c>
      <c r="K28" s="508" t="s">
        <v>1534</v>
      </c>
      <c r="L28" s="529" t="s">
        <v>134</v>
      </c>
    </row>
    <row r="29" spans="2:25" s="94" customFormat="1" ht="15" customHeight="1" thickBot="1" x14ac:dyDescent="0.3">
      <c r="B29" s="509"/>
      <c r="C29" s="509"/>
      <c r="D29" s="574"/>
      <c r="E29" s="530"/>
      <c r="F29" s="509"/>
      <c r="G29" s="530"/>
      <c r="H29" s="509"/>
      <c r="I29" s="509"/>
      <c r="J29" s="509"/>
      <c r="K29" s="509"/>
      <c r="L29" s="530"/>
    </row>
    <row r="30" spans="2:25" ht="15.75" thickBot="1" x14ac:dyDescent="0.3">
      <c r="B30" s="82" t="s">
        <v>534</v>
      </c>
      <c r="C30" s="142" t="s">
        <v>1579</v>
      </c>
      <c r="D30" s="83" t="s">
        <v>1580</v>
      </c>
      <c r="E30" s="125" t="s">
        <v>34</v>
      </c>
      <c r="F30" s="139">
        <f t="array" ref="F30">SUMPRODUCT(IF(C$87:C$222=C30,1,0),IF(H$87:H$222=H30,1,0),IF(G$87:G$222=G30,1,0),F$87:F$222)</f>
        <v>0.29600000000000004</v>
      </c>
      <c r="G30" s="125" t="s">
        <v>1532</v>
      </c>
      <c r="H30" s="139" t="s">
        <v>509</v>
      </c>
      <c r="I30" s="91" t="str">
        <f>IFERROR(INDEX(Tabela3[Tipos de Tratamento],MATCH('A3.9.1'!H30,Tabela3[Código],0)),"")</f>
        <v>Armazenagem enquanto se aguarda a execução de uma das operações enumeradas de D1 a D14</v>
      </c>
      <c r="J30" s="91"/>
      <c r="K30" s="91"/>
      <c r="L30" s="91"/>
    </row>
    <row r="31" spans="2:25" ht="15.75" thickBot="1" x14ac:dyDescent="0.3">
      <c r="B31" s="82" t="s">
        <v>534</v>
      </c>
      <c r="C31" s="142" t="s">
        <v>1579</v>
      </c>
      <c r="D31" s="83" t="s">
        <v>1580</v>
      </c>
      <c r="E31" s="125" t="s">
        <v>34</v>
      </c>
      <c r="F31" s="139">
        <f t="array" ref="F31">SUMPRODUCT(IF(C$87:C$222=C31,1,0),IF(H$87:H$222=H31,1,0),IF(G$87:G$222=G31,1,0),F$87:F$222)</f>
        <v>0.29600000000000004</v>
      </c>
      <c r="G31" s="125" t="s">
        <v>1532</v>
      </c>
      <c r="H31" s="139" t="s">
        <v>483</v>
      </c>
      <c r="I31" s="91" t="str">
        <f>IFERROR(INDEX(Tabela3[Tipos de Tratamento],MATCH('A3.9.1'!H31,Tabela3[Código],0)),"")</f>
        <v xml:space="preserve">Troca de resíduos com vista a submetê-los a uma das operações enumeradas de R 1 a R 11 </v>
      </c>
      <c r="J31" s="91"/>
      <c r="K31" s="91"/>
      <c r="L31" s="91"/>
    </row>
    <row r="32" spans="2:25" ht="15.75" thickBot="1" x14ac:dyDescent="0.3">
      <c r="B32" s="82" t="s">
        <v>534</v>
      </c>
      <c r="C32" s="142" t="s">
        <v>1588</v>
      </c>
      <c r="D32" s="83" t="s">
        <v>1589</v>
      </c>
      <c r="E32" s="125" t="s">
        <v>34</v>
      </c>
      <c r="F32" s="139">
        <f t="array" ref="F32">SUMPRODUCT(IF(C$87:C$222=C32,1,0),IF(H$87:H$222=H32,1,0),IF(G$87:G$222=G32,1,0),F$87:F$222)</f>
        <v>9.6000000000000002E-2</v>
      </c>
      <c r="G32" s="125" t="s">
        <v>1532</v>
      </c>
      <c r="H32" s="139" t="s">
        <v>484</v>
      </c>
      <c r="I32" s="91" t="str">
        <f>IFERROR(INDEX(Tabela3[Tipos de Tratamento],MATCH('A3.9.1'!H32,Tabela3[Código],0)),"")</f>
        <v>Acumulação de resíduos destinados a uma das operações enumeradas de R1 a R12</v>
      </c>
      <c r="J32" s="91"/>
      <c r="K32" s="91"/>
      <c r="L32" s="91"/>
    </row>
    <row r="33" spans="2:12" ht="15.75" thickBot="1" x14ac:dyDescent="0.3">
      <c r="B33" s="82" t="s">
        <v>534</v>
      </c>
      <c r="C33" s="142">
        <v>120301</v>
      </c>
      <c r="D33" s="83" t="s">
        <v>1601</v>
      </c>
      <c r="E33" s="125" t="s">
        <v>34</v>
      </c>
      <c r="F33" s="139">
        <f t="array" ref="F33">SUMPRODUCT(IF(C$87:C$222=C33,1,0),IF(H$87:H$222=H33,1,0),IF(G$87:G$222=G33,1,0),F$87:F$222)</f>
        <v>0</v>
      </c>
      <c r="G33" s="125" t="s">
        <v>1532</v>
      </c>
      <c r="H33" s="139" t="s">
        <v>503</v>
      </c>
      <c r="I33" s="91" t="str">
        <f>IFERROR(INDEX(Tabela3[Tipos de Tratamento],MATCH('A3.9.1'!H33,Tabela3[Código],0)),"")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33" s="91"/>
      <c r="K33" s="91"/>
      <c r="L33" s="91"/>
    </row>
    <row r="34" spans="2:12" ht="15.75" thickBot="1" x14ac:dyDescent="0.3">
      <c r="B34" s="82" t="s">
        <v>534</v>
      </c>
      <c r="C34" s="142">
        <v>120301</v>
      </c>
      <c r="D34" s="83" t="s">
        <v>1601</v>
      </c>
      <c r="E34" s="125" t="s">
        <v>34</v>
      </c>
      <c r="F34" s="139">
        <f t="array" ref="F34">SUMPRODUCT(IF(C$87:C$222=C34,1,0),IF(H$87:H$222=H34,1,0),IF(G$87:G$222=G34,1,0),F$87:F$222)</f>
        <v>0</v>
      </c>
      <c r="G34" s="125" t="s">
        <v>1532</v>
      </c>
      <c r="H34" s="139" t="s">
        <v>483</v>
      </c>
      <c r="I34" s="91" t="str">
        <f>IFERROR(INDEX(Tabela3[Tipos de Tratamento],MATCH('A3.9.1'!H34,Tabela3[Código],0)),"")</f>
        <v xml:space="preserve">Troca de resíduos com vista a submetê-los a uma das operações enumeradas de R 1 a R 11 </v>
      </c>
      <c r="J34" s="91"/>
      <c r="K34" s="91"/>
      <c r="L34" s="91"/>
    </row>
    <row r="35" spans="2:12" ht="15.75" thickBot="1" x14ac:dyDescent="0.3">
      <c r="B35" s="82" t="s">
        <v>534</v>
      </c>
      <c r="C35" s="142">
        <v>130208</v>
      </c>
      <c r="D35" s="83" t="s">
        <v>1531</v>
      </c>
      <c r="E35" s="125" t="s">
        <v>34</v>
      </c>
      <c r="F35" s="139">
        <f t="array" ref="F35">SUMPRODUCT(IF(C$87:C$222=C35,1,0),IF(H$87:H$222=H35,1,0),IF(G$87:G$222=G35,1,0),F$87:F$222)</f>
        <v>20.534999999999997</v>
      </c>
      <c r="G35" s="125" t="s">
        <v>1532</v>
      </c>
      <c r="H35" s="139" t="s">
        <v>480</v>
      </c>
      <c r="I35" s="91" t="str">
        <f>IFERROR(INDEX(Tabela3[Tipos de Tratamento],MATCH('A3.9.1'!H35,Tabela3[Código],0)),"")</f>
        <v xml:space="preserve">Regeneração de óleos e outras reutilizações de óleos </v>
      </c>
      <c r="J35" s="91"/>
      <c r="K35" s="91"/>
      <c r="L35" s="91"/>
    </row>
    <row r="36" spans="2:12" ht="15.75" thickBot="1" x14ac:dyDescent="0.3">
      <c r="B36" s="82" t="s">
        <v>534</v>
      </c>
      <c r="C36" s="142">
        <v>130208</v>
      </c>
      <c r="D36" s="83" t="s">
        <v>1531</v>
      </c>
      <c r="E36" s="125" t="s">
        <v>34</v>
      </c>
      <c r="F36" s="139">
        <f t="array" ref="F36">SUMPRODUCT(IF(C$87:C$222=C36,1,0),IF(H$87:H$222=H36,1,0),IF(G$87:G$222=G36,1,0),F$87:F$222)</f>
        <v>5.9660000000000002</v>
      </c>
      <c r="G36" s="125" t="s">
        <v>1532</v>
      </c>
      <c r="H36" s="139" t="s">
        <v>483</v>
      </c>
      <c r="I36" s="91" t="str">
        <f>IFERROR(INDEX(Tabela3[Tipos de Tratamento],MATCH('A3.9.1'!H36,Tabela3[Código],0)),"")</f>
        <v xml:space="preserve">Troca de resíduos com vista a submetê-los a uma das operações enumeradas de R 1 a R 11 </v>
      </c>
      <c r="J36" s="91"/>
      <c r="K36" s="91"/>
      <c r="L36" s="91"/>
    </row>
    <row r="37" spans="2:12" ht="15.75" thickBot="1" x14ac:dyDescent="0.3">
      <c r="B37" s="82" t="s">
        <v>534</v>
      </c>
      <c r="C37" s="142">
        <v>130502</v>
      </c>
      <c r="D37" s="83" t="s">
        <v>1569</v>
      </c>
      <c r="E37" s="125" t="s">
        <v>34</v>
      </c>
      <c r="F37" s="139">
        <f t="array" ref="F37">SUMPRODUCT(IF(C$87:C$222=C37,1,0),IF(H$87:H$222=H37,1,0),IF(G$87:G$222=G37,1,0),F$87:F$222)</f>
        <v>34.080000000000005</v>
      </c>
      <c r="G37" s="125" t="s">
        <v>1532</v>
      </c>
      <c r="H37" s="139" t="s">
        <v>483</v>
      </c>
      <c r="I37" s="91" t="str">
        <f>IFERROR(INDEX(Tabela3[Tipos de Tratamento],MATCH('A3.9.1'!H37,Tabela3[Código],0)),"")</f>
        <v xml:space="preserve">Troca de resíduos com vista a submetê-los a uma das operações enumeradas de R 1 a R 11 </v>
      </c>
      <c r="J37" s="91"/>
      <c r="K37" s="91"/>
      <c r="L37" s="91"/>
    </row>
    <row r="38" spans="2:12" ht="15.75" thickBot="1" x14ac:dyDescent="0.3">
      <c r="B38" s="82" t="s">
        <v>534</v>
      </c>
      <c r="C38" s="142">
        <v>130502</v>
      </c>
      <c r="D38" s="83" t="s">
        <v>1569</v>
      </c>
      <c r="E38" s="125" t="s">
        <v>34</v>
      </c>
      <c r="F38" s="139">
        <f t="array" ref="F38">SUMPRODUCT(IF(C$87:C$222=C38,1,0),IF(H$87:H$222=H38,1,0),IF(G$87:G$222=G38,1,0),F$87:F$222)</f>
        <v>9.0399999999999991</v>
      </c>
      <c r="G38" s="125" t="s">
        <v>1532</v>
      </c>
      <c r="H38" s="139" t="s">
        <v>503</v>
      </c>
      <c r="I38" s="91" t="str">
        <f>IFERROR(INDEX(Tabela3[Tipos de Tratamento],MATCH('A3.9.1'!H38,Tabela3[Código],0)),"")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38" s="91"/>
      <c r="K38" s="91"/>
      <c r="L38" s="91"/>
    </row>
    <row r="39" spans="2:12" ht="15.75" thickBot="1" x14ac:dyDescent="0.3">
      <c r="B39" s="82" t="s">
        <v>534</v>
      </c>
      <c r="C39" s="142">
        <v>130507</v>
      </c>
      <c r="D39" s="83" t="s">
        <v>1572</v>
      </c>
      <c r="E39" s="125" t="s">
        <v>34</v>
      </c>
      <c r="F39" s="139">
        <f t="array" ref="F39">SUMPRODUCT(IF(C$87:C$222=C39,1,0),IF(H$87:H$222=H39,1,0),IF(G$87:G$222=G39,1,0),F$87:F$222)</f>
        <v>55.18</v>
      </c>
      <c r="G39" s="125" t="s">
        <v>1532</v>
      </c>
      <c r="H39" s="139" t="s">
        <v>483</v>
      </c>
      <c r="I39" s="91" t="str">
        <f>IFERROR(INDEX(Tabela3[Tipos de Tratamento],MATCH('A3.9.1'!H39,Tabela3[Código],0)),"")</f>
        <v xml:space="preserve">Troca de resíduos com vista a submetê-los a uma das operações enumeradas de R 1 a R 11 </v>
      </c>
      <c r="J39" s="91"/>
      <c r="K39" s="91"/>
      <c r="L39" s="91"/>
    </row>
    <row r="40" spans="2:12" ht="15.75" thickBot="1" x14ac:dyDescent="0.3">
      <c r="B40" s="82" t="s">
        <v>534</v>
      </c>
      <c r="C40" s="142">
        <v>140603</v>
      </c>
      <c r="D40" s="83" t="s">
        <v>1591</v>
      </c>
      <c r="E40" s="125" t="s">
        <v>34</v>
      </c>
      <c r="F40" s="139">
        <f t="array" ref="F40">SUMPRODUCT(IF(C$87:C$222=C40,1,0),IF(H$87:H$222=H40,1,0),IF(G$87:G$222=G40,1,0),F$87:F$222)</f>
        <v>0</v>
      </c>
      <c r="G40" s="125" t="s">
        <v>1532</v>
      </c>
      <c r="H40" s="139" t="s">
        <v>484</v>
      </c>
      <c r="I40" s="91" t="str">
        <f>IFERROR(INDEX(Tabela3[Tipos de Tratamento],MATCH('A3.9.1'!H40,Tabela3[Código],0)),"")</f>
        <v>Acumulação de resíduos destinados a uma das operações enumeradas de R1 a R12</v>
      </c>
      <c r="J40" s="91"/>
      <c r="K40" s="91"/>
      <c r="L40" s="91"/>
    </row>
    <row r="41" spans="2:12" ht="15.75" thickBot="1" x14ac:dyDescent="0.3">
      <c r="B41" s="82" t="s">
        <v>534</v>
      </c>
      <c r="C41" s="142">
        <v>150101</v>
      </c>
      <c r="D41" s="83" t="s">
        <v>1537</v>
      </c>
      <c r="E41" s="125" t="s">
        <v>42</v>
      </c>
      <c r="F41" s="139">
        <f t="array" ref="F41">SUMPRODUCT(IF(C$87:C$222=C41,1,0),IF(H$87:H$222=H41,1,0),IF(G$87:G$222=G41,1,0),F$87:F$222)</f>
        <v>2.165</v>
      </c>
      <c r="G41" s="125" t="s">
        <v>1532</v>
      </c>
      <c r="H41" s="139" t="s">
        <v>483</v>
      </c>
      <c r="I41" s="91" t="str">
        <f>IFERROR(INDEX(Tabela3[Tipos de Tratamento],MATCH('A3.9.1'!H41,Tabela3[Código],0)),"")</f>
        <v xml:space="preserve">Troca de resíduos com vista a submetê-los a uma das operações enumeradas de R 1 a R 11 </v>
      </c>
      <c r="J41" s="91"/>
      <c r="K41" s="91"/>
      <c r="L41" s="91"/>
    </row>
    <row r="42" spans="2:12" ht="15.75" thickBot="1" x14ac:dyDescent="0.3">
      <c r="B42" s="82" t="s">
        <v>534</v>
      </c>
      <c r="C42" s="142">
        <v>150101</v>
      </c>
      <c r="D42" s="83" t="s">
        <v>1537</v>
      </c>
      <c r="E42" s="125" t="s">
        <v>42</v>
      </c>
      <c r="F42" s="139">
        <f t="array" ref="F42">SUMPRODUCT(IF(C$87:C$222=C42,1,0),IF(H$87:H$222=H42,1,0),IF(G$87:G$222=G42,1,0),F$87:F$222)</f>
        <v>3.702</v>
      </c>
      <c r="G42" s="125" t="s">
        <v>1532</v>
      </c>
      <c r="H42" s="139" t="s">
        <v>484</v>
      </c>
      <c r="I42" s="91" t="str">
        <f>IFERROR(INDEX(Tabela3[Tipos de Tratamento],MATCH('A3.9.1'!H42,Tabela3[Código],0)),"")</f>
        <v>Acumulação de resíduos destinados a uma das operações enumeradas de R1 a R12</v>
      </c>
      <c r="J42" s="91"/>
      <c r="K42" s="91"/>
      <c r="L42" s="91"/>
    </row>
    <row r="43" spans="2:12" ht="15.75" thickBot="1" x14ac:dyDescent="0.3">
      <c r="B43" s="82" t="s">
        <v>534</v>
      </c>
      <c r="C43" s="142">
        <v>150102</v>
      </c>
      <c r="D43" s="83" t="s">
        <v>1575</v>
      </c>
      <c r="E43" s="125" t="s">
        <v>42</v>
      </c>
      <c r="F43" s="139">
        <f t="array" ref="F43">SUMPRODUCT(IF(C$87:C$222=C43,1,0),IF(H$87:H$222=H43,1,0),IF(G$87:G$222=G43,1,0),F$87:F$222)</f>
        <v>0.27100000000000002</v>
      </c>
      <c r="G43" s="125" t="s">
        <v>1532</v>
      </c>
      <c r="H43" s="139" t="s">
        <v>483</v>
      </c>
      <c r="I43" s="91" t="str">
        <f>IFERROR(INDEX(Tabela3[Tipos de Tratamento],MATCH('A3.9.1'!H43,Tabela3[Código],0)),"")</f>
        <v xml:space="preserve">Troca de resíduos com vista a submetê-los a uma das operações enumeradas de R 1 a R 11 </v>
      </c>
      <c r="J43" s="91"/>
      <c r="K43" s="91"/>
      <c r="L43" s="91"/>
    </row>
    <row r="44" spans="2:12" ht="15.75" thickBot="1" x14ac:dyDescent="0.3">
      <c r="B44" s="82" t="s">
        <v>534</v>
      </c>
      <c r="C44" s="142">
        <v>150103</v>
      </c>
      <c r="D44" s="83" t="s">
        <v>1605</v>
      </c>
      <c r="E44" s="125" t="s">
        <v>42</v>
      </c>
      <c r="F44" s="139">
        <f t="array" ref="F44">SUMPRODUCT(IF(C$87:C$222=C44,1,0),IF(H$87:H$222=H44,1,0),IF(G$87:G$222=G44,1,0),F$87:F$222)</f>
        <v>0</v>
      </c>
      <c r="G44" s="125" t="s">
        <v>1532</v>
      </c>
      <c r="H44" s="139" t="s">
        <v>483</v>
      </c>
      <c r="I44" s="91" t="str">
        <f>IFERROR(INDEX(Tabela3[Tipos de Tratamento],MATCH('A3.9.1'!H44,Tabela3[Código],0)),"")</f>
        <v xml:space="preserve">Troca de resíduos com vista a submetê-los a uma das operações enumeradas de R 1 a R 11 </v>
      </c>
      <c r="J44" s="91"/>
      <c r="K44" s="91"/>
      <c r="L44" s="91"/>
    </row>
    <row r="45" spans="2:12" ht="15.75" thickBot="1" x14ac:dyDescent="0.3">
      <c r="B45" s="82" t="s">
        <v>534</v>
      </c>
      <c r="C45" s="142">
        <v>150104</v>
      </c>
      <c r="D45" s="83" t="s">
        <v>1607</v>
      </c>
      <c r="E45" s="125" t="s">
        <v>42</v>
      </c>
      <c r="F45" s="139">
        <f t="array" ref="F45">SUMPRODUCT(IF(C$87:C$222=C45,1,0),IF(H$87:H$222=H45,1,0),IF(G$87:G$222=G45,1,0),F$87:F$222)</f>
        <v>0</v>
      </c>
      <c r="G45" s="125" t="s">
        <v>1532</v>
      </c>
      <c r="H45" s="139" t="s">
        <v>483</v>
      </c>
      <c r="I45" s="91" t="str">
        <f>IFERROR(INDEX(Tabela3[Tipos de Tratamento],MATCH('A3.9.1'!H45,Tabela3[Código],0)),"")</f>
        <v xml:space="preserve">Troca de resíduos com vista a submetê-los a uma das operações enumeradas de R 1 a R 11 </v>
      </c>
      <c r="J45" s="91"/>
      <c r="K45" s="91"/>
      <c r="L45" s="91"/>
    </row>
    <row r="46" spans="2:12" ht="15.75" thickBot="1" x14ac:dyDescent="0.3">
      <c r="B46" s="82" t="s">
        <v>534</v>
      </c>
      <c r="C46" s="142">
        <v>150110</v>
      </c>
      <c r="D46" s="83" t="s">
        <v>1542</v>
      </c>
      <c r="E46" s="125" t="s">
        <v>34</v>
      </c>
      <c r="F46" s="139">
        <f t="array" ref="F46">SUMPRODUCT(IF(C$87:C$222=C46,1,0),IF(H$87:H$222=H46,1,0),IF(G$87:G$222=G46,1,0),F$87:F$222)</f>
        <v>0.79200000000000004</v>
      </c>
      <c r="G46" s="125" t="s">
        <v>1532</v>
      </c>
      <c r="H46" s="139" t="s">
        <v>484</v>
      </c>
      <c r="I46" s="91" t="str">
        <f>IFERROR(INDEX(Tabela3[Tipos de Tratamento],MATCH('A3.9.1'!H46,Tabela3[Código],0)),"")</f>
        <v>Acumulação de resíduos destinados a uma das operações enumeradas de R1 a R12</v>
      </c>
      <c r="J46" s="91"/>
      <c r="K46" s="91"/>
      <c r="L46" s="91"/>
    </row>
    <row r="47" spans="2:12" ht="15.75" thickBot="1" x14ac:dyDescent="0.3">
      <c r="B47" s="82" t="s">
        <v>534</v>
      </c>
      <c r="C47" s="142">
        <v>150111</v>
      </c>
      <c r="D47" s="83" t="s">
        <v>1548</v>
      </c>
      <c r="E47" s="125" t="s">
        <v>34</v>
      </c>
      <c r="F47" s="139">
        <f t="array" ref="F47">SUMPRODUCT(IF(C$87:C$222=C47,1,0),IF(H$87:H$222=H47,1,0),IF(G$87:G$222=G47,1,0),F$87:F$222)</f>
        <v>7.1999999999999995E-2</v>
      </c>
      <c r="G47" s="125" t="s">
        <v>1532</v>
      </c>
      <c r="H47" s="139" t="s">
        <v>484</v>
      </c>
      <c r="I47" s="91" t="str">
        <f>IFERROR(INDEX(Tabela3[Tipos de Tratamento],MATCH('A3.9.1'!H47,Tabela3[Código],0)),"")</f>
        <v>Acumulação de resíduos destinados a uma das operações enumeradas de R1 a R12</v>
      </c>
      <c r="J47" s="91"/>
      <c r="K47" s="91"/>
      <c r="L47" s="91"/>
    </row>
    <row r="48" spans="2:12" ht="15.75" thickBot="1" x14ac:dyDescent="0.3">
      <c r="B48" s="82" t="s">
        <v>534</v>
      </c>
      <c r="C48" s="142">
        <v>150111</v>
      </c>
      <c r="D48" s="83" t="s">
        <v>1549</v>
      </c>
      <c r="E48" s="125" t="s">
        <v>34</v>
      </c>
      <c r="F48" s="139">
        <f t="array" ref="F48">SUMPRODUCT(IF(C$87:C$222=C48,1,0),IF(H$87:H$222=H48,1,0),IF(G$87:G$222=G48,1,0),F$87:F$222)</f>
        <v>7.1999999999999995E-2</v>
      </c>
      <c r="G48" s="125" t="s">
        <v>1532</v>
      </c>
      <c r="H48" s="139" t="s">
        <v>484</v>
      </c>
      <c r="I48" s="91" t="str">
        <f>IFERROR(INDEX(Tabela3[Tipos de Tratamento],MATCH('A3.9.1'!H48,Tabela3[Código],0)),"")</f>
        <v>Acumulação de resíduos destinados a uma das operações enumeradas de R1 a R12</v>
      </c>
      <c r="J48" s="91"/>
      <c r="K48" s="91"/>
      <c r="L48" s="91"/>
    </row>
    <row r="49" spans="2:12" ht="15.75" thickBot="1" x14ac:dyDescent="0.3">
      <c r="B49" s="82" t="s">
        <v>534</v>
      </c>
      <c r="C49" s="142">
        <v>150202</v>
      </c>
      <c r="D49" s="83" t="s">
        <v>1547</v>
      </c>
      <c r="E49" s="125" t="s">
        <v>34</v>
      </c>
      <c r="F49" s="139">
        <f t="array" ref="F49">SUMPRODUCT(IF(C$87:C$222=C49,1,0),IF(H$87:H$222=H49,1,0),IF(G$87:G$222=G49,1,0),F$87:F$222)</f>
        <v>8.8339999999999996</v>
      </c>
      <c r="G49" s="125" t="s">
        <v>1532</v>
      </c>
      <c r="H49" s="139" t="s">
        <v>484</v>
      </c>
      <c r="I49" s="91" t="str">
        <f>IFERROR(INDEX(Tabela3[Tipos de Tratamento],MATCH('A3.9.1'!H49,Tabela3[Código],0)),"")</f>
        <v>Acumulação de resíduos destinados a uma das operações enumeradas de R1 a R12</v>
      </c>
      <c r="J49" s="91"/>
      <c r="K49" s="91"/>
      <c r="L49" s="91"/>
    </row>
    <row r="50" spans="2:12" ht="15.75" thickBot="1" x14ac:dyDescent="0.3">
      <c r="B50" s="82" t="s">
        <v>534</v>
      </c>
      <c r="C50" s="142">
        <v>150202</v>
      </c>
      <c r="D50" s="83" t="s">
        <v>1547</v>
      </c>
      <c r="E50" s="125" t="s">
        <v>34</v>
      </c>
      <c r="F50" s="139">
        <f t="array" ref="F50">SUMPRODUCT(IF(C$87:C$222=C50,1,0),IF(H$87:H$222=H50,1,0),IF(G$87:G$222=G50,1,0),F$87:F$222)</f>
        <v>1.28</v>
      </c>
      <c r="G50" s="125" t="s">
        <v>1532</v>
      </c>
      <c r="H50" s="139" t="s">
        <v>483</v>
      </c>
      <c r="I50" s="91" t="str">
        <f>IFERROR(INDEX(Tabela3[Tipos de Tratamento],MATCH('A3.9.1'!H50,Tabela3[Código],0)),"")</f>
        <v xml:space="preserve">Troca de resíduos com vista a submetê-los a uma das operações enumeradas de R 1 a R 11 </v>
      </c>
      <c r="J50" s="91"/>
      <c r="K50" s="91"/>
      <c r="L50" s="91"/>
    </row>
    <row r="51" spans="2:12" ht="15.75" thickBot="1" x14ac:dyDescent="0.3">
      <c r="B51" s="82" t="s">
        <v>534</v>
      </c>
      <c r="C51" s="142">
        <v>150203</v>
      </c>
      <c r="D51" s="83" t="s">
        <v>1550</v>
      </c>
      <c r="E51" s="125" t="s">
        <v>42</v>
      </c>
      <c r="F51" s="139">
        <f t="array" ref="F51">SUMPRODUCT(IF(C$87:C$222=C51,1,0),IF(H$87:H$222=H51,1,0),IF(G$87:G$222=G51,1,0),F$87:F$222)</f>
        <v>8.1999999999999993</v>
      </c>
      <c r="G51" s="125" t="s">
        <v>1532</v>
      </c>
      <c r="H51" s="139" t="s">
        <v>483</v>
      </c>
      <c r="I51" s="91" t="str">
        <f>IFERROR(INDEX(Tabela3[Tipos de Tratamento],MATCH('A3.9.1'!H51,Tabela3[Código],0)),"")</f>
        <v xml:space="preserve">Troca de resíduos com vista a submetê-los a uma das operações enumeradas de R 1 a R 11 </v>
      </c>
      <c r="J51" s="91"/>
      <c r="K51" s="91"/>
      <c r="L51" s="91"/>
    </row>
    <row r="52" spans="2:12" ht="15.75" thickBot="1" x14ac:dyDescent="0.3">
      <c r="B52" s="82" t="s">
        <v>534</v>
      </c>
      <c r="C52" s="142">
        <v>150203</v>
      </c>
      <c r="D52" s="83" t="s">
        <v>1550</v>
      </c>
      <c r="E52" s="125" t="s">
        <v>42</v>
      </c>
      <c r="F52" s="139">
        <f t="array" ref="F52">SUMPRODUCT(IF(C$87:C$222=C52,1,0),IF(H$87:H$222=H52,1,0),IF(G$87:G$222=G52,1,0),F$87:F$222)</f>
        <v>0.2</v>
      </c>
      <c r="G52" s="125" t="s">
        <v>1532</v>
      </c>
      <c r="H52" s="139" t="s">
        <v>509</v>
      </c>
      <c r="I52" s="91" t="str">
        <f>IFERROR(INDEX(Tabela3[Tipos de Tratamento],MATCH('A3.9.1'!H52,Tabela3[Código],0)),"")</f>
        <v>Armazenagem enquanto se aguarda a execução de uma das operações enumeradas de D1 a D14</v>
      </c>
      <c r="J52" s="91"/>
      <c r="K52" s="91"/>
      <c r="L52" s="91"/>
    </row>
    <row r="53" spans="2:12" ht="15.75" thickBot="1" x14ac:dyDescent="0.3">
      <c r="B53" s="82" t="s">
        <v>534</v>
      </c>
      <c r="C53" s="142">
        <v>160103</v>
      </c>
      <c r="D53" s="83" t="s">
        <v>1582</v>
      </c>
      <c r="E53" s="125" t="s">
        <v>42</v>
      </c>
      <c r="F53" s="139">
        <f t="array" ref="F53">SUMPRODUCT(IF(C$87:C$222=C53,1,0),IF(H$87:H$222=H53,1,0),IF(G$87:G$222=G53,1,0),F$87:F$222)</f>
        <v>0</v>
      </c>
      <c r="G53" s="125" t="s">
        <v>1532</v>
      </c>
      <c r="H53" s="139" t="s">
        <v>484</v>
      </c>
      <c r="I53" s="91" t="str">
        <f>IFERROR(INDEX(Tabela3[Tipos de Tratamento],MATCH('A3.9.1'!H53,Tabela3[Código],0)),"")</f>
        <v>Acumulação de resíduos destinados a uma das operações enumeradas de R1 a R12</v>
      </c>
      <c r="J53" s="91"/>
      <c r="K53" s="91"/>
      <c r="L53" s="91"/>
    </row>
    <row r="54" spans="2:12" ht="15.75" thickBot="1" x14ac:dyDescent="0.3">
      <c r="B54" s="82" t="s">
        <v>534</v>
      </c>
      <c r="C54" s="142">
        <v>160104</v>
      </c>
      <c r="D54" s="83" t="s">
        <v>1584</v>
      </c>
      <c r="E54" s="125" t="s">
        <v>34</v>
      </c>
      <c r="F54" s="139">
        <f t="array" ref="F54">SUMPRODUCT(IF(C$87:C$222=C54,1,0),IF(H$87:H$222=H54,1,0),IF(G$87:G$222=G54,1,0),F$87:F$222)</f>
        <v>0</v>
      </c>
      <c r="G54" s="125" t="s">
        <v>1532</v>
      </c>
      <c r="H54" s="139" t="s">
        <v>484</v>
      </c>
      <c r="I54" s="91" t="str">
        <f>IFERROR(INDEX(Tabela3[Tipos de Tratamento],MATCH('A3.9.1'!H54,Tabela3[Código],0)),"")</f>
        <v>Acumulação de resíduos destinados a uma das operações enumeradas de R1 a R12</v>
      </c>
      <c r="J54" s="91"/>
      <c r="K54" s="91"/>
      <c r="L54" s="91"/>
    </row>
    <row r="55" spans="2:12" ht="15.75" thickBot="1" x14ac:dyDescent="0.3">
      <c r="B55" s="82" t="s">
        <v>534</v>
      </c>
      <c r="C55" s="142">
        <v>160106</v>
      </c>
      <c r="D55" s="83" t="s">
        <v>1592</v>
      </c>
      <c r="E55" s="125" t="s">
        <v>42</v>
      </c>
      <c r="F55" s="139">
        <f t="array" ref="F55">SUMPRODUCT(IF(C$87:C$222=C55,1,0),IF(H$87:H$222=H55,1,0),IF(G$87:G$222=G55,1,0),F$87:F$222)</f>
        <v>0</v>
      </c>
      <c r="G55" s="125" t="s">
        <v>1532</v>
      </c>
      <c r="H55" s="139" t="s">
        <v>483</v>
      </c>
      <c r="I55" s="91" t="str">
        <f>IFERROR(INDEX(Tabela3[Tipos de Tratamento],MATCH('A3.9.1'!H55,Tabela3[Código],0)),"")</f>
        <v xml:space="preserve">Troca de resíduos com vista a submetê-los a uma das operações enumeradas de R 1 a R 11 </v>
      </c>
      <c r="J55" s="91"/>
      <c r="K55" s="91"/>
      <c r="L55" s="91"/>
    </row>
    <row r="56" spans="2:12" ht="15.75" thickBot="1" x14ac:dyDescent="0.3">
      <c r="B56" s="82" t="s">
        <v>534</v>
      </c>
      <c r="C56" s="142">
        <v>160107</v>
      </c>
      <c r="D56" s="83" t="s">
        <v>1551</v>
      </c>
      <c r="E56" s="125" t="s">
        <v>34</v>
      </c>
      <c r="F56" s="139">
        <f t="array" ref="F56">SUMPRODUCT(IF(C$87:C$222=C56,1,0),IF(H$87:H$222=H56,1,0),IF(G$87:G$222=G56,1,0),F$87:F$222)</f>
        <v>4.1440000000000001</v>
      </c>
      <c r="G56" s="125" t="s">
        <v>1532</v>
      </c>
      <c r="H56" s="139" t="s">
        <v>484</v>
      </c>
      <c r="I56" s="91" t="str">
        <f>IFERROR(INDEX(Tabela3[Tipos de Tratamento],MATCH('A3.9.1'!H56,Tabela3[Código],0)),"")</f>
        <v>Acumulação de resíduos destinados a uma das operações enumeradas de R1 a R12</v>
      </c>
      <c r="J56" s="91"/>
      <c r="K56" s="91"/>
      <c r="L56" s="91"/>
    </row>
    <row r="57" spans="2:12" ht="15.75" thickBot="1" x14ac:dyDescent="0.3">
      <c r="B57" s="82" t="s">
        <v>534</v>
      </c>
      <c r="C57" s="142">
        <v>160112</v>
      </c>
      <c r="D57" s="83" t="s">
        <v>1552</v>
      </c>
      <c r="E57" s="125" t="s">
        <v>34</v>
      </c>
      <c r="F57" s="139">
        <f t="array" ref="F57">SUMPRODUCT(IF(C$87:C$222=C57,1,0),IF(H$87:H$222=H57,1,0),IF(G$87:G$222=G57,1,0),F$87:F$222)</f>
        <v>2.4300000000000002</v>
      </c>
      <c r="G57" s="125" t="s">
        <v>1532</v>
      </c>
      <c r="H57" s="139" t="s">
        <v>483</v>
      </c>
      <c r="I57" s="91" t="str">
        <f>IFERROR(INDEX(Tabela3[Tipos de Tratamento],MATCH('A3.9.1'!H57,Tabela3[Código],0)),"")</f>
        <v xml:space="preserve">Troca de resíduos com vista a submetê-los a uma das operações enumeradas de R 1 a R 11 </v>
      </c>
      <c r="J57" s="91"/>
      <c r="K57" s="91"/>
      <c r="L57" s="91"/>
    </row>
    <row r="58" spans="2:12" ht="15.75" thickBot="1" x14ac:dyDescent="0.3">
      <c r="B58" s="82" t="s">
        <v>534</v>
      </c>
      <c r="C58" s="142">
        <v>160117</v>
      </c>
      <c r="D58" s="83" t="s">
        <v>1557</v>
      </c>
      <c r="E58" s="125" t="s">
        <v>42</v>
      </c>
      <c r="F58" s="139">
        <f t="array" ref="F58">SUMPRODUCT(IF(C$87:C$222=C58,1,0),IF(H$87:H$222=H58,1,0),IF(G$87:G$222=G58,1,0),F$87:F$222)</f>
        <v>17.5</v>
      </c>
      <c r="G58" s="125" t="s">
        <v>1532</v>
      </c>
      <c r="H58" s="139" t="s">
        <v>483</v>
      </c>
      <c r="I58" s="91" t="str">
        <f>IFERROR(INDEX(Tabela3[Tipos de Tratamento],MATCH('A3.9.1'!H58,Tabela3[Código],0)),"")</f>
        <v xml:space="preserve">Troca de resíduos com vista a submetê-los a uma das operações enumeradas de R 1 a R 11 </v>
      </c>
      <c r="J58" s="91"/>
      <c r="K58" s="91"/>
      <c r="L58" s="91"/>
    </row>
    <row r="59" spans="2:12" ht="15.75" thickBot="1" x14ac:dyDescent="0.3">
      <c r="B59" s="82" t="s">
        <v>534</v>
      </c>
      <c r="C59" s="142">
        <v>160119</v>
      </c>
      <c r="D59" s="83" t="s">
        <v>1560</v>
      </c>
      <c r="E59" s="125" t="s">
        <v>42</v>
      </c>
      <c r="F59" s="139">
        <f t="array" ref="F59">SUMPRODUCT(IF(C$87:C$222=C59,1,0),IF(H$87:H$222=H59,1,0),IF(G$87:G$222=G59,1,0),F$87:F$222)</f>
        <v>0.63300000000000001</v>
      </c>
      <c r="G59" s="125" t="s">
        <v>1532</v>
      </c>
      <c r="H59" s="139" t="s">
        <v>483</v>
      </c>
      <c r="I59" s="91" t="str">
        <f>IFERROR(INDEX(Tabela3[Tipos de Tratamento],MATCH('A3.9.1'!H59,Tabela3[Código],0)),"")</f>
        <v xml:space="preserve">Troca de resíduos com vista a submetê-los a uma das operações enumeradas de R 1 a R 11 </v>
      </c>
      <c r="J59" s="91"/>
      <c r="K59" s="91"/>
      <c r="L59" s="91"/>
    </row>
    <row r="60" spans="2:12" ht="15.75" thickBot="1" x14ac:dyDescent="0.3">
      <c r="B60" s="82" t="s">
        <v>534</v>
      </c>
      <c r="C60" s="142">
        <v>160120</v>
      </c>
      <c r="D60" s="83" t="s">
        <v>1561</v>
      </c>
      <c r="E60" s="125" t="s">
        <v>42</v>
      </c>
      <c r="F60" s="139">
        <f t="array" ref="F60">SUMPRODUCT(IF(C$87:C$222=C60,1,0),IF(H$87:H$222=H60,1,0),IF(G$87:G$222=G60,1,0),F$87:F$222)</f>
        <v>0</v>
      </c>
      <c r="G60" s="125" t="s">
        <v>1532</v>
      </c>
      <c r="H60" s="139" t="s">
        <v>483</v>
      </c>
      <c r="I60" s="91" t="str">
        <f>IFERROR(INDEX(Tabela3[Tipos de Tratamento],MATCH('A3.9.1'!H60,Tabela3[Código],0)),"")</f>
        <v xml:space="preserve">Troca de resíduos com vista a submetê-los a uma das operações enumeradas de R 1 a R 11 </v>
      </c>
      <c r="J60" s="91"/>
      <c r="K60" s="91"/>
      <c r="L60" s="91"/>
    </row>
    <row r="61" spans="2:12" ht="15.75" thickBot="1" x14ac:dyDescent="0.3">
      <c r="B61" s="82" t="s">
        <v>534</v>
      </c>
      <c r="C61" s="142">
        <v>160121</v>
      </c>
      <c r="D61" s="83" t="s">
        <v>1576</v>
      </c>
      <c r="E61" s="125" t="s">
        <v>34</v>
      </c>
      <c r="F61" s="139">
        <f t="array" ref="F61">SUMPRODUCT(IF(C$87:C$222=C61,1,0),IF(H$87:H$222=H61,1,0),IF(G$87:G$222=G61,1,0),F$87:F$222)</f>
        <v>0.16800000000000001</v>
      </c>
      <c r="G61" s="125" t="s">
        <v>1532</v>
      </c>
      <c r="H61" s="139" t="s">
        <v>509</v>
      </c>
      <c r="I61" s="91" t="str">
        <f>IFERROR(INDEX(Tabela3[Tipos de Tratamento],MATCH('A3.9.1'!H61,Tabela3[Código],0)),"")</f>
        <v>Armazenagem enquanto se aguarda a execução de uma das operações enumeradas de D1 a D14</v>
      </c>
      <c r="J61" s="91"/>
      <c r="K61" s="91"/>
      <c r="L61" s="91"/>
    </row>
    <row r="62" spans="2:12" ht="15.75" thickBot="1" x14ac:dyDescent="0.3">
      <c r="B62" s="82" t="s">
        <v>534</v>
      </c>
      <c r="C62" s="142">
        <v>160121</v>
      </c>
      <c r="D62" s="83" t="s">
        <v>1576</v>
      </c>
      <c r="E62" s="125" t="s">
        <v>34</v>
      </c>
      <c r="F62" s="139">
        <f t="array" ref="F62">SUMPRODUCT(IF(C$87:C$222=C62,1,0),IF(H$87:H$222=H62,1,0),IF(G$87:G$222=G62,1,0),F$87:F$222)</f>
        <v>0.84</v>
      </c>
      <c r="G62" s="125" t="s">
        <v>1532</v>
      </c>
      <c r="H62" s="139" t="s">
        <v>484</v>
      </c>
      <c r="I62" s="91" t="str">
        <f>IFERROR(INDEX(Tabela3[Tipos de Tratamento],MATCH('A3.9.1'!H62,Tabela3[Código],0)),"")</f>
        <v>Acumulação de resíduos destinados a uma das operações enumeradas de R1 a R12</v>
      </c>
      <c r="J62" s="91"/>
      <c r="K62" s="91"/>
      <c r="L62" s="91"/>
    </row>
    <row r="63" spans="2:12" ht="15.75" thickBot="1" x14ac:dyDescent="0.3">
      <c r="B63" s="82" t="s">
        <v>534</v>
      </c>
      <c r="C63" s="142">
        <v>160199</v>
      </c>
      <c r="D63" s="83" t="s">
        <v>1562</v>
      </c>
      <c r="E63" s="125" t="s">
        <v>42</v>
      </c>
      <c r="F63" s="139">
        <f t="array" ref="F63">SUMPRODUCT(IF(C$87:C$222=C63,1,0),IF(H$87:H$222=H63,1,0),IF(G$87:G$222=G63,1,0),F$87:F$222)</f>
        <v>2.8380000000000001</v>
      </c>
      <c r="G63" s="125" t="s">
        <v>1532</v>
      </c>
      <c r="H63" s="139" t="s">
        <v>483</v>
      </c>
      <c r="I63" s="91" t="str">
        <f>IFERROR(INDEX(Tabela3[Tipos de Tratamento],MATCH('A3.9.1'!H63,Tabela3[Código],0)),"")</f>
        <v xml:space="preserve">Troca de resíduos com vista a submetê-los a uma das operações enumeradas de R 1 a R 11 </v>
      </c>
      <c r="J63" s="91"/>
      <c r="K63" s="91"/>
      <c r="L63" s="91"/>
    </row>
    <row r="64" spans="2:12" ht="15.75" thickBot="1" x14ac:dyDescent="0.3">
      <c r="B64" s="82" t="s">
        <v>534</v>
      </c>
      <c r="C64" s="142">
        <v>160199</v>
      </c>
      <c r="D64" s="83" t="s">
        <v>1562</v>
      </c>
      <c r="E64" s="125" t="s">
        <v>42</v>
      </c>
      <c r="F64" s="139">
        <f t="array" ref="F64">SUMPRODUCT(IF(C$87:C$222=C64,1,0),IF(H$87:H$222=H64,1,0),IF(G$87:G$222=G64,1,0),F$87:F$222)</f>
        <v>0.34</v>
      </c>
      <c r="G64" s="125" t="s">
        <v>1532</v>
      </c>
      <c r="H64" s="139" t="s">
        <v>509</v>
      </c>
      <c r="I64" s="91" t="str">
        <f>IFERROR(INDEX(Tabela3[Tipos de Tratamento],MATCH('A3.9.1'!H64,Tabela3[Código],0)),"")</f>
        <v>Armazenagem enquanto se aguarda a execução de uma das operações enumeradas de D1 a D14</v>
      </c>
      <c r="J64" s="91"/>
      <c r="K64" s="91"/>
      <c r="L64" s="91"/>
    </row>
    <row r="65" spans="2:12" ht="15.75" thickBot="1" x14ac:dyDescent="0.3">
      <c r="B65" s="82" t="s">
        <v>534</v>
      </c>
      <c r="C65" s="142">
        <v>160601</v>
      </c>
      <c r="D65" s="83" t="s">
        <v>1563</v>
      </c>
      <c r="E65" s="125" t="s">
        <v>34</v>
      </c>
      <c r="F65" s="139">
        <f t="array" ref="F65">SUMPRODUCT(IF(C$87:C$222=C65,1,0),IF(H$87:H$222=H65,1,0),IF(G$87:G$222=G65,1,0),F$87:F$222)</f>
        <v>2.04</v>
      </c>
      <c r="G65" s="125" t="s">
        <v>1532</v>
      </c>
      <c r="H65" s="139" t="s">
        <v>483</v>
      </c>
      <c r="I65" s="91" t="str">
        <f>IFERROR(INDEX(Tabela3[Tipos de Tratamento],MATCH('A3.9.1'!H65,Tabela3[Código],0)),"")</f>
        <v xml:space="preserve">Troca de resíduos com vista a submetê-los a uma das operações enumeradas de R 1 a R 11 </v>
      </c>
      <c r="J65" s="91"/>
      <c r="K65" s="91"/>
      <c r="L65" s="91"/>
    </row>
    <row r="66" spans="2:12" ht="15.75" thickBot="1" x14ac:dyDescent="0.3">
      <c r="B66" s="82" t="s">
        <v>534</v>
      </c>
      <c r="C66" s="142">
        <v>160601</v>
      </c>
      <c r="D66" s="83" t="s">
        <v>1563</v>
      </c>
      <c r="E66" s="125" t="s">
        <v>34</v>
      </c>
      <c r="F66" s="139">
        <f t="array" ref="F66">SUMPRODUCT(IF(C$87:C$222=C66,1,0),IF(H$87:H$222=H66,1,0),IF(G$87:G$222=G66,1,0),F$87:F$222)</f>
        <v>15.299999999999999</v>
      </c>
      <c r="G66" s="125" t="s">
        <v>1532</v>
      </c>
      <c r="H66" s="139" t="s">
        <v>484</v>
      </c>
      <c r="I66" s="91" t="str">
        <f>IFERROR(INDEX(Tabela3[Tipos de Tratamento],MATCH('A3.9.1'!H66,Tabela3[Código],0)),"")</f>
        <v>Acumulação de resíduos destinados a uma das operações enumeradas de R1 a R12</v>
      </c>
      <c r="J66" s="91"/>
      <c r="K66" s="91"/>
      <c r="L66" s="91"/>
    </row>
    <row r="67" spans="2:12" ht="15.75" thickBot="1" x14ac:dyDescent="0.3">
      <c r="B67" s="82" t="s">
        <v>534</v>
      </c>
      <c r="C67" s="142">
        <v>190805</v>
      </c>
      <c r="D67" s="83" t="s">
        <v>1577</v>
      </c>
      <c r="E67" s="125" t="s">
        <v>42</v>
      </c>
      <c r="F67" s="139">
        <f t="array" ref="F67">SUMPRODUCT(IF(C$87:C$222=C67,1,0),IF(H$87:H$222=H67,1,0),IF(G$87:G$222=G67,1,0),F$87:F$222)</f>
        <v>0.86</v>
      </c>
      <c r="G67" s="125" t="s">
        <v>1532</v>
      </c>
      <c r="H67" s="139" t="s">
        <v>483</v>
      </c>
      <c r="I67" s="91" t="str">
        <f>IFERROR(INDEX(Tabela3[Tipos de Tratamento],MATCH('A3.9.1'!H67,Tabela3[Código],0)),"")</f>
        <v xml:space="preserve">Troca de resíduos com vista a submetê-los a uma das operações enumeradas de R 1 a R 11 </v>
      </c>
      <c r="J67" s="91"/>
      <c r="K67" s="91"/>
      <c r="L67" s="91"/>
    </row>
    <row r="68" spans="2:12" ht="15.75" thickBot="1" x14ac:dyDescent="0.3">
      <c r="B68" s="82" t="s">
        <v>534</v>
      </c>
      <c r="C68" s="142">
        <v>200101</v>
      </c>
      <c r="D68" s="83" t="s">
        <v>1597</v>
      </c>
      <c r="E68" s="125" t="s">
        <v>42</v>
      </c>
      <c r="F68" s="139">
        <f t="array" ref="F68">SUMPRODUCT(IF(C$87:C$222=C68,1,0),IF(H$87:H$222=H68,1,0),IF(G$87:G$222=G68,1,0),F$87:F$222)</f>
        <v>3.92</v>
      </c>
      <c r="G68" s="125" t="s">
        <v>1532</v>
      </c>
      <c r="H68" s="139" t="s">
        <v>483</v>
      </c>
      <c r="I68" s="91" t="str">
        <f>IFERROR(INDEX(Tabela3[Tipos de Tratamento],MATCH('A3.9.1'!H68,Tabela3[Código],0)),"")</f>
        <v xml:space="preserve">Troca de resíduos com vista a submetê-los a uma das operações enumeradas de R 1 a R 11 </v>
      </c>
      <c r="J68" s="91"/>
      <c r="K68" s="91"/>
      <c r="L68" s="91"/>
    </row>
    <row r="69" spans="2:12" ht="15.75" thickBot="1" x14ac:dyDescent="0.3">
      <c r="B69" s="82" t="s">
        <v>534</v>
      </c>
      <c r="C69" s="142">
        <v>200102</v>
      </c>
      <c r="D69" s="83" t="s">
        <v>1561</v>
      </c>
      <c r="E69" s="125" t="s">
        <v>42</v>
      </c>
      <c r="F69" s="139">
        <f t="array" ref="F69">SUMPRODUCT(IF(C$87:C$222=C69,1,0),IF(H$87:H$222=H69,1,0),IF(G$87:G$222=G69,1,0),F$87:F$222)</f>
        <v>5.1820000000000004</v>
      </c>
      <c r="G69" s="125" t="s">
        <v>1532</v>
      </c>
      <c r="H69" s="139" t="s">
        <v>483</v>
      </c>
      <c r="I69" s="91" t="str">
        <f>IFERROR(INDEX(Tabela3[Tipos de Tratamento],MATCH('A3.9.1'!H69,Tabela3[Código],0)),"")</f>
        <v xml:space="preserve">Troca de resíduos com vista a submetê-los a uma das operações enumeradas de R 1 a R 11 </v>
      </c>
      <c r="J69" s="91"/>
      <c r="K69" s="91"/>
      <c r="L69" s="91"/>
    </row>
    <row r="70" spans="2:12" ht="15.75" thickBot="1" x14ac:dyDescent="0.3">
      <c r="B70" s="82" t="s">
        <v>534</v>
      </c>
      <c r="C70" s="142">
        <v>200121</v>
      </c>
      <c r="D70" s="83" t="s">
        <v>1564</v>
      </c>
      <c r="E70" s="125" t="s">
        <v>34</v>
      </c>
      <c r="F70" s="139">
        <f t="array" ref="F70">SUMPRODUCT(IF(C$87:C$222=C70,1,0),IF(H$87:H$222=H70,1,0),IF(G$87:G$222=G70,1,0),F$87:F$222)</f>
        <v>8.5999999999999993E-2</v>
      </c>
      <c r="G70" s="125" t="s">
        <v>1532</v>
      </c>
      <c r="H70" s="139" t="s">
        <v>484</v>
      </c>
      <c r="I70" s="91" t="str">
        <f>IFERROR(INDEX(Tabela3[Tipos de Tratamento],MATCH('A3.9.1'!H70,Tabela3[Código],0)),"")</f>
        <v>Acumulação de resíduos destinados a uma das operações enumeradas de R1 a R12</v>
      </c>
      <c r="J70" s="91"/>
      <c r="K70" s="91"/>
      <c r="L70" s="91"/>
    </row>
    <row r="71" spans="2:12" ht="15.75" thickBot="1" x14ac:dyDescent="0.3">
      <c r="B71" s="82" t="s">
        <v>534</v>
      </c>
      <c r="C71" s="142">
        <v>200125</v>
      </c>
      <c r="D71" s="83" t="s">
        <v>1565</v>
      </c>
      <c r="E71" s="125" t="s">
        <v>42</v>
      </c>
      <c r="F71" s="139">
        <f t="array" ref="F71">SUMPRODUCT(IF(C$87:C$222=C71,1,0),IF(H$87:H$222=H71,1,0),IF(G$87:G$222=G71,1,0),F$87:F$222)</f>
        <v>0.31</v>
      </c>
      <c r="G71" s="125" t="s">
        <v>1532</v>
      </c>
      <c r="H71" s="139" t="s">
        <v>483</v>
      </c>
      <c r="I71" s="91" t="str">
        <f>IFERROR(INDEX(Tabela3[Tipos de Tratamento],MATCH('A3.9.1'!H71,Tabela3[Código],0)),"")</f>
        <v xml:space="preserve">Troca de resíduos com vista a submetê-los a uma das operações enumeradas de R 1 a R 11 </v>
      </c>
      <c r="J71" s="91"/>
      <c r="K71" s="91"/>
      <c r="L71" s="91"/>
    </row>
    <row r="72" spans="2:12" ht="15.75" thickBot="1" x14ac:dyDescent="0.3">
      <c r="B72" s="82" t="s">
        <v>534</v>
      </c>
      <c r="C72" s="142">
        <v>200136</v>
      </c>
      <c r="D72" s="83" t="s">
        <v>1568</v>
      </c>
      <c r="E72" s="125" t="s">
        <v>42</v>
      </c>
      <c r="F72" s="139">
        <f t="array" ref="F72">SUMPRODUCT(IF(C$87:C$222=C72,1,0),IF(H$87:H$222=H72,1,0),IF(G$87:G$222=G72,1,0),F$87:F$222)</f>
        <v>0.80600000000000005</v>
      </c>
      <c r="G72" s="125" t="s">
        <v>1532</v>
      </c>
      <c r="H72" s="139" t="s">
        <v>483</v>
      </c>
      <c r="I72" s="91" t="str">
        <f>IFERROR(INDEX(Tabela3[Tipos de Tratamento],MATCH('A3.9.1'!H72,Tabela3[Código],0)),"")</f>
        <v xml:space="preserve">Troca de resíduos com vista a submetê-los a uma das operações enumeradas de R 1 a R 11 </v>
      </c>
      <c r="J72" s="91"/>
      <c r="K72" s="91"/>
      <c r="L72" s="91"/>
    </row>
    <row r="73" spans="2:12" ht="15.75" thickBot="1" x14ac:dyDescent="0.3">
      <c r="B73" s="82" t="s">
        <v>534</v>
      </c>
      <c r="C73" s="142">
        <v>200301</v>
      </c>
      <c r="D73" s="83" t="s">
        <v>1610</v>
      </c>
      <c r="E73" s="125" t="s">
        <v>42</v>
      </c>
      <c r="F73" s="139">
        <f t="array" ref="F73">SUMPRODUCT(IF(C$87:C$222=C73,1,0),IF(H$87:H$222=H73,1,0),IF(G$87:G$222=G73,1,0),F$87:F$222)</f>
        <v>0</v>
      </c>
      <c r="G73" s="125" t="s">
        <v>1532</v>
      </c>
      <c r="H73" s="139" t="s">
        <v>483</v>
      </c>
      <c r="I73" s="91" t="str">
        <f>IFERROR(INDEX(Tabela3[Tipos de Tratamento],MATCH('A3.9.1'!H73,Tabela3[Código],0)),"")</f>
        <v xml:space="preserve">Troca de resíduos com vista a submetê-los a uma das operações enumeradas de R 1 a R 11 </v>
      </c>
      <c r="J73" s="91"/>
      <c r="K73" s="91"/>
      <c r="L73" s="91"/>
    </row>
    <row r="74" spans="2:12" ht="15.75" thickBot="1" x14ac:dyDescent="0.3">
      <c r="B74" s="82" t="s">
        <v>534</v>
      </c>
      <c r="C74" s="142">
        <v>200301</v>
      </c>
      <c r="D74" s="83" t="s">
        <v>1610</v>
      </c>
      <c r="E74" s="125" t="s">
        <v>42</v>
      </c>
      <c r="F74" s="139">
        <f t="array" ref="F74">SUMPRODUCT(IF(C$87:C$222=C74,1,0),IF(H$87:H$222=H74,1,0),IF(G$87:G$222=G74,1,0),F$87:F$222)</f>
        <v>0</v>
      </c>
      <c r="G74" s="125" t="s">
        <v>1532</v>
      </c>
      <c r="H74" s="139" t="s">
        <v>509</v>
      </c>
      <c r="I74" s="91" t="str">
        <f>IFERROR(INDEX(Tabela3[Tipos de Tratamento],MATCH('A3.9.1'!H74,Tabela3[Código],0)),"")</f>
        <v>Armazenagem enquanto se aguarda a execução de uma das operações enumeradas de D1 a D14</v>
      </c>
      <c r="J74" s="91"/>
      <c r="K74" s="91"/>
      <c r="L74" s="91"/>
    </row>
    <row r="75" spans="2:12" ht="15.75" thickBot="1" x14ac:dyDescent="0.3">
      <c r="B75" s="82" t="s">
        <v>535</v>
      </c>
      <c r="C75" s="142">
        <v>130208</v>
      </c>
      <c r="D75" s="83" t="s">
        <v>1531</v>
      </c>
      <c r="E75" s="125" t="s">
        <v>34</v>
      </c>
      <c r="F75" s="139">
        <v>0.88</v>
      </c>
      <c r="G75" s="125" t="s">
        <v>1532</v>
      </c>
      <c r="H75" s="125" t="s">
        <v>480</v>
      </c>
      <c r="I75" s="91" t="str">
        <f>IFERROR(INDEX(Tabela3[Tipos de Tratamento],MATCH('A3.9.1'!H75,Tabela3[Código],0)),"")</f>
        <v xml:space="preserve">Regeneração de óleos e outras reutilizações de óleos </v>
      </c>
      <c r="J75" s="91" t="s">
        <v>1535</v>
      </c>
      <c r="K75" s="91" t="s">
        <v>1536</v>
      </c>
      <c r="L75" s="91"/>
    </row>
    <row r="76" spans="2:12" ht="15.75" thickBot="1" x14ac:dyDescent="0.3">
      <c r="B76" s="82" t="s">
        <v>535</v>
      </c>
      <c r="C76" s="142">
        <v>130502</v>
      </c>
      <c r="D76" s="83" t="s">
        <v>1569</v>
      </c>
      <c r="E76" s="125" t="s">
        <v>34</v>
      </c>
      <c r="F76" s="139">
        <v>10.78</v>
      </c>
      <c r="G76" s="125" t="s">
        <v>1532</v>
      </c>
      <c r="H76" s="125" t="s">
        <v>483</v>
      </c>
      <c r="I76" s="91" t="s">
        <v>485</v>
      </c>
      <c r="J76" s="91" t="s">
        <v>1570</v>
      </c>
      <c r="K76" s="91" t="s">
        <v>1571</v>
      </c>
      <c r="L76" s="91"/>
    </row>
    <row r="77" spans="2:12" ht="15.75" thickBot="1" x14ac:dyDescent="0.3">
      <c r="B77" s="82" t="s">
        <v>535</v>
      </c>
      <c r="C77" s="142">
        <v>130507</v>
      </c>
      <c r="D77" s="83" t="s">
        <v>1572</v>
      </c>
      <c r="E77" s="125" t="s">
        <v>34</v>
      </c>
      <c r="F77" s="139">
        <v>6.28</v>
      </c>
      <c r="G77" s="125" t="s">
        <v>1532</v>
      </c>
      <c r="H77" s="125" t="s">
        <v>483</v>
      </c>
      <c r="I77" s="91" t="s">
        <v>485</v>
      </c>
      <c r="J77" s="91" t="s">
        <v>1570</v>
      </c>
      <c r="K77" s="91" t="s">
        <v>1571</v>
      </c>
      <c r="L77" s="91"/>
    </row>
    <row r="78" spans="2:12" ht="15.75" thickBot="1" x14ac:dyDescent="0.3">
      <c r="B78" s="82" t="s">
        <v>535</v>
      </c>
      <c r="C78" s="142">
        <v>150101</v>
      </c>
      <c r="D78" s="83" t="s">
        <v>1537</v>
      </c>
      <c r="E78" s="125" t="s">
        <v>42</v>
      </c>
      <c r="F78" s="139">
        <v>7.3999999999999996E-2</v>
      </c>
      <c r="G78" s="125" t="s">
        <v>1532</v>
      </c>
      <c r="H78" s="125" t="s">
        <v>483</v>
      </c>
      <c r="I78" s="91" t="s">
        <v>485</v>
      </c>
      <c r="J78" s="91" t="s">
        <v>1538</v>
      </c>
      <c r="K78" s="91" t="s">
        <v>1539</v>
      </c>
      <c r="L78" s="91"/>
    </row>
    <row r="79" spans="2:12" ht="15.75" thickBot="1" x14ac:dyDescent="0.3">
      <c r="B79" s="82" t="s">
        <v>535</v>
      </c>
      <c r="C79" s="142">
        <v>150202</v>
      </c>
      <c r="D79" s="83" t="s">
        <v>1547</v>
      </c>
      <c r="E79" s="125" t="s">
        <v>34</v>
      </c>
      <c r="F79" s="139">
        <v>0.08</v>
      </c>
      <c r="G79" s="125" t="s">
        <v>1532</v>
      </c>
      <c r="H79" s="125" t="s">
        <v>484</v>
      </c>
      <c r="I79" s="91" t="s">
        <v>1553</v>
      </c>
      <c r="J79" s="91" t="s">
        <v>1538</v>
      </c>
      <c r="K79" s="91" t="s">
        <v>1539</v>
      </c>
      <c r="L79" s="91"/>
    </row>
    <row r="80" spans="2:12" ht="15.75" thickBot="1" x14ac:dyDescent="0.3">
      <c r="B80" s="82" t="s">
        <v>535</v>
      </c>
      <c r="C80" s="142">
        <v>150203</v>
      </c>
      <c r="D80" s="83" t="s">
        <v>1550</v>
      </c>
      <c r="E80" s="125" t="s">
        <v>42</v>
      </c>
      <c r="F80" s="139">
        <v>0.2</v>
      </c>
      <c r="G80" s="125" t="s">
        <v>1532</v>
      </c>
      <c r="H80" s="125" t="s">
        <v>483</v>
      </c>
      <c r="I80" s="91" t="s">
        <v>485</v>
      </c>
      <c r="J80" s="91" t="s">
        <v>1538</v>
      </c>
      <c r="K80" s="91" t="s">
        <v>1539</v>
      </c>
      <c r="L80" s="91"/>
    </row>
    <row r="81" spans="2:12" ht="15.75" thickBot="1" x14ac:dyDescent="0.3">
      <c r="B81" s="82" t="s">
        <v>535</v>
      </c>
      <c r="C81" s="142">
        <v>160107</v>
      </c>
      <c r="D81" s="83" t="s">
        <v>1551</v>
      </c>
      <c r="E81" s="125" t="s">
        <v>34</v>
      </c>
      <c r="F81" s="139">
        <v>0.20799999999999999</v>
      </c>
      <c r="G81" s="125" t="s">
        <v>1532</v>
      </c>
      <c r="H81" s="125" t="s">
        <v>484</v>
      </c>
      <c r="I81" s="91" t="s">
        <v>1553</v>
      </c>
      <c r="J81" s="91" t="s">
        <v>1538</v>
      </c>
      <c r="K81" s="91" t="s">
        <v>1539</v>
      </c>
      <c r="L81" s="91"/>
    </row>
    <row r="82" spans="2:12" ht="15.75" thickBot="1" x14ac:dyDescent="0.3">
      <c r="B82" s="82" t="s">
        <v>535</v>
      </c>
      <c r="C82" s="142">
        <v>160112</v>
      </c>
      <c r="D82" s="83" t="s">
        <v>1552</v>
      </c>
      <c r="E82" s="125" t="s">
        <v>34</v>
      </c>
      <c r="F82" s="139">
        <v>0.27</v>
      </c>
      <c r="G82" s="125" t="s">
        <v>1532</v>
      </c>
      <c r="H82" s="125" t="s">
        <v>483</v>
      </c>
      <c r="I82" s="91" t="s">
        <v>485</v>
      </c>
      <c r="J82" s="91" t="s">
        <v>1538</v>
      </c>
      <c r="K82" s="91" t="s">
        <v>1539</v>
      </c>
      <c r="L82" s="91"/>
    </row>
    <row r="83" spans="2:12" ht="15.75" thickBot="1" x14ac:dyDescent="0.3">
      <c r="B83" s="82" t="s">
        <v>535</v>
      </c>
      <c r="C83" s="142">
        <v>160117</v>
      </c>
      <c r="D83" s="83" t="s">
        <v>1557</v>
      </c>
      <c r="E83" s="125" t="s">
        <v>42</v>
      </c>
      <c r="F83" s="139">
        <v>1.54</v>
      </c>
      <c r="G83" s="125" t="s">
        <v>1532</v>
      </c>
      <c r="H83" s="125" t="s">
        <v>483</v>
      </c>
      <c r="I83" s="91" t="s">
        <v>485</v>
      </c>
      <c r="J83" s="91" t="s">
        <v>1558</v>
      </c>
      <c r="K83" s="91" t="s">
        <v>1559</v>
      </c>
      <c r="L83" s="91"/>
    </row>
    <row r="84" spans="2:12" ht="15.75" thickBot="1" x14ac:dyDescent="0.3">
      <c r="B84" s="82" t="s">
        <v>535</v>
      </c>
      <c r="C84" s="142">
        <v>160119</v>
      </c>
      <c r="D84" s="83" t="s">
        <v>1560</v>
      </c>
      <c r="E84" s="125" t="s">
        <v>42</v>
      </c>
      <c r="F84" s="139">
        <v>2.8000000000000001E-2</v>
      </c>
      <c r="G84" s="125" t="s">
        <v>1532</v>
      </c>
      <c r="H84" s="125" t="s">
        <v>483</v>
      </c>
      <c r="I84" s="91" t="s">
        <v>485</v>
      </c>
      <c r="J84" s="91" t="s">
        <v>1538</v>
      </c>
      <c r="K84" s="91" t="s">
        <v>1539</v>
      </c>
      <c r="L84" s="91"/>
    </row>
    <row r="85" spans="2:12" ht="15.75" thickBot="1" x14ac:dyDescent="0.3">
      <c r="B85" s="82" t="s">
        <v>535</v>
      </c>
      <c r="C85" s="142">
        <v>160199</v>
      </c>
      <c r="D85" s="83" t="s">
        <v>1562</v>
      </c>
      <c r="E85" s="125" t="s">
        <v>42</v>
      </c>
      <c r="F85" s="139">
        <v>0.34</v>
      </c>
      <c r="G85" s="125" t="s">
        <v>1532</v>
      </c>
      <c r="H85" s="125" t="s">
        <v>483</v>
      </c>
      <c r="I85" s="91" t="s">
        <v>485</v>
      </c>
      <c r="J85" s="91" t="s">
        <v>1538</v>
      </c>
      <c r="K85" s="91" t="s">
        <v>1539</v>
      </c>
      <c r="L85" s="91"/>
    </row>
    <row r="86" spans="2:12" ht="15.75" thickBot="1" x14ac:dyDescent="0.3">
      <c r="B86" s="82" t="s">
        <v>535</v>
      </c>
      <c r="C86" s="142">
        <v>160601</v>
      </c>
      <c r="D86" s="83" t="s">
        <v>1563</v>
      </c>
      <c r="E86" s="125" t="s">
        <v>34</v>
      </c>
      <c r="F86" s="139">
        <v>1.82</v>
      </c>
      <c r="G86" s="125" t="s">
        <v>1532</v>
      </c>
      <c r="H86" s="125" t="s">
        <v>483</v>
      </c>
      <c r="I86" s="91" t="s">
        <v>485</v>
      </c>
      <c r="J86" s="91" t="s">
        <v>1558</v>
      </c>
      <c r="K86" s="91" t="s">
        <v>1559</v>
      </c>
      <c r="L86" s="91"/>
    </row>
    <row r="87" spans="2:12" ht="15.75" thickBot="1" x14ac:dyDescent="0.3">
      <c r="B87" s="114" t="s">
        <v>540</v>
      </c>
      <c r="C87" s="144">
        <v>130208</v>
      </c>
      <c r="D87" s="115" t="s">
        <v>1531</v>
      </c>
      <c r="E87" s="138" t="s">
        <v>34</v>
      </c>
      <c r="F87" s="140">
        <v>0</v>
      </c>
      <c r="G87" s="138" t="s">
        <v>1532</v>
      </c>
      <c r="H87" s="138" t="s">
        <v>480</v>
      </c>
      <c r="I87" s="114" t="str">
        <f>IFERROR(INDEX(Tabela3[Tipos de Tratamento],MATCH('A3.9.1'!H87,Tabela3[Código],0)),"")</f>
        <v xml:space="preserve">Regeneração de óleos e outras reutilizações de óleos </v>
      </c>
      <c r="J87" s="114" t="s">
        <v>1535</v>
      </c>
      <c r="K87" s="114" t="s">
        <v>1536</v>
      </c>
      <c r="L87" s="114"/>
    </row>
    <row r="88" spans="2:12" ht="15.75" thickBot="1" x14ac:dyDescent="0.3">
      <c r="B88" s="114" t="s">
        <v>545</v>
      </c>
      <c r="C88" s="144">
        <v>130208</v>
      </c>
      <c r="D88" s="115" t="s">
        <v>1531</v>
      </c>
      <c r="E88" s="138" t="s">
        <v>34</v>
      </c>
      <c r="F88" s="140">
        <f>100%*5.321</f>
        <v>5.3209999999999997</v>
      </c>
      <c r="G88" s="138" t="s">
        <v>1532</v>
      </c>
      <c r="H88" s="138" t="s">
        <v>480</v>
      </c>
      <c r="I88" s="114" t="str">
        <f>IFERROR(INDEX(Tabela3[Tipos de Tratamento],MATCH('A3.9.1'!H88,Tabela3[Código],0)),"")</f>
        <v xml:space="preserve">Regeneração de óleos e outras reutilizações de óleos </v>
      </c>
      <c r="J88" s="114" t="s">
        <v>1535</v>
      </c>
      <c r="K88" s="114" t="s">
        <v>1536</v>
      </c>
      <c r="L88" s="114"/>
    </row>
    <row r="89" spans="2:12" ht="15.75" thickBot="1" x14ac:dyDescent="0.3">
      <c r="B89" s="114" t="s">
        <v>540</v>
      </c>
      <c r="C89" s="144">
        <v>150101</v>
      </c>
      <c r="D89" s="115" t="s">
        <v>1537</v>
      </c>
      <c r="E89" s="138" t="s">
        <v>42</v>
      </c>
      <c r="F89" s="140">
        <f>30%*0.474</f>
        <v>0.14219999999999999</v>
      </c>
      <c r="G89" s="138" t="s">
        <v>1532</v>
      </c>
      <c r="H89" s="138" t="s">
        <v>483</v>
      </c>
      <c r="I89" s="114" t="str">
        <f>IFERROR(INDEX(Tabela3[Tipos de Tratamento],MATCH('A3.9.1'!H89,Tabela3[Código],0)),"")</f>
        <v xml:space="preserve">Troca de resíduos com vista a submetê-los a uma das operações enumeradas de R 1 a R 11 </v>
      </c>
      <c r="J89" s="114" t="s">
        <v>1538</v>
      </c>
      <c r="K89" s="114" t="s">
        <v>1539</v>
      </c>
      <c r="L89" s="114"/>
    </row>
    <row r="90" spans="2:12" ht="15.75" thickBot="1" x14ac:dyDescent="0.3">
      <c r="B90" s="114" t="s">
        <v>545</v>
      </c>
      <c r="C90" s="144">
        <v>150101</v>
      </c>
      <c r="D90" s="115" t="s">
        <v>1537</v>
      </c>
      <c r="E90" s="138" t="s">
        <v>42</v>
      </c>
      <c r="F90" s="140">
        <f>70%*0.474</f>
        <v>0.33179999999999998</v>
      </c>
      <c r="G90" s="138" t="s">
        <v>1532</v>
      </c>
      <c r="H90" s="138" t="s">
        <v>483</v>
      </c>
      <c r="I90" s="114" t="str">
        <f>IFERROR(INDEX(Tabela3[Tipos de Tratamento],MATCH('A3.9.1'!H90,Tabela3[Código],0)),"")</f>
        <v xml:space="preserve">Troca de resíduos com vista a submetê-los a uma das operações enumeradas de R 1 a R 11 </v>
      </c>
      <c r="J90" s="114" t="s">
        <v>1538</v>
      </c>
      <c r="K90" s="114" t="s">
        <v>1539</v>
      </c>
      <c r="L90" s="114"/>
    </row>
    <row r="91" spans="2:12" ht="15.75" thickBot="1" x14ac:dyDescent="0.3">
      <c r="B91" s="114" t="s">
        <v>540</v>
      </c>
      <c r="C91" s="144">
        <v>150101</v>
      </c>
      <c r="D91" s="115" t="s">
        <v>1537</v>
      </c>
      <c r="E91" s="138" t="s">
        <v>42</v>
      </c>
      <c r="F91" s="140">
        <f>30%*0.5</f>
        <v>0.15</v>
      </c>
      <c r="G91" s="138" t="s">
        <v>1532</v>
      </c>
      <c r="H91" s="138" t="s">
        <v>483</v>
      </c>
      <c r="I91" s="114" t="str">
        <f>IFERROR(INDEX(Tabela3[Tipos de Tratamento],MATCH('A3.9.1'!H91,Tabela3[Código],0)),"")</f>
        <v xml:space="preserve">Troca de resíduos com vista a submetê-los a uma das operações enumeradas de R 1 a R 11 </v>
      </c>
      <c r="J91" s="114" t="s">
        <v>1540</v>
      </c>
      <c r="K91" s="114" t="s">
        <v>1541</v>
      </c>
      <c r="L91" s="114"/>
    </row>
    <row r="92" spans="2:12" ht="15.75" thickBot="1" x14ac:dyDescent="0.3">
      <c r="B92" s="114" t="s">
        <v>545</v>
      </c>
      <c r="C92" s="144">
        <v>150101</v>
      </c>
      <c r="D92" s="115" t="s">
        <v>1537</v>
      </c>
      <c r="E92" s="138" t="s">
        <v>42</v>
      </c>
      <c r="F92" s="140">
        <f>70%*0.5</f>
        <v>0.35</v>
      </c>
      <c r="G92" s="138" t="s">
        <v>1532</v>
      </c>
      <c r="H92" s="138" t="s">
        <v>483</v>
      </c>
      <c r="I92" s="114" t="str">
        <f>IFERROR(INDEX(Tabela3[Tipos de Tratamento],MATCH('A3.9.1'!H92,Tabela3[Código],0)),"")</f>
        <v xml:space="preserve">Troca de resíduos com vista a submetê-los a uma das operações enumeradas de R 1 a R 11 </v>
      </c>
      <c r="J92" s="114" t="s">
        <v>1540</v>
      </c>
      <c r="K92" s="114" t="s">
        <v>1541</v>
      </c>
      <c r="L92" s="114"/>
    </row>
    <row r="93" spans="2:12" ht="15.75" thickBot="1" x14ac:dyDescent="0.3">
      <c r="B93" s="114" t="s">
        <v>540</v>
      </c>
      <c r="C93" s="144">
        <v>150110</v>
      </c>
      <c r="D93" s="115" t="s">
        <v>1542</v>
      </c>
      <c r="E93" s="138" t="s">
        <v>34</v>
      </c>
      <c r="F93" s="140">
        <v>0</v>
      </c>
      <c r="G93" s="138" t="s">
        <v>1532</v>
      </c>
      <c r="H93" s="138" t="s">
        <v>484</v>
      </c>
      <c r="I93" s="114" t="str">
        <f>IFERROR(INDEX(Tabela3[Tipos de Tratamento],MATCH('A3.9.1'!H93,Tabela3[Código],0)),"")</f>
        <v>Acumulação de resíduos destinados a uma das operações enumeradas de R1 a R12</v>
      </c>
      <c r="J93" s="114" t="s">
        <v>1538</v>
      </c>
      <c r="K93" s="114" t="s">
        <v>1539</v>
      </c>
      <c r="L93" s="114"/>
    </row>
    <row r="94" spans="2:12" ht="15.75" thickBot="1" x14ac:dyDescent="0.3">
      <c r="B94" s="114" t="s">
        <v>545</v>
      </c>
      <c r="C94" s="144">
        <v>150110</v>
      </c>
      <c r="D94" s="115" t="s">
        <v>1542</v>
      </c>
      <c r="E94" s="138" t="s">
        <v>34</v>
      </c>
      <c r="F94" s="140">
        <f>100%*0.09</f>
        <v>0.09</v>
      </c>
      <c r="G94" s="138" t="s">
        <v>1532</v>
      </c>
      <c r="H94" s="138" t="s">
        <v>484</v>
      </c>
      <c r="I94" s="114" t="str">
        <f>IFERROR(INDEX(Tabela3[Tipos de Tratamento],MATCH('A3.9.1'!H94,Tabela3[Código],0)),"")</f>
        <v>Acumulação de resíduos destinados a uma das operações enumeradas de R1 a R12</v>
      </c>
      <c r="J94" s="114" t="s">
        <v>1538</v>
      </c>
      <c r="K94" s="114" t="s">
        <v>1539</v>
      </c>
      <c r="L94" s="114"/>
    </row>
    <row r="95" spans="2:12" ht="15.75" thickBot="1" x14ac:dyDescent="0.3">
      <c r="B95" s="114" t="s">
        <v>540</v>
      </c>
      <c r="C95" s="144">
        <v>150111</v>
      </c>
      <c r="D95" s="115" t="s">
        <v>1548</v>
      </c>
      <c r="E95" s="138" t="s">
        <v>34</v>
      </c>
      <c r="F95" s="140">
        <f>30%*0.036</f>
        <v>1.0799999999999999E-2</v>
      </c>
      <c r="G95" s="138" t="s">
        <v>1532</v>
      </c>
      <c r="H95" s="138" t="s">
        <v>484</v>
      </c>
      <c r="I95" s="114" t="str">
        <f>IFERROR(INDEX(Tabela3[Tipos de Tratamento],MATCH('A3.9.1'!H95,Tabela3[Código],0)),"")</f>
        <v>Acumulação de resíduos destinados a uma das operações enumeradas de R1 a R12</v>
      </c>
      <c r="J95" s="114" t="s">
        <v>1538</v>
      </c>
      <c r="K95" s="114" t="s">
        <v>1539</v>
      </c>
      <c r="L95" s="114"/>
    </row>
    <row r="96" spans="2:12" ht="15.75" thickBot="1" x14ac:dyDescent="0.3">
      <c r="B96" s="114" t="s">
        <v>545</v>
      </c>
      <c r="C96" s="144">
        <v>150111</v>
      </c>
      <c r="D96" s="115" t="s">
        <v>1549</v>
      </c>
      <c r="E96" s="138" t="s">
        <v>34</v>
      </c>
      <c r="F96" s="140">
        <f>70%*0.036</f>
        <v>2.5199999999999997E-2</v>
      </c>
      <c r="G96" s="138" t="s">
        <v>1532</v>
      </c>
      <c r="H96" s="138" t="s">
        <v>484</v>
      </c>
      <c r="I96" s="114" t="str">
        <f>IFERROR(INDEX(Tabela3[Tipos de Tratamento],MATCH('A3.9.1'!H96,Tabela3[Código],0)),"")</f>
        <v>Acumulação de resíduos destinados a uma das operações enumeradas de R1 a R12</v>
      </c>
      <c r="J96" s="114" t="s">
        <v>1538</v>
      </c>
      <c r="K96" s="114" t="s">
        <v>1539</v>
      </c>
      <c r="L96" s="114"/>
    </row>
    <row r="97" spans="2:12" ht="15.75" thickBot="1" x14ac:dyDescent="0.3">
      <c r="B97" s="114" t="s">
        <v>540</v>
      </c>
      <c r="C97" s="144">
        <v>150202</v>
      </c>
      <c r="D97" s="115" t="s">
        <v>1547</v>
      </c>
      <c r="E97" s="138" t="s">
        <v>34</v>
      </c>
      <c r="F97" s="140">
        <f>30%*0.28</f>
        <v>8.4000000000000005E-2</v>
      </c>
      <c r="G97" s="138" t="s">
        <v>1532</v>
      </c>
      <c r="H97" s="138" t="s">
        <v>484</v>
      </c>
      <c r="I97" s="114" t="str">
        <f>IFERROR(INDEX(Tabela3[Tipos de Tratamento],MATCH('A3.9.1'!H97,Tabela3[Código],0)),"")</f>
        <v>Acumulação de resíduos destinados a uma das operações enumeradas de R1 a R12</v>
      </c>
      <c r="J97" s="114" t="s">
        <v>1538</v>
      </c>
      <c r="K97" s="114" t="s">
        <v>1539</v>
      </c>
      <c r="L97" s="114"/>
    </row>
    <row r="98" spans="2:12" ht="15.75" thickBot="1" x14ac:dyDescent="0.3">
      <c r="B98" s="114" t="s">
        <v>545</v>
      </c>
      <c r="C98" s="144">
        <v>150202</v>
      </c>
      <c r="D98" s="115" t="s">
        <v>1547</v>
      </c>
      <c r="E98" s="138" t="s">
        <v>34</v>
      </c>
      <c r="F98" s="140">
        <f>70%*0.28</f>
        <v>0.19600000000000001</v>
      </c>
      <c r="G98" s="138" t="s">
        <v>1532</v>
      </c>
      <c r="H98" s="138" t="s">
        <v>484</v>
      </c>
      <c r="I98" s="114" t="str">
        <f>IFERROR(INDEX(Tabela3[Tipos de Tratamento],MATCH('A3.9.1'!H98,Tabela3[Código],0)),"")</f>
        <v>Acumulação de resíduos destinados a uma das operações enumeradas de R1 a R12</v>
      </c>
      <c r="J98" s="114" t="s">
        <v>1538</v>
      </c>
      <c r="K98" s="114" t="s">
        <v>1539</v>
      </c>
      <c r="L98" s="114"/>
    </row>
    <row r="99" spans="2:12" ht="15.75" thickBot="1" x14ac:dyDescent="0.3">
      <c r="B99" s="114" t="s">
        <v>540</v>
      </c>
      <c r="C99" s="144">
        <v>150203</v>
      </c>
      <c r="D99" s="115" t="s">
        <v>1550</v>
      </c>
      <c r="E99" s="138" t="s">
        <v>42</v>
      </c>
      <c r="F99" s="140">
        <f>0.3*1.4</f>
        <v>0.42</v>
      </c>
      <c r="G99" s="138" t="s">
        <v>1532</v>
      </c>
      <c r="H99" s="138" t="s">
        <v>483</v>
      </c>
      <c r="I99" s="114" t="str">
        <f>IFERROR(INDEX(Tabela3[Tipos de Tratamento],MATCH('A3.9.1'!H99,Tabela3[Código],0)),"")</f>
        <v xml:space="preserve">Troca de resíduos com vista a submetê-los a uma das operações enumeradas de R 1 a R 11 </v>
      </c>
      <c r="J99" s="114" t="s">
        <v>1538</v>
      </c>
      <c r="K99" s="114" t="s">
        <v>1539</v>
      </c>
      <c r="L99" s="114"/>
    </row>
    <row r="100" spans="2:12" ht="15.75" thickBot="1" x14ac:dyDescent="0.3">
      <c r="B100" s="114" t="s">
        <v>545</v>
      </c>
      <c r="C100" s="144">
        <v>150203</v>
      </c>
      <c r="D100" s="115" t="s">
        <v>1550</v>
      </c>
      <c r="E100" s="138" t="s">
        <v>42</v>
      </c>
      <c r="F100" s="140">
        <f>0.7*1.4</f>
        <v>0.97999999999999987</v>
      </c>
      <c r="G100" s="138" t="s">
        <v>1532</v>
      </c>
      <c r="H100" s="138" t="s">
        <v>483</v>
      </c>
      <c r="I100" s="114" t="str">
        <f>IFERROR(INDEX(Tabela3[Tipos de Tratamento],MATCH('A3.9.1'!H100,Tabela3[Código],0)),"")</f>
        <v xml:space="preserve">Troca de resíduos com vista a submetê-los a uma das operações enumeradas de R 1 a R 11 </v>
      </c>
      <c r="J100" s="114" t="s">
        <v>1538</v>
      </c>
      <c r="K100" s="114" t="s">
        <v>1539</v>
      </c>
      <c r="L100" s="114"/>
    </row>
    <row r="101" spans="2:12" ht="15.75" thickBot="1" x14ac:dyDescent="0.3">
      <c r="B101" s="114" t="s">
        <v>540</v>
      </c>
      <c r="C101" s="144">
        <v>160107</v>
      </c>
      <c r="D101" s="115" t="s">
        <v>1551</v>
      </c>
      <c r="E101" s="138" t="s">
        <v>34</v>
      </c>
      <c r="F101" s="140">
        <v>0</v>
      </c>
      <c r="G101" s="138" t="s">
        <v>1532</v>
      </c>
      <c r="H101" s="138" t="s">
        <v>484</v>
      </c>
      <c r="I101" s="114" t="str">
        <f>IFERROR(INDEX(Tabela3[Tipos de Tratamento],MATCH('A3.9.1'!H101,Tabela3[Código],0)),"")</f>
        <v>Acumulação de resíduos destinados a uma das operações enumeradas de R1 a R12</v>
      </c>
      <c r="J101" s="114" t="s">
        <v>1538</v>
      </c>
      <c r="K101" s="114" t="s">
        <v>1539</v>
      </c>
      <c r="L101" s="114"/>
    </row>
    <row r="102" spans="2:12" ht="15.75" thickBot="1" x14ac:dyDescent="0.3">
      <c r="B102" s="114" t="s">
        <v>545</v>
      </c>
      <c r="C102" s="144">
        <v>160107</v>
      </c>
      <c r="D102" s="115" t="s">
        <v>1551</v>
      </c>
      <c r="E102" s="138" t="s">
        <v>34</v>
      </c>
      <c r="F102" s="140">
        <f>100%*0.52</f>
        <v>0.52</v>
      </c>
      <c r="G102" s="138" t="s">
        <v>1532</v>
      </c>
      <c r="H102" s="138" t="s">
        <v>484</v>
      </c>
      <c r="I102" s="114" t="str">
        <f>IFERROR(INDEX(Tabela3[Tipos de Tratamento],MATCH('A3.9.1'!H102,Tabela3[Código],0)),"")</f>
        <v>Acumulação de resíduos destinados a uma das operações enumeradas de R1 a R12</v>
      </c>
      <c r="J102" s="114" t="s">
        <v>1538</v>
      </c>
      <c r="K102" s="114" t="s">
        <v>1539</v>
      </c>
      <c r="L102" s="114"/>
    </row>
    <row r="103" spans="2:12" ht="15.75" thickBot="1" x14ac:dyDescent="0.3">
      <c r="B103" s="114" t="s">
        <v>540</v>
      </c>
      <c r="C103" s="144">
        <v>160112</v>
      </c>
      <c r="D103" s="115" t="s">
        <v>1552</v>
      </c>
      <c r="E103" s="138" t="s">
        <v>34</v>
      </c>
      <c r="F103" s="140">
        <v>0</v>
      </c>
      <c r="G103" s="138" t="s">
        <v>1532</v>
      </c>
      <c r="H103" s="138" t="s">
        <v>483</v>
      </c>
      <c r="I103" s="114" t="str">
        <f>IFERROR(INDEX(Tabela3[Tipos de Tratamento],MATCH('A3.9.1'!H103,Tabela3[Código],0)),"")</f>
        <v xml:space="preserve">Troca de resíduos com vista a submetê-los a uma das operações enumeradas de R 1 a R 11 </v>
      </c>
      <c r="J103" s="114" t="s">
        <v>1538</v>
      </c>
      <c r="K103" s="114" t="s">
        <v>1539</v>
      </c>
      <c r="L103" s="114"/>
    </row>
    <row r="104" spans="2:12" ht="15.75" thickBot="1" x14ac:dyDescent="0.3">
      <c r="B104" s="114" t="s">
        <v>545</v>
      </c>
      <c r="C104" s="144">
        <v>160112</v>
      </c>
      <c r="D104" s="115" t="s">
        <v>1552</v>
      </c>
      <c r="E104" s="138" t="s">
        <v>34</v>
      </c>
      <c r="F104" s="140">
        <f>100%*0.54</f>
        <v>0.54</v>
      </c>
      <c r="G104" s="138" t="s">
        <v>1532</v>
      </c>
      <c r="H104" s="138" t="s">
        <v>483</v>
      </c>
      <c r="I104" s="114" t="str">
        <f>IFERROR(INDEX(Tabela3[Tipos de Tratamento],MATCH('A3.9.1'!H104,Tabela3[Código],0)),"")</f>
        <v xml:space="preserve">Troca de resíduos com vista a submetê-los a uma das operações enumeradas de R 1 a R 11 </v>
      </c>
      <c r="J104" s="114" t="s">
        <v>1538</v>
      </c>
      <c r="K104" s="114" t="s">
        <v>1539</v>
      </c>
      <c r="L104" s="114"/>
    </row>
    <row r="105" spans="2:12" ht="15.75" thickBot="1" x14ac:dyDescent="0.3">
      <c r="B105" s="114" t="s">
        <v>540</v>
      </c>
      <c r="C105" s="144">
        <v>160117</v>
      </c>
      <c r="D105" s="115" t="s">
        <v>1557</v>
      </c>
      <c r="E105" s="138" t="s">
        <v>42</v>
      </c>
      <c r="F105" s="140">
        <v>0</v>
      </c>
      <c r="G105" s="138" t="s">
        <v>1532</v>
      </c>
      <c r="H105" s="138" t="s">
        <v>483</v>
      </c>
      <c r="I105" s="114" t="str">
        <f>IFERROR(INDEX(Tabela3[Tipos de Tratamento],MATCH('A3.9.1'!H105,Tabela3[Código],0)),"")</f>
        <v xml:space="preserve">Troca de resíduos com vista a submetê-los a uma das operações enumeradas de R 1 a R 11 </v>
      </c>
      <c r="J105" s="114" t="s">
        <v>1558</v>
      </c>
      <c r="K105" s="114" t="s">
        <v>1559</v>
      </c>
      <c r="L105" s="114"/>
    </row>
    <row r="106" spans="2:12" ht="15.75" thickBot="1" x14ac:dyDescent="0.3">
      <c r="B106" s="114" t="s">
        <v>545</v>
      </c>
      <c r="C106" s="144">
        <v>160117</v>
      </c>
      <c r="D106" s="115" t="s">
        <v>1557</v>
      </c>
      <c r="E106" s="138" t="s">
        <v>42</v>
      </c>
      <c r="F106" s="140">
        <v>3.2</v>
      </c>
      <c r="G106" s="138" t="s">
        <v>1532</v>
      </c>
      <c r="H106" s="138" t="s">
        <v>483</v>
      </c>
      <c r="I106" s="114" t="str">
        <f>IFERROR(INDEX(Tabela3[Tipos de Tratamento],MATCH('A3.9.1'!H106,Tabela3[Código],0)),"")</f>
        <v xml:space="preserve">Troca de resíduos com vista a submetê-los a uma das operações enumeradas de R 1 a R 11 </v>
      </c>
      <c r="J106" s="114" t="s">
        <v>1558</v>
      </c>
      <c r="K106" s="114" t="s">
        <v>1559</v>
      </c>
      <c r="L106" s="114"/>
    </row>
    <row r="107" spans="2:12" ht="15.75" thickBot="1" x14ac:dyDescent="0.3">
      <c r="B107" s="114" t="s">
        <v>540</v>
      </c>
      <c r="C107" s="144">
        <v>160119</v>
      </c>
      <c r="D107" s="115" t="s">
        <v>1560</v>
      </c>
      <c r="E107" s="138" t="s">
        <v>42</v>
      </c>
      <c r="F107" s="140">
        <f>0.3*0.514</f>
        <v>0.1542</v>
      </c>
      <c r="G107" s="138" t="s">
        <v>1532</v>
      </c>
      <c r="H107" s="138" t="s">
        <v>483</v>
      </c>
      <c r="I107" s="114" t="str">
        <f>IFERROR(INDEX(Tabela3[Tipos de Tratamento],MATCH('A3.9.1'!H107,Tabela3[Código],0)),"")</f>
        <v xml:space="preserve">Troca de resíduos com vista a submetê-los a uma das operações enumeradas de R 1 a R 11 </v>
      </c>
      <c r="J107" s="114" t="s">
        <v>1538</v>
      </c>
      <c r="K107" s="114" t="s">
        <v>1539</v>
      </c>
      <c r="L107" s="114"/>
    </row>
    <row r="108" spans="2:12" ht="15.75" thickBot="1" x14ac:dyDescent="0.3">
      <c r="B108" s="114" t="s">
        <v>545</v>
      </c>
      <c r="C108" s="144">
        <v>160119</v>
      </c>
      <c r="D108" s="115" t="s">
        <v>1560</v>
      </c>
      <c r="E108" s="138" t="s">
        <v>42</v>
      </c>
      <c r="F108" s="140">
        <f>0.7*0.514</f>
        <v>0.35980000000000001</v>
      </c>
      <c r="G108" s="138" t="s">
        <v>1532</v>
      </c>
      <c r="H108" s="138" t="s">
        <v>483</v>
      </c>
      <c r="I108" s="114" t="str">
        <f>IFERROR(INDEX(Tabela3[Tipos de Tratamento],MATCH('A3.9.1'!H108,Tabela3[Código],0)),"")</f>
        <v xml:space="preserve">Troca de resíduos com vista a submetê-los a uma das operações enumeradas de R 1 a R 11 </v>
      </c>
      <c r="J108" s="114" t="s">
        <v>1538</v>
      </c>
      <c r="K108" s="114" t="s">
        <v>1539</v>
      </c>
      <c r="L108" s="114"/>
    </row>
    <row r="109" spans="2:12" ht="15.75" thickBot="1" x14ac:dyDescent="0.3">
      <c r="B109" s="114" t="s">
        <v>540</v>
      </c>
      <c r="C109" s="144" t="s">
        <v>1587</v>
      </c>
      <c r="D109" s="115" t="s">
        <v>1561</v>
      </c>
      <c r="E109" s="138" t="s">
        <v>42</v>
      </c>
      <c r="F109" s="140">
        <f>0.3*0.661</f>
        <v>0.1983</v>
      </c>
      <c r="G109" s="138" t="s">
        <v>1532</v>
      </c>
      <c r="H109" s="138" t="s">
        <v>483</v>
      </c>
      <c r="I109" s="114" t="str">
        <f>IFERROR(INDEX(Tabela3[Tipos de Tratamento],MATCH('A3.9.1'!H109,Tabela3[Código],0)),"")</f>
        <v xml:space="preserve">Troca de resíduos com vista a submetê-los a uma das operações enumeradas de R 1 a R 11 </v>
      </c>
      <c r="J109" s="114" t="s">
        <v>1538</v>
      </c>
      <c r="K109" s="114" t="s">
        <v>1539</v>
      </c>
      <c r="L109" s="114"/>
    </row>
    <row r="110" spans="2:12" ht="15.75" thickBot="1" x14ac:dyDescent="0.3">
      <c r="B110" s="114" t="s">
        <v>545</v>
      </c>
      <c r="C110" s="144" t="s">
        <v>1587</v>
      </c>
      <c r="D110" s="115" t="s">
        <v>1561</v>
      </c>
      <c r="E110" s="138" t="s">
        <v>42</v>
      </c>
      <c r="F110" s="140">
        <f>0.7*0.661</f>
        <v>0.4627</v>
      </c>
      <c r="G110" s="138" t="s">
        <v>1532</v>
      </c>
      <c r="H110" s="138" t="s">
        <v>483</v>
      </c>
      <c r="I110" s="114" t="str">
        <f>IFERROR(INDEX(Tabela3[Tipos de Tratamento],MATCH('A3.9.1'!H110,Tabela3[Código],0)),"")</f>
        <v xml:space="preserve">Troca de resíduos com vista a submetê-los a uma das operações enumeradas de R 1 a R 11 </v>
      </c>
      <c r="J110" s="114" t="s">
        <v>1538</v>
      </c>
      <c r="K110" s="114" t="s">
        <v>1539</v>
      </c>
      <c r="L110" s="114"/>
    </row>
    <row r="111" spans="2:12" ht="15.75" thickBot="1" x14ac:dyDescent="0.3">
      <c r="B111" s="114" t="s">
        <v>540</v>
      </c>
      <c r="C111" s="144">
        <v>160199</v>
      </c>
      <c r="D111" s="115" t="s">
        <v>1562</v>
      </c>
      <c r="E111" s="138" t="s">
        <v>42</v>
      </c>
      <c r="F111" s="140">
        <f>0.3*1.038</f>
        <v>0.31140000000000001</v>
      </c>
      <c r="G111" s="138" t="s">
        <v>1532</v>
      </c>
      <c r="H111" s="138" t="s">
        <v>483</v>
      </c>
      <c r="I111" s="114" t="str">
        <f>IFERROR(INDEX(Tabela3[Tipos de Tratamento],MATCH('A3.9.1'!H111,Tabela3[Código],0)),"")</f>
        <v xml:space="preserve">Troca de resíduos com vista a submetê-los a uma das operações enumeradas de R 1 a R 11 </v>
      </c>
      <c r="J111" s="114" t="s">
        <v>1538</v>
      </c>
      <c r="K111" s="114" t="s">
        <v>1539</v>
      </c>
      <c r="L111" s="114"/>
    </row>
    <row r="112" spans="2:12" ht="15.75" thickBot="1" x14ac:dyDescent="0.3">
      <c r="B112" s="114" t="s">
        <v>545</v>
      </c>
      <c r="C112" s="144">
        <v>160199</v>
      </c>
      <c r="D112" s="115" t="s">
        <v>1562</v>
      </c>
      <c r="E112" s="138" t="s">
        <v>42</v>
      </c>
      <c r="F112" s="140">
        <f>0.7*1.038</f>
        <v>0.72660000000000002</v>
      </c>
      <c r="G112" s="138" t="s">
        <v>1532</v>
      </c>
      <c r="H112" s="138" t="s">
        <v>483</v>
      </c>
      <c r="I112" s="114" t="str">
        <f>IFERROR(INDEX(Tabela3[Tipos de Tratamento],MATCH('A3.9.1'!H112,Tabela3[Código],0)),"")</f>
        <v xml:space="preserve">Troca de resíduos com vista a submetê-los a uma das operações enumeradas de R 1 a R 11 </v>
      </c>
      <c r="J112" s="114" t="s">
        <v>1538</v>
      </c>
      <c r="K112" s="114" t="s">
        <v>1539</v>
      </c>
      <c r="L112" s="114"/>
    </row>
    <row r="113" spans="2:12" ht="15.75" thickBot="1" x14ac:dyDescent="0.3">
      <c r="B113" s="114" t="s">
        <v>540</v>
      </c>
      <c r="C113" s="144">
        <v>160601</v>
      </c>
      <c r="D113" s="115" t="s">
        <v>1563</v>
      </c>
      <c r="E113" s="138" t="s">
        <v>34</v>
      </c>
      <c r="F113" s="140">
        <v>0</v>
      </c>
      <c r="G113" s="138" t="s">
        <v>1532</v>
      </c>
      <c r="H113" s="138" t="s">
        <v>483</v>
      </c>
      <c r="I113" s="114" t="str">
        <f>IFERROR(INDEX(Tabela3[Tipos de Tratamento],MATCH('A3.9.1'!H113,Tabela3[Código],0)),"")</f>
        <v xml:space="preserve">Troca de resíduos com vista a submetê-los a uma das operações enumeradas de R 1 a R 11 </v>
      </c>
      <c r="J113" s="114" t="s">
        <v>1538</v>
      </c>
      <c r="K113" s="114" t="s">
        <v>1539</v>
      </c>
      <c r="L113" s="114"/>
    </row>
    <row r="114" spans="2:12" ht="15.75" thickBot="1" x14ac:dyDescent="0.3">
      <c r="B114" s="114" t="s">
        <v>545</v>
      </c>
      <c r="C114" s="144">
        <v>160601</v>
      </c>
      <c r="D114" s="115" t="s">
        <v>1563</v>
      </c>
      <c r="E114" s="138" t="s">
        <v>34</v>
      </c>
      <c r="F114" s="140">
        <f>100%*2.04</f>
        <v>2.04</v>
      </c>
      <c r="G114" s="138" t="s">
        <v>1532</v>
      </c>
      <c r="H114" s="138" t="s">
        <v>483</v>
      </c>
      <c r="I114" s="114" t="str">
        <f>IFERROR(INDEX(Tabela3[Tipos de Tratamento],MATCH('A3.9.1'!H114,Tabela3[Código],0)),"")</f>
        <v xml:space="preserve">Troca de resíduos com vista a submetê-los a uma das operações enumeradas de R 1 a R 11 </v>
      </c>
      <c r="J114" s="114" t="s">
        <v>1538</v>
      </c>
      <c r="K114" s="114" t="s">
        <v>1539</v>
      </c>
      <c r="L114" s="114"/>
    </row>
    <row r="115" spans="2:12" ht="15.75" thickBot="1" x14ac:dyDescent="0.3">
      <c r="B115" s="114" t="s">
        <v>540</v>
      </c>
      <c r="C115" s="144">
        <v>200101</v>
      </c>
      <c r="D115" s="115" t="s">
        <v>1597</v>
      </c>
      <c r="E115" s="138" t="s">
        <v>42</v>
      </c>
      <c r="F115" s="140">
        <f>0.3*1.36</f>
        <v>0.40800000000000003</v>
      </c>
      <c r="G115" s="138" t="s">
        <v>1532</v>
      </c>
      <c r="H115" s="138" t="s">
        <v>483</v>
      </c>
      <c r="I115" s="114" t="str">
        <f>IFERROR(INDEX(Tabela3[Tipos de Tratamento],MATCH('A3.9.1'!H115,Tabela3[Código],0)),"")</f>
        <v xml:space="preserve">Troca de resíduos com vista a submetê-los a uma das operações enumeradas de R 1 a R 11 </v>
      </c>
      <c r="J115" s="114" t="s">
        <v>1540</v>
      </c>
      <c r="K115" s="114" t="s">
        <v>1541</v>
      </c>
      <c r="L115" s="114"/>
    </row>
    <row r="116" spans="2:12" ht="15.75" thickBot="1" x14ac:dyDescent="0.3">
      <c r="B116" s="114" t="s">
        <v>545</v>
      </c>
      <c r="C116" s="144">
        <v>200101</v>
      </c>
      <c r="D116" s="115" t="s">
        <v>1597</v>
      </c>
      <c r="E116" s="138" t="s">
        <v>42</v>
      </c>
      <c r="F116" s="140">
        <f>0.7*1.36</f>
        <v>0.95199999999999996</v>
      </c>
      <c r="G116" s="138" t="s">
        <v>1532</v>
      </c>
      <c r="H116" s="138" t="s">
        <v>483</v>
      </c>
      <c r="I116" s="114" t="str">
        <f>IFERROR(INDEX(Tabela3[Tipos de Tratamento],MATCH('A3.9.1'!H116,Tabela3[Código],0)),"")</f>
        <v xml:space="preserve">Troca de resíduos com vista a submetê-los a uma das operações enumeradas de R 1 a R 11 </v>
      </c>
      <c r="J116" s="114" t="s">
        <v>1540</v>
      </c>
      <c r="K116" s="114" t="s">
        <v>1541</v>
      </c>
      <c r="L116" s="114"/>
    </row>
    <row r="117" spans="2:12" ht="15.75" thickBot="1" x14ac:dyDescent="0.3">
      <c r="B117" s="114" t="s">
        <v>540</v>
      </c>
      <c r="C117" s="144">
        <v>200102</v>
      </c>
      <c r="D117" s="115" t="s">
        <v>1561</v>
      </c>
      <c r="E117" s="138" t="s">
        <v>42</v>
      </c>
      <c r="F117" s="140">
        <f>0.3*0.442</f>
        <v>0.1326</v>
      </c>
      <c r="G117" s="138" t="s">
        <v>1532</v>
      </c>
      <c r="H117" s="138" t="s">
        <v>483</v>
      </c>
      <c r="I117" s="114" t="str">
        <f>IFERROR(INDEX(Tabela3[Tipos de Tratamento],MATCH('A3.9.1'!H117,Tabela3[Código],0)),"")</f>
        <v xml:space="preserve">Troca de resíduos com vista a submetê-los a uma das operações enumeradas de R 1 a R 11 </v>
      </c>
      <c r="J117" s="114" t="s">
        <v>1538</v>
      </c>
      <c r="K117" s="114" t="s">
        <v>1539</v>
      </c>
      <c r="L117" s="114"/>
    </row>
    <row r="118" spans="2:12" ht="15.75" thickBot="1" x14ac:dyDescent="0.3">
      <c r="B118" s="114" t="s">
        <v>545</v>
      </c>
      <c r="C118" s="144">
        <v>200102</v>
      </c>
      <c r="D118" s="115" t="s">
        <v>1561</v>
      </c>
      <c r="E118" s="138" t="s">
        <v>42</v>
      </c>
      <c r="F118" s="140">
        <f>0.7*0.442</f>
        <v>0.30940000000000001</v>
      </c>
      <c r="G118" s="138" t="s">
        <v>1532</v>
      </c>
      <c r="H118" s="138" t="s">
        <v>483</v>
      </c>
      <c r="I118" s="114" t="str">
        <f>IFERROR(INDEX(Tabela3[Tipos de Tratamento],MATCH('A3.9.1'!H118,Tabela3[Código],0)),"")</f>
        <v xml:space="preserve">Troca de resíduos com vista a submetê-los a uma das operações enumeradas de R 1 a R 11 </v>
      </c>
      <c r="J118" s="114" t="s">
        <v>1538</v>
      </c>
      <c r="K118" s="114" t="s">
        <v>1539</v>
      </c>
      <c r="L118" s="114"/>
    </row>
    <row r="119" spans="2:12" ht="15.75" thickBot="1" x14ac:dyDescent="0.3">
      <c r="B119" s="114" t="s">
        <v>540</v>
      </c>
      <c r="C119" s="144">
        <v>200121</v>
      </c>
      <c r="D119" s="115" t="s">
        <v>1564</v>
      </c>
      <c r="E119" s="138" t="s">
        <v>34</v>
      </c>
      <c r="F119" s="140">
        <f>0.3*0.018</f>
        <v>5.3999999999999994E-3</v>
      </c>
      <c r="G119" s="138" t="s">
        <v>1532</v>
      </c>
      <c r="H119" s="138" t="s">
        <v>484</v>
      </c>
      <c r="I119" s="114" t="str">
        <f>IFERROR(INDEX(Tabela3[Tipos de Tratamento],MATCH('A3.9.1'!H119,Tabela3[Código],0)),"")</f>
        <v>Acumulação de resíduos destinados a uma das operações enumeradas de R1 a R12</v>
      </c>
      <c r="J119" s="114" t="s">
        <v>1538</v>
      </c>
      <c r="K119" s="114" t="s">
        <v>1539</v>
      </c>
      <c r="L119" s="114"/>
    </row>
    <row r="120" spans="2:12" ht="15.75" thickBot="1" x14ac:dyDescent="0.3">
      <c r="B120" s="114" t="s">
        <v>545</v>
      </c>
      <c r="C120" s="144">
        <v>200121</v>
      </c>
      <c r="D120" s="115" t="s">
        <v>1564</v>
      </c>
      <c r="E120" s="138" t="s">
        <v>34</v>
      </c>
      <c r="F120" s="140">
        <f>0.7*0.018</f>
        <v>1.2599999999999998E-2</v>
      </c>
      <c r="G120" s="138" t="s">
        <v>1532</v>
      </c>
      <c r="H120" s="138" t="s">
        <v>484</v>
      </c>
      <c r="I120" s="114" t="str">
        <f>IFERROR(INDEX(Tabela3[Tipos de Tratamento],MATCH('A3.9.1'!H120,Tabela3[Código],0)),"")</f>
        <v>Acumulação de resíduos destinados a uma das operações enumeradas de R1 a R12</v>
      </c>
      <c r="J120" s="114" t="s">
        <v>1538</v>
      </c>
      <c r="K120" s="114" t="s">
        <v>1539</v>
      </c>
      <c r="L120" s="114"/>
    </row>
    <row r="121" spans="2:12" ht="15.75" thickBot="1" x14ac:dyDescent="0.3">
      <c r="B121" s="114" t="s">
        <v>540</v>
      </c>
      <c r="C121" s="144">
        <v>200125</v>
      </c>
      <c r="D121" s="115" t="s">
        <v>1565</v>
      </c>
      <c r="E121" s="138" t="s">
        <v>42</v>
      </c>
      <c r="F121" s="140">
        <f>0.3*0.08</f>
        <v>2.4E-2</v>
      </c>
      <c r="G121" s="138" t="s">
        <v>1532</v>
      </c>
      <c r="H121" s="138" t="s">
        <v>483</v>
      </c>
      <c r="I121" s="114" t="str">
        <f>IFERROR(INDEX(Tabela3[Tipos de Tratamento],MATCH('A3.9.1'!H121,Tabela3[Código],0)),"")</f>
        <v xml:space="preserve">Troca de resíduos com vista a submetê-los a uma das operações enumeradas de R 1 a R 11 </v>
      </c>
      <c r="J121" s="114" t="s">
        <v>1566</v>
      </c>
      <c r="K121" s="114" t="s">
        <v>1567</v>
      </c>
      <c r="L121" s="114"/>
    </row>
    <row r="122" spans="2:12" ht="15.75" thickBot="1" x14ac:dyDescent="0.3">
      <c r="B122" s="114" t="s">
        <v>545</v>
      </c>
      <c r="C122" s="144">
        <v>200125</v>
      </c>
      <c r="D122" s="115" t="s">
        <v>1565</v>
      </c>
      <c r="E122" s="138" t="s">
        <v>42</v>
      </c>
      <c r="F122" s="140">
        <f>0.7*0.08</f>
        <v>5.5999999999999994E-2</v>
      </c>
      <c r="G122" s="138" t="s">
        <v>1532</v>
      </c>
      <c r="H122" s="138" t="s">
        <v>483</v>
      </c>
      <c r="I122" s="114" t="str">
        <f>IFERROR(INDEX(Tabela3[Tipos de Tratamento],MATCH('A3.9.1'!H122,Tabela3[Código],0)),"")</f>
        <v xml:space="preserve">Troca de resíduos com vista a submetê-los a uma das operações enumeradas de R 1 a R 11 </v>
      </c>
      <c r="J122" s="114" t="s">
        <v>1566</v>
      </c>
      <c r="K122" s="114" t="s">
        <v>1567</v>
      </c>
      <c r="L122" s="114"/>
    </row>
    <row r="123" spans="2:12" ht="15.75" thickBot="1" x14ac:dyDescent="0.3">
      <c r="B123" s="114" t="s">
        <v>540</v>
      </c>
      <c r="C123" s="144">
        <v>200136</v>
      </c>
      <c r="D123" s="115" t="s">
        <v>1568</v>
      </c>
      <c r="E123" s="138" t="s">
        <v>42</v>
      </c>
      <c r="F123" s="140">
        <f>0.3*0.205</f>
        <v>6.1499999999999992E-2</v>
      </c>
      <c r="G123" s="138" t="s">
        <v>1532</v>
      </c>
      <c r="H123" s="138" t="s">
        <v>483</v>
      </c>
      <c r="I123" s="114" t="str">
        <f>IFERROR(INDEX(Tabela3[Tipos de Tratamento],MATCH('A3.9.1'!H123,Tabela3[Código],0)),"")</f>
        <v xml:space="preserve">Troca de resíduos com vista a submetê-los a uma das operações enumeradas de R 1 a R 11 </v>
      </c>
      <c r="J123" s="114" t="s">
        <v>1538</v>
      </c>
      <c r="K123" s="114" t="s">
        <v>1539</v>
      </c>
      <c r="L123" s="114"/>
    </row>
    <row r="124" spans="2:12" ht="15.75" thickBot="1" x14ac:dyDescent="0.3">
      <c r="B124" s="114" t="s">
        <v>545</v>
      </c>
      <c r="C124" s="144">
        <v>200136</v>
      </c>
      <c r="D124" s="115" t="s">
        <v>1568</v>
      </c>
      <c r="E124" s="138" t="s">
        <v>42</v>
      </c>
      <c r="F124" s="140">
        <f>0.7*0.205</f>
        <v>0.14349999999999999</v>
      </c>
      <c r="G124" s="138" t="s">
        <v>1532</v>
      </c>
      <c r="H124" s="138" t="s">
        <v>483</v>
      </c>
      <c r="I124" s="114" t="str">
        <f>IFERROR(INDEX(Tabela3[Tipos de Tratamento],MATCH('A3.9.1'!H124,Tabela3[Código],0)),"")</f>
        <v xml:space="preserve">Troca de resíduos com vista a submetê-los a uma das operações enumeradas de R 1 a R 11 </v>
      </c>
      <c r="J124" s="114" t="s">
        <v>1538</v>
      </c>
      <c r="K124" s="114" t="s">
        <v>1539</v>
      </c>
      <c r="L124" s="114"/>
    </row>
    <row r="125" spans="2:12" ht="15.75" thickBot="1" x14ac:dyDescent="0.3">
      <c r="B125" s="114" t="s">
        <v>542</v>
      </c>
      <c r="C125" s="144">
        <v>130208</v>
      </c>
      <c r="D125" s="115" t="s">
        <v>1531</v>
      </c>
      <c r="E125" s="138" t="s">
        <v>34</v>
      </c>
      <c r="F125" s="140">
        <v>4.9370000000000003</v>
      </c>
      <c r="G125" s="138" t="s">
        <v>1532</v>
      </c>
      <c r="H125" s="138" t="s">
        <v>480</v>
      </c>
      <c r="I125" s="114" t="str">
        <f>IFERROR(INDEX(Tabela3[Tipos de Tratamento],MATCH('A3.9.1'!H125,Tabela3[Código],0)),"")</f>
        <v xml:space="preserve">Regeneração de óleos e outras reutilizações de óleos </v>
      </c>
      <c r="J125" s="114" t="s">
        <v>1535</v>
      </c>
      <c r="K125" s="114" t="s">
        <v>1536</v>
      </c>
      <c r="L125" s="114"/>
    </row>
    <row r="126" spans="2:12" ht="15.75" thickBot="1" x14ac:dyDescent="0.3">
      <c r="B126" s="114" t="s">
        <v>542</v>
      </c>
      <c r="C126" s="144">
        <v>130502</v>
      </c>
      <c r="D126" s="115" t="s">
        <v>1569</v>
      </c>
      <c r="E126" s="138" t="s">
        <v>34</v>
      </c>
      <c r="F126" s="140">
        <v>5.4</v>
      </c>
      <c r="G126" s="138" t="s">
        <v>1532</v>
      </c>
      <c r="H126" s="138" t="s">
        <v>483</v>
      </c>
      <c r="I126" s="114" t="str">
        <f>IFERROR(INDEX(Tabela3[Tipos de Tratamento],MATCH('A3.9.1'!H126,Tabela3[Código],0)),"")</f>
        <v xml:space="preserve">Troca de resíduos com vista a submetê-los a uma das operações enumeradas de R 1 a R 11 </v>
      </c>
      <c r="J126" s="114" t="s">
        <v>1570</v>
      </c>
      <c r="K126" s="114" t="s">
        <v>1571</v>
      </c>
      <c r="L126" s="114"/>
    </row>
    <row r="127" spans="2:12" ht="15.75" thickBot="1" x14ac:dyDescent="0.3">
      <c r="B127" s="114" t="s">
        <v>542</v>
      </c>
      <c r="C127" s="144">
        <v>130507</v>
      </c>
      <c r="D127" s="115" t="s">
        <v>1572</v>
      </c>
      <c r="E127" s="138" t="s">
        <v>34</v>
      </c>
      <c r="F127" s="140">
        <v>8.8800000000000008</v>
      </c>
      <c r="G127" s="138" t="s">
        <v>1532</v>
      </c>
      <c r="H127" s="138" t="s">
        <v>483</v>
      </c>
      <c r="I127" s="114" t="str">
        <f>IFERROR(INDEX(Tabela3[Tipos de Tratamento],MATCH('A3.9.1'!H127,Tabela3[Código],0)),"")</f>
        <v xml:space="preserve">Troca de resíduos com vista a submetê-los a uma das operações enumeradas de R 1 a R 11 </v>
      </c>
      <c r="J127" s="114" t="s">
        <v>1570</v>
      </c>
      <c r="K127" s="114" t="s">
        <v>1571</v>
      </c>
      <c r="L127" s="114"/>
    </row>
    <row r="128" spans="2:12" ht="15.75" thickBot="1" x14ac:dyDescent="0.3">
      <c r="B128" s="114" t="s">
        <v>542</v>
      </c>
      <c r="C128" s="144">
        <v>150101</v>
      </c>
      <c r="D128" s="115" t="s">
        <v>1537</v>
      </c>
      <c r="E128" s="138" t="s">
        <v>42</v>
      </c>
      <c r="F128" s="140">
        <v>0.24</v>
      </c>
      <c r="G128" s="138" t="s">
        <v>1532</v>
      </c>
      <c r="H128" s="138" t="s">
        <v>483</v>
      </c>
      <c r="I128" s="114" t="str">
        <f>IFERROR(INDEX(Tabela3[Tipos de Tratamento],MATCH('A3.9.1'!H128,Tabela3[Código],0)),"")</f>
        <v xml:space="preserve">Troca de resíduos com vista a submetê-los a uma das operações enumeradas de R 1 a R 11 </v>
      </c>
      <c r="J128" s="114" t="s">
        <v>1538</v>
      </c>
      <c r="K128" s="114" t="s">
        <v>1539</v>
      </c>
      <c r="L128" s="114"/>
    </row>
    <row r="129" spans="2:12" ht="15.75" thickBot="1" x14ac:dyDescent="0.3">
      <c r="B129" s="114" t="s">
        <v>542</v>
      </c>
      <c r="C129" s="144">
        <v>150101</v>
      </c>
      <c r="D129" s="115" t="s">
        <v>1537</v>
      </c>
      <c r="E129" s="138" t="s">
        <v>42</v>
      </c>
      <c r="F129" s="140">
        <v>7.0999999999999994E-2</v>
      </c>
      <c r="G129" s="138" t="s">
        <v>1532</v>
      </c>
      <c r="H129" s="138" t="s">
        <v>483</v>
      </c>
      <c r="I129" s="114" t="str">
        <f>IFERROR(INDEX(Tabela3[Tipos de Tratamento],MATCH('A3.9.1'!H129,Tabela3[Código],0)),"")</f>
        <v xml:space="preserve">Troca de resíduos com vista a submetê-los a uma das operações enumeradas de R 1 a R 11 </v>
      </c>
      <c r="J129" s="114" t="s">
        <v>1573</v>
      </c>
      <c r="K129" s="114" t="s">
        <v>1574</v>
      </c>
      <c r="L129" s="114"/>
    </row>
    <row r="130" spans="2:12" ht="15.75" thickBot="1" x14ac:dyDescent="0.3">
      <c r="B130" s="114" t="s">
        <v>542</v>
      </c>
      <c r="C130" s="144">
        <v>150101</v>
      </c>
      <c r="D130" s="115" t="s">
        <v>1537</v>
      </c>
      <c r="E130" s="138" t="s">
        <v>42</v>
      </c>
      <c r="F130" s="140">
        <v>0.122</v>
      </c>
      <c r="G130" s="138" t="s">
        <v>1532</v>
      </c>
      <c r="H130" s="138" t="s">
        <v>484</v>
      </c>
      <c r="I130" s="114" t="str">
        <f>IFERROR(INDEX(Tabela3[Tipos de Tratamento],MATCH('A3.9.1'!H130,Tabela3[Código],0)),"")</f>
        <v>Acumulação de resíduos destinados a uma das operações enumeradas de R1 a R12</v>
      </c>
      <c r="J130" s="114" t="s">
        <v>1573</v>
      </c>
      <c r="K130" s="114" t="s">
        <v>1574</v>
      </c>
      <c r="L130" s="114"/>
    </row>
    <row r="131" spans="2:12" ht="15.75" thickBot="1" x14ac:dyDescent="0.3">
      <c r="B131" s="114" t="s">
        <v>542</v>
      </c>
      <c r="C131" s="144">
        <v>150101</v>
      </c>
      <c r="D131" s="115" t="s">
        <v>1537</v>
      </c>
      <c r="E131" s="138" t="s">
        <v>42</v>
      </c>
      <c r="F131" s="140">
        <v>0.88</v>
      </c>
      <c r="G131" s="138" t="s">
        <v>1532</v>
      </c>
      <c r="H131" s="138" t="s">
        <v>483</v>
      </c>
      <c r="I131" s="114" t="str">
        <f>IFERROR(INDEX(Tabela3[Tipos de Tratamento],MATCH('A3.9.1'!H131,Tabela3[Código],0)),"")</f>
        <v xml:space="preserve">Troca de resíduos com vista a submetê-los a uma das operações enumeradas de R 1 a R 11 </v>
      </c>
      <c r="J131" s="114" t="s">
        <v>1540</v>
      </c>
      <c r="K131" s="114" t="s">
        <v>1541</v>
      </c>
      <c r="L131" s="114"/>
    </row>
    <row r="132" spans="2:12" ht="15.75" thickBot="1" x14ac:dyDescent="0.3">
      <c r="B132" s="114" t="s">
        <v>542</v>
      </c>
      <c r="C132" s="144">
        <v>150102</v>
      </c>
      <c r="D132" s="115" t="s">
        <v>1575</v>
      </c>
      <c r="E132" s="138" t="s">
        <v>42</v>
      </c>
      <c r="F132" s="140">
        <v>0.106</v>
      </c>
      <c r="G132" s="138" t="s">
        <v>1532</v>
      </c>
      <c r="H132" s="138" t="s">
        <v>483</v>
      </c>
      <c r="I132" s="114" t="str">
        <f>IFERROR(INDEX(Tabela3[Tipos de Tratamento],MATCH('A3.9.1'!H132,Tabela3[Código],0)),"")</f>
        <v xml:space="preserve">Troca de resíduos com vista a submetê-los a uma das operações enumeradas de R 1 a R 11 </v>
      </c>
      <c r="J132" s="114" t="s">
        <v>1538</v>
      </c>
      <c r="K132" s="114" t="s">
        <v>1539</v>
      </c>
      <c r="L132" s="114"/>
    </row>
    <row r="133" spans="2:12" ht="15.75" thickBot="1" x14ac:dyDescent="0.3">
      <c r="B133" s="114" t="s">
        <v>542</v>
      </c>
      <c r="C133" s="144">
        <v>150102</v>
      </c>
      <c r="D133" s="115" t="s">
        <v>1575</v>
      </c>
      <c r="E133" s="138" t="s">
        <v>42</v>
      </c>
      <c r="F133" s="140">
        <v>2.4E-2</v>
      </c>
      <c r="G133" s="138" t="s">
        <v>1532</v>
      </c>
      <c r="H133" s="138" t="s">
        <v>483</v>
      </c>
      <c r="I133" s="114" t="str">
        <f>IFERROR(INDEX(Tabela3[Tipos de Tratamento],MATCH('A3.9.1'!H133,Tabela3[Código],0)),"")</f>
        <v xml:space="preserve">Troca de resíduos com vista a submetê-los a uma das operações enumeradas de R 1 a R 11 </v>
      </c>
      <c r="J133" s="114" t="s">
        <v>1573</v>
      </c>
      <c r="K133" s="114" t="s">
        <v>1574</v>
      </c>
      <c r="L133" s="114"/>
    </row>
    <row r="134" spans="2:12" ht="15.75" thickBot="1" x14ac:dyDescent="0.3">
      <c r="B134" s="114" t="s">
        <v>542</v>
      </c>
      <c r="C134" s="144">
        <v>150110</v>
      </c>
      <c r="D134" s="115" t="s">
        <v>1542</v>
      </c>
      <c r="E134" s="138" t="s">
        <v>34</v>
      </c>
      <c r="F134" s="140">
        <v>0.09</v>
      </c>
      <c r="G134" s="138" t="s">
        <v>1532</v>
      </c>
      <c r="H134" s="138" t="s">
        <v>484</v>
      </c>
      <c r="I134" s="114" t="str">
        <f>IFERROR(INDEX(Tabela3[Tipos de Tratamento],MATCH('A3.9.1'!H134,Tabela3[Código],0)),"")</f>
        <v>Acumulação de resíduos destinados a uma das operações enumeradas de R1 a R12</v>
      </c>
      <c r="J134" s="114" t="s">
        <v>1538</v>
      </c>
      <c r="K134" s="114" t="s">
        <v>1539</v>
      </c>
      <c r="L134" s="114"/>
    </row>
    <row r="135" spans="2:12" ht="15.75" thickBot="1" x14ac:dyDescent="0.3">
      <c r="B135" s="114" t="s">
        <v>542</v>
      </c>
      <c r="C135" s="144">
        <v>150202</v>
      </c>
      <c r="D135" s="115" t="s">
        <v>1547</v>
      </c>
      <c r="E135" s="138" t="s">
        <v>34</v>
      </c>
      <c r="F135" s="140">
        <v>0.36</v>
      </c>
      <c r="G135" s="138" t="s">
        <v>1532</v>
      </c>
      <c r="H135" s="138" t="s">
        <v>484</v>
      </c>
      <c r="I135" s="114" t="str">
        <f>IFERROR(INDEX(Tabela3[Tipos de Tratamento],MATCH('A3.9.1'!H135,Tabela3[Código],0)),"")</f>
        <v>Acumulação de resíduos destinados a uma das operações enumeradas de R1 a R12</v>
      </c>
      <c r="J135" s="114" t="s">
        <v>1538</v>
      </c>
      <c r="K135" s="114" t="s">
        <v>1539</v>
      </c>
      <c r="L135" s="114"/>
    </row>
    <row r="136" spans="2:12" ht="15.75" thickBot="1" x14ac:dyDescent="0.3">
      <c r="B136" s="114" t="s">
        <v>542</v>
      </c>
      <c r="C136" s="144">
        <v>150203</v>
      </c>
      <c r="D136" s="115" t="s">
        <v>1550</v>
      </c>
      <c r="E136" s="138" t="s">
        <v>42</v>
      </c>
      <c r="F136" s="140">
        <v>0.6</v>
      </c>
      <c r="G136" s="138" t="s">
        <v>1532</v>
      </c>
      <c r="H136" s="138" t="s">
        <v>483</v>
      </c>
      <c r="I136" s="114" t="str">
        <f>IFERROR(INDEX(Tabela3[Tipos de Tratamento],MATCH('A3.9.1'!H136,Tabela3[Código],0)),"")</f>
        <v xml:space="preserve">Troca de resíduos com vista a submetê-los a uma das operações enumeradas de R 1 a R 11 </v>
      </c>
      <c r="J136" s="114" t="s">
        <v>1538</v>
      </c>
      <c r="K136" s="114" t="s">
        <v>1539</v>
      </c>
      <c r="L136" s="114"/>
    </row>
    <row r="137" spans="2:12" ht="15.75" thickBot="1" x14ac:dyDescent="0.3">
      <c r="B137" s="114" t="s">
        <v>542</v>
      </c>
      <c r="C137" s="144">
        <v>150203</v>
      </c>
      <c r="D137" s="115" t="s">
        <v>1550</v>
      </c>
      <c r="E137" s="138" t="s">
        <v>42</v>
      </c>
      <c r="F137" s="140">
        <v>0.2</v>
      </c>
      <c r="G137" s="138" t="s">
        <v>1532</v>
      </c>
      <c r="H137" s="138" t="s">
        <v>509</v>
      </c>
      <c r="I137" s="114" t="str">
        <f>IFERROR(INDEX(Tabela3[Tipos de Tratamento],MATCH('A3.9.1'!H137,Tabela3[Código],0)),"")</f>
        <v>Armazenagem enquanto se aguarda a execução de uma das operações enumeradas de D1 a D14</v>
      </c>
      <c r="J137" s="114" t="s">
        <v>1573</v>
      </c>
      <c r="K137" s="114" t="s">
        <v>1574</v>
      </c>
      <c r="L137" s="114"/>
    </row>
    <row r="138" spans="2:12" ht="15.75" thickBot="1" x14ac:dyDescent="0.3">
      <c r="B138" s="114" t="s">
        <v>542</v>
      </c>
      <c r="C138" s="144">
        <v>160107</v>
      </c>
      <c r="D138" s="115" t="s">
        <v>1551</v>
      </c>
      <c r="E138" s="138" t="s">
        <v>34</v>
      </c>
      <c r="F138" s="140">
        <v>0.312</v>
      </c>
      <c r="G138" s="138" t="s">
        <v>1532</v>
      </c>
      <c r="H138" s="138" t="s">
        <v>484</v>
      </c>
      <c r="I138" s="114" t="str">
        <f>IFERROR(INDEX(Tabela3[Tipos de Tratamento],MATCH('A3.9.1'!H138,Tabela3[Código],0)),"")</f>
        <v>Acumulação de resíduos destinados a uma das operações enumeradas de R1 a R12</v>
      </c>
      <c r="J138" s="114" t="s">
        <v>1538</v>
      </c>
      <c r="K138" s="114" t="s">
        <v>1539</v>
      </c>
      <c r="L138" s="114"/>
    </row>
    <row r="139" spans="2:12" ht="15.75" thickBot="1" x14ac:dyDescent="0.3">
      <c r="B139" s="114" t="s">
        <v>542</v>
      </c>
      <c r="C139" s="144">
        <v>160112</v>
      </c>
      <c r="D139" s="115" t="s">
        <v>1552</v>
      </c>
      <c r="E139" s="138" t="s">
        <v>34</v>
      </c>
      <c r="F139" s="140">
        <v>0.27</v>
      </c>
      <c r="G139" s="138" t="s">
        <v>1532</v>
      </c>
      <c r="H139" s="138" t="s">
        <v>483</v>
      </c>
      <c r="I139" s="114" t="str">
        <f>IFERROR(INDEX(Tabela3[Tipos de Tratamento],MATCH('A3.9.1'!H139,Tabela3[Código],0)),"")</f>
        <v xml:space="preserve">Troca de resíduos com vista a submetê-los a uma das operações enumeradas de R 1 a R 11 </v>
      </c>
      <c r="J139" s="114" t="s">
        <v>1538</v>
      </c>
      <c r="K139" s="114" t="s">
        <v>1539</v>
      </c>
      <c r="L139" s="114"/>
    </row>
    <row r="140" spans="2:12" ht="15.75" thickBot="1" x14ac:dyDescent="0.3">
      <c r="B140" s="114" t="s">
        <v>542</v>
      </c>
      <c r="C140" s="144">
        <v>160117</v>
      </c>
      <c r="D140" s="115" t="s">
        <v>1557</v>
      </c>
      <c r="E140" s="138" t="s">
        <v>42</v>
      </c>
      <c r="F140" s="140">
        <v>2.62</v>
      </c>
      <c r="G140" s="138" t="s">
        <v>1532</v>
      </c>
      <c r="H140" s="138" t="s">
        <v>483</v>
      </c>
      <c r="I140" s="114" t="str">
        <f>IFERROR(INDEX(Tabela3[Tipos de Tratamento],MATCH('A3.9.1'!H140,Tabela3[Código],0)),"")</f>
        <v xml:space="preserve">Troca de resíduos com vista a submetê-los a uma das operações enumeradas de R 1 a R 11 </v>
      </c>
      <c r="J140" s="114" t="s">
        <v>1558</v>
      </c>
      <c r="K140" s="114" t="s">
        <v>1559</v>
      </c>
      <c r="L140" s="114"/>
    </row>
    <row r="141" spans="2:12" ht="15.75" thickBot="1" x14ac:dyDescent="0.3">
      <c r="B141" s="114" t="s">
        <v>542</v>
      </c>
      <c r="C141" s="144">
        <v>160121</v>
      </c>
      <c r="D141" s="115" t="s">
        <v>1576</v>
      </c>
      <c r="E141" s="138" t="s">
        <v>34</v>
      </c>
      <c r="F141" s="140">
        <v>0.16800000000000001</v>
      </c>
      <c r="G141" s="138" t="s">
        <v>1532</v>
      </c>
      <c r="H141" s="138" t="s">
        <v>509</v>
      </c>
      <c r="I141" s="114" t="str">
        <f>IFERROR(INDEX(Tabela3[Tipos de Tratamento],MATCH('A3.9.1'!H141,Tabela3[Código],0)),"")</f>
        <v>Armazenagem enquanto se aguarda a execução de uma das operações enumeradas de D1 a D14</v>
      </c>
      <c r="J141" s="114" t="s">
        <v>1573</v>
      </c>
      <c r="K141" s="114" t="s">
        <v>1574</v>
      </c>
      <c r="L141" s="114"/>
    </row>
    <row r="142" spans="2:12" ht="15.75" thickBot="1" x14ac:dyDescent="0.3">
      <c r="B142" s="114" t="s">
        <v>542</v>
      </c>
      <c r="C142" s="144">
        <v>160199</v>
      </c>
      <c r="D142" s="115" t="s">
        <v>1562</v>
      </c>
      <c r="E142" s="138" t="s">
        <v>42</v>
      </c>
      <c r="F142" s="140">
        <v>0.51</v>
      </c>
      <c r="G142" s="138" t="s">
        <v>1532</v>
      </c>
      <c r="H142" s="138" t="s">
        <v>483</v>
      </c>
      <c r="I142" s="114" t="str">
        <f>IFERROR(INDEX(Tabela3[Tipos de Tratamento],MATCH('A3.9.1'!H142,Tabela3[Código],0)),"")</f>
        <v xml:space="preserve">Troca de resíduos com vista a submetê-los a uma das operações enumeradas de R 1 a R 11 </v>
      </c>
      <c r="J142" s="114" t="s">
        <v>1538</v>
      </c>
      <c r="K142" s="114" t="s">
        <v>1539</v>
      </c>
      <c r="L142" s="114"/>
    </row>
    <row r="143" spans="2:12" ht="15.75" thickBot="1" x14ac:dyDescent="0.3">
      <c r="B143" s="114" t="s">
        <v>542</v>
      </c>
      <c r="C143" s="144">
        <v>160199</v>
      </c>
      <c r="D143" s="115" t="s">
        <v>1562</v>
      </c>
      <c r="E143" s="138" t="s">
        <v>42</v>
      </c>
      <c r="F143" s="140">
        <v>0.34</v>
      </c>
      <c r="G143" s="138" t="s">
        <v>1532</v>
      </c>
      <c r="H143" s="138" t="s">
        <v>509</v>
      </c>
      <c r="I143" s="114" t="str">
        <f>IFERROR(INDEX(Tabela3[Tipos de Tratamento],MATCH('A3.9.1'!H143,Tabela3[Código],0)),"")</f>
        <v>Armazenagem enquanto se aguarda a execução de uma das operações enumeradas de D1 a D14</v>
      </c>
      <c r="J143" s="114" t="s">
        <v>1573</v>
      </c>
      <c r="K143" s="114" t="s">
        <v>1574</v>
      </c>
      <c r="L143" s="114"/>
    </row>
    <row r="144" spans="2:12" ht="15.75" thickBot="1" x14ac:dyDescent="0.3">
      <c r="B144" s="114" t="s">
        <v>542</v>
      </c>
      <c r="C144" s="144">
        <v>160601</v>
      </c>
      <c r="D144" s="115" t="s">
        <v>1563</v>
      </c>
      <c r="E144" s="138" t="s">
        <v>34</v>
      </c>
      <c r="F144" s="140">
        <v>1.52</v>
      </c>
      <c r="G144" s="138" t="s">
        <v>1532</v>
      </c>
      <c r="H144" s="138" t="s">
        <v>484</v>
      </c>
      <c r="I144" s="114" t="str">
        <f>IFERROR(INDEX(Tabela3[Tipos de Tratamento],MATCH('A3.9.1'!H144,Tabela3[Código],0)),"")</f>
        <v>Acumulação de resíduos destinados a uma das operações enumeradas de R1 a R12</v>
      </c>
      <c r="J144" s="114" t="s">
        <v>1558</v>
      </c>
      <c r="K144" s="114" t="s">
        <v>1559</v>
      </c>
      <c r="L144" s="114"/>
    </row>
    <row r="145" spans="2:12" ht="15.75" thickBot="1" x14ac:dyDescent="0.3">
      <c r="B145" s="137" t="s">
        <v>542</v>
      </c>
      <c r="C145" s="143">
        <v>190805</v>
      </c>
      <c r="D145" s="141" t="s">
        <v>1577</v>
      </c>
      <c r="E145" s="138" t="s">
        <v>42</v>
      </c>
      <c r="F145" s="140">
        <v>0.86</v>
      </c>
      <c r="G145" s="138" t="s">
        <v>1532</v>
      </c>
      <c r="H145" s="138" t="s">
        <v>483</v>
      </c>
      <c r="I145" s="114" t="str">
        <f>IFERROR(INDEX(Tabela3[Tipos de Tratamento],MATCH('A3.9.1'!H145,Tabela3[Código],0)),"")</f>
        <v xml:space="preserve">Troca de resíduos com vista a submetê-los a uma das operações enumeradas de R 1 a R 11 </v>
      </c>
      <c r="J145" s="114" t="s">
        <v>1570</v>
      </c>
      <c r="K145" s="114" t="s">
        <v>1571</v>
      </c>
      <c r="L145" s="114"/>
    </row>
    <row r="146" spans="2:12" ht="15.75" thickBot="1" x14ac:dyDescent="0.3">
      <c r="B146" s="114" t="s">
        <v>542</v>
      </c>
      <c r="C146" s="144">
        <v>200125</v>
      </c>
      <c r="D146" s="115" t="s">
        <v>1565</v>
      </c>
      <c r="E146" s="138" t="s">
        <v>42</v>
      </c>
      <c r="F146" s="140">
        <v>7.0000000000000007E-2</v>
      </c>
      <c r="G146" s="138" t="s">
        <v>1532</v>
      </c>
      <c r="H146" s="138" t="s">
        <v>483</v>
      </c>
      <c r="I146" s="114" t="str">
        <f>IFERROR(INDEX(Tabela3[Tipos de Tratamento],MATCH('A3.9.1'!H146,Tabela3[Código],0)),"")</f>
        <v xml:space="preserve">Troca de resíduos com vista a submetê-los a uma das operações enumeradas de R 1 a R 11 </v>
      </c>
      <c r="J146" s="114" t="s">
        <v>1566</v>
      </c>
      <c r="K146" s="114" t="s">
        <v>1578</v>
      </c>
      <c r="L146" s="114"/>
    </row>
    <row r="147" spans="2:12" ht="15.75" thickBot="1" x14ac:dyDescent="0.3">
      <c r="B147" s="114" t="s">
        <v>543</v>
      </c>
      <c r="C147" s="144" t="s">
        <v>1579</v>
      </c>
      <c r="D147" s="115" t="s">
        <v>1580</v>
      </c>
      <c r="E147" s="138" t="s">
        <v>34</v>
      </c>
      <c r="F147" s="140">
        <v>1.6E-2</v>
      </c>
      <c r="G147" s="138" t="s">
        <v>1532</v>
      </c>
      <c r="H147" s="138" t="s">
        <v>509</v>
      </c>
      <c r="I147" s="114" t="str">
        <f>IFERROR(INDEX(Tabela3[Tipos de Tratamento],MATCH('A3.9.1'!H147,Tabela3[Código],0)),"")</f>
        <v>Armazenagem enquanto se aguarda a execução de uma das operações enumeradas de D1 a D14</v>
      </c>
      <c r="J147" s="114" t="s">
        <v>1573</v>
      </c>
      <c r="K147" s="114" t="s">
        <v>1539</v>
      </c>
      <c r="L147" s="114"/>
    </row>
    <row r="148" spans="2:12" ht="15.75" thickBot="1" x14ac:dyDescent="0.3">
      <c r="B148" s="114" t="s">
        <v>543</v>
      </c>
      <c r="C148" s="144" t="s">
        <v>1579</v>
      </c>
      <c r="D148" s="115" t="s">
        <v>1580</v>
      </c>
      <c r="E148" s="138" t="s">
        <v>34</v>
      </c>
      <c r="F148" s="140">
        <v>1.6E-2</v>
      </c>
      <c r="G148" s="138" t="s">
        <v>1532</v>
      </c>
      <c r="H148" s="138" t="s">
        <v>483</v>
      </c>
      <c r="I148" s="114" t="str">
        <f>IFERROR(INDEX(Tabela3[Tipos de Tratamento],MATCH('A3.9.1'!H148,Tabela3[Código],0)),"")</f>
        <v xml:space="preserve">Troca de resíduos com vista a submetê-los a uma das operações enumeradas de R 1 a R 11 </v>
      </c>
      <c r="J148" s="114" t="s">
        <v>1573</v>
      </c>
      <c r="K148" s="114" t="s">
        <v>1539</v>
      </c>
      <c r="L148" s="114"/>
    </row>
    <row r="149" spans="2:12" ht="15.75" thickBot="1" x14ac:dyDescent="0.3">
      <c r="B149" s="114" t="s">
        <v>543</v>
      </c>
      <c r="C149" s="144">
        <v>130208</v>
      </c>
      <c r="D149" s="115" t="s">
        <v>1531</v>
      </c>
      <c r="E149" s="138" t="s">
        <v>34</v>
      </c>
      <c r="F149" s="140">
        <v>3.589</v>
      </c>
      <c r="G149" s="138" t="s">
        <v>1532</v>
      </c>
      <c r="H149" s="138" t="s">
        <v>480</v>
      </c>
      <c r="I149" s="114" t="str">
        <f>IFERROR(INDEX(Tabela3[Tipos de Tratamento],MATCH('A3.9.1'!H149,Tabela3[Código],0)),"")</f>
        <v xml:space="preserve">Regeneração de óleos e outras reutilizações de óleos </v>
      </c>
      <c r="J149" s="114" t="s">
        <v>1535</v>
      </c>
      <c r="K149" s="114" t="s">
        <v>1536</v>
      </c>
      <c r="L149" s="114"/>
    </row>
    <row r="150" spans="2:12" ht="15.75" thickBot="1" x14ac:dyDescent="0.3">
      <c r="B150" s="114" t="s">
        <v>543</v>
      </c>
      <c r="C150" s="144">
        <v>130502</v>
      </c>
      <c r="D150" s="115" t="s">
        <v>1569</v>
      </c>
      <c r="E150" s="138" t="s">
        <v>34</v>
      </c>
      <c r="F150" s="140">
        <v>6.36</v>
      </c>
      <c r="G150" s="138" t="s">
        <v>1532</v>
      </c>
      <c r="H150" s="138" t="s">
        <v>483</v>
      </c>
      <c r="I150" s="114" t="str">
        <f>IFERROR(INDEX(Tabela3[Tipos de Tratamento],MATCH('A3.9.1'!H150,Tabela3[Código],0)),"")</f>
        <v xml:space="preserve">Troca de resíduos com vista a submetê-los a uma das operações enumeradas de R 1 a R 11 </v>
      </c>
      <c r="J150" s="114" t="s">
        <v>1570</v>
      </c>
      <c r="K150" s="114" t="s">
        <v>1571</v>
      </c>
      <c r="L150" s="114"/>
    </row>
    <row r="151" spans="2:12" ht="15.75" thickBot="1" x14ac:dyDescent="0.3">
      <c r="B151" s="114" t="s">
        <v>543</v>
      </c>
      <c r="C151" s="144">
        <v>130507</v>
      </c>
      <c r="D151" s="115" t="s">
        <v>1572</v>
      </c>
      <c r="E151" s="138" t="s">
        <v>34</v>
      </c>
      <c r="F151" s="140">
        <v>19.920000000000002</v>
      </c>
      <c r="G151" s="138" t="s">
        <v>1532</v>
      </c>
      <c r="H151" s="138" t="s">
        <v>483</v>
      </c>
      <c r="I151" s="114" t="str">
        <f>IFERROR(INDEX(Tabela3[Tipos de Tratamento],MATCH('A3.9.1'!H151,Tabela3[Código],0)),"")</f>
        <v xml:space="preserve">Troca de resíduos com vista a submetê-los a uma das operações enumeradas de R 1 a R 11 </v>
      </c>
      <c r="J151" s="114" t="s">
        <v>1570</v>
      </c>
      <c r="K151" s="114" t="s">
        <v>1571</v>
      </c>
      <c r="L151" s="114"/>
    </row>
    <row r="152" spans="2:12" ht="15.75" thickBot="1" x14ac:dyDescent="0.3">
      <c r="B152" s="114" t="s">
        <v>543</v>
      </c>
      <c r="C152" s="144">
        <v>150101</v>
      </c>
      <c r="D152" s="115" t="s">
        <v>1537</v>
      </c>
      <c r="E152" s="138" t="s">
        <v>42</v>
      </c>
      <c r="F152" s="140">
        <v>1.7</v>
      </c>
      <c r="G152" s="138" t="s">
        <v>1532</v>
      </c>
      <c r="H152" s="138" t="s">
        <v>484</v>
      </c>
      <c r="I152" s="114" t="str">
        <f>IFERROR(INDEX(Tabela3[Tipos de Tratamento],MATCH('A3.9.1'!H152,Tabela3[Código],0)),"")</f>
        <v>Acumulação de resíduos destinados a uma das operações enumeradas de R1 a R12</v>
      </c>
      <c r="J152" s="114" t="s">
        <v>1558</v>
      </c>
      <c r="K152" s="114" t="s">
        <v>1559</v>
      </c>
      <c r="L152" s="114"/>
    </row>
    <row r="153" spans="2:12" ht="15.75" thickBot="1" x14ac:dyDescent="0.3">
      <c r="B153" s="114" t="s">
        <v>543</v>
      </c>
      <c r="C153" s="144">
        <v>150110</v>
      </c>
      <c r="D153" s="115" t="s">
        <v>1542</v>
      </c>
      <c r="E153" s="138" t="s">
        <v>34</v>
      </c>
      <c r="F153" s="140">
        <v>0.09</v>
      </c>
      <c r="G153" s="138" t="s">
        <v>1532</v>
      </c>
      <c r="H153" s="138" t="s">
        <v>484</v>
      </c>
      <c r="I153" s="114" t="str">
        <f>IFERROR(INDEX(Tabela3[Tipos de Tratamento],MATCH('A3.9.1'!H153,Tabela3[Código],0)),"")</f>
        <v>Acumulação de resíduos destinados a uma das operações enumeradas de R1 a R12</v>
      </c>
      <c r="J153" s="114" t="s">
        <v>1538</v>
      </c>
      <c r="K153" s="114" t="s">
        <v>1539</v>
      </c>
      <c r="L153" s="114"/>
    </row>
    <row r="154" spans="2:12" ht="15.75" thickBot="1" x14ac:dyDescent="0.3">
      <c r="B154" s="114" t="s">
        <v>543</v>
      </c>
      <c r="C154" s="144">
        <v>150202</v>
      </c>
      <c r="D154" s="115" t="s">
        <v>1547</v>
      </c>
      <c r="E154" s="138" t="s">
        <v>34</v>
      </c>
      <c r="F154" s="140">
        <v>1.28</v>
      </c>
      <c r="G154" s="138" t="s">
        <v>1532</v>
      </c>
      <c r="H154" s="138" t="s">
        <v>484</v>
      </c>
      <c r="I154" s="114" t="str">
        <f>IFERROR(INDEX(Tabela3[Tipos de Tratamento],MATCH('A3.9.1'!H154,Tabela3[Código],0)),"")</f>
        <v>Acumulação de resíduos destinados a uma das operações enumeradas de R1 a R12</v>
      </c>
      <c r="J154" s="114" t="s">
        <v>1538</v>
      </c>
      <c r="K154" s="114" t="s">
        <v>1539</v>
      </c>
      <c r="L154" s="114"/>
    </row>
    <row r="155" spans="2:12" ht="15.75" thickBot="1" x14ac:dyDescent="0.3">
      <c r="B155" s="114" t="s">
        <v>543</v>
      </c>
      <c r="C155" s="144">
        <v>150202</v>
      </c>
      <c r="D155" s="115" t="s">
        <v>1547</v>
      </c>
      <c r="E155" s="138" t="s">
        <v>34</v>
      </c>
      <c r="F155" s="140">
        <v>1.28</v>
      </c>
      <c r="G155" s="138" t="s">
        <v>1532</v>
      </c>
      <c r="H155" s="138" t="s">
        <v>483</v>
      </c>
      <c r="I155" s="114" t="str">
        <f>IFERROR(INDEX(Tabela3[Tipos de Tratamento],MATCH('A3.9.1'!H155,Tabela3[Código],0)),"")</f>
        <v xml:space="preserve">Troca de resíduos com vista a submetê-los a uma das operações enumeradas de R 1 a R 11 </v>
      </c>
      <c r="J155" s="114" t="s">
        <v>1573</v>
      </c>
      <c r="K155" s="114" t="s">
        <v>1574</v>
      </c>
      <c r="L155" s="114"/>
    </row>
    <row r="156" spans="2:12" ht="15.75" thickBot="1" x14ac:dyDescent="0.3">
      <c r="B156" s="114" t="s">
        <v>543</v>
      </c>
      <c r="C156" s="144">
        <v>150203</v>
      </c>
      <c r="D156" s="115" t="s">
        <v>1550</v>
      </c>
      <c r="E156" s="138" t="s">
        <v>42</v>
      </c>
      <c r="F156" s="140">
        <v>1.8</v>
      </c>
      <c r="G156" s="138" t="s">
        <v>1532</v>
      </c>
      <c r="H156" s="138" t="s">
        <v>483</v>
      </c>
      <c r="I156" s="114" t="str">
        <f>IFERROR(INDEX(Tabela3[Tipos de Tratamento],MATCH('A3.9.1'!H156,Tabela3[Código],0)),"")</f>
        <v xml:space="preserve">Troca de resíduos com vista a submetê-los a uma das operações enumeradas de R 1 a R 11 </v>
      </c>
      <c r="J156" s="114" t="s">
        <v>1538</v>
      </c>
      <c r="K156" s="114" t="s">
        <v>1539</v>
      </c>
      <c r="L156" s="114"/>
    </row>
    <row r="157" spans="2:12" ht="15.75" thickBot="1" x14ac:dyDescent="0.3">
      <c r="B157" s="114" t="s">
        <v>543</v>
      </c>
      <c r="C157" s="144" t="s">
        <v>1581</v>
      </c>
      <c r="D157" s="115" t="s">
        <v>1582</v>
      </c>
      <c r="E157" s="138" t="s">
        <v>42</v>
      </c>
      <c r="F157" s="140">
        <v>27.68</v>
      </c>
      <c r="G157" s="138" t="s">
        <v>1532</v>
      </c>
      <c r="H157" s="138" t="s">
        <v>484</v>
      </c>
      <c r="I157" s="114" t="str">
        <f>IFERROR(INDEX(Tabela3[Tipos de Tratamento],MATCH('A3.9.1'!H157,Tabela3[Código],0)),"")</f>
        <v>Acumulação de resíduos destinados a uma das operações enumeradas de R1 a R12</v>
      </c>
      <c r="J157" s="114" t="s">
        <v>1558</v>
      </c>
      <c r="K157" s="114" t="s">
        <v>1559</v>
      </c>
      <c r="L157" s="114"/>
    </row>
    <row r="158" spans="2:12" ht="15.75" thickBot="1" x14ac:dyDescent="0.3">
      <c r="B158" s="114" t="s">
        <v>543</v>
      </c>
      <c r="C158" s="144" t="s">
        <v>1583</v>
      </c>
      <c r="D158" s="115" t="s">
        <v>1584</v>
      </c>
      <c r="E158" s="138" t="s">
        <v>34</v>
      </c>
      <c r="F158" s="140">
        <v>65.02</v>
      </c>
      <c r="G158" s="138" t="s">
        <v>1532</v>
      </c>
      <c r="H158" s="138" t="s">
        <v>484</v>
      </c>
      <c r="I158" s="114" t="str">
        <f>IFERROR(INDEX(Tabela3[Tipos de Tratamento],MATCH('A3.9.1'!H158,Tabela3[Código],0)),"")</f>
        <v>Acumulação de resíduos destinados a uma das operações enumeradas de R1 a R12</v>
      </c>
      <c r="J158" s="114" t="s">
        <v>1585</v>
      </c>
      <c r="K158" s="114" t="s">
        <v>1586</v>
      </c>
      <c r="L158" s="114"/>
    </row>
    <row r="159" spans="2:12" ht="15.75" thickBot="1" x14ac:dyDescent="0.3">
      <c r="B159" s="114" t="s">
        <v>543</v>
      </c>
      <c r="C159" s="144">
        <v>160107</v>
      </c>
      <c r="D159" s="115" t="s">
        <v>1551</v>
      </c>
      <c r="E159" s="138" t="s">
        <v>34</v>
      </c>
      <c r="F159" s="140">
        <v>0.72799999999999998</v>
      </c>
      <c r="G159" s="138" t="s">
        <v>1532</v>
      </c>
      <c r="H159" s="138" t="s">
        <v>484</v>
      </c>
      <c r="I159" s="114" t="str">
        <f>IFERROR(INDEX(Tabela3[Tipos de Tratamento],MATCH('A3.9.1'!H159,Tabela3[Código],0)),"")</f>
        <v>Acumulação de resíduos destinados a uma das operações enumeradas de R1 a R12</v>
      </c>
      <c r="J159" s="114" t="s">
        <v>1538</v>
      </c>
      <c r="K159" s="114" t="s">
        <v>1539</v>
      </c>
      <c r="L159" s="114"/>
    </row>
    <row r="160" spans="2:12" ht="15.75" thickBot="1" x14ac:dyDescent="0.3">
      <c r="B160" s="114" t="s">
        <v>543</v>
      </c>
      <c r="C160" s="144">
        <v>160112</v>
      </c>
      <c r="D160" s="115" t="s">
        <v>1552</v>
      </c>
      <c r="E160" s="138" t="s">
        <v>34</v>
      </c>
      <c r="F160" s="140">
        <v>0.81</v>
      </c>
      <c r="G160" s="138" t="s">
        <v>1532</v>
      </c>
      <c r="H160" s="138" t="s">
        <v>483</v>
      </c>
      <c r="I160" s="114" t="str">
        <f>IFERROR(INDEX(Tabela3[Tipos de Tratamento],MATCH('A3.9.1'!H160,Tabela3[Código],0)),"")</f>
        <v xml:space="preserve">Troca de resíduos com vista a submetê-los a uma das operações enumeradas de R 1 a R 11 </v>
      </c>
      <c r="J160" s="114" t="s">
        <v>1538</v>
      </c>
      <c r="K160" s="114" t="s">
        <v>1539</v>
      </c>
      <c r="L160" s="114"/>
    </row>
    <row r="161" spans="2:12" ht="15.75" thickBot="1" x14ac:dyDescent="0.3">
      <c r="B161" s="114" t="s">
        <v>543</v>
      </c>
      <c r="C161" s="144">
        <v>160117</v>
      </c>
      <c r="D161" s="115" t="s">
        <v>1557</v>
      </c>
      <c r="E161" s="138" t="s">
        <v>42</v>
      </c>
      <c r="F161" s="140">
        <v>3.1</v>
      </c>
      <c r="G161" s="138" t="s">
        <v>1532</v>
      </c>
      <c r="H161" s="138" t="s">
        <v>483</v>
      </c>
      <c r="I161" s="114" t="str">
        <f>IFERROR(INDEX(Tabela3[Tipos de Tratamento],MATCH('A3.9.1'!H161,Tabela3[Código],0)),"")</f>
        <v xml:space="preserve">Troca de resíduos com vista a submetê-los a uma das operações enumeradas de R 1 a R 11 </v>
      </c>
      <c r="J161" s="114" t="s">
        <v>1558</v>
      </c>
      <c r="K161" s="114" t="s">
        <v>1559</v>
      </c>
      <c r="L161" s="114"/>
    </row>
    <row r="162" spans="2:12" ht="15.75" thickBot="1" x14ac:dyDescent="0.3">
      <c r="B162" s="114" t="s">
        <v>543</v>
      </c>
      <c r="C162" s="144">
        <v>160119</v>
      </c>
      <c r="D162" s="115" t="s">
        <v>1560</v>
      </c>
      <c r="E162" s="138" t="s">
        <v>42</v>
      </c>
      <c r="F162" s="140">
        <v>8.5999999999999993E-2</v>
      </c>
      <c r="G162" s="138" t="s">
        <v>1532</v>
      </c>
      <c r="H162" s="138" t="s">
        <v>483</v>
      </c>
      <c r="I162" s="114" t="str">
        <f>IFERROR(INDEX(Tabela3[Tipos de Tratamento],MATCH('A3.9.1'!H162,Tabela3[Código],0)),"")</f>
        <v xml:space="preserve">Troca de resíduos com vista a submetê-los a uma das operações enumeradas de R 1 a R 11 </v>
      </c>
      <c r="J162" s="114" t="s">
        <v>1538</v>
      </c>
      <c r="K162" s="114" t="s">
        <v>1539</v>
      </c>
      <c r="L162" s="114"/>
    </row>
    <row r="163" spans="2:12" ht="15.75" thickBot="1" x14ac:dyDescent="0.3">
      <c r="B163" s="114" t="s">
        <v>543</v>
      </c>
      <c r="C163" s="144" t="s">
        <v>1587</v>
      </c>
      <c r="D163" s="115" t="s">
        <v>1561</v>
      </c>
      <c r="E163" s="138" t="s">
        <v>42</v>
      </c>
      <c r="F163" s="140">
        <v>0.82799999999999996</v>
      </c>
      <c r="G163" s="138" t="s">
        <v>1532</v>
      </c>
      <c r="H163" s="138" t="s">
        <v>483</v>
      </c>
      <c r="I163" s="114" t="str">
        <f>IFERROR(INDEX(Tabela3[Tipos de Tratamento],MATCH('A3.9.1'!H163,Tabela3[Código],0)),"")</f>
        <v xml:space="preserve">Troca de resíduos com vista a submetê-los a uma das operações enumeradas de R 1 a R 11 </v>
      </c>
      <c r="J163" s="114" t="s">
        <v>1538</v>
      </c>
      <c r="K163" s="114" t="s">
        <v>1539</v>
      </c>
      <c r="L163" s="114"/>
    </row>
    <row r="164" spans="2:12" ht="15.75" thickBot="1" x14ac:dyDescent="0.3">
      <c r="B164" s="114" t="s">
        <v>543</v>
      </c>
      <c r="C164" s="144">
        <v>160121</v>
      </c>
      <c r="D164" s="115" t="s">
        <v>1576</v>
      </c>
      <c r="E164" s="138" t="s">
        <v>34</v>
      </c>
      <c r="F164" s="140">
        <v>0.84</v>
      </c>
      <c r="G164" s="138" t="s">
        <v>1532</v>
      </c>
      <c r="H164" s="138" t="s">
        <v>484</v>
      </c>
      <c r="I164" s="114" t="str">
        <f>IFERROR(INDEX(Tabela3[Tipos de Tratamento],MATCH('A3.9.1'!H164,Tabela3[Código],0)),"")</f>
        <v>Acumulação de resíduos destinados a uma das operações enumeradas de R1 a R12</v>
      </c>
      <c r="J164" s="114" t="s">
        <v>1538</v>
      </c>
      <c r="K164" s="114" t="s">
        <v>1539</v>
      </c>
      <c r="L164" s="114"/>
    </row>
    <row r="165" spans="2:12" ht="15.75" thickBot="1" x14ac:dyDescent="0.3">
      <c r="B165" s="114" t="s">
        <v>543</v>
      </c>
      <c r="C165" s="144">
        <v>160199</v>
      </c>
      <c r="D165" s="115" t="s">
        <v>1562</v>
      </c>
      <c r="E165" s="138" t="s">
        <v>42</v>
      </c>
      <c r="F165" s="140">
        <v>0.68</v>
      </c>
      <c r="G165" s="138" t="s">
        <v>1532</v>
      </c>
      <c r="H165" s="138" t="s">
        <v>483</v>
      </c>
      <c r="I165" s="114" t="str">
        <f>IFERROR(INDEX(Tabela3[Tipos de Tratamento],MATCH('A3.9.1'!H165,Tabela3[Código],0)),"")</f>
        <v xml:space="preserve">Troca de resíduos com vista a submetê-los a uma das operações enumeradas de R 1 a R 11 </v>
      </c>
      <c r="J165" s="114" t="s">
        <v>1538</v>
      </c>
      <c r="K165" s="114" t="s">
        <v>1539</v>
      </c>
      <c r="L165" s="114"/>
    </row>
    <row r="166" spans="2:12" ht="15.75" thickBot="1" x14ac:dyDescent="0.3">
      <c r="B166" s="114" t="s">
        <v>543</v>
      </c>
      <c r="C166" s="144">
        <v>160601</v>
      </c>
      <c r="D166" s="115" t="s">
        <v>1563</v>
      </c>
      <c r="E166" s="138" t="s">
        <v>34</v>
      </c>
      <c r="F166" s="140">
        <v>4.08</v>
      </c>
      <c r="G166" s="138" t="s">
        <v>1532</v>
      </c>
      <c r="H166" s="138" t="s">
        <v>484</v>
      </c>
      <c r="I166" s="114" t="str">
        <f>IFERROR(INDEX(Tabela3[Tipos de Tratamento],MATCH('A3.9.1'!H166,Tabela3[Código],0)),"")</f>
        <v>Acumulação de resíduos destinados a uma das operações enumeradas de R1 a R12</v>
      </c>
      <c r="J166" s="114" t="s">
        <v>1558</v>
      </c>
      <c r="K166" s="114" t="s">
        <v>1559</v>
      </c>
      <c r="L166" s="114"/>
    </row>
    <row r="167" spans="2:12" ht="15.75" thickBot="1" x14ac:dyDescent="0.3">
      <c r="B167" s="114" t="s">
        <v>543</v>
      </c>
      <c r="C167" s="144">
        <v>200121</v>
      </c>
      <c r="D167" s="115" t="s">
        <v>1564</v>
      </c>
      <c r="E167" s="138" t="s">
        <v>34</v>
      </c>
      <c r="F167" s="140">
        <v>2.4E-2</v>
      </c>
      <c r="G167" s="138" t="s">
        <v>1532</v>
      </c>
      <c r="H167" s="138" t="s">
        <v>484</v>
      </c>
      <c r="I167" s="114" t="str">
        <f>IFERROR(INDEX(Tabela3[Tipos de Tratamento],MATCH('A3.9.1'!H167,Tabela3[Código],0)),"")</f>
        <v>Acumulação de resíduos destinados a uma das operações enumeradas de R1 a R12</v>
      </c>
      <c r="J167" s="114" t="s">
        <v>1538</v>
      </c>
      <c r="K167" s="114" t="s">
        <v>1539</v>
      </c>
      <c r="L167" s="114"/>
    </row>
    <row r="168" spans="2:12" ht="15.75" thickBot="1" x14ac:dyDescent="0.3">
      <c r="B168" s="114" t="s">
        <v>543</v>
      </c>
      <c r="C168" s="144">
        <v>200136</v>
      </c>
      <c r="D168" s="115" t="s">
        <v>1568</v>
      </c>
      <c r="E168" s="138" t="s">
        <v>42</v>
      </c>
      <c r="F168" s="140">
        <v>0.05</v>
      </c>
      <c r="G168" s="138" t="s">
        <v>1532</v>
      </c>
      <c r="H168" s="138" t="s">
        <v>483</v>
      </c>
      <c r="I168" s="114" t="str">
        <f>IFERROR(INDEX(Tabela3[Tipos de Tratamento],MATCH('A3.9.1'!H168,Tabela3[Código],0)),"")</f>
        <v xml:space="preserve">Troca de resíduos com vista a submetê-los a uma das operações enumeradas de R 1 a R 11 </v>
      </c>
      <c r="J168" s="114" t="s">
        <v>1538</v>
      </c>
      <c r="K168" s="114" t="s">
        <v>1539</v>
      </c>
      <c r="L168" s="114"/>
    </row>
    <row r="169" spans="2:12" ht="15.75" thickBot="1" x14ac:dyDescent="0.3">
      <c r="B169" s="114" t="s">
        <v>544</v>
      </c>
      <c r="C169" s="144" t="s">
        <v>1588</v>
      </c>
      <c r="D169" s="115" t="s">
        <v>1589</v>
      </c>
      <c r="E169" s="138" t="s">
        <v>34</v>
      </c>
      <c r="F169" s="140">
        <v>1.2999999999999999E-2</v>
      </c>
      <c r="G169" s="138" t="s">
        <v>1532</v>
      </c>
      <c r="H169" s="138" t="s">
        <v>484</v>
      </c>
      <c r="I169" s="114" t="str">
        <f>IFERROR(INDEX(Tabela3[Tipos de Tratamento],MATCH('A3.9.1'!H169,Tabela3[Código],0)),"")</f>
        <v>Acumulação de resíduos destinados a uma das operações enumeradas de R1 a R12</v>
      </c>
      <c r="J169" s="114" t="s">
        <v>1538</v>
      </c>
      <c r="K169" s="114" t="s">
        <v>1539</v>
      </c>
      <c r="L169" s="114"/>
    </row>
    <row r="170" spans="2:12" ht="15.75" thickBot="1" x14ac:dyDescent="0.3">
      <c r="B170" s="114" t="s">
        <v>544</v>
      </c>
      <c r="C170" s="144">
        <v>130208</v>
      </c>
      <c r="D170" s="115" t="s">
        <v>1531</v>
      </c>
      <c r="E170" s="138" t="s">
        <v>34</v>
      </c>
      <c r="F170" s="140">
        <v>3.448</v>
      </c>
      <c r="G170" s="138" t="s">
        <v>1532</v>
      </c>
      <c r="H170" s="138" t="s">
        <v>480</v>
      </c>
      <c r="I170" s="114" t="str">
        <f>IFERROR(INDEX(Tabela3[Tipos de Tratamento],MATCH('A3.9.1'!H170,Tabela3[Código],0)),"")</f>
        <v xml:space="preserve">Regeneração de óleos e outras reutilizações de óleos </v>
      </c>
      <c r="J170" s="114" t="s">
        <v>1535</v>
      </c>
      <c r="K170" s="114" t="s">
        <v>1536</v>
      </c>
      <c r="L170" s="114"/>
    </row>
    <row r="171" spans="2:12" ht="15.75" thickBot="1" x14ac:dyDescent="0.3">
      <c r="B171" s="114" t="s">
        <v>544</v>
      </c>
      <c r="C171" s="144">
        <v>130502</v>
      </c>
      <c r="D171" s="115" t="s">
        <v>1569</v>
      </c>
      <c r="E171" s="138" t="s">
        <v>34</v>
      </c>
      <c r="F171" s="140">
        <v>5.88</v>
      </c>
      <c r="G171" s="138" t="s">
        <v>1532</v>
      </c>
      <c r="H171" s="145" t="s">
        <v>503</v>
      </c>
      <c r="I171" s="115" t="str">
        <f>IFERROR(INDEX(Tabela3[Tipos de Tratamento],MATCH('A3.9.1'!H171,Tabela3[Código],0)),"")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171" s="114" t="s">
        <v>1570</v>
      </c>
      <c r="K171" s="114" t="s">
        <v>1571</v>
      </c>
      <c r="L171" s="115"/>
    </row>
    <row r="172" spans="2:12" ht="15.75" thickBot="1" x14ac:dyDescent="0.3">
      <c r="B172" s="114" t="s">
        <v>544</v>
      </c>
      <c r="C172" s="144">
        <v>130507</v>
      </c>
      <c r="D172" s="115" t="s">
        <v>1572</v>
      </c>
      <c r="E172" s="138" t="s">
        <v>34</v>
      </c>
      <c r="F172" s="140">
        <v>5.68</v>
      </c>
      <c r="G172" s="138" t="s">
        <v>1532</v>
      </c>
      <c r="H172" s="138" t="s">
        <v>483</v>
      </c>
      <c r="I172" s="114" t="str">
        <f>IFERROR(INDEX(Tabela3[Tipos de Tratamento],MATCH('A3.9.1'!H172,Tabela3[Código],0)),"")</f>
        <v xml:space="preserve">Troca de resíduos com vista a submetê-los a uma das operações enumeradas de R 1 a R 11 </v>
      </c>
      <c r="J172" s="114" t="s">
        <v>1570</v>
      </c>
      <c r="K172" s="114" t="s">
        <v>1571</v>
      </c>
      <c r="L172" s="114"/>
    </row>
    <row r="173" spans="2:12" ht="15.75" thickBot="1" x14ac:dyDescent="0.3">
      <c r="B173" s="114" t="s">
        <v>544</v>
      </c>
      <c r="C173" s="144" t="s">
        <v>1590</v>
      </c>
      <c r="D173" s="115" t="s">
        <v>1591</v>
      </c>
      <c r="E173" s="138" t="s">
        <v>34</v>
      </c>
      <c r="F173" s="140">
        <v>0.16400000000000001</v>
      </c>
      <c r="G173" s="138" t="s">
        <v>1532</v>
      </c>
      <c r="H173" s="138" t="s">
        <v>484</v>
      </c>
      <c r="I173" s="114" t="str">
        <f>IFERROR(INDEX(Tabela3[Tipos de Tratamento],MATCH('A3.9.1'!H173,Tabela3[Código],0)),"")</f>
        <v>Acumulação de resíduos destinados a uma das operações enumeradas de R1 a R12</v>
      </c>
      <c r="J173" s="114" t="s">
        <v>1538</v>
      </c>
      <c r="K173" s="114" t="s">
        <v>1539</v>
      </c>
      <c r="L173" s="114"/>
    </row>
    <row r="174" spans="2:12" ht="15.75" thickBot="1" x14ac:dyDescent="0.3">
      <c r="B174" s="114" t="s">
        <v>544</v>
      </c>
      <c r="C174" s="144">
        <v>150110</v>
      </c>
      <c r="D174" s="115" t="s">
        <v>1542</v>
      </c>
      <c r="E174" s="138" t="s">
        <v>34</v>
      </c>
      <c r="F174" s="140">
        <v>7.1999999999999995E-2</v>
      </c>
      <c r="G174" s="138" t="s">
        <v>1532</v>
      </c>
      <c r="H174" s="138" t="s">
        <v>484</v>
      </c>
      <c r="I174" s="114" t="str">
        <f>IFERROR(INDEX(Tabela3[Tipos de Tratamento],MATCH('A3.9.1'!H174,Tabela3[Código],0)),"")</f>
        <v>Acumulação de resíduos destinados a uma das operações enumeradas de R1 a R12</v>
      </c>
      <c r="J174" s="114" t="s">
        <v>1538</v>
      </c>
      <c r="K174" s="114" t="s">
        <v>1539</v>
      </c>
      <c r="L174" s="114"/>
    </row>
    <row r="175" spans="2:12" ht="15.75" thickBot="1" x14ac:dyDescent="0.3">
      <c r="B175" s="114" t="s">
        <v>544</v>
      </c>
      <c r="C175" s="144">
        <v>150111</v>
      </c>
      <c r="D175" s="115" t="s">
        <v>1549</v>
      </c>
      <c r="E175" s="138" t="s">
        <v>34</v>
      </c>
      <c r="F175" s="140">
        <v>1.7999999999999999E-2</v>
      </c>
      <c r="G175" s="138" t="s">
        <v>1532</v>
      </c>
      <c r="H175" s="138" t="s">
        <v>484</v>
      </c>
      <c r="I175" s="114" t="str">
        <f>IFERROR(INDEX(Tabela3[Tipos de Tratamento],MATCH('A3.9.1'!H175,Tabela3[Código],0)),"")</f>
        <v>Acumulação de resíduos destinados a uma das operações enumeradas de R1 a R12</v>
      </c>
      <c r="J175" s="114" t="s">
        <v>1538</v>
      </c>
      <c r="K175" s="114" t="s">
        <v>1539</v>
      </c>
      <c r="L175" s="114"/>
    </row>
    <row r="176" spans="2:12" ht="15.75" thickBot="1" x14ac:dyDescent="0.3">
      <c r="B176" s="114" t="s">
        <v>544</v>
      </c>
      <c r="C176" s="144">
        <v>150202</v>
      </c>
      <c r="D176" s="115" t="s">
        <v>1547</v>
      </c>
      <c r="E176" s="138" t="s">
        <v>34</v>
      </c>
      <c r="F176" s="140">
        <v>0.36</v>
      </c>
      <c r="G176" s="138" t="s">
        <v>1532</v>
      </c>
      <c r="H176" s="138" t="s">
        <v>484</v>
      </c>
      <c r="I176" s="114" t="str">
        <f>IFERROR(INDEX(Tabela3[Tipos de Tratamento],MATCH('A3.9.1'!H176,Tabela3[Código],0)),"")</f>
        <v>Acumulação de resíduos destinados a uma das operações enumeradas de R1 a R12</v>
      </c>
      <c r="J176" s="114" t="s">
        <v>1538</v>
      </c>
      <c r="K176" s="114" t="s">
        <v>1539</v>
      </c>
      <c r="L176" s="114"/>
    </row>
    <row r="177" spans="2:12" ht="15.75" thickBot="1" x14ac:dyDescent="0.3">
      <c r="B177" s="114" t="s">
        <v>544</v>
      </c>
      <c r="C177" s="144">
        <v>150203</v>
      </c>
      <c r="D177" s="115" t="s">
        <v>1550</v>
      </c>
      <c r="E177" s="138" t="s">
        <v>42</v>
      </c>
      <c r="F177" s="140">
        <v>0.2</v>
      </c>
      <c r="G177" s="138" t="s">
        <v>1532</v>
      </c>
      <c r="H177" s="138" t="s">
        <v>483</v>
      </c>
      <c r="I177" s="114" t="str">
        <f>IFERROR(INDEX(Tabela3[Tipos de Tratamento],MATCH('A3.9.1'!H177,Tabela3[Código],0)),"")</f>
        <v xml:space="preserve">Troca de resíduos com vista a submetê-los a uma das operações enumeradas de R 1 a R 11 </v>
      </c>
      <c r="J177" s="114" t="s">
        <v>1538</v>
      </c>
      <c r="K177" s="114" t="s">
        <v>1539</v>
      </c>
      <c r="L177" s="114"/>
    </row>
    <row r="178" spans="2:12" ht="15.75" thickBot="1" x14ac:dyDescent="0.3">
      <c r="B178" s="114" t="s">
        <v>544</v>
      </c>
      <c r="C178" s="144" t="s">
        <v>1593</v>
      </c>
      <c r="D178" s="115" t="s">
        <v>1592</v>
      </c>
      <c r="E178" s="138" t="s">
        <v>42</v>
      </c>
      <c r="F178" s="140">
        <v>12.46</v>
      </c>
      <c r="G178" s="138" t="s">
        <v>1532</v>
      </c>
      <c r="H178" s="138" t="s">
        <v>483</v>
      </c>
      <c r="I178" s="114" t="str">
        <f>IFERROR(INDEX(Tabela3[Tipos de Tratamento],MATCH('A3.9.1'!H178,Tabela3[Código],0)),"")</f>
        <v xml:space="preserve">Troca de resíduos com vista a submetê-los a uma das operações enumeradas de R 1 a R 11 </v>
      </c>
      <c r="J178" s="114" t="s">
        <v>1585</v>
      </c>
      <c r="K178" s="114" t="s">
        <v>1594</v>
      </c>
      <c r="L178" s="114"/>
    </row>
    <row r="179" spans="2:12" ht="15.75" thickBot="1" x14ac:dyDescent="0.3">
      <c r="B179" s="114" t="s">
        <v>544</v>
      </c>
      <c r="C179" s="144">
        <v>160107</v>
      </c>
      <c r="D179" s="115" t="s">
        <v>1551</v>
      </c>
      <c r="E179" s="138" t="s">
        <v>34</v>
      </c>
      <c r="F179" s="140">
        <v>0.624</v>
      </c>
      <c r="G179" s="138" t="s">
        <v>1532</v>
      </c>
      <c r="H179" s="138" t="s">
        <v>484</v>
      </c>
      <c r="I179" s="114" t="str">
        <f>IFERROR(INDEX(Tabela3[Tipos de Tratamento],MATCH('A3.9.1'!H179,Tabela3[Código],0)),"")</f>
        <v>Acumulação de resíduos destinados a uma das operações enumeradas de R1 a R12</v>
      </c>
      <c r="J179" s="114" t="s">
        <v>1538</v>
      </c>
      <c r="K179" s="114" t="s">
        <v>1539</v>
      </c>
      <c r="L179" s="114"/>
    </row>
    <row r="180" spans="2:12" ht="15.75" thickBot="1" x14ac:dyDescent="0.3">
      <c r="B180" s="114" t="s">
        <v>544</v>
      </c>
      <c r="C180" s="144">
        <v>160117</v>
      </c>
      <c r="D180" s="115" t="s">
        <v>1557</v>
      </c>
      <c r="E180" s="138" t="s">
        <v>42</v>
      </c>
      <c r="F180" s="140">
        <v>5.46</v>
      </c>
      <c r="G180" s="138" t="s">
        <v>1532</v>
      </c>
      <c r="H180" s="138" t="s">
        <v>483</v>
      </c>
      <c r="I180" s="114" t="str">
        <f>IFERROR(INDEX(Tabela3[Tipos de Tratamento],MATCH('A3.9.1'!H180,Tabela3[Código],0)),"")</f>
        <v xml:space="preserve">Troca de resíduos com vista a submetê-los a uma das operações enumeradas de R 1 a R 11 </v>
      </c>
      <c r="J180" s="114" t="s">
        <v>1595</v>
      </c>
      <c r="K180" s="114" t="s">
        <v>1596</v>
      </c>
      <c r="L180" s="114"/>
    </row>
    <row r="181" spans="2:12" ht="15.75" thickBot="1" x14ac:dyDescent="0.3">
      <c r="B181" s="114" t="s">
        <v>544</v>
      </c>
      <c r="C181" s="144" t="s">
        <v>1587</v>
      </c>
      <c r="D181" s="115" t="s">
        <v>1561</v>
      </c>
      <c r="E181" s="138" t="s">
        <v>42</v>
      </c>
      <c r="F181" s="140">
        <v>0.61899999999999999</v>
      </c>
      <c r="G181" s="138" t="s">
        <v>1532</v>
      </c>
      <c r="H181" s="138" t="s">
        <v>483</v>
      </c>
      <c r="I181" s="114" t="str">
        <f>IFERROR(INDEX(Tabela3[Tipos de Tratamento],MATCH('A3.9.1'!H181,Tabela3[Código],0)),"")</f>
        <v xml:space="preserve">Troca de resíduos com vista a submetê-los a uma das operações enumeradas de R 1 a R 11 </v>
      </c>
      <c r="J181" s="114" t="s">
        <v>1538</v>
      </c>
      <c r="K181" s="114" t="s">
        <v>1539</v>
      </c>
      <c r="L181" s="114"/>
    </row>
    <row r="182" spans="2:12" ht="15.75" thickBot="1" x14ac:dyDescent="0.3">
      <c r="B182" s="114" t="s">
        <v>544</v>
      </c>
      <c r="C182" s="144">
        <v>160199</v>
      </c>
      <c r="D182" s="115" t="s">
        <v>1562</v>
      </c>
      <c r="E182" s="138" t="s">
        <v>42</v>
      </c>
      <c r="F182" s="140">
        <v>0.27</v>
      </c>
      <c r="G182" s="138" t="s">
        <v>1532</v>
      </c>
      <c r="H182" s="138" t="s">
        <v>483</v>
      </c>
      <c r="I182" s="114" t="str">
        <f>IFERROR(INDEX(Tabela3[Tipos de Tratamento],MATCH('A3.9.1'!H182,Tabela3[Código],0)),"")</f>
        <v xml:space="preserve">Troca de resíduos com vista a submetê-los a uma das operações enumeradas de R 1 a R 11 </v>
      </c>
      <c r="J182" s="114" t="s">
        <v>1538</v>
      </c>
      <c r="K182" s="114" t="s">
        <v>1539</v>
      </c>
      <c r="L182" s="114"/>
    </row>
    <row r="183" spans="2:12" ht="15.75" thickBot="1" x14ac:dyDescent="0.3">
      <c r="B183" s="114" t="s">
        <v>544</v>
      </c>
      <c r="C183" s="144">
        <v>160601</v>
      </c>
      <c r="D183" s="115" t="s">
        <v>1563</v>
      </c>
      <c r="E183" s="138" t="s">
        <v>34</v>
      </c>
      <c r="F183" s="140">
        <v>0.6</v>
      </c>
      <c r="G183" s="138" t="s">
        <v>1532</v>
      </c>
      <c r="H183" s="138" t="s">
        <v>484</v>
      </c>
      <c r="I183" s="114" t="str">
        <f>IFERROR(INDEX(Tabela3[Tipos de Tratamento],MATCH('A3.9.1'!H183,Tabela3[Código],0)),"")</f>
        <v>Acumulação de resíduos destinados a uma das operações enumeradas de R1 a R12</v>
      </c>
      <c r="J183" s="114" t="s">
        <v>1558</v>
      </c>
      <c r="K183" s="114" t="s">
        <v>1559</v>
      </c>
      <c r="L183" s="114"/>
    </row>
    <row r="184" spans="2:12" ht="15.75" thickBot="1" x14ac:dyDescent="0.3">
      <c r="B184" s="114" t="s">
        <v>544</v>
      </c>
      <c r="C184" s="144">
        <v>200101</v>
      </c>
      <c r="D184" s="115" t="s">
        <v>1597</v>
      </c>
      <c r="E184" s="138" t="s">
        <v>42</v>
      </c>
      <c r="F184" s="140">
        <v>1.2</v>
      </c>
      <c r="G184" s="138" t="s">
        <v>1532</v>
      </c>
      <c r="H184" s="138" t="s">
        <v>483</v>
      </c>
      <c r="I184" s="114" t="str">
        <f>IFERROR(INDEX(Tabela3[Tipos de Tratamento],MATCH('A3.9.1'!H184,Tabela3[Código],0)),"")</f>
        <v xml:space="preserve">Troca de resíduos com vista a submetê-los a uma das operações enumeradas de R 1 a R 11 </v>
      </c>
      <c r="J184" s="114" t="s">
        <v>1540</v>
      </c>
      <c r="K184" s="114" t="s">
        <v>1541</v>
      </c>
      <c r="L184" s="114"/>
    </row>
    <row r="185" spans="2:12" ht="15.75" thickBot="1" x14ac:dyDescent="0.3">
      <c r="B185" s="114" t="s">
        <v>544</v>
      </c>
      <c r="C185" s="144">
        <v>200121</v>
      </c>
      <c r="D185" s="115" t="s">
        <v>1564</v>
      </c>
      <c r="E185" s="138" t="s">
        <v>34</v>
      </c>
      <c r="F185" s="140">
        <v>1.7999999999999999E-2</v>
      </c>
      <c r="G185" s="138" t="s">
        <v>1532</v>
      </c>
      <c r="H185" s="138" t="s">
        <v>484</v>
      </c>
      <c r="I185" s="114" t="str">
        <f>IFERROR(INDEX(Tabela3[Tipos de Tratamento],MATCH('A3.9.1'!H185,Tabela3[Código],0)),"")</f>
        <v>Acumulação de resíduos destinados a uma das operações enumeradas de R1 a R12</v>
      </c>
      <c r="J185" s="114" t="s">
        <v>1538</v>
      </c>
      <c r="K185" s="114" t="s">
        <v>1539</v>
      </c>
      <c r="L185" s="114"/>
    </row>
    <row r="186" spans="2:12" ht="15.75" thickBot="1" x14ac:dyDescent="0.3">
      <c r="B186" s="114" t="s">
        <v>544</v>
      </c>
      <c r="C186" s="144">
        <v>200136</v>
      </c>
      <c r="D186" s="115" t="s">
        <v>1568</v>
      </c>
      <c r="E186" s="138" t="s">
        <v>42</v>
      </c>
      <c r="F186" s="140">
        <v>0.14799999999999999</v>
      </c>
      <c r="G186" s="138" t="s">
        <v>1532</v>
      </c>
      <c r="H186" s="138" t="s">
        <v>483</v>
      </c>
      <c r="I186" s="114" t="str">
        <f>IFERROR(INDEX(Tabela3[Tipos de Tratamento],MATCH('A3.9.1'!H186,Tabela3[Código],0)),"")</f>
        <v xml:space="preserve">Troca de resíduos com vista a submetê-los a uma das operações enumeradas de R 1 a R 11 </v>
      </c>
      <c r="J186" s="114" t="s">
        <v>1538</v>
      </c>
      <c r="K186" s="114" t="s">
        <v>1539</v>
      </c>
      <c r="L186" s="114"/>
    </row>
    <row r="187" spans="2:12" ht="15.75" thickBot="1" x14ac:dyDescent="0.3">
      <c r="B187" s="114" t="s">
        <v>547</v>
      </c>
      <c r="C187" s="144">
        <v>130208</v>
      </c>
      <c r="D187" s="115" t="s">
        <v>1531</v>
      </c>
      <c r="E187" s="138" t="s">
        <v>34</v>
      </c>
      <c r="F187" s="140">
        <v>5.9660000000000002</v>
      </c>
      <c r="G187" s="138" t="s">
        <v>1532</v>
      </c>
      <c r="H187" s="138" t="s">
        <v>483</v>
      </c>
      <c r="I187" s="114" t="str">
        <f>IFERROR(INDEX(Tabela3[Tipos de Tratamento],MATCH('A3.9.1'!H187,Tabela3[Código],0)),"")</f>
        <v xml:space="preserve">Troca de resíduos com vista a submetê-los a uma das operações enumeradas de R 1 a R 11 </v>
      </c>
      <c r="J187" s="114" t="s">
        <v>1598</v>
      </c>
      <c r="K187" s="114" t="s">
        <v>1599</v>
      </c>
      <c r="L187" s="114"/>
    </row>
    <row r="188" spans="2:12" ht="15.75" thickBot="1" x14ac:dyDescent="0.3">
      <c r="B188" s="114" t="s">
        <v>547</v>
      </c>
      <c r="C188" s="144">
        <v>130502</v>
      </c>
      <c r="D188" s="115" t="s">
        <v>1569</v>
      </c>
      <c r="E188" s="138" t="s">
        <v>34</v>
      </c>
      <c r="F188" s="140">
        <v>3.16</v>
      </c>
      <c r="G188" s="138" t="s">
        <v>1532</v>
      </c>
      <c r="H188" s="145" t="s">
        <v>503</v>
      </c>
      <c r="I188" s="115" t="str">
        <f>IFERROR(INDEX(Tabela3[Tipos de Tratamento],MATCH('A3.9.1'!H188,Tabela3[Código],0)),"")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188" s="114" t="s">
        <v>1570</v>
      </c>
      <c r="K188" s="114" t="s">
        <v>1571</v>
      </c>
      <c r="L188" s="115"/>
    </row>
    <row r="189" spans="2:12" ht="15.75" thickBot="1" x14ac:dyDescent="0.3">
      <c r="B189" s="114" t="s">
        <v>547</v>
      </c>
      <c r="C189" s="144">
        <v>130502</v>
      </c>
      <c r="D189" s="115" t="s">
        <v>1569</v>
      </c>
      <c r="E189" s="138" t="s">
        <v>34</v>
      </c>
      <c r="F189" s="140">
        <v>10.220000000000001</v>
      </c>
      <c r="G189" s="138" t="s">
        <v>1532</v>
      </c>
      <c r="H189" s="145" t="s">
        <v>483</v>
      </c>
      <c r="I189" s="115" t="str">
        <f>IFERROR(INDEX(Tabela3[Tipos de Tratamento],MATCH('A3.9.1'!H189,Tabela3[Código],0)),"")</f>
        <v xml:space="preserve">Troca de resíduos com vista a submetê-los a uma das operações enumeradas de R 1 a R 11 </v>
      </c>
      <c r="J189" s="114" t="s">
        <v>1570</v>
      </c>
      <c r="K189" s="114" t="s">
        <v>1571</v>
      </c>
      <c r="L189" s="115"/>
    </row>
    <row r="190" spans="2:12" ht="15.75" thickBot="1" x14ac:dyDescent="0.3">
      <c r="B190" s="114" t="s">
        <v>547</v>
      </c>
      <c r="C190" s="144">
        <v>130507</v>
      </c>
      <c r="D190" s="115" t="s">
        <v>1572</v>
      </c>
      <c r="E190" s="138" t="s">
        <v>34</v>
      </c>
      <c r="F190" s="140">
        <v>11.58</v>
      </c>
      <c r="G190" s="138" t="s">
        <v>1532</v>
      </c>
      <c r="H190" s="138" t="s">
        <v>483</v>
      </c>
      <c r="I190" s="114" t="str">
        <f>IFERROR(INDEX(Tabela3[Tipos de Tratamento],MATCH('A3.9.1'!H190,Tabela3[Código],0)),"")</f>
        <v xml:space="preserve">Troca de resíduos com vista a submetê-los a uma das operações enumeradas de R 1 a R 11 </v>
      </c>
      <c r="J190" s="114" t="s">
        <v>1570</v>
      </c>
      <c r="K190" s="114" t="s">
        <v>1571</v>
      </c>
      <c r="L190" s="115"/>
    </row>
    <row r="191" spans="2:12" ht="15.75" thickBot="1" x14ac:dyDescent="0.3">
      <c r="B191" s="114" t="s">
        <v>547</v>
      </c>
      <c r="C191" s="144">
        <v>150202</v>
      </c>
      <c r="D191" s="115" t="s">
        <v>1547</v>
      </c>
      <c r="E191" s="138" t="s">
        <v>34</v>
      </c>
      <c r="F191" s="140">
        <v>0.12</v>
      </c>
      <c r="G191" s="138" t="s">
        <v>1532</v>
      </c>
      <c r="H191" s="138" t="s">
        <v>484</v>
      </c>
      <c r="I191" s="114" t="str">
        <f>IFERROR(INDEX(Tabela3[Tipos de Tratamento],MATCH('A3.9.1'!H191,Tabela3[Código],0)),"")</f>
        <v>Acumulação de resíduos destinados a uma das operações enumeradas de R1 a R12</v>
      </c>
      <c r="J191" s="114" t="s">
        <v>1538</v>
      </c>
      <c r="K191" s="114" t="s">
        <v>1539</v>
      </c>
      <c r="L191" s="115"/>
    </row>
    <row r="192" spans="2:12" ht="15.75" thickBot="1" x14ac:dyDescent="0.3">
      <c r="B192" s="114" t="s">
        <v>547</v>
      </c>
      <c r="C192" s="144">
        <v>150203</v>
      </c>
      <c r="D192" s="115" t="s">
        <v>1550</v>
      </c>
      <c r="E192" s="138" t="s">
        <v>42</v>
      </c>
      <c r="F192" s="140">
        <v>2.6</v>
      </c>
      <c r="G192" s="138" t="s">
        <v>1532</v>
      </c>
      <c r="H192" s="138" t="s">
        <v>483</v>
      </c>
      <c r="I192" s="114" t="str">
        <f>IFERROR(INDEX(Tabela3[Tipos de Tratamento],MATCH('A3.9.1'!H192,Tabela3[Código],0)),"")</f>
        <v xml:space="preserve">Troca de resíduos com vista a submetê-los a uma das operações enumeradas de R 1 a R 11 </v>
      </c>
      <c r="J192" s="114" t="s">
        <v>1538</v>
      </c>
      <c r="K192" s="114" t="s">
        <v>1539</v>
      </c>
      <c r="L192" s="115"/>
    </row>
    <row r="193" spans="2:12" ht="15.75" thickBot="1" x14ac:dyDescent="0.3">
      <c r="B193" s="114" t="s">
        <v>547</v>
      </c>
      <c r="C193" s="144">
        <v>160107</v>
      </c>
      <c r="D193" s="115" t="s">
        <v>1551</v>
      </c>
      <c r="E193" s="138" t="s">
        <v>34</v>
      </c>
      <c r="F193" s="140">
        <v>1.44</v>
      </c>
      <c r="G193" s="138" t="s">
        <v>1532</v>
      </c>
      <c r="H193" s="138" t="s">
        <v>484</v>
      </c>
      <c r="I193" s="114" t="str">
        <f>IFERROR(INDEX(Tabela3[Tipos de Tratamento],MATCH('A3.9.1'!H193,Tabela3[Código],0)),"")</f>
        <v>Acumulação de resíduos destinados a uma das operações enumeradas de R1 a R12</v>
      </c>
      <c r="J193" s="114" t="s">
        <v>1538</v>
      </c>
      <c r="K193" s="114" t="s">
        <v>1539</v>
      </c>
      <c r="L193" s="115"/>
    </row>
    <row r="194" spans="2:12" ht="15.75" thickBot="1" x14ac:dyDescent="0.3">
      <c r="B194" s="114" t="s">
        <v>541</v>
      </c>
      <c r="C194" s="144" t="s">
        <v>1579</v>
      </c>
      <c r="D194" s="115" t="s">
        <v>1580</v>
      </c>
      <c r="E194" s="138" t="s">
        <v>34</v>
      </c>
      <c r="F194" s="140">
        <v>0.28000000000000003</v>
      </c>
      <c r="G194" s="138" t="s">
        <v>1532</v>
      </c>
      <c r="H194" s="138" t="s">
        <v>509</v>
      </c>
      <c r="I194" s="114" t="str">
        <f>IFERROR(INDEX(Tabela3[Tipos de Tratamento],MATCH('A3.9.1'!H194,Tabela3[Código],0)),"")</f>
        <v>Armazenagem enquanto se aguarda a execução de uma das operações enumeradas de D1 a D14</v>
      </c>
      <c r="J194" s="114" t="s">
        <v>1573</v>
      </c>
      <c r="K194" s="114" t="s">
        <v>1539</v>
      </c>
      <c r="L194" s="115"/>
    </row>
    <row r="195" spans="2:12" ht="15.75" thickBot="1" x14ac:dyDescent="0.3">
      <c r="B195" s="114" t="s">
        <v>541</v>
      </c>
      <c r="C195" s="144" t="s">
        <v>1579</v>
      </c>
      <c r="D195" s="115" t="s">
        <v>1580</v>
      </c>
      <c r="E195" s="138" t="s">
        <v>34</v>
      </c>
      <c r="F195" s="140">
        <v>0.28000000000000003</v>
      </c>
      <c r="G195" s="138" t="s">
        <v>1532</v>
      </c>
      <c r="H195" s="138" t="s">
        <v>483</v>
      </c>
      <c r="I195" s="114" t="str">
        <f>IFERROR(INDEX(Tabela3[Tipos de Tratamento],MATCH('A3.9.1'!H195,Tabela3[Código],0)),"")</f>
        <v xml:space="preserve">Troca de resíduos com vista a submetê-los a uma das operações enumeradas de R 1 a R 11 </v>
      </c>
      <c r="J195" s="114" t="s">
        <v>1573</v>
      </c>
      <c r="K195" s="114" t="s">
        <v>1539</v>
      </c>
      <c r="L195" s="115"/>
    </row>
    <row r="196" spans="2:12" ht="15.75" thickBot="1" x14ac:dyDescent="0.3">
      <c r="B196" s="114" t="s">
        <v>541</v>
      </c>
      <c r="C196" s="144" t="s">
        <v>1588</v>
      </c>
      <c r="D196" s="115" t="s">
        <v>1589</v>
      </c>
      <c r="E196" s="138" t="s">
        <v>34</v>
      </c>
      <c r="F196" s="140">
        <v>8.3000000000000004E-2</v>
      </c>
      <c r="G196" s="138" t="s">
        <v>1532</v>
      </c>
      <c r="H196" s="138" t="s">
        <v>484</v>
      </c>
      <c r="I196" s="114" t="str">
        <f>IFERROR(INDEX(Tabela3[Tipos de Tratamento],MATCH('A3.9.1'!H196,Tabela3[Código],0)),"")</f>
        <v>Acumulação de resíduos destinados a uma das operações enumeradas de R1 a R12</v>
      </c>
      <c r="J196" s="114" t="s">
        <v>1538</v>
      </c>
      <c r="K196" s="114" t="s">
        <v>1539</v>
      </c>
      <c r="L196" s="115"/>
    </row>
    <row r="197" spans="2:12" ht="15.75" thickBot="1" x14ac:dyDescent="0.3">
      <c r="B197" s="114" t="s">
        <v>541</v>
      </c>
      <c r="C197" s="144" t="s">
        <v>1600</v>
      </c>
      <c r="D197" s="115" t="s">
        <v>1601</v>
      </c>
      <c r="E197" s="138" t="s">
        <v>34</v>
      </c>
      <c r="F197" s="140">
        <v>0.4</v>
      </c>
      <c r="G197" s="138" t="s">
        <v>1532</v>
      </c>
      <c r="H197" s="145" t="s">
        <v>503</v>
      </c>
      <c r="I197" s="115" t="str">
        <f>IFERROR(INDEX(Tabela3[Tipos de Tratamento],MATCH('A3.9.1'!H197,Tabela3[Código],0)),"")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197" s="114" t="s">
        <v>1573</v>
      </c>
      <c r="K197" s="114" t="s">
        <v>1539</v>
      </c>
      <c r="L197" s="115"/>
    </row>
    <row r="198" spans="2:12" ht="15.75" thickBot="1" x14ac:dyDescent="0.3">
      <c r="B198" s="114" t="s">
        <v>541</v>
      </c>
      <c r="C198" s="144" t="s">
        <v>1600</v>
      </c>
      <c r="D198" s="115" t="s">
        <v>1601</v>
      </c>
      <c r="E198" s="138" t="s">
        <v>34</v>
      </c>
      <c r="F198" s="140">
        <v>0.4</v>
      </c>
      <c r="G198" s="138" t="s">
        <v>1532</v>
      </c>
      <c r="H198" s="145" t="s">
        <v>483</v>
      </c>
      <c r="I198" s="114" t="str">
        <f>IFERROR(INDEX(Tabela3[Tipos de Tratamento],MATCH('A3.9.1'!H198,Tabela3[Código],0)),"")</f>
        <v xml:space="preserve">Troca de resíduos com vista a submetê-los a uma das operações enumeradas de R 1 a R 11 </v>
      </c>
      <c r="J198" s="114" t="s">
        <v>1573</v>
      </c>
      <c r="K198" s="114" t="s">
        <v>1539</v>
      </c>
      <c r="L198" s="115"/>
    </row>
    <row r="199" spans="2:12" ht="15.75" thickBot="1" x14ac:dyDescent="0.3">
      <c r="B199" s="114" t="s">
        <v>541</v>
      </c>
      <c r="C199" s="144">
        <v>130208</v>
      </c>
      <c r="D199" s="115" t="s">
        <v>1531</v>
      </c>
      <c r="E199" s="138" t="s">
        <v>34</v>
      </c>
      <c r="F199" s="140">
        <v>3.24</v>
      </c>
      <c r="G199" s="138" t="s">
        <v>1532</v>
      </c>
      <c r="H199" s="138" t="s">
        <v>480</v>
      </c>
      <c r="I199" s="114" t="str">
        <f>IFERROR(INDEX(Tabela3[Tipos de Tratamento],MATCH('A3.9.1'!H199,Tabela3[Código],0)),"")</f>
        <v xml:space="preserve">Regeneração de óleos e outras reutilizações de óleos </v>
      </c>
      <c r="J199" s="114" t="s">
        <v>1535</v>
      </c>
      <c r="K199" s="115" t="s">
        <v>1602</v>
      </c>
      <c r="L199" s="115"/>
    </row>
    <row r="200" spans="2:12" ht="15.75" thickBot="1" x14ac:dyDescent="0.3">
      <c r="B200" s="114" t="s">
        <v>541</v>
      </c>
      <c r="C200" s="144">
        <v>130502</v>
      </c>
      <c r="D200" s="115" t="s">
        <v>1569</v>
      </c>
      <c r="E200" s="138" t="s">
        <v>34</v>
      </c>
      <c r="F200" s="140">
        <v>12.1</v>
      </c>
      <c r="G200" s="138" t="s">
        <v>1532</v>
      </c>
      <c r="H200" s="145" t="s">
        <v>483</v>
      </c>
      <c r="I200" s="115" t="str">
        <f>IFERROR(INDEX(Tabela3[Tipos de Tratamento],MATCH('A3.9.1'!H200,Tabela3[Código],0)),"")</f>
        <v xml:space="preserve">Troca de resíduos com vista a submetê-los a uma das operações enumeradas de R 1 a R 11 </v>
      </c>
      <c r="J200" s="114" t="s">
        <v>1570</v>
      </c>
      <c r="K200" s="114" t="s">
        <v>1571</v>
      </c>
      <c r="L200" s="115"/>
    </row>
    <row r="201" spans="2:12" ht="15.75" thickBot="1" x14ac:dyDescent="0.3">
      <c r="B201" s="114" t="s">
        <v>541</v>
      </c>
      <c r="C201" s="144">
        <v>130507</v>
      </c>
      <c r="D201" s="115" t="s">
        <v>1572</v>
      </c>
      <c r="E201" s="138" t="s">
        <v>34</v>
      </c>
      <c r="F201" s="140">
        <v>9.1199999999999992</v>
      </c>
      <c r="G201" s="138" t="s">
        <v>1532</v>
      </c>
      <c r="H201" s="138" t="s">
        <v>483</v>
      </c>
      <c r="I201" s="114" t="str">
        <f>IFERROR(INDEX(Tabela3[Tipos de Tratamento],MATCH('A3.9.1'!H201,Tabela3[Código],0)),"")</f>
        <v xml:space="preserve">Troca de resíduos com vista a submetê-los a uma das operações enumeradas de R 1 a R 11 </v>
      </c>
      <c r="J201" s="114" t="s">
        <v>1570</v>
      </c>
      <c r="K201" s="114" t="s">
        <v>1571</v>
      </c>
      <c r="L201" s="115"/>
    </row>
    <row r="202" spans="2:12" ht="15.75" thickBot="1" x14ac:dyDescent="0.3">
      <c r="B202" s="114" t="s">
        <v>541</v>
      </c>
      <c r="C202" s="144">
        <v>150101</v>
      </c>
      <c r="D202" s="115" t="s">
        <v>1537</v>
      </c>
      <c r="E202" s="138" t="s">
        <v>42</v>
      </c>
      <c r="F202" s="140">
        <v>1.88</v>
      </c>
      <c r="G202" s="138" t="s">
        <v>1532</v>
      </c>
      <c r="H202" s="138" t="s">
        <v>484</v>
      </c>
      <c r="I202" s="114" t="str">
        <f>IFERROR(INDEX(Tabela3[Tipos de Tratamento],MATCH('A3.9.1'!H202,Tabela3[Código],0)),"")</f>
        <v>Acumulação de resíduos destinados a uma das operações enumeradas de R1 a R12</v>
      </c>
      <c r="J202" s="114" t="s">
        <v>1538</v>
      </c>
      <c r="K202" s="114" t="s">
        <v>1603</v>
      </c>
      <c r="L202" s="115"/>
    </row>
    <row r="203" spans="2:12" ht="15.75" thickBot="1" x14ac:dyDescent="0.3">
      <c r="B203" s="114" t="s">
        <v>541</v>
      </c>
      <c r="C203" s="144">
        <v>150102</v>
      </c>
      <c r="D203" s="115" t="s">
        <v>1575</v>
      </c>
      <c r="E203" s="138" t="s">
        <v>42</v>
      </c>
      <c r="F203" s="140">
        <v>0.14099999999999999</v>
      </c>
      <c r="G203" s="138" t="s">
        <v>1532</v>
      </c>
      <c r="H203" s="138" t="s">
        <v>483</v>
      </c>
      <c r="I203" s="114" t="str">
        <f>IFERROR(INDEX(Tabela3[Tipos de Tratamento],MATCH('A3.9.1'!H203,Tabela3[Código],0)),"")</f>
        <v xml:space="preserve">Troca de resíduos com vista a submetê-los a uma das operações enumeradas de R 1 a R 11 </v>
      </c>
      <c r="J203" s="114" t="s">
        <v>1538</v>
      </c>
      <c r="K203" s="114" t="s">
        <v>1539</v>
      </c>
      <c r="L203" s="115"/>
    </row>
    <row r="204" spans="2:12" ht="15.75" thickBot="1" x14ac:dyDescent="0.3">
      <c r="B204" s="114" t="s">
        <v>541</v>
      </c>
      <c r="C204" s="144" t="s">
        <v>1604</v>
      </c>
      <c r="D204" s="115" t="s">
        <v>1605</v>
      </c>
      <c r="E204" s="138" t="s">
        <v>42</v>
      </c>
      <c r="F204" s="140">
        <v>2.3199999999999998</v>
      </c>
      <c r="G204" s="138" t="s">
        <v>1532</v>
      </c>
      <c r="H204" s="138" t="s">
        <v>483</v>
      </c>
      <c r="I204" s="114" t="str">
        <f>IFERROR(INDEX(Tabela3[Tipos de Tratamento],MATCH('A3.9.1'!H204,Tabela3[Código],0)),"")</f>
        <v xml:space="preserve">Troca de resíduos com vista a submetê-los a uma das operações enumeradas de R 1 a R 11 </v>
      </c>
      <c r="J204" s="114" t="s">
        <v>1538</v>
      </c>
      <c r="K204" s="114" t="s">
        <v>1603</v>
      </c>
      <c r="L204" s="115"/>
    </row>
    <row r="205" spans="2:12" ht="15.75" thickBot="1" x14ac:dyDescent="0.3">
      <c r="B205" s="114" t="s">
        <v>541</v>
      </c>
      <c r="C205" s="144" t="s">
        <v>1606</v>
      </c>
      <c r="D205" s="115" t="s">
        <v>1607</v>
      </c>
      <c r="E205" s="138" t="s">
        <v>42</v>
      </c>
      <c r="F205" s="140">
        <v>0.69</v>
      </c>
      <c r="G205" s="138" t="s">
        <v>1532</v>
      </c>
      <c r="H205" s="138" t="s">
        <v>483</v>
      </c>
      <c r="I205" s="114" t="str">
        <f>IFERROR(INDEX(Tabela3[Tipos de Tratamento],MATCH('A3.9.1'!H205,Tabela3[Código],0)),"")</f>
        <v xml:space="preserve">Troca de resíduos com vista a submetê-los a uma das operações enumeradas de R 1 a R 11 </v>
      </c>
      <c r="J205" s="114" t="s">
        <v>1538</v>
      </c>
      <c r="K205" s="114" t="s">
        <v>1539</v>
      </c>
      <c r="L205" s="115"/>
    </row>
    <row r="206" spans="2:12" ht="15.75" thickBot="1" x14ac:dyDescent="0.3">
      <c r="B206" s="114" t="s">
        <v>541</v>
      </c>
      <c r="C206" s="144">
        <v>150110</v>
      </c>
      <c r="D206" s="115" t="s">
        <v>1542</v>
      </c>
      <c r="E206" s="138" t="s">
        <v>34</v>
      </c>
      <c r="F206" s="140">
        <v>0.45</v>
      </c>
      <c r="G206" s="138" t="s">
        <v>1532</v>
      </c>
      <c r="H206" s="138" t="s">
        <v>484</v>
      </c>
      <c r="I206" s="114" t="str">
        <f>IFERROR(INDEX(Tabela3[Tipos de Tratamento],MATCH('A3.9.1'!H206,Tabela3[Código],0)),"")</f>
        <v>Acumulação de resíduos destinados a uma das operações enumeradas de R1 a R12</v>
      </c>
      <c r="J206" s="114" t="s">
        <v>1538</v>
      </c>
      <c r="K206" s="114" t="s">
        <v>1539</v>
      </c>
      <c r="L206" s="115"/>
    </row>
    <row r="207" spans="2:12" ht="15.75" thickBot="1" x14ac:dyDescent="0.3">
      <c r="B207" s="114" t="s">
        <v>541</v>
      </c>
      <c r="C207" s="144">
        <v>150111</v>
      </c>
      <c r="D207" s="115" t="s">
        <v>1549</v>
      </c>
      <c r="E207" s="138" t="s">
        <v>34</v>
      </c>
      <c r="F207" s="140">
        <v>1.7999999999999999E-2</v>
      </c>
      <c r="G207" s="138" t="s">
        <v>1532</v>
      </c>
      <c r="H207" s="138" t="s">
        <v>484</v>
      </c>
      <c r="I207" s="114" t="str">
        <f>IFERROR(INDEX(Tabela3[Tipos de Tratamento],MATCH('A3.9.1'!H207,Tabela3[Código],0)),"")</f>
        <v>Acumulação de resíduos destinados a uma das operações enumeradas de R1 a R12</v>
      </c>
      <c r="J207" s="114" t="s">
        <v>1538</v>
      </c>
      <c r="K207" s="114" t="s">
        <v>1539</v>
      </c>
      <c r="L207" s="115"/>
    </row>
    <row r="208" spans="2:12" ht="15.75" thickBot="1" x14ac:dyDescent="0.3">
      <c r="B208" s="114" t="s">
        <v>541</v>
      </c>
      <c r="C208" s="144">
        <v>150202</v>
      </c>
      <c r="D208" s="115" t="s">
        <v>1547</v>
      </c>
      <c r="E208" s="138" t="s">
        <v>34</v>
      </c>
      <c r="F208" s="140">
        <v>6.4340000000000002</v>
      </c>
      <c r="G208" s="138" t="s">
        <v>1532</v>
      </c>
      <c r="H208" s="138" t="s">
        <v>484</v>
      </c>
      <c r="I208" s="114" t="str">
        <f>IFERROR(INDEX(Tabela3[Tipos de Tratamento],MATCH('A3.9.1'!H208,Tabela3[Código],0)),"")</f>
        <v>Acumulação de resíduos destinados a uma das operações enumeradas de R1 a R12</v>
      </c>
      <c r="J208" s="114" t="s">
        <v>1538</v>
      </c>
      <c r="K208" s="114" t="s">
        <v>1539</v>
      </c>
      <c r="L208" s="115"/>
    </row>
    <row r="209" spans="2:12" ht="15.75" thickBot="1" x14ac:dyDescent="0.3">
      <c r="B209" s="114" t="s">
        <v>541</v>
      </c>
      <c r="C209" s="144">
        <v>150203</v>
      </c>
      <c r="D209" s="115" t="s">
        <v>1550</v>
      </c>
      <c r="E209" s="138" t="s">
        <v>42</v>
      </c>
      <c r="F209" s="140">
        <v>1.6</v>
      </c>
      <c r="G209" s="138" t="s">
        <v>1532</v>
      </c>
      <c r="H209" s="138" t="s">
        <v>483</v>
      </c>
      <c r="I209" s="114" t="str">
        <f>IFERROR(INDEX(Tabela3[Tipos de Tratamento],MATCH('A3.9.1'!H209,Tabela3[Código],0)),"")</f>
        <v xml:space="preserve">Troca de resíduos com vista a submetê-los a uma das operações enumeradas de R 1 a R 11 </v>
      </c>
      <c r="J209" s="114" t="s">
        <v>1538</v>
      </c>
      <c r="K209" s="114" t="s">
        <v>1539</v>
      </c>
      <c r="L209" s="115"/>
    </row>
    <row r="210" spans="2:12" ht="15.75" thickBot="1" x14ac:dyDescent="0.3">
      <c r="B210" s="114" t="s">
        <v>541</v>
      </c>
      <c r="C210" s="144">
        <v>160107</v>
      </c>
      <c r="D210" s="115" t="s">
        <v>1551</v>
      </c>
      <c r="E210" s="138" t="s">
        <v>34</v>
      </c>
      <c r="F210" s="140">
        <v>0.52</v>
      </c>
      <c r="G210" s="138" t="s">
        <v>1532</v>
      </c>
      <c r="H210" s="138" t="s">
        <v>484</v>
      </c>
      <c r="I210" s="114" t="str">
        <f>IFERROR(INDEX(Tabela3[Tipos de Tratamento],MATCH('A3.9.1'!H210,Tabela3[Código],0)),"")</f>
        <v>Acumulação de resíduos destinados a uma das operações enumeradas de R1 a R12</v>
      </c>
      <c r="J210" s="114" t="s">
        <v>1538</v>
      </c>
      <c r="K210" s="114" t="s">
        <v>1539</v>
      </c>
      <c r="L210" s="115"/>
    </row>
    <row r="211" spans="2:12" ht="15.75" thickBot="1" x14ac:dyDescent="0.3">
      <c r="B211" s="114" t="s">
        <v>541</v>
      </c>
      <c r="C211" s="144">
        <v>160112</v>
      </c>
      <c r="D211" s="115" t="s">
        <v>1552</v>
      </c>
      <c r="E211" s="138" t="s">
        <v>34</v>
      </c>
      <c r="F211" s="140">
        <v>0.81</v>
      </c>
      <c r="G211" s="138" t="s">
        <v>1532</v>
      </c>
      <c r="H211" s="138" t="s">
        <v>483</v>
      </c>
      <c r="I211" s="114" t="str">
        <f>IFERROR(INDEX(Tabela3[Tipos de Tratamento],MATCH('A3.9.1'!H211,Tabela3[Código],0)),"")</f>
        <v xml:space="preserve">Troca de resíduos com vista a submetê-los a uma das operações enumeradas de R 1 a R 11 </v>
      </c>
      <c r="J211" s="114" t="s">
        <v>1538</v>
      </c>
      <c r="K211" s="114" t="s">
        <v>1539</v>
      </c>
      <c r="L211" s="115"/>
    </row>
    <row r="212" spans="2:12" ht="15.75" thickBot="1" x14ac:dyDescent="0.3">
      <c r="B212" s="114" t="s">
        <v>541</v>
      </c>
      <c r="C212" s="144">
        <v>160117</v>
      </c>
      <c r="D212" s="115" t="s">
        <v>1557</v>
      </c>
      <c r="E212" s="138" t="s">
        <v>42</v>
      </c>
      <c r="F212" s="140">
        <v>3.12</v>
      </c>
      <c r="G212" s="138" t="s">
        <v>1532</v>
      </c>
      <c r="H212" s="138" t="s">
        <v>483</v>
      </c>
      <c r="I212" s="114" t="str">
        <f>IFERROR(INDEX(Tabela3[Tipos de Tratamento],MATCH('A3.9.1'!H212,Tabela3[Código],0)),"")</f>
        <v xml:space="preserve">Troca de resíduos com vista a submetê-los a uma das operações enumeradas de R 1 a R 11 </v>
      </c>
      <c r="J212" s="114" t="s">
        <v>1558</v>
      </c>
      <c r="K212" s="114" t="s">
        <v>1559</v>
      </c>
      <c r="L212" s="115"/>
    </row>
    <row r="213" spans="2:12" ht="15.75" thickBot="1" x14ac:dyDescent="0.3">
      <c r="B213" s="114" t="s">
        <v>541</v>
      </c>
      <c r="C213" s="144">
        <v>160119</v>
      </c>
      <c r="D213" s="115" t="s">
        <v>1560</v>
      </c>
      <c r="E213" s="138" t="s">
        <v>42</v>
      </c>
      <c r="F213" s="140">
        <v>3.3000000000000002E-2</v>
      </c>
      <c r="G213" s="138" t="s">
        <v>1532</v>
      </c>
      <c r="H213" s="138" t="s">
        <v>483</v>
      </c>
      <c r="I213" s="114" t="str">
        <f>IFERROR(INDEX(Tabela3[Tipos de Tratamento],MATCH('A3.9.1'!H213,Tabela3[Código],0)),"")</f>
        <v xml:space="preserve">Troca de resíduos com vista a submetê-los a uma das operações enumeradas de R 1 a R 11 </v>
      </c>
      <c r="J213" s="114" t="s">
        <v>1538</v>
      </c>
      <c r="K213" s="114" t="s">
        <v>1539</v>
      </c>
      <c r="L213" s="115"/>
    </row>
    <row r="214" spans="2:12" ht="15.75" thickBot="1" x14ac:dyDescent="0.3">
      <c r="B214" s="114" t="s">
        <v>541</v>
      </c>
      <c r="C214" s="144">
        <v>160199</v>
      </c>
      <c r="D214" s="115" t="s">
        <v>1562</v>
      </c>
      <c r="E214" s="138" t="s">
        <v>42</v>
      </c>
      <c r="F214" s="140">
        <v>0.34</v>
      </c>
      <c r="G214" s="138" t="s">
        <v>1532</v>
      </c>
      <c r="H214" s="138" t="s">
        <v>483</v>
      </c>
      <c r="I214" s="114" t="str">
        <f>IFERROR(INDEX(Tabela3[Tipos de Tratamento],MATCH('A3.9.1'!H214,Tabela3[Código],0)),"")</f>
        <v xml:space="preserve">Troca de resíduos com vista a submetê-los a uma das operações enumeradas de R 1 a R 11 </v>
      </c>
      <c r="J214" s="114" t="s">
        <v>1538</v>
      </c>
      <c r="K214" s="114" t="s">
        <v>1539</v>
      </c>
      <c r="L214" s="115"/>
    </row>
    <row r="215" spans="2:12" ht="15.75" thickBot="1" x14ac:dyDescent="0.3">
      <c r="B215" s="114" t="s">
        <v>541</v>
      </c>
      <c r="C215" s="144">
        <v>160601</v>
      </c>
      <c r="D215" s="115" t="s">
        <v>1563</v>
      </c>
      <c r="E215" s="138" t="s">
        <v>34</v>
      </c>
      <c r="F215" s="140">
        <v>9.1</v>
      </c>
      <c r="G215" s="138" t="s">
        <v>1532</v>
      </c>
      <c r="H215" s="138" t="s">
        <v>484</v>
      </c>
      <c r="I215" s="114" t="str">
        <f>IFERROR(INDEX(Tabela3[Tipos de Tratamento],MATCH('A3.9.1'!H215,Tabela3[Código],0)),"")</f>
        <v>Acumulação de resíduos destinados a uma das operações enumeradas de R1 a R12</v>
      </c>
      <c r="J215" s="114" t="s">
        <v>1558</v>
      </c>
      <c r="K215" s="114" t="s">
        <v>1559</v>
      </c>
      <c r="L215" s="115"/>
    </row>
    <row r="216" spans="2:12" ht="15.75" thickBot="1" x14ac:dyDescent="0.3">
      <c r="B216" s="114" t="s">
        <v>541</v>
      </c>
      <c r="C216" s="144">
        <v>200101</v>
      </c>
      <c r="D216" s="115" t="s">
        <v>1597</v>
      </c>
      <c r="E216" s="138" t="s">
        <v>42</v>
      </c>
      <c r="F216" s="140">
        <v>1.36</v>
      </c>
      <c r="G216" s="138" t="s">
        <v>1532</v>
      </c>
      <c r="H216" s="138" t="s">
        <v>483</v>
      </c>
      <c r="I216" s="114" t="str">
        <f>IFERROR(INDEX(Tabela3[Tipos de Tratamento],MATCH('A3.9.1'!H216,Tabela3[Código],0)),"")</f>
        <v xml:space="preserve">Troca de resíduos com vista a submetê-los a uma das operações enumeradas de R 1 a R 11 </v>
      </c>
      <c r="J216" s="114" t="s">
        <v>1538</v>
      </c>
      <c r="K216" s="115" t="s">
        <v>1608</v>
      </c>
      <c r="L216" s="115"/>
    </row>
    <row r="217" spans="2:12" ht="15.75" thickBot="1" x14ac:dyDescent="0.3">
      <c r="B217" s="114" t="s">
        <v>541</v>
      </c>
      <c r="C217" s="144">
        <v>200102</v>
      </c>
      <c r="D217" s="115" t="s">
        <v>1561</v>
      </c>
      <c r="E217" s="138" t="s">
        <v>42</v>
      </c>
      <c r="F217" s="140">
        <v>4.74</v>
      </c>
      <c r="G217" s="138" t="s">
        <v>1532</v>
      </c>
      <c r="H217" s="138" t="s">
        <v>483</v>
      </c>
      <c r="I217" s="114" t="str">
        <f>IFERROR(INDEX(Tabela3[Tipos de Tratamento],MATCH('A3.9.1'!H217,Tabela3[Código],0)),"")</f>
        <v xml:space="preserve">Troca de resíduos com vista a submetê-los a uma das operações enumeradas de R 1 a R 11 </v>
      </c>
      <c r="J217" s="114" t="s">
        <v>1538</v>
      </c>
      <c r="K217" s="114" t="s">
        <v>1603</v>
      </c>
      <c r="L217" s="115"/>
    </row>
    <row r="218" spans="2:12" ht="15.75" thickBot="1" x14ac:dyDescent="0.3">
      <c r="B218" s="114" t="s">
        <v>541</v>
      </c>
      <c r="C218" s="144">
        <v>200121</v>
      </c>
      <c r="D218" s="115" t="s">
        <v>1564</v>
      </c>
      <c r="E218" s="138" t="s">
        <v>34</v>
      </c>
      <c r="F218" s="140">
        <v>2.5999999999999999E-2</v>
      </c>
      <c r="G218" s="138" t="s">
        <v>1532</v>
      </c>
      <c r="H218" s="138" t="s">
        <v>484</v>
      </c>
      <c r="I218" s="114" t="str">
        <f>IFERROR(INDEX(Tabela3[Tipos de Tratamento],MATCH('A3.9.1'!H218,Tabela3[Código],0)),"")</f>
        <v>Acumulação de resíduos destinados a uma das operações enumeradas de R1 a R12</v>
      </c>
      <c r="J218" s="114" t="s">
        <v>1538</v>
      </c>
      <c r="K218" s="114" t="s">
        <v>1539</v>
      </c>
      <c r="L218" s="115"/>
    </row>
    <row r="219" spans="2:12" ht="15.75" thickBot="1" x14ac:dyDescent="0.3">
      <c r="B219" s="114" t="s">
        <v>541</v>
      </c>
      <c r="C219" s="144">
        <v>200125</v>
      </c>
      <c r="D219" s="115" t="s">
        <v>1565</v>
      </c>
      <c r="E219" s="138" t="s">
        <v>42</v>
      </c>
      <c r="F219" s="140">
        <v>0.16</v>
      </c>
      <c r="G219" s="138" t="s">
        <v>1532</v>
      </c>
      <c r="H219" s="138" t="s">
        <v>483</v>
      </c>
      <c r="I219" s="114" t="str">
        <f>IFERROR(INDEX(Tabela3[Tipos de Tratamento],MATCH('A3.9.1'!H219,Tabela3[Código],0)),"")</f>
        <v xml:space="preserve">Troca de resíduos com vista a submetê-los a uma das operações enumeradas de R 1 a R 11 </v>
      </c>
      <c r="J219" s="114" t="s">
        <v>1566</v>
      </c>
      <c r="K219" s="114" t="s">
        <v>1578</v>
      </c>
      <c r="L219" s="115"/>
    </row>
    <row r="220" spans="2:12" ht="15.75" thickBot="1" x14ac:dyDescent="0.3">
      <c r="B220" s="114" t="s">
        <v>541</v>
      </c>
      <c r="C220" s="144">
        <v>200136</v>
      </c>
      <c r="D220" s="115" t="s">
        <v>1568</v>
      </c>
      <c r="E220" s="138" t="s">
        <v>42</v>
      </c>
      <c r="F220" s="140">
        <v>0.40300000000000002</v>
      </c>
      <c r="G220" s="138" t="s">
        <v>1532</v>
      </c>
      <c r="H220" s="138" t="s">
        <v>483</v>
      </c>
      <c r="I220" s="114" t="str">
        <f>IFERROR(INDEX(Tabela3[Tipos de Tratamento],MATCH('A3.9.1'!H220,Tabela3[Código],0)),"")</f>
        <v xml:space="preserve">Troca de resíduos com vista a submetê-los a uma das operações enumeradas de R 1 a R 11 </v>
      </c>
      <c r="J220" s="114" t="s">
        <v>1538</v>
      </c>
      <c r="K220" s="114" t="s">
        <v>1539</v>
      </c>
      <c r="L220" s="115"/>
    </row>
    <row r="221" spans="2:12" ht="15.75" thickBot="1" x14ac:dyDescent="0.3">
      <c r="B221" s="114" t="s">
        <v>541</v>
      </c>
      <c r="C221" s="144" t="s">
        <v>1609</v>
      </c>
      <c r="D221" s="115" t="s">
        <v>1610</v>
      </c>
      <c r="E221" s="138" t="s">
        <v>42</v>
      </c>
      <c r="F221" s="140">
        <v>13.56</v>
      </c>
      <c r="G221" s="138" t="s">
        <v>1532</v>
      </c>
      <c r="H221" s="138" t="s">
        <v>483</v>
      </c>
      <c r="I221" s="114" t="str">
        <f>IFERROR(INDEX(Tabela3[Tipos de Tratamento],MATCH('A3.9.1'!H221,Tabela3[Código],0)),"")</f>
        <v xml:space="preserve">Troca de resíduos com vista a submetê-los a uma das operações enumeradas de R 1 a R 11 </v>
      </c>
      <c r="J221" s="114" t="s">
        <v>1538</v>
      </c>
      <c r="K221" s="115" t="s">
        <v>1608</v>
      </c>
      <c r="L221" s="115"/>
    </row>
    <row r="222" spans="2:12" ht="15.75" thickBot="1" x14ac:dyDescent="0.3">
      <c r="B222" s="114" t="s">
        <v>541</v>
      </c>
      <c r="C222" s="144" t="s">
        <v>1609</v>
      </c>
      <c r="D222" s="115" t="s">
        <v>1610</v>
      </c>
      <c r="E222" s="138" t="s">
        <v>42</v>
      </c>
      <c r="F222" s="140">
        <v>0.24</v>
      </c>
      <c r="G222" s="138" t="s">
        <v>1532</v>
      </c>
      <c r="H222" s="138" t="s">
        <v>509</v>
      </c>
      <c r="I222" s="114" t="str">
        <f>IFERROR(INDEX(Tabela3[Tipos de Tratamento],MATCH('A3.9.1'!H222,Tabela3[Código],0)),"")</f>
        <v>Armazenagem enquanto se aguarda a execução de uma das operações enumeradas de D1 a D14</v>
      </c>
      <c r="J222" s="114" t="s">
        <v>1603</v>
      </c>
      <c r="K222" s="114" t="s">
        <v>1603</v>
      </c>
      <c r="L222" s="115"/>
    </row>
    <row r="223" spans="2:12" ht="15.75" thickBot="1" x14ac:dyDescent="0.3">
      <c r="B223" s="82" t="s">
        <v>601</v>
      </c>
      <c r="C223" s="142"/>
      <c r="D223" s="83"/>
      <c r="E223" s="125"/>
      <c r="F223" s="139"/>
      <c r="G223" s="125"/>
      <c r="H223" s="125"/>
      <c r="I223" s="91" t="str">
        <f>IFERROR(INDEX(Tabela3[Tipos de Tratamento],MATCH('A3.9.1'!H223,Tabela3[Código],0)),"")</f>
        <v/>
      </c>
      <c r="J223" s="91"/>
      <c r="K223" s="91"/>
      <c r="L223" s="91" t="s">
        <v>1742</v>
      </c>
    </row>
    <row r="224" spans="2:12" ht="15.75" thickBot="1" x14ac:dyDescent="0.3">
      <c r="B224" s="82" t="s">
        <v>537</v>
      </c>
      <c r="C224" s="142"/>
      <c r="D224" s="83"/>
      <c r="E224" s="125"/>
      <c r="F224" s="139"/>
      <c r="G224" s="125"/>
      <c r="H224" s="125"/>
      <c r="I224" s="91" t="str">
        <f>IFERROR(INDEX(Tabela3[Tipos de Tratamento],MATCH('A3.9.1'!H224,Tabela3[Código],0)),"")</f>
        <v/>
      </c>
      <c r="J224" s="91"/>
      <c r="K224" s="91"/>
      <c r="L224" s="91" t="s">
        <v>1742</v>
      </c>
    </row>
  </sheetData>
  <mergeCells count="25">
    <mergeCell ref="B25:W26"/>
    <mergeCell ref="B28:B29"/>
    <mergeCell ref="C28:C29"/>
    <mergeCell ref="D28:D29"/>
    <mergeCell ref="G28:G29"/>
    <mergeCell ref="H28:H29"/>
    <mergeCell ref="I28:I29"/>
    <mergeCell ref="F28:F29"/>
    <mergeCell ref="L28:L29"/>
    <mergeCell ref="E28:E29"/>
    <mergeCell ref="J28:J29"/>
    <mergeCell ref="K28:K29"/>
    <mergeCell ref="B21:W22"/>
    <mergeCell ref="B9:Y9"/>
    <mergeCell ref="B11:C11"/>
    <mergeCell ref="D11:R11"/>
    <mergeCell ref="B12:C12"/>
    <mergeCell ref="D12:R12"/>
    <mergeCell ref="B13:C13"/>
    <mergeCell ref="D13:R13"/>
    <mergeCell ref="B14:C14"/>
    <mergeCell ref="D14:R14"/>
    <mergeCell ref="B15:C15"/>
    <mergeCell ref="D15:R15"/>
    <mergeCell ref="B17:Y17"/>
  </mergeCells>
  <dataValidations count="2">
    <dataValidation type="list" allowBlank="1" showInputMessage="1" showErrorMessage="1" sqref="G134:G136 G138:G151 G153:G201 G204:G224 G30:G127">
      <formula1>"kg (quilos), ton (toneladas)"</formula1>
    </dataValidation>
    <dataValidation type="list" allowBlank="1" showInputMessage="1" showErrorMessage="1" sqref="E105:E112 E115:E118 E121:E124 E128:E136 E140 E142:E143 E145:E149 E152:E158 E161:E163 E165 E168:E169 E174:E177 E180:E182 E184 E186 E191:E192 E194:E196 E199 E202:E203 E206:E209 E212:E214 E216:E217 E219:E224 E30:E100">
      <formula1>"Sim, Não"</formula1>
    </dataValidation>
  </dataValidations>
  <pageMargins left="0.7" right="0.7" top="0.75" bottom="0.75" header="0.3" footer="0.3"/>
  <pageSetup paperSize="9" orientation="portrait" r:id="rId1"/>
  <customProperties>
    <customPr name="GUID" r:id="rId2"/>
  </customProperties>
  <ignoredErrors>
    <ignoredError sqref="C87:C163" numberStoredAsText="1"/>
  </ignoredError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'A3.9.1.1'!$C$2:$C$29</xm:f>
          </x14:formula1>
          <xm:sqref>H75:H224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1">
    <tabColor rgb="FFC00000"/>
  </sheetPr>
  <dimension ref="A1:V626"/>
  <sheetViews>
    <sheetView zoomScale="55" zoomScaleNormal="55" workbookViewId="0">
      <pane ySplit="2" topLeftCell="A598" activePane="bottomLeft" state="frozen"/>
      <selection pane="bottomLeft" activeCell="B612" sqref="A612:B626"/>
    </sheetView>
    <sheetView workbookViewId="1">
      <selection sqref="A1:A2"/>
    </sheetView>
  </sheetViews>
  <sheetFormatPr defaultRowHeight="15" x14ac:dyDescent="0.25"/>
  <cols>
    <col min="1" max="1" width="86.140625" customWidth="1"/>
    <col min="2" max="2" width="77.85546875" bestFit="1" customWidth="1"/>
    <col min="3" max="4" width="48.42578125" customWidth="1"/>
    <col min="5" max="5" width="84.7109375" style="322" customWidth="1"/>
    <col min="6" max="6" width="165.28515625" style="146" bestFit="1" customWidth="1"/>
    <col min="7" max="7" width="16" style="89" customWidth="1"/>
    <col min="8" max="8" width="18.7109375" style="270" customWidth="1"/>
    <col min="9" max="9" width="27" style="89" customWidth="1"/>
    <col min="10" max="10" width="19.140625" style="89" customWidth="1"/>
    <col min="11" max="14" width="22" customWidth="1"/>
    <col min="15" max="15" width="255.7109375" style="94" bestFit="1" customWidth="1"/>
    <col min="16" max="16" width="65.140625" customWidth="1"/>
    <col min="17" max="17" width="108.85546875" bestFit="1" customWidth="1"/>
    <col min="18" max="18" width="59.28515625" bestFit="1" customWidth="1"/>
    <col min="19" max="19" width="23.28515625" customWidth="1"/>
    <col min="22" max="22" width="14.7109375" customWidth="1"/>
  </cols>
  <sheetData>
    <row r="1" spans="1:22" s="94" customFormat="1" ht="15.75" thickBot="1" x14ac:dyDescent="0.3">
      <c r="A1" s="543" t="s">
        <v>1851</v>
      </c>
      <c r="B1" s="508" t="s">
        <v>131</v>
      </c>
      <c r="C1" s="508" t="s">
        <v>1852</v>
      </c>
      <c r="D1" s="508" t="s">
        <v>3725</v>
      </c>
      <c r="E1" s="575" t="s">
        <v>465</v>
      </c>
      <c r="F1" s="573" t="s">
        <v>466</v>
      </c>
      <c r="G1" s="529" t="s">
        <v>1530</v>
      </c>
      <c r="H1" s="577" t="s">
        <v>464</v>
      </c>
      <c r="I1" s="529" t="s">
        <v>141</v>
      </c>
      <c r="J1" s="529" t="s">
        <v>1863</v>
      </c>
      <c r="K1" s="508" t="s">
        <v>467</v>
      </c>
      <c r="L1" s="529" t="s">
        <v>528</v>
      </c>
      <c r="M1" s="212" t="s">
        <v>1919</v>
      </c>
      <c r="N1" s="212" t="s">
        <v>1912</v>
      </c>
      <c r="O1" s="508" t="s">
        <v>468</v>
      </c>
      <c r="P1" s="508" t="s">
        <v>1533</v>
      </c>
      <c r="Q1" s="508" t="s">
        <v>1534</v>
      </c>
      <c r="R1" s="529" t="s">
        <v>134</v>
      </c>
      <c r="S1" s="508" t="s">
        <v>1856</v>
      </c>
      <c r="T1" s="528" t="s">
        <v>2831</v>
      </c>
      <c r="U1" s="528" t="s">
        <v>3628</v>
      </c>
      <c r="V1" s="528" t="s">
        <v>3723</v>
      </c>
    </row>
    <row r="2" spans="1:22" s="94" customFormat="1" ht="15.75" thickBot="1" x14ac:dyDescent="0.3">
      <c r="A2" s="544"/>
      <c r="B2" s="509"/>
      <c r="C2" s="509"/>
      <c r="D2" s="509"/>
      <c r="E2" s="576"/>
      <c r="F2" s="574"/>
      <c r="G2" s="530"/>
      <c r="H2" s="578"/>
      <c r="I2" s="530"/>
      <c r="J2" s="530"/>
      <c r="K2" s="509"/>
      <c r="L2" s="530"/>
      <c r="M2" s="213"/>
      <c r="N2" s="213"/>
      <c r="O2" s="509"/>
      <c r="P2" s="509"/>
      <c r="Q2" s="509"/>
      <c r="R2" s="530"/>
      <c r="S2" s="509"/>
      <c r="T2" s="528"/>
      <c r="U2" s="528"/>
      <c r="V2" s="528"/>
    </row>
    <row r="3" spans="1:22" ht="15.75" thickBot="1" x14ac:dyDescent="0.3">
      <c r="A3" s="82" t="s">
        <v>45</v>
      </c>
      <c r="B3" s="82" t="str">
        <f t="shared" ref="B3:B34" si="0">LEFT(A3,IFERROR(FIND(" - ",A3)-1,LEN(A3)))</f>
        <v>Barraqueiro Transportes, S.A.</v>
      </c>
      <c r="C3" s="82" t="str">
        <f t="shared" ref="C3:C66" si="1">IF(A3=B3,"X",RIGHT(A3,LEN(A3)-LEN(B3)-3))</f>
        <v>X</v>
      </c>
      <c r="D3" s="82" t="s">
        <v>42</v>
      </c>
      <c r="E3" s="217" t="s">
        <v>1579</v>
      </c>
      <c r="F3" s="83" t="s">
        <v>1580</v>
      </c>
      <c r="G3" s="125" t="s">
        <v>34</v>
      </c>
      <c r="H3" s="133">
        <f t="array" ref="H3">SUMPRODUCT(IF(E$60:E$195=E3,1,0),IF(K$60:K$195=K3,1,0),IF(I$60:I$195=I3,1,0),H$60:H$195)</f>
        <v>0.29600000000000004</v>
      </c>
      <c r="I3" s="125" t="s">
        <v>1532</v>
      </c>
      <c r="J3" s="139">
        <f t="shared" ref="J3:J66" si="2">IF(LEFT(I3,3)="ton",1000*H3,H3)</f>
        <v>296.00000000000006</v>
      </c>
      <c r="K3" s="139" t="s">
        <v>509</v>
      </c>
      <c r="L3" s="238" t="str">
        <f t="shared" ref="L3:L66" si="3">IF(LEFT(K3,1)="R","Reciclagem",IF(OR(K3="D10",K3="D11"),"Iceneração","Aterro"))</f>
        <v>Aterro</v>
      </c>
      <c r="M3" s="238" t="s">
        <v>1920</v>
      </c>
      <c r="N3" s="238" t="s">
        <v>1911</v>
      </c>
      <c r="O3" s="91" t="str">
        <f>IFERROR(INDEX(Tabela3[Tipos de Tratamento],MATCH('A3.9.1 copy'!K3,Tabela3[Código],0)),"")</f>
        <v>Armazenagem enquanto se aguarda a execução de uma das operações enumeradas de D1 a D14</v>
      </c>
      <c r="P3" s="91"/>
      <c r="Q3" s="91"/>
      <c r="R3" s="91"/>
      <c r="S3">
        <v>2022</v>
      </c>
      <c r="T3" s="261" t="s">
        <v>3535</v>
      </c>
      <c r="U3" s="261" t="s">
        <v>3606</v>
      </c>
      <c r="V3" t="s">
        <v>42</v>
      </c>
    </row>
    <row r="4" spans="1:22" ht="15.75" thickBot="1" x14ac:dyDescent="0.3">
      <c r="A4" s="82" t="s">
        <v>45</v>
      </c>
      <c r="B4" s="82" t="str">
        <f t="shared" si="0"/>
        <v>Barraqueiro Transportes, S.A.</v>
      </c>
      <c r="C4" s="82" t="str">
        <f t="shared" si="1"/>
        <v>X</v>
      </c>
      <c r="D4" s="82" t="s">
        <v>42</v>
      </c>
      <c r="E4" s="217" t="s">
        <v>1579</v>
      </c>
      <c r="F4" s="83" t="s">
        <v>1580</v>
      </c>
      <c r="G4" s="125" t="s">
        <v>34</v>
      </c>
      <c r="H4" s="133">
        <f t="array" ref="H4">SUMPRODUCT(IF(E$60:E$195=E4,1,0),IF(K$60:K$195=K4,1,0),IF(I$60:I$195=I4,1,0),H$60:H$195)</f>
        <v>0.29600000000000004</v>
      </c>
      <c r="I4" s="125" t="s">
        <v>1532</v>
      </c>
      <c r="J4" s="139">
        <f t="shared" si="2"/>
        <v>296.00000000000006</v>
      </c>
      <c r="K4" s="139" t="s">
        <v>483</v>
      </c>
      <c r="L4" s="238" t="str">
        <f t="shared" si="3"/>
        <v>Reciclagem</v>
      </c>
      <c r="M4" s="238" t="s">
        <v>1920</v>
      </c>
      <c r="N4" s="238" t="s">
        <v>1911</v>
      </c>
      <c r="O4" s="91" t="str">
        <f>IFERROR(INDEX(Tabela3[Tipos de Tratamento],MATCH('A3.9.1 copy'!K4,Tabela3[Código],0)),"")</f>
        <v xml:space="preserve">Troca de resíduos com vista a submetê-los a uma das operações enumeradas de R 1 a R 11 </v>
      </c>
      <c r="P4" s="91"/>
      <c r="Q4" s="91"/>
      <c r="R4" s="91"/>
      <c r="S4">
        <v>2022</v>
      </c>
      <c r="T4" s="261" t="s">
        <v>3535</v>
      </c>
      <c r="U4" s="261" t="s">
        <v>3606</v>
      </c>
      <c r="V4" t="s">
        <v>42</v>
      </c>
    </row>
    <row r="5" spans="1:22" ht="15.75" thickBot="1" x14ac:dyDescent="0.3">
      <c r="A5" s="82" t="s">
        <v>45</v>
      </c>
      <c r="B5" s="82" t="str">
        <f t="shared" si="0"/>
        <v>Barraqueiro Transportes, S.A.</v>
      </c>
      <c r="C5" s="82" t="str">
        <f t="shared" si="1"/>
        <v>X</v>
      </c>
      <c r="D5" s="82" t="s">
        <v>42</v>
      </c>
      <c r="E5" s="217" t="s">
        <v>1588</v>
      </c>
      <c r="F5" s="83" t="s">
        <v>1589</v>
      </c>
      <c r="G5" s="125" t="s">
        <v>34</v>
      </c>
      <c r="H5" s="133">
        <f t="array" ref="H5">SUMPRODUCT(IF(E$60:E$195=E5,1,0),IF(K$60:K$195=K5,1,0),IF(I$60:I$195=I5,1,0),H$60:H$195)</f>
        <v>9.6000000000000002E-2</v>
      </c>
      <c r="I5" s="125" t="s">
        <v>1532</v>
      </c>
      <c r="J5" s="139">
        <f t="shared" si="2"/>
        <v>96</v>
      </c>
      <c r="K5" s="139" t="s">
        <v>484</v>
      </c>
      <c r="L5" s="238" t="str">
        <f t="shared" si="3"/>
        <v>Reciclagem</v>
      </c>
      <c r="M5" s="238" t="s">
        <v>1920</v>
      </c>
      <c r="N5" s="238" t="s">
        <v>1911</v>
      </c>
      <c r="O5" s="91" t="str">
        <f>IFERROR(INDEX(Tabela3[Tipos de Tratamento],MATCH('A3.9.1 copy'!K5,Tabela3[Código],0)),"")</f>
        <v>Acumulação de resíduos destinados a uma das operações enumeradas de R1 a R12</v>
      </c>
      <c r="P5" s="91"/>
      <c r="Q5" s="91"/>
      <c r="R5" s="91"/>
      <c r="S5">
        <v>2022</v>
      </c>
      <c r="T5" s="261" t="s">
        <v>3535</v>
      </c>
      <c r="U5" s="261" t="s">
        <v>3606</v>
      </c>
      <c r="V5" t="s">
        <v>42</v>
      </c>
    </row>
    <row r="6" spans="1:22" ht="15.75" thickBot="1" x14ac:dyDescent="0.3">
      <c r="A6" s="82" t="s">
        <v>45</v>
      </c>
      <c r="B6" s="82" t="str">
        <f t="shared" si="0"/>
        <v>Barraqueiro Transportes, S.A.</v>
      </c>
      <c r="C6" s="82" t="str">
        <f t="shared" si="1"/>
        <v>X</v>
      </c>
      <c r="D6" s="82" t="s">
        <v>42</v>
      </c>
      <c r="E6" s="217" t="s">
        <v>1600</v>
      </c>
      <c r="F6" s="83" t="s">
        <v>1601</v>
      </c>
      <c r="G6" s="125" t="s">
        <v>34</v>
      </c>
      <c r="H6" s="133">
        <f t="array" ref="H6">SUMPRODUCT(IF(E$60:E$195=E6,1,0),IF(K$60:K$195=K6,1,0),IF(I$60:I$195=I6,1,0),H$60:H$195)</f>
        <v>0.4</v>
      </c>
      <c r="I6" s="125" t="s">
        <v>1532</v>
      </c>
      <c r="J6" s="139">
        <f t="shared" si="2"/>
        <v>400</v>
      </c>
      <c r="K6" s="139" t="s">
        <v>503</v>
      </c>
      <c r="L6" s="238" t="str">
        <f t="shared" si="3"/>
        <v>Aterro</v>
      </c>
      <c r="M6" s="238" t="s">
        <v>1920</v>
      </c>
      <c r="N6" s="238" t="s">
        <v>1911</v>
      </c>
      <c r="O6" s="91" t="str">
        <f>IFERROR(INDEX(Tabela3[Tipos de Tratamento],MATCH('A3.9.1 copy'!K6,Tabela3[Código],0)),"")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6" s="91"/>
      <c r="Q6" s="91"/>
      <c r="R6" s="91"/>
      <c r="S6">
        <v>2022</v>
      </c>
      <c r="T6" s="261" t="s">
        <v>3535</v>
      </c>
      <c r="U6" s="261" t="s">
        <v>3606</v>
      </c>
      <c r="V6" t="s">
        <v>42</v>
      </c>
    </row>
    <row r="7" spans="1:22" ht="15.75" thickBot="1" x14ac:dyDescent="0.3">
      <c r="A7" s="82" t="s">
        <v>45</v>
      </c>
      <c r="B7" s="82" t="str">
        <f t="shared" si="0"/>
        <v>Barraqueiro Transportes, S.A.</v>
      </c>
      <c r="C7" s="82" t="str">
        <f t="shared" si="1"/>
        <v>X</v>
      </c>
      <c r="D7" s="82" t="s">
        <v>42</v>
      </c>
      <c r="E7" s="217" t="s">
        <v>1600</v>
      </c>
      <c r="F7" s="83" t="s">
        <v>1601</v>
      </c>
      <c r="G7" s="125" t="s">
        <v>34</v>
      </c>
      <c r="H7" s="133">
        <f t="array" ref="H7">SUMPRODUCT(IF(E$60:E$195=E7,1,0),IF(K$60:K$195=K7,1,0),IF(I$60:I$195=I7,1,0),H$60:H$195)</f>
        <v>0.4</v>
      </c>
      <c r="I7" s="125" t="s">
        <v>1532</v>
      </c>
      <c r="J7" s="139">
        <f t="shared" si="2"/>
        <v>400</v>
      </c>
      <c r="K7" s="139" t="s">
        <v>483</v>
      </c>
      <c r="L7" s="238" t="str">
        <f t="shared" si="3"/>
        <v>Reciclagem</v>
      </c>
      <c r="M7" s="238" t="s">
        <v>1920</v>
      </c>
      <c r="N7" s="238" t="s">
        <v>1911</v>
      </c>
      <c r="O7" s="91" t="str">
        <f>IFERROR(INDEX(Tabela3[Tipos de Tratamento],MATCH('A3.9.1 copy'!K7,Tabela3[Código],0)),"")</f>
        <v xml:space="preserve">Troca de resíduos com vista a submetê-los a uma das operações enumeradas de R 1 a R 11 </v>
      </c>
      <c r="P7" s="91"/>
      <c r="Q7" s="91"/>
      <c r="R7" s="91"/>
      <c r="S7">
        <v>2022</v>
      </c>
      <c r="T7" s="261" t="s">
        <v>3535</v>
      </c>
      <c r="U7" s="261" t="s">
        <v>3606</v>
      </c>
      <c r="V7" t="s">
        <v>42</v>
      </c>
    </row>
    <row r="8" spans="1:22" ht="15.75" thickBot="1" x14ac:dyDescent="0.3">
      <c r="A8" s="82" t="s">
        <v>45</v>
      </c>
      <c r="B8" s="82" t="str">
        <f t="shared" si="0"/>
        <v>Barraqueiro Transportes, S.A.</v>
      </c>
      <c r="C8" s="82" t="str">
        <f t="shared" si="1"/>
        <v>X</v>
      </c>
      <c r="D8" s="82" t="s">
        <v>42</v>
      </c>
      <c r="E8" s="217" t="s">
        <v>1865</v>
      </c>
      <c r="F8" s="83" t="s">
        <v>1531</v>
      </c>
      <c r="G8" s="125" t="s">
        <v>34</v>
      </c>
      <c r="H8" s="133">
        <f t="array" ref="H8">SUMPRODUCT(IF(E$60:E$195=E8,1,0),IF(K$60:K$195=K8,1,0),IF(I$60:I$195=I8,1,0),H$60:H$195)</f>
        <v>20.534999999999997</v>
      </c>
      <c r="I8" s="125" t="s">
        <v>1532</v>
      </c>
      <c r="J8" s="139">
        <f t="shared" si="2"/>
        <v>20534.999999999996</v>
      </c>
      <c r="K8" s="139" t="s">
        <v>480</v>
      </c>
      <c r="L8" s="238" t="str">
        <f t="shared" si="3"/>
        <v>Reciclagem</v>
      </c>
      <c r="M8" s="238" t="s">
        <v>1921</v>
      </c>
      <c r="N8" s="238" t="s">
        <v>1896</v>
      </c>
      <c r="O8" s="91" t="str">
        <f>IFERROR(INDEX(Tabela3[Tipos de Tratamento],MATCH('A3.9.1 copy'!K8,Tabela3[Código],0)),"")</f>
        <v xml:space="preserve">Regeneração de óleos e outras reutilizações de óleos </v>
      </c>
      <c r="P8" s="91"/>
      <c r="Q8" s="91"/>
      <c r="R8" s="91"/>
      <c r="S8">
        <v>2022</v>
      </c>
      <c r="T8" s="261" t="s">
        <v>3535</v>
      </c>
      <c r="U8" s="261" t="s">
        <v>3606</v>
      </c>
      <c r="V8" t="s">
        <v>42</v>
      </c>
    </row>
    <row r="9" spans="1:22" ht="15.75" thickBot="1" x14ac:dyDescent="0.3">
      <c r="A9" s="82" t="s">
        <v>45</v>
      </c>
      <c r="B9" s="82" t="str">
        <f t="shared" si="0"/>
        <v>Barraqueiro Transportes, S.A.</v>
      </c>
      <c r="C9" s="82" t="str">
        <f t="shared" si="1"/>
        <v>X</v>
      </c>
      <c r="D9" s="82" t="s">
        <v>42</v>
      </c>
      <c r="E9" s="217" t="s">
        <v>1865</v>
      </c>
      <c r="F9" s="83" t="s">
        <v>1531</v>
      </c>
      <c r="G9" s="125" t="s">
        <v>34</v>
      </c>
      <c r="H9" s="133">
        <f t="array" ref="H9">SUMPRODUCT(IF(E$60:E$195=E9,1,0),IF(K$60:K$195=K9,1,0),IF(I$60:I$195=I9,1,0),H$60:H$195)</f>
        <v>5.9660000000000002</v>
      </c>
      <c r="I9" s="125" t="s">
        <v>1532</v>
      </c>
      <c r="J9" s="139">
        <f t="shared" si="2"/>
        <v>5966</v>
      </c>
      <c r="K9" s="139" t="s">
        <v>483</v>
      </c>
      <c r="L9" s="238" t="str">
        <f t="shared" si="3"/>
        <v>Reciclagem</v>
      </c>
      <c r="M9" s="238" t="s">
        <v>1921</v>
      </c>
      <c r="N9" s="238" t="s">
        <v>1896</v>
      </c>
      <c r="O9" s="91" t="str">
        <f>IFERROR(INDEX(Tabela3[Tipos de Tratamento],MATCH('A3.9.1 copy'!K9,Tabela3[Código],0)),"")</f>
        <v xml:space="preserve">Troca de resíduos com vista a submetê-los a uma das operações enumeradas de R 1 a R 11 </v>
      </c>
      <c r="P9" s="91"/>
      <c r="Q9" s="91"/>
      <c r="R9" s="91"/>
      <c r="S9">
        <v>2022</v>
      </c>
      <c r="T9" s="261" t="s">
        <v>3535</v>
      </c>
      <c r="U9" s="261" t="s">
        <v>3606</v>
      </c>
      <c r="V9" t="s">
        <v>42</v>
      </c>
    </row>
    <row r="10" spans="1:22" ht="15.75" thickBot="1" x14ac:dyDescent="0.3">
      <c r="A10" s="82" t="s">
        <v>45</v>
      </c>
      <c r="B10" s="82" t="str">
        <f t="shared" si="0"/>
        <v>Barraqueiro Transportes, S.A.</v>
      </c>
      <c r="C10" s="82" t="str">
        <f t="shared" si="1"/>
        <v>X</v>
      </c>
      <c r="D10" s="82" t="s">
        <v>42</v>
      </c>
      <c r="E10" s="217" t="s">
        <v>1866</v>
      </c>
      <c r="F10" s="83" t="s">
        <v>1569</v>
      </c>
      <c r="G10" s="125" t="s">
        <v>34</v>
      </c>
      <c r="H10" s="133">
        <f t="array" ref="H10">SUMPRODUCT(IF(E$60:E$195=E10,1,0),IF(K$60:K$195=K10,1,0),IF(I$60:I$195=I10,1,0),H$60:H$195)</f>
        <v>34.080000000000005</v>
      </c>
      <c r="I10" s="125" t="s">
        <v>1532</v>
      </c>
      <c r="J10" s="139">
        <f t="shared" si="2"/>
        <v>34080.000000000007</v>
      </c>
      <c r="K10" s="139" t="s">
        <v>483</v>
      </c>
      <c r="L10" s="238" t="str">
        <f t="shared" si="3"/>
        <v>Reciclagem</v>
      </c>
      <c r="M10" s="238" t="s">
        <v>1920</v>
      </c>
      <c r="N10" s="238" t="s">
        <v>1911</v>
      </c>
      <c r="O10" s="91" t="str">
        <f>IFERROR(INDEX(Tabela3[Tipos de Tratamento],MATCH('A3.9.1 copy'!K10,Tabela3[Código],0)),"")</f>
        <v xml:space="preserve">Troca de resíduos com vista a submetê-los a uma das operações enumeradas de R 1 a R 11 </v>
      </c>
      <c r="P10" s="91"/>
      <c r="Q10" s="91"/>
      <c r="R10" s="91"/>
      <c r="S10">
        <v>2022</v>
      </c>
      <c r="T10" s="261" t="s">
        <v>3535</v>
      </c>
      <c r="U10" s="261" t="s">
        <v>3606</v>
      </c>
      <c r="V10" t="s">
        <v>42</v>
      </c>
    </row>
    <row r="11" spans="1:22" ht="15.75" thickBot="1" x14ac:dyDescent="0.3">
      <c r="A11" s="82" t="s">
        <v>45</v>
      </c>
      <c r="B11" s="82" t="str">
        <f t="shared" si="0"/>
        <v>Barraqueiro Transportes, S.A.</v>
      </c>
      <c r="C11" s="82" t="str">
        <f t="shared" si="1"/>
        <v>X</v>
      </c>
      <c r="D11" s="82" t="s">
        <v>42</v>
      </c>
      <c r="E11" s="217" t="s">
        <v>1866</v>
      </c>
      <c r="F11" s="83" t="s">
        <v>1569</v>
      </c>
      <c r="G11" s="125" t="s">
        <v>34</v>
      </c>
      <c r="H11" s="133">
        <f t="array" ref="H11">SUMPRODUCT(IF(E$60:E$195=E11,1,0),IF(K$60:K$195=K11,1,0),IF(I$60:I$195=I11,1,0),H$60:H$195)</f>
        <v>9.0399999999999991</v>
      </c>
      <c r="I11" s="125" t="s">
        <v>1532</v>
      </c>
      <c r="J11" s="139">
        <f t="shared" si="2"/>
        <v>9040</v>
      </c>
      <c r="K11" s="139" t="s">
        <v>503</v>
      </c>
      <c r="L11" s="238" t="str">
        <f t="shared" si="3"/>
        <v>Aterro</v>
      </c>
      <c r="M11" s="238" t="s">
        <v>1920</v>
      </c>
      <c r="N11" s="238" t="s">
        <v>1911</v>
      </c>
      <c r="O11" s="91" t="str">
        <f>IFERROR(INDEX(Tabela3[Tipos de Tratamento],MATCH('A3.9.1 copy'!K11,Tabela3[Código],0)),"")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11" s="91"/>
      <c r="Q11" s="91"/>
      <c r="R11" s="91"/>
      <c r="S11">
        <v>2022</v>
      </c>
      <c r="T11" s="261" t="s">
        <v>3535</v>
      </c>
      <c r="U11" s="261" t="s">
        <v>3606</v>
      </c>
      <c r="V11" t="s">
        <v>42</v>
      </c>
    </row>
    <row r="12" spans="1:22" ht="15.75" thickBot="1" x14ac:dyDescent="0.3">
      <c r="A12" s="82" t="s">
        <v>45</v>
      </c>
      <c r="B12" s="82" t="str">
        <f t="shared" si="0"/>
        <v>Barraqueiro Transportes, S.A.</v>
      </c>
      <c r="C12" s="82" t="str">
        <f t="shared" si="1"/>
        <v>X</v>
      </c>
      <c r="D12" s="82" t="s">
        <v>42</v>
      </c>
      <c r="E12" s="217" t="s">
        <v>1867</v>
      </c>
      <c r="F12" s="83" t="s">
        <v>1572</v>
      </c>
      <c r="G12" s="125" t="s">
        <v>34</v>
      </c>
      <c r="H12" s="133">
        <f t="array" ref="H12">SUMPRODUCT(IF(E$60:E$195=E12,1,0),IF(K$60:K$195=K12,1,0),IF(I$60:I$195=I12,1,0),H$60:H$195)</f>
        <v>55.18</v>
      </c>
      <c r="I12" s="125" t="s">
        <v>1532</v>
      </c>
      <c r="J12" s="139">
        <f t="shared" si="2"/>
        <v>55180</v>
      </c>
      <c r="K12" s="139" t="s">
        <v>483</v>
      </c>
      <c r="L12" s="238" t="str">
        <f t="shared" si="3"/>
        <v>Reciclagem</v>
      </c>
      <c r="M12" s="238" t="s">
        <v>1920</v>
      </c>
      <c r="N12" s="238" t="s">
        <v>1911</v>
      </c>
      <c r="O12" s="91" t="str">
        <f>IFERROR(INDEX(Tabela3[Tipos de Tratamento],MATCH('A3.9.1 copy'!K12,Tabela3[Código],0)),"")</f>
        <v xml:space="preserve">Troca de resíduos com vista a submetê-los a uma das operações enumeradas de R 1 a R 11 </v>
      </c>
      <c r="P12" s="91"/>
      <c r="Q12" s="91"/>
      <c r="R12" s="91"/>
      <c r="S12">
        <v>2022</v>
      </c>
      <c r="T12" s="261" t="s">
        <v>3535</v>
      </c>
      <c r="U12" s="261" t="s">
        <v>3606</v>
      </c>
      <c r="V12" t="s">
        <v>42</v>
      </c>
    </row>
    <row r="13" spans="1:22" ht="15.75" thickBot="1" x14ac:dyDescent="0.3">
      <c r="A13" s="82" t="s">
        <v>45</v>
      </c>
      <c r="B13" s="82" t="str">
        <f t="shared" si="0"/>
        <v>Barraqueiro Transportes, S.A.</v>
      </c>
      <c r="C13" s="82" t="str">
        <f t="shared" si="1"/>
        <v>X</v>
      </c>
      <c r="D13" s="82" t="s">
        <v>42</v>
      </c>
      <c r="E13" s="217" t="s">
        <v>1590</v>
      </c>
      <c r="F13" s="83" t="s">
        <v>1591</v>
      </c>
      <c r="G13" s="125" t="s">
        <v>34</v>
      </c>
      <c r="H13" s="133">
        <f t="array" ref="H13">SUMPRODUCT(IF(E$60:E$195=E13,1,0),IF(K$60:K$195=K13,1,0),IF(I$60:I$195=I13,1,0),H$60:H$195)</f>
        <v>0.16400000000000001</v>
      </c>
      <c r="I13" s="125" t="s">
        <v>1532</v>
      </c>
      <c r="J13" s="139">
        <f t="shared" si="2"/>
        <v>164</v>
      </c>
      <c r="K13" s="139" t="s">
        <v>484</v>
      </c>
      <c r="L13" s="238" t="str">
        <f t="shared" si="3"/>
        <v>Reciclagem</v>
      </c>
      <c r="M13" s="238" t="s">
        <v>1920</v>
      </c>
      <c r="N13" s="238" t="s">
        <v>1911</v>
      </c>
      <c r="O13" s="91" t="str">
        <f>IFERROR(INDEX(Tabela3[Tipos de Tratamento],MATCH('A3.9.1 copy'!K13,Tabela3[Código],0)),"")</f>
        <v>Acumulação de resíduos destinados a uma das operações enumeradas de R1 a R12</v>
      </c>
      <c r="P13" s="91"/>
      <c r="Q13" s="91"/>
      <c r="R13" s="91"/>
      <c r="S13">
        <v>2022</v>
      </c>
      <c r="T13" s="261" t="s">
        <v>3535</v>
      </c>
      <c r="U13" s="261" t="s">
        <v>3606</v>
      </c>
      <c r="V13" t="s">
        <v>42</v>
      </c>
    </row>
    <row r="14" spans="1:22" ht="15.75" thickBot="1" x14ac:dyDescent="0.3">
      <c r="A14" s="82" t="s">
        <v>45</v>
      </c>
      <c r="B14" s="82" t="str">
        <f t="shared" si="0"/>
        <v>Barraqueiro Transportes, S.A.</v>
      </c>
      <c r="C14" s="82" t="str">
        <f t="shared" si="1"/>
        <v>X</v>
      </c>
      <c r="D14" s="82" t="s">
        <v>42</v>
      </c>
      <c r="E14" s="217" t="s">
        <v>1868</v>
      </c>
      <c r="F14" s="83" t="s">
        <v>1537</v>
      </c>
      <c r="G14" s="125" t="s">
        <v>42</v>
      </c>
      <c r="H14" s="133">
        <f t="array" ref="H14">SUMPRODUCT(IF(E$60:E$195=E14,1,0),IF(K$60:K$195=K14,1,0),IF(I$60:I$195=I14,1,0),H$60:H$195)</f>
        <v>2.165</v>
      </c>
      <c r="I14" s="125" t="s">
        <v>1532</v>
      </c>
      <c r="J14" s="139">
        <f t="shared" si="2"/>
        <v>2165</v>
      </c>
      <c r="K14" s="139" t="s">
        <v>483</v>
      </c>
      <c r="L14" s="238" t="str">
        <f t="shared" si="3"/>
        <v>Reciclagem</v>
      </c>
      <c r="M14" s="238" t="s">
        <v>1923</v>
      </c>
      <c r="N14" s="238" t="s">
        <v>1922</v>
      </c>
      <c r="O14" s="91" t="str">
        <f>IFERROR(INDEX(Tabela3[Tipos de Tratamento],MATCH('A3.9.1 copy'!K14,Tabela3[Código],0)),"")</f>
        <v xml:space="preserve">Troca de resíduos com vista a submetê-los a uma das operações enumeradas de R 1 a R 11 </v>
      </c>
      <c r="P14" s="91"/>
      <c r="Q14" s="91"/>
      <c r="R14" s="91"/>
      <c r="S14">
        <v>2022</v>
      </c>
      <c r="T14" s="261" t="s">
        <v>3535</v>
      </c>
      <c r="U14" s="261" t="s">
        <v>3606</v>
      </c>
      <c r="V14" t="s">
        <v>42</v>
      </c>
    </row>
    <row r="15" spans="1:22" ht="15.75" thickBot="1" x14ac:dyDescent="0.3">
      <c r="A15" s="82" t="s">
        <v>45</v>
      </c>
      <c r="B15" s="82" t="str">
        <f t="shared" si="0"/>
        <v>Barraqueiro Transportes, S.A.</v>
      </c>
      <c r="C15" s="82" t="str">
        <f t="shared" si="1"/>
        <v>X</v>
      </c>
      <c r="D15" s="82" t="s">
        <v>42</v>
      </c>
      <c r="E15" s="217" t="s">
        <v>1868</v>
      </c>
      <c r="F15" s="83" t="s">
        <v>1537</v>
      </c>
      <c r="G15" s="125" t="s">
        <v>42</v>
      </c>
      <c r="H15" s="133">
        <f t="array" ref="H15">SUMPRODUCT(IF(E$60:E$195=E15,1,0),IF(K$60:K$195=K15,1,0),IF(I$60:I$195=I15,1,0),H$60:H$195)</f>
        <v>3.702</v>
      </c>
      <c r="I15" s="125" t="s">
        <v>1532</v>
      </c>
      <c r="J15" s="139">
        <f t="shared" si="2"/>
        <v>3702</v>
      </c>
      <c r="K15" s="139" t="s">
        <v>484</v>
      </c>
      <c r="L15" s="238" t="str">
        <f t="shared" si="3"/>
        <v>Reciclagem</v>
      </c>
      <c r="M15" s="238" t="s">
        <v>1923</v>
      </c>
      <c r="N15" s="238" t="s">
        <v>1922</v>
      </c>
      <c r="O15" s="91" t="str">
        <f>IFERROR(INDEX(Tabela3[Tipos de Tratamento],MATCH('A3.9.1 copy'!K15,Tabela3[Código],0)),"")</f>
        <v>Acumulação de resíduos destinados a uma das operações enumeradas de R1 a R12</v>
      </c>
      <c r="P15" s="91"/>
      <c r="Q15" s="91"/>
      <c r="R15" s="91"/>
      <c r="S15">
        <v>2022</v>
      </c>
      <c r="T15" s="261" t="s">
        <v>3535</v>
      </c>
      <c r="U15" s="261" t="s">
        <v>3606</v>
      </c>
      <c r="V15" t="s">
        <v>42</v>
      </c>
    </row>
    <row r="16" spans="1:22" ht="15.75" thickBot="1" x14ac:dyDescent="0.3">
      <c r="A16" s="82" t="s">
        <v>45</v>
      </c>
      <c r="B16" s="82" t="str">
        <f t="shared" si="0"/>
        <v>Barraqueiro Transportes, S.A.</v>
      </c>
      <c r="C16" s="82" t="str">
        <f t="shared" si="1"/>
        <v>X</v>
      </c>
      <c r="D16" s="82" t="s">
        <v>42</v>
      </c>
      <c r="E16" s="217" t="s">
        <v>1869</v>
      </c>
      <c r="F16" s="83" t="s">
        <v>1575</v>
      </c>
      <c r="G16" s="125" t="s">
        <v>42</v>
      </c>
      <c r="H16" s="133">
        <f t="array" ref="H16">SUMPRODUCT(IF(E$60:E$195=E16,1,0),IF(K$60:K$195=K16,1,0),IF(I$60:I$195=I16,1,0),H$60:H$195)</f>
        <v>0.27100000000000002</v>
      </c>
      <c r="I16" s="125" t="s">
        <v>1532</v>
      </c>
      <c r="J16" s="139">
        <f t="shared" si="2"/>
        <v>271</v>
      </c>
      <c r="K16" s="139" t="s">
        <v>483</v>
      </c>
      <c r="L16" s="238" t="str">
        <f t="shared" si="3"/>
        <v>Reciclagem</v>
      </c>
      <c r="M16" s="238" t="s">
        <v>1560</v>
      </c>
      <c r="N16" s="238" t="s">
        <v>1922</v>
      </c>
      <c r="O16" s="91" t="str">
        <f>IFERROR(INDEX(Tabela3[Tipos de Tratamento],MATCH('A3.9.1 copy'!K16,Tabela3[Código],0)),"")</f>
        <v xml:space="preserve">Troca de resíduos com vista a submetê-los a uma das operações enumeradas de R 1 a R 11 </v>
      </c>
      <c r="P16" s="91"/>
      <c r="Q16" s="91"/>
      <c r="R16" s="91"/>
      <c r="S16">
        <v>2022</v>
      </c>
      <c r="T16" s="261" t="s">
        <v>3535</v>
      </c>
      <c r="U16" s="261" t="s">
        <v>3606</v>
      </c>
      <c r="V16" t="s">
        <v>42</v>
      </c>
    </row>
    <row r="17" spans="1:22" ht="15.75" thickBot="1" x14ac:dyDescent="0.3">
      <c r="A17" s="82" t="s">
        <v>45</v>
      </c>
      <c r="B17" s="82" t="str">
        <f t="shared" si="0"/>
        <v>Barraqueiro Transportes, S.A.</v>
      </c>
      <c r="C17" s="82" t="str">
        <f t="shared" si="1"/>
        <v>X</v>
      </c>
      <c r="D17" s="82" t="s">
        <v>42</v>
      </c>
      <c r="E17" s="217" t="s">
        <v>1604</v>
      </c>
      <c r="F17" s="83" t="s">
        <v>1605</v>
      </c>
      <c r="G17" s="125" t="s">
        <v>42</v>
      </c>
      <c r="H17" s="133">
        <f t="array" ref="H17">SUMPRODUCT(IF(E$60:E$195=E17,1,0),IF(K$60:K$195=K17,1,0),IF(I$60:I$195=I17,1,0),H$60:H$195)</f>
        <v>2.3199999999999998</v>
      </c>
      <c r="I17" s="125" t="s">
        <v>1532</v>
      </c>
      <c r="J17" s="139">
        <f t="shared" si="2"/>
        <v>2320</v>
      </c>
      <c r="K17" s="139" t="s">
        <v>483</v>
      </c>
      <c r="L17" s="238" t="str">
        <f t="shared" si="3"/>
        <v>Reciclagem</v>
      </c>
      <c r="M17" s="238" t="s">
        <v>1924</v>
      </c>
      <c r="N17" s="238" t="s">
        <v>1922</v>
      </c>
      <c r="O17" s="91" t="str">
        <f>IFERROR(INDEX(Tabela3[Tipos de Tratamento],MATCH('A3.9.1 copy'!K17,Tabela3[Código],0)),"")</f>
        <v xml:space="preserve">Troca de resíduos com vista a submetê-los a uma das operações enumeradas de R 1 a R 11 </v>
      </c>
      <c r="P17" s="91"/>
      <c r="Q17" s="91"/>
      <c r="R17" s="91"/>
      <c r="S17">
        <v>2022</v>
      </c>
      <c r="T17" s="261" t="s">
        <v>3535</v>
      </c>
      <c r="U17" s="261" t="s">
        <v>3606</v>
      </c>
      <c r="V17" t="s">
        <v>42</v>
      </c>
    </row>
    <row r="18" spans="1:22" ht="15.75" thickBot="1" x14ac:dyDescent="0.3">
      <c r="A18" s="82" t="s">
        <v>45</v>
      </c>
      <c r="B18" s="82" t="str">
        <f t="shared" si="0"/>
        <v>Barraqueiro Transportes, S.A.</v>
      </c>
      <c r="C18" s="82" t="str">
        <f t="shared" si="1"/>
        <v>X</v>
      </c>
      <c r="D18" s="82" t="s">
        <v>42</v>
      </c>
      <c r="E18" s="217" t="s">
        <v>1606</v>
      </c>
      <c r="F18" s="83" t="s">
        <v>1607</v>
      </c>
      <c r="G18" s="125" t="s">
        <v>42</v>
      </c>
      <c r="H18" s="133">
        <f t="array" ref="H18">SUMPRODUCT(IF(E$60:E$195=E18,1,0),IF(K$60:K$195=K18,1,0),IF(I$60:I$195=I18,1,0),H$60:H$195)</f>
        <v>0.69</v>
      </c>
      <c r="I18" s="125" t="s">
        <v>1532</v>
      </c>
      <c r="J18" s="139">
        <f t="shared" si="2"/>
        <v>690</v>
      </c>
      <c r="K18" s="139" t="s">
        <v>483</v>
      </c>
      <c r="L18" s="238" t="str">
        <f t="shared" si="3"/>
        <v>Reciclagem</v>
      </c>
      <c r="M18" s="238" t="s">
        <v>1925</v>
      </c>
      <c r="N18" s="238" t="s">
        <v>1922</v>
      </c>
      <c r="O18" s="91" t="str">
        <f>IFERROR(INDEX(Tabela3[Tipos de Tratamento],MATCH('A3.9.1 copy'!K18,Tabela3[Código],0)),"")</f>
        <v xml:space="preserve">Troca de resíduos com vista a submetê-los a uma das operações enumeradas de R 1 a R 11 </v>
      </c>
      <c r="P18" s="91"/>
      <c r="Q18" s="91"/>
      <c r="R18" s="91"/>
      <c r="S18">
        <v>2022</v>
      </c>
      <c r="T18" s="261" t="s">
        <v>3535</v>
      </c>
      <c r="U18" s="261" t="s">
        <v>3606</v>
      </c>
      <c r="V18" t="s">
        <v>42</v>
      </c>
    </row>
    <row r="19" spans="1:22" ht="15.75" thickBot="1" x14ac:dyDescent="0.3">
      <c r="A19" s="82" t="s">
        <v>45</v>
      </c>
      <c r="B19" s="82" t="str">
        <f t="shared" si="0"/>
        <v>Barraqueiro Transportes, S.A.</v>
      </c>
      <c r="C19" s="82" t="str">
        <f t="shared" si="1"/>
        <v>X</v>
      </c>
      <c r="D19" s="82" t="s">
        <v>42</v>
      </c>
      <c r="E19" s="217" t="s">
        <v>1870</v>
      </c>
      <c r="F19" s="83" t="s">
        <v>1542</v>
      </c>
      <c r="G19" s="125" t="s">
        <v>34</v>
      </c>
      <c r="H19" s="133">
        <f t="array" ref="H19">SUMPRODUCT(IF(E$60:E$195=E19,1,0),IF(K$60:K$195=K19,1,0),IF(I$60:I$195=I19,1,0),H$60:H$195)</f>
        <v>0.79200000000000004</v>
      </c>
      <c r="I19" s="125" t="s">
        <v>1532</v>
      </c>
      <c r="J19" s="139">
        <f t="shared" si="2"/>
        <v>792</v>
      </c>
      <c r="K19" s="139" t="s">
        <v>484</v>
      </c>
      <c r="L19" s="238" t="str">
        <f t="shared" si="3"/>
        <v>Reciclagem</v>
      </c>
      <c r="M19" s="238" t="s">
        <v>1920</v>
      </c>
      <c r="N19" s="238" t="s">
        <v>1911</v>
      </c>
      <c r="O19" s="91" t="str">
        <f>IFERROR(INDEX(Tabela3[Tipos de Tratamento],MATCH('A3.9.1 copy'!K19,Tabela3[Código],0)),"")</f>
        <v>Acumulação de resíduos destinados a uma das operações enumeradas de R1 a R12</v>
      </c>
      <c r="P19" s="91"/>
      <c r="Q19" s="91"/>
      <c r="R19" s="91"/>
      <c r="S19">
        <v>2022</v>
      </c>
      <c r="T19" s="261" t="s">
        <v>3535</v>
      </c>
      <c r="U19" s="261" t="s">
        <v>3606</v>
      </c>
      <c r="V19" t="s">
        <v>42</v>
      </c>
    </row>
    <row r="20" spans="1:22" ht="15.75" thickBot="1" x14ac:dyDescent="0.3">
      <c r="A20" s="82" t="s">
        <v>45</v>
      </c>
      <c r="B20" s="82" t="str">
        <f t="shared" si="0"/>
        <v>Barraqueiro Transportes, S.A.</v>
      </c>
      <c r="C20" s="82" t="str">
        <f t="shared" si="1"/>
        <v>X</v>
      </c>
      <c r="D20" s="82" t="s">
        <v>42</v>
      </c>
      <c r="E20" s="217" t="s">
        <v>1871</v>
      </c>
      <c r="F20" s="83" t="s">
        <v>1548</v>
      </c>
      <c r="G20" s="125" t="s">
        <v>34</v>
      </c>
      <c r="H20" s="133">
        <f t="array" ref="H20">SUMPRODUCT(IF(E$60:E$195=E20,1,0),IF(K$60:K$195=K20,1,0),IF(I$60:I$195=I20,1,0),H$60:H$195)</f>
        <v>7.1999999999999995E-2</v>
      </c>
      <c r="I20" s="125" t="s">
        <v>1532</v>
      </c>
      <c r="J20" s="139">
        <f t="shared" si="2"/>
        <v>72</v>
      </c>
      <c r="K20" s="139" t="s">
        <v>484</v>
      </c>
      <c r="L20" s="238" t="str">
        <f t="shared" si="3"/>
        <v>Reciclagem</v>
      </c>
      <c r="M20" s="238" t="s">
        <v>1925</v>
      </c>
      <c r="N20" s="238" t="s">
        <v>1922</v>
      </c>
      <c r="O20" s="91" t="str">
        <f>IFERROR(INDEX(Tabela3[Tipos de Tratamento],MATCH('A3.9.1 copy'!K20,Tabela3[Código],0)),"")</f>
        <v>Acumulação de resíduos destinados a uma das operações enumeradas de R1 a R12</v>
      </c>
      <c r="P20" s="91"/>
      <c r="Q20" s="91"/>
      <c r="R20" s="91"/>
      <c r="S20">
        <v>2022</v>
      </c>
      <c r="T20" s="261" t="s">
        <v>3535</v>
      </c>
      <c r="U20" s="261" t="s">
        <v>3606</v>
      </c>
      <c r="V20" t="s">
        <v>42</v>
      </c>
    </row>
    <row r="21" spans="1:22" ht="15.75" thickBot="1" x14ac:dyDescent="0.3">
      <c r="A21" s="82" t="s">
        <v>45</v>
      </c>
      <c r="B21" s="82" t="str">
        <f t="shared" si="0"/>
        <v>Barraqueiro Transportes, S.A.</v>
      </c>
      <c r="C21" s="82" t="str">
        <f t="shared" si="1"/>
        <v>X</v>
      </c>
      <c r="D21" s="82" t="s">
        <v>42</v>
      </c>
      <c r="E21" s="217" t="s">
        <v>1871</v>
      </c>
      <c r="F21" s="83" t="s">
        <v>1549</v>
      </c>
      <c r="G21" s="125" t="s">
        <v>34</v>
      </c>
      <c r="H21" s="133">
        <f t="array" ref="H21">SUMPRODUCT(IF(E$60:E$195=E21,1,0),IF(K$60:K$195=K21,1,0),IF(I$60:I$195=I21,1,0),H$60:H$195)</f>
        <v>7.1999999999999995E-2</v>
      </c>
      <c r="I21" s="125" t="s">
        <v>1532</v>
      </c>
      <c r="J21" s="139">
        <f t="shared" si="2"/>
        <v>72</v>
      </c>
      <c r="K21" s="139" t="s">
        <v>484</v>
      </c>
      <c r="L21" s="238" t="str">
        <f t="shared" si="3"/>
        <v>Reciclagem</v>
      </c>
      <c r="M21" s="238" t="s">
        <v>1925</v>
      </c>
      <c r="N21" s="238" t="s">
        <v>1922</v>
      </c>
      <c r="O21" s="91" t="str">
        <f>IFERROR(INDEX(Tabela3[Tipos de Tratamento],MATCH('A3.9.1 copy'!K21,Tabela3[Código],0)),"")</f>
        <v>Acumulação de resíduos destinados a uma das operações enumeradas de R1 a R12</v>
      </c>
      <c r="P21" s="91"/>
      <c r="Q21" s="91"/>
      <c r="R21" s="91"/>
      <c r="S21">
        <v>2022</v>
      </c>
      <c r="T21" s="261" t="s">
        <v>3535</v>
      </c>
      <c r="U21" s="261" t="s">
        <v>3606</v>
      </c>
      <c r="V21" t="s">
        <v>42</v>
      </c>
    </row>
    <row r="22" spans="1:22" ht="15.75" thickBot="1" x14ac:dyDescent="0.3">
      <c r="A22" s="82" t="s">
        <v>45</v>
      </c>
      <c r="B22" s="82" t="str">
        <f t="shared" si="0"/>
        <v>Barraqueiro Transportes, S.A.</v>
      </c>
      <c r="C22" s="82" t="str">
        <f t="shared" si="1"/>
        <v>X</v>
      </c>
      <c r="D22" s="82" t="s">
        <v>42</v>
      </c>
      <c r="E22" s="217" t="s">
        <v>1872</v>
      </c>
      <c r="F22" s="83" t="s">
        <v>1547</v>
      </c>
      <c r="G22" s="125" t="s">
        <v>34</v>
      </c>
      <c r="H22" s="133">
        <f t="array" ref="H22">SUMPRODUCT(IF(E$60:E$195=E22,1,0),IF(K$60:K$195=K22,1,0),IF(I$60:I$195=I22,1,0),H$60:H$195)</f>
        <v>8.8339999999999996</v>
      </c>
      <c r="I22" s="125" t="s">
        <v>1532</v>
      </c>
      <c r="J22" s="139">
        <f t="shared" si="2"/>
        <v>8834</v>
      </c>
      <c r="K22" s="139" t="s">
        <v>484</v>
      </c>
      <c r="L22" s="238" t="str">
        <f t="shared" si="3"/>
        <v>Reciclagem</v>
      </c>
      <c r="M22" s="238" t="s">
        <v>1920</v>
      </c>
      <c r="N22" s="238" t="s">
        <v>1911</v>
      </c>
      <c r="O22" s="91" t="str">
        <f>IFERROR(INDEX(Tabela3[Tipos de Tratamento],MATCH('A3.9.1 copy'!K22,Tabela3[Código],0)),"")</f>
        <v>Acumulação de resíduos destinados a uma das operações enumeradas de R1 a R12</v>
      </c>
      <c r="P22" s="91"/>
      <c r="Q22" s="91"/>
      <c r="R22" s="91"/>
      <c r="S22">
        <v>2022</v>
      </c>
      <c r="T22" s="261" t="s">
        <v>3535</v>
      </c>
      <c r="U22" s="261" t="s">
        <v>3606</v>
      </c>
      <c r="V22" t="s">
        <v>42</v>
      </c>
    </row>
    <row r="23" spans="1:22" ht="15.75" thickBot="1" x14ac:dyDescent="0.3">
      <c r="A23" s="82" t="s">
        <v>45</v>
      </c>
      <c r="B23" s="82" t="str">
        <f t="shared" si="0"/>
        <v>Barraqueiro Transportes, S.A.</v>
      </c>
      <c r="C23" s="82" t="str">
        <f t="shared" si="1"/>
        <v>X</v>
      </c>
      <c r="D23" s="82" t="s">
        <v>42</v>
      </c>
      <c r="E23" s="217" t="s">
        <v>1872</v>
      </c>
      <c r="F23" s="83" t="s">
        <v>1547</v>
      </c>
      <c r="G23" s="125" t="s">
        <v>34</v>
      </c>
      <c r="H23" s="133">
        <f t="array" ref="H23">SUMPRODUCT(IF(E$60:E$195=E23,1,0),IF(K$60:K$195=K23,1,0),IF(I$60:I$195=I23,1,0),H$60:H$195)</f>
        <v>1.28</v>
      </c>
      <c r="I23" s="125" t="s">
        <v>1532</v>
      </c>
      <c r="J23" s="139">
        <f t="shared" si="2"/>
        <v>1280</v>
      </c>
      <c r="K23" s="139" t="s">
        <v>483</v>
      </c>
      <c r="L23" s="238" t="str">
        <f t="shared" si="3"/>
        <v>Reciclagem</v>
      </c>
      <c r="M23" s="238" t="s">
        <v>1920</v>
      </c>
      <c r="N23" s="238" t="s">
        <v>1911</v>
      </c>
      <c r="O23" s="91" t="str">
        <f>IFERROR(INDEX(Tabela3[Tipos de Tratamento],MATCH('A3.9.1 copy'!K23,Tabela3[Código],0)),"")</f>
        <v xml:space="preserve">Troca de resíduos com vista a submetê-los a uma das operações enumeradas de R 1 a R 11 </v>
      </c>
      <c r="P23" s="91"/>
      <c r="Q23" s="91"/>
      <c r="R23" s="91"/>
      <c r="S23">
        <v>2022</v>
      </c>
      <c r="T23" s="261" t="s">
        <v>3535</v>
      </c>
      <c r="U23" s="261" t="s">
        <v>3606</v>
      </c>
      <c r="V23" t="s">
        <v>42</v>
      </c>
    </row>
    <row r="24" spans="1:22" ht="15.75" thickBot="1" x14ac:dyDescent="0.3">
      <c r="A24" s="82" t="s">
        <v>45</v>
      </c>
      <c r="B24" s="82" t="str">
        <f t="shared" si="0"/>
        <v>Barraqueiro Transportes, S.A.</v>
      </c>
      <c r="C24" s="82" t="str">
        <f t="shared" si="1"/>
        <v>X</v>
      </c>
      <c r="D24" s="82" t="s">
        <v>42</v>
      </c>
      <c r="E24" s="217" t="s">
        <v>1873</v>
      </c>
      <c r="F24" s="83" t="s">
        <v>1550</v>
      </c>
      <c r="G24" s="125" t="s">
        <v>42</v>
      </c>
      <c r="H24" s="133">
        <f t="array" ref="H24">SUMPRODUCT(IF(E$60:E$195=E24,1,0),IF(K$60:K$195=K24,1,0),IF(I$60:I$195=I24,1,0),H$60:H$195)</f>
        <v>8.1999999999999993</v>
      </c>
      <c r="I24" s="125" t="s">
        <v>1532</v>
      </c>
      <c r="J24" s="139">
        <f t="shared" si="2"/>
        <v>8200</v>
      </c>
      <c r="K24" s="139" t="s">
        <v>483</v>
      </c>
      <c r="L24" s="238" t="str">
        <f t="shared" si="3"/>
        <v>Reciclagem</v>
      </c>
      <c r="M24" s="238" t="s">
        <v>1920</v>
      </c>
      <c r="N24" s="238" t="s">
        <v>1911</v>
      </c>
      <c r="O24" s="91" t="str">
        <f>IFERROR(INDEX(Tabela3[Tipos de Tratamento],MATCH('A3.9.1 copy'!K24,Tabela3[Código],0)),"")</f>
        <v xml:space="preserve">Troca de resíduos com vista a submetê-los a uma das operações enumeradas de R 1 a R 11 </v>
      </c>
      <c r="P24" s="91"/>
      <c r="Q24" s="91"/>
      <c r="R24" s="91"/>
      <c r="S24">
        <v>2022</v>
      </c>
      <c r="T24" s="261" t="s">
        <v>3535</v>
      </c>
      <c r="U24" s="261" t="s">
        <v>3606</v>
      </c>
      <c r="V24" t="s">
        <v>42</v>
      </c>
    </row>
    <row r="25" spans="1:22" ht="15.75" thickBot="1" x14ac:dyDescent="0.3">
      <c r="A25" s="82" t="s">
        <v>45</v>
      </c>
      <c r="B25" s="82" t="str">
        <f t="shared" si="0"/>
        <v>Barraqueiro Transportes, S.A.</v>
      </c>
      <c r="C25" s="82" t="str">
        <f t="shared" si="1"/>
        <v>X</v>
      </c>
      <c r="D25" s="82" t="s">
        <v>42</v>
      </c>
      <c r="E25" s="217" t="s">
        <v>1873</v>
      </c>
      <c r="F25" s="83" t="s">
        <v>1550</v>
      </c>
      <c r="G25" s="125" t="s">
        <v>42</v>
      </c>
      <c r="H25" s="133">
        <f t="array" ref="H25">SUMPRODUCT(IF(E$60:E$195=E25,1,0),IF(K$60:K$195=K25,1,0),IF(I$60:I$195=I25,1,0),H$60:H$195)</f>
        <v>0.2</v>
      </c>
      <c r="I25" s="125" t="s">
        <v>1532</v>
      </c>
      <c r="J25" s="139">
        <f t="shared" si="2"/>
        <v>200</v>
      </c>
      <c r="K25" s="139" t="s">
        <v>509</v>
      </c>
      <c r="L25" s="238" t="str">
        <f t="shared" si="3"/>
        <v>Aterro</v>
      </c>
      <c r="M25" s="238" t="s">
        <v>1920</v>
      </c>
      <c r="N25" s="238" t="s">
        <v>1911</v>
      </c>
      <c r="O25" s="91" t="str">
        <f>IFERROR(INDEX(Tabela3[Tipos de Tratamento],MATCH('A3.9.1 copy'!K25,Tabela3[Código],0)),"")</f>
        <v>Armazenagem enquanto se aguarda a execução de uma das operações enumeradas de D1 a D14</v>
      </c>
      <c r="P25" s="91"/>
      <c r="Q25" s="91"/>
      <c r="R25" s="91"/>
      <c r="S25">
        <v>2022</v>
      </c>
      <c r="T25" s="261" t="s">
        <v>3535</v>
      </c>
      <c r="U25" s="261" t="s">
        <v>3606</v>
      </c>
      <c r="V25" t="s">
        <v>42</v>
      </c>
    </row>
    <row r="26" spans="1:22" ht="15.75" thickBot="1" x14ac:dyDescent="0.3">
      <c r="A26" s="82" t="s">
        <v>45</v>
      </c>
      <c r="B26" s="82" t="str">
        <f t="shared" si="0"/>
        <v>Barraqueiro Transportes, S.A.</v>
      </c>
      <c r="C26" s="82" t="str">
        <f t="shared" si="1"/>
        <v>X</v>
      </c>
      <c r="D26" s="82" t="s">
        <v>42</v>
      </c>
      <c r="E26" s="217" t="s">
        <v>1581</v>
      </c>
      <c r="F26" s="83" t="s">
        <v>1582</v>
      </c>
      <c r="G26" s="125" t="s">
        <v>42</v>
      </c>
      <c r="H26" s="133">
        <f t="array" ref="H26">SUMPRODUCT(IF(E$60:E$195=E26,1,0),IF(K$60:K$195=K26,1,0),IF(I$60:I$195=I26,1,0),H$60:H$195)</f>
        <v>27.68</v>
      </c>
      <c r="I26" s="125" t="s">
        <v>1532</v>
      </c>
      <c r="J26" s="139">
        <f t="shared" si="2"/>
        <v>27680</v>
      </c>
      <c r="K26" s="139" t="s">
        <v>484</v>
      </c>
      <c r="L26" s="238" t="str">
        <f t="shared" si="3"/>
        <v>Reciclagem</v>
      </c>
      <c r="M26" s="238" t="s">
        <v>1681</v>
      </c>
      <c r="N26" s="238" t="s">
        <v>1922</v>
      </c>
      <c r="O26" s="91" t="str">
        <f>IFERROR(INDEX(Tabela3[Tipos de Tratamento],MATCH('A3.9.1 copy'!K26,Tabela3[Código],0)),"")</f>
        <v>Acumulação de resíduos destinados a uma das operações enumeradas de R1 a R12</v>
      </c>
      <c r="P26" s="91"/>
      <c r="Q26" s="91"/>
      <c r="R26" s="91"/>
      <c r="S26">
        <v>2022</v>
      </c>
      <c r="T26" s="261" t="s">
        <v>3535</v>
      </c>
      <c r="U26" s="261" t="s">
        <v>3606</v>
      </c>
      <c r="V26" t="s">
        <v>42</v>
      </c>
    </row>
    <row r="27" spans="1:22" ht="15.75" thickBot="1" x14ac:dyDescent="0.3">
      <c r="A27" s="82" t="s">
        <v>45</v>
      </c>
      <c r="B27" s="82" t="str">
        <f t="shared" si="0"/>
        <v>Barraqueiro Transportes, S.A.</v>
      </c>
      <c r="C27" s="82" t="str">
        <f t="shared" si="1"/>
        <v>X</v>
      </c>
      <c r="D27" s="82" t="s">
        <v>42</v>
      </c>
      <c r="E27" s="217" t="s">
        <v>1583</v>
      </c>
      <c r="F27" s="83" t="s">
        <v>1584</v>
      </c>
      <c r="G27" s="125" t="s">
        <v>34</v>
      </c>
      <c r="H27" s="133">
        <f t="array" ref="H27">SUMPRODUCT(IF(E$60:E$195=E27,1,0),IF(K$60:K$195=K27,1,0),IF(I$60:I$195=I27,1,0),H$60:H$195)</f>
        <v>65.02</v>
      </c>
      <c r="I27" s="125" t="s">
        <v>1532</v>
      </c>
      <c r="J27" s="139">
        <f t="shared" si="2"/>
        <v>65019.999999999993</v>
      </c>
      <c r="K27" s="139" t="s">
        <v>484</v>
      </c>
      <c r="L27" s="238" t="str">
        <f t="shared" si="3"/>
        <v>Reciclagem</v>
      </c>
      <c r="M27" s="238" t="s">
        <v>1926</v>
      </c>
      <c r="N27" s="238" t="s">
        <v>1922</v>
      </c>
      <c r="O27" s="91" t="str">
        <f>IFERROR(INDEX(Tabela3[Tipos de Tratamento],MATCH('A3.9.1 copy'!K27,Tabela3[Código],0)),"")</f>
        <v>Acumulação de resíduos destinados a uma das operações enumeradas de R1 a R12</v>
      </c>
      <c r="P27" s="91"/>
      <c r="Q27" s="91"/>
      <c r="R27" s="91"/>
      <c r="S27">
        <v>2022</v>
      </c>
      <c r="T27" s="261" t="s">
        <v>3535</v>
      </c>
      <c r="U27" s="261" t="s">
        <v>3606</v>
      </c>
      <c r="V27" t="s">
        <v>42</v>
      </c>
    </row>
    <row r="28" spans="1:22" ht="15.75" thickBot="1" x14ac:dyDescent="0.3">
      <c r="A28" s="82" t="s">
        <v>45</v>
      </c>
      <c r="B28" s="82" t="str">
        <f t="shared" si="0"/>
        <v>Barraqueiro Transportes, S.A.</v>
      </c>
      <c r="C28" s="82" t="str">
        <f t="shared" si="1"/>
        <v>X</v>
      </c>
      <c r="D28" s="82" t="s">
        <v>42</v>
      </c>
      <c r="E28" s="217" t="s">
        <v>1593</v>
      </c>
      <c r="F28" s="83" t="s">
        <v>1592</v>
      </c>
      <c r="G28" s="125" t="s">
        <v>42</v>
      </c>
      <c r="H28" s="133">
        <f t="array" ref="H28">SUMPRODUCT(IF(E$60:E$195=E28,1,0),IF(K$60:K$195=K28,1,0),IF(I$60:I$195=I28,1,0),H$60:H$195)</f>
        <v>12.46</v>
      </c>
      <c r="I28" s="125" t="s">
        <v>1532</v>
      </c>
      <c r="J28" s="139">
        <f t="shared" si="2"/>
        <v>12460</v>
      </c>
      <c r="K28" s="139" t="s">
        <v>483</v>
      </c>
      <c r="L28" s="238" t="str">
        <f t="shared" si="3"/>
        <v>Reciclagem</v>
      </c>
      <c r="M28" s="238" t="s">
        <v>1926</v>
      </c>
      <c r="N28" s="238" t="s">
        <v>1922</v>
      </c>
      <c r="O28" s="91" t="str">
        <f>IFERROR(INDEX(Tabela3[Tipos de Tratamento],MATCH('A3.9.1 copy'!K28,Tabela3[Código],0)),"")</f>
        <v xml:space="preserve">Troca de resíduos com vista a submetê-los a uma das operações enumeradas de R 1 a R 11 </v>
      </c>
      <c r="P28" s="91"/>
      <c r="Q28" s="91"/>
      <c r="R28" s="91"/>
      <c r="S28">
        <v>2022</v>
      </c>
      <c r="T28" s="261" t="s">
        <v>3535</v>
      </c>
      <c r="U28" s="261" t="s">
        <v>3606</v>
      </c>
      <c r="V28" t="s">
        <v>42</v>
      </c>
    </row>
    <row r="29" spans="1:22" ht="15.75" thickBot="1" x14ac:dyDescent="0.3">
      <c r="A29" s="82" t="s">
        <v>45</v>
      </c>
      <c r="B29" s="82" t="str">
        <f t="shared" si="0"/>
        <v>Barraqueiro Transportes, S.A.</v>
      </c>
      <c r="C29" s="82" t="str">
        <f t="shared" si="1"/>
        <v>X</v>
      </c>
      <c r="D29" s="82" t="s">
        <v>42</v>
      </c>
      <c r="E29" s="217" t="s">
        <v>1874</v>
      </c>
      <c r="F29" s="83" t="s">
        <v>1551</v>
      </c>
      <c r="G29" s="125" t="s">
        <v>34</v>
      </c>
      <c r="H29" s="133">
        <f t="array" ref="H29">SUMPRODUCT(IF(E$60:E$195=E29,1,0),IF(K$60:K$195=K29,1,0),IF(I$60:I$195=I29,1,0),H$60:H$195)</f>
        <v>4.1440000000000001</v>
      </c>
      <c r="I29" s="125" t="s">
        <v>1532</v>
      </c>
      <c r="J29" s="139">
        <f t="shared" si="2"/>
        <v>4144</v>
      </c>
      <c r="K29" s="139" t="s">
        <v>484</v>
      </c>
      <c r="L29" s="238" t="str">
        <f t="shared" si="3"/>
        <v>Reciclagem</v>
      </c>
      <c r="M29" s="238" t="s">
        <v>1920</v>
      </c>
      <c r="N29" s="238" t="s">
        <v>1911</v>
      </c>
      <c r="O29" s="91" t="str">
        <f>IFERROR(INDEX(Tabela3[Tipos de Tratamento],MATCH('A3.9.1 copy'!K29,Tabela3[Código],0)),"")</f>
        <v>Acumulação de resíduos destinados a uma das operações enumeradas de R1 a R12</v>
      </c>
      <c r="P29" s="91"/>
      <c r="Q29" s="91"/>
      <c r="R29" s="91"/>
      <c r="S29">
        <v>2022</v>
      </c>
      <c r="T29" s="261" t="s">
        <v>3535</v>
      </c>
      <c r="U29" s="261" t="s">
        <v>3606</v>
      </c>
      <c r="V29" t="s">
        <v>42</v>
      </c>
    </row>
    <row r="30" spans="1:22" ht="15.75" thickBot="1" x14ac:dyDescent="0.3">
      <c r="A30" s="82" t="s">
        <v>45</v>
      </c>
      <c r="B30" s="82" t="str">
        <f t="shared" si="0"/>
        <v>Barraqueiro Transportes, S.A.</v>
      </c>
      <c r="C30" s="82" t="str">
        <f t="shared" si="1"/>
        <v>X</v>
      </c>
      <c r="D30" s="82" t="s">
        <v>42</v>
      </c>
      <c r="E30" s="217" t="s">
        <v>1875</v>
      </c>
      <c r="F30" s="83" t="s">
        <v>1552</v>
      </c>
      <c r="G30" s="125" t="s">
        <v>34</v>
      </c>
      <c r="H30" s="133">
        <f t="array" ref="H30">SUMPRODUCT(IF(E$60:E$195=E30,1,0),IF(K$60:K$195=K30,1,0),IF(I$60:I$195=I30,1,0),H$60:H$195)</f>
        <v>2.4300000000000002</v>
      </c>
      <c r="I30" s="125" t="s">
        <v>1532</v>
      </c>
      <c r="J30" s="139">
        <f t="shared" si="2"/>
        <v>2430</v>
      </c>
      <c r="K30" s="139" t="s">
        <v>483</v>
      </c>
      <c r="L30" s="238" t="str">
        <f t="shared" si="3"/>
        <v>Reciclagem</v>
      </c>
      <c r="M30" s="238" t="s">
        <v>1557</v>
      </c>
      <c r="N30" s="238" t="s">
        <v>1922</v>
      </c>
      <c r="O30" s="91" t="str">
        <f>IFERROR(INDEX(Tabela3[Tipos de Tratamento],MATCH('A3.9.1 copy'!K30,Tabela3[Código],0)),"")</f>
        <v xml:space="preserve">Troca de resíduos com vista a submetê-los a uma das operações enumeradas de R 1 a R 11 </v>
      </c>
      <c r="P30" s="91"/>
      <c r="Q30" s="91"/>
      <c r="R30" s="91"/>
      <c r="S30">
        <v>2022</v>
      </c>
      <c r="T30" s="261" t="s">
        <v>3535</v>
      </c>
      <c r="U30" s="261" t="s">
        <v>3606</v>
      </c>
      <c r="V30" t="s">
        <v>42</v>
      </c>
    </row>
    <row r="31" spans="1:22" ht="15.75" thickBot="1" x14ac:dyDescent="0.3">
      <c r="A31" s="82" t="s">
        <v>45</v>
      </c>
      <c r="B31" s="82" t="str">
        <f t="shared" si="0"/>
        <v>Barraqueiro Transportes, S.A.</v>
      </c>
      <c r="C31" s="82" t="str">
        <f t="shared" si="1"/>
        <v>X</v>
      </c>
      <c r="D31" s="82" t="s">
        <v>42</v>
      </c>
      <c r="E31" s="217" t="s">
        <v>1876</v>
      </c>
      <c r="F31" s="83" t="s">
        <v>1557</v>
      </c>
      <c r="G31" s="125" t="s">
        <v>42</v>
      </c>
      <c r="H31" s="133">
        <f t="array" ref="H31">SUMPRODUCT(IF(E$60:E$195=E31,1,0),IF(K$60:K$195=K31,1,0),IF(I$60:I$195=I31,1,0),H$60:H$195)</f>
        <v>17.5</v>
      </c>
      <c r="I31" s="125" t="s">
        <v>1532</v>
      </c>
      <c r="J31" s="139">
        <f t="shared" si="2"/>
        <v>17500</v>
      </c>
      <c r="K31" s="139" t="s">
        <v>483</v>
      </c>
      <c r="L31" s="238" t="str">
        <f t="shared" si="3"/>
        <v>Reciclagem</v>
      </c>
      <c r="M31" s="238" t="s">
        <v>1557</v>
      </c>
      <c r="N31" s="238" t="s">
        <v>1922</v>
      </c>
      <c r="O31" s="91" t="str">
        <f>IFERROR(INDEX(Tabela3[Tipos de Tratamento],MATCH('A3.9.1 copy'!K31,Tabela3[Código],0)),"")</f>
        <v xml:space="preserve">Troca de resíduos com vista a submetê-los a uma das operações enumeradas de R 1 a R 11 </v>
      </c>
      <c r="P31" s="91"/>
      <c r="Q31" s="91"/>
      <c r="R31" s="91"/>
      <c r="S31">
        <v>2022</v>
      </c>
      <c r="T31" s="261" t="s">
        <v>3535</v>
      </c>
      <c r="U31" s="261" t="s">
        <v>3606</v>
      </c>
      <c r="V31" t="s">
        <v>42</v>
      </c>
    </row>
    <row r="32" spans="1:22" ht="15.75" thickBot="1" x14ac:dyDescent="0.3">
      <c r="A32" s="82" t="s">
        <v>45</v>
      </c>
      <c r="B32" s="82" t="str">
        <f t="shared" si="0"/>
        <v>Barraqueiro Transportes, S.A.</v>
      </c>
      <c r="C32" s="82" t="str">
        <f t="shared" si="1"/>
        <v>X</v>
      </c>
      <c r="D32" s="82" t="s">
        <v>42</v>
      </c>
      <c r="E32" s="217" t="s">
        <v>1877</v>
      </c>
      <c r="F32" s="83" t="s">
        <v>1560</v>
      </c>
      <c r="G32" s="125" t="s">
        <v>42</v>
      </c>
      <c r="H32" s="133">
        <f t="array" ref="H32">SUMPRODUCT(IF(E$60:E$195=E32,1,0),IF(K$60:K$195=K32,1,0),IF(I$60:I$195=I32,1,0),H$60:H$195)</f>
        <v>0.63300000000000001</v>
      </c>
      <c r="I32" s="125" t="s">
        <v>1532</v>
      </c>
      <c r="J32" s="139">
        <f t="shared" si="2"/>
        <v>633</v>
      </c>
      <c r="K32" s="139" t="s">
        <v>483</v>
      </c>
      <c r="L32" s="238" t="str">
        <f t="shared" si="3"/>
        <v>Reciclagem</v>
      </c>
      <c r="M32" s="238" t="s">
        <v>1560</v>
      </c>
      <c r="N32" s="238" t="s">
        <v>1922</v>
      </c>
      <c r="O32" s="91" t="str">
        <f>IFERROR(INDEX(Tabela3[Tipos de Tratamento],MATCH('A3.9.1 copy'!K32,Tabela3[Código],0)),"")</f>
        <v xml:space="preserve">Troca de resíduos com vista a submetê-los a uma das operações enumeradas de R 1 a R 11 </v>
      </c>
      <c r="P32" s="91"/>
      <c r="Q32" s="91"/>
      <c r="R32" s="91"/>
      <c r="S32">
        <v>2022</v>
      </c>
      <c r="T32" s="261" t="s">
        <v>3535</v>
      </c>
      <c r="U32" s="261" t="s">
        <v>3606</v>
      </c>
      <c r="V32" t="s">
        <v>42</v>
      </c>
    </row>
    <row r="33" spans="1:22" ht="15.75" thickBot="1" x14ac:dyDescent="0.3">
      <c r="A33" s="82" t="s">
        <v>45</v>
      </c>
      <c r="B33" s="82" t="str">
        <f t="shared" si="0"/>
        <v>Barraqueiro Transportes, S.A.</v>
      </c>
      <c r="C33" s="82" t="str">
        <f t="shared" si="1"/>
        <v>X</v>
      </c>
      <c r="D33" s="82" t="s">
        <v>42</v>
      </c>
      <c r="E33" s="217" t="s">
        <v>1587</v>
      </c>
      <c r="F33" s="83" t="s">
        <v>1561</v>
      </c>
      <c r="G33" s="125" t="s">
        <v>42</v>
      </c>
      <c r="H33" s="133">
        <f t="array" ref="H33">SUMPRODUCT(IF(E$60:E$195=E33,1,0),IF(K$60:K$195=K33,1,0),IF(I$60:I$195=I33,1,0),H$60:H$195)</f>
        <v>2.1079999999999997</v>
      </c>
      <c r="I33" s="125" t="s">
        <v>1532</v>
      </c>
      <c r="J33" s="139">
        <f t="shared" si="2"/>
        <v>2107.9999999999995</v>
      </c>
      <c r="K33" s="139" t="s">
        <v>483</v>
      </c>
      <c r="L33" s="238" t="str">
        <f t="shared" si="3"/>
        <v>Reciclagem</v>
      </c>
      <c r="M33" s="238" t="s">
        <v>1561</v>
      </c>
      <c r="N33" s="238" t="s">
        <v>1922</v>
      </c>
      <c r="O33" s="91" t="str">
        <f>IFERROR(INDEX(Tabela3[Tipos de Tratamento],MATCH('A3.9.1 copy'!K33,Tabela3[Código],0)),"")</f>
        <v xml:space="preserve">Troca de resíduos com vista a submetê-los a uma das operações enumeradas de R 1 a R 11 </v>
      </c>
      <c r="P33" s="91"/>
      <c r="Q33" s="91"/>
      <c r="R33" s="91"/>
      <c r="S33">
        <v>2022</v>
      </c>
      <c r="T33" s="261" t="s">
        <v>3535</v>
      </c>
      <c r="U33" s="261" t="s">
        <v>3606</v>
      </c>
      <c r="V33" t="s">
        <v>42</v>
      </c>
    </row>
    <row r="34" spans="1:22" ht="15.75" thickBot="1" x14ac:dyDescent="0.3">
      <c r="A34" s="82" t="s">
        <v>45</v>
      </c>
      <c r="B34" s="82" t="str">
        <f t="shared" si="0"/>
        <v>Barraqueiro Transportes, S.A.</v>
      </c>
      <c r="C34" s="82" t="str">
        <f t="shared" si="1"/>
        <v>X</v>
      </c>
      <c r="D34" s="82" t="s">
        <v>42</v>
      </c>
      <c r="E34" s="217" t="s">
        <v>1878</v>
      </c>
      <c r="F34" s="83" t="s">
        <v>1576</v>
      </c>
      <c r="G34" s="125" t="s">
        <v>34</v>
      </c>
      <c r="H34" s="133">
        <f t="array" ref="H34">SUMPRODUCT(IF(E$60:E$195=E34,1,0),IF(K$60:K$195=K34,1,0),IF(I$60:I$195=I34,1,0),H$60:H$195)</f>
        <v>0.16800000000000001</v>
      </c>
      <c r="I34" s="125" t="s">
        <v>1532</v>
      </c>
      <c r="J34" s="139">
        <f t="shared" si="2"/>
        <v>168</v>
      </c>
      <c r="K34" s="139" t="s">
        <v>509</v>
      </c>
      <c r="L34" s="238" t="str">
        <f t="shared" si="3"/>
        <v>Aterro</v>
      </c>
      <c r="M34" s="238" t="s">
        <v>1920</v>
      </c>
      <c r="N34" s="238" t="s">
        <v>1911</v>
      </c>
      <c r="O34" s="91" t="str">
        <f>IFERROR(INDEX(Tabela3[Tipos de Tratamento],MATCH('A3.9.1 copy'!K34,Tabela3[Código],0)),"")</f>
        <v>Armazenagem enquanto se aguarda a execução de uma das operações enumeradas de D1 a D14</v>
      </c>
      <c r="P34" s="91"/>
      <c r="Q34" s="91"/>
      <c r="R34" s="91"/>
      <c r="S34">
        <v>2022</v>
      </c>
      <c r="T34" s="261" t="s">
        <v>3535</v>
      </c>
      <c r="U34" s="261" t="s">
        <v>3606</v>
      </c>
      <c r="V34" t="s">
        <v>42</v>
      </c>
    </row>
    <row r="35" spans="1:22" ht="15.75" thickBot="1" x14ac:dyDescent="0.3">
      <c r="A35" s="82" t="s">
        <v>45</v>
      </c>
      <c r="B35" s="82" t="str">
        <f t="shared" ref="B35:B66" si="4">LEFT(A35,IFERROR(FIND(" - ",A35)-1,LEN(A35)))</f>
        <v>Barraqueiro Transportes, S.A.</v>
      </c>
      <c r="C35" s="82" t="str">
        <f t="shared" si="1"/>
        <v>X</v>
      </c>
      <c r="D35" s="82" t="s">
        <v>42</v>
      </c>
      <c r="E35" s="217" t="s">
        <v>1878</v>
      </c>
      <c r="F35" s="83" t="s">
        <v>1576</v>
      </c>
      <c r="G35" s="125" t="s">
        <v>34</v>
      </c>
      <c r="H35" s="133">
        <f t="array" ref="H35">SUMPRODUCT(IF(E$60:E$195=E35,1,0),IF(K$60:K$195=K35,1,0),IF(I$60:I$195=I35,1,0),H$60:H$195)</f>
        <v>0.84</v>
      </c>
      <c r="I35" s="125" t="s">
        <v>1532</v>
      </c>
      <c r="J35" s="139">
        <f t="shared" si="2"/>
        <v>840</v>
      </c>
      <c r="K35" s="139" t="s">
        <v>484</v>
      </c>
      <c r="L35" s="238" t="str">
        <f t="shared" si="3"/>
        <v>Reciclagem</v>
      </c>
      <c r="M35" s="238" t="s">
        <v>1920</v>
      </c>
      <c r="N35" s="238" t="s">
        <v>1911</v>
      </c>
      <c r="O35" s="91" t="str">
        <f>IFERROR(INDEX(Tabela3[Tipos de Tratamento],MATCH('A3.9.1 copy'!K35,Tabela3[Código],0)),"")</f>
        <v>Acumulação de resíduos destinados a uma das operações enumeradas de R1 a R12</v>
      </c>
      <c r="P35" s="91"/>
      <c r="Q35" s="91"/>
      <c r="R35" s="91"/>
      <c r="S35">
        <v>2022</v>
      </c>
      <c r="T35" s="261" t="s">
        <v>3535</v>
      </c>
      <c r="U35" s="261" t="s">
        <v>3606</v>
      </c>
      <c r="V35" t="s">
        <v>42</v>
      </c>
    </row>
    <row r="36" spans="1:22" ht="15.75" thickBot="1" x14ac:dyDescent="0.3">
      <c r="A36" s="82" t="s">
        <v>45</v>
      </c>
      <c r="B36" s="82" t="str">
        <f t="shared" si="4"/>
        <v>Barraqueiro Transportes, S.A.</v>
      </c>
      <c r="C36" s="82" t="str">
        <f t="shared" si="1"/>
        <v>X</v>
      </c>
      <c r="D36" s="82" t="s">
        <v>42</v>
      </c>
      <c r="E36" s="217" t="s">
        <v>1879</v>
      </c>
      <c r="F36" s="83" t="s">
        <v>1562</v>
      </c>
      <c r="G36" s="125" t="s">
        <v>42</v>
      </c>
      <c r="H36" s="133">
        <f t="array" ref="H36">SUMPRODUCT(IF(E$60:E$195=E36,1,0),IF(K$60:K$195=K36,1,0),IF(I$60:I$195=I36,1,0),H$60:H$195)</f>
        <v>2.8380000000000001</v>
      </c>
      <c r="I36" s="125" t="s">
        <v>1532</v>
      </c>
      <c r="J36" s="139">
        <f t="shared" si="2"/>
        <v>2838</v>
      </c>
      <c r="K36" s="139" t="s">
        <v>483</v>
      </c>
      <c r="L36" s="238" t="str">
        <f t="shared" si="3"/>
        <v>Reciclagem</v>
      </c>
      <c r="M36" s="238" t="s">
        <v>1920</v>
      </c>
      <c r="N36" s="238" t="s">
        <v>1911</v>
      </c>
      <c r="O36" s="91" t="str">
        <f>IFERROR(INDEX(Tabela3[Tipos de Tratamento],MATCH('A3.9.1 copy'!K36,Tabela3[Código],0)),"")</f>
        <v xml:space="preserve">Troca de resíduos com vista a submetê-los a uma das operações enumeradas de R 1 a R 11 </v>
      </c>
      <c r="P36" s="91"/>
      <c r="Q36" s="91"/>
      <c r="R36" s="91"/>
      <c r="S36">
        <v>2022</v>
      </c>
      <c r="T36" s="261" t="s">
        <v>3535</v>
      </c>
      <c r="U36" s="261" t="s">
        <v>3606</v>
      </c>
      <c r="V36" t="s">
        <v>42</v>
      </c>
    </row>
    <row r="37" spans="1:22" ht="15.75" thickBot="1" x14ac:dyDescent="0.3">
      <c r="A37" s="82" t="s">
        <v>45</v>
      </c>
      <c r="B37" s="82" t="str">
        <f t="shared" si="4"/>
        <v>Barraqueiro Transportes, S.A.</v>
      </c>
      <c r="C37" s="82" t="str">
        <f t="shared" si="1"/>
        <v>X</v>
      </c>
      <c r="D37" s="82" t="s">
        <v>42</v>
      </c>
      <c r="E37" s="217" t="s">
        <v>1879</v>
      </c>
      <c r="F37" s="83" t="s">
        <v>1562</v>
      </c>
      <c r="G37" s="125" t="s">
        <v>42</v>
      </c>
      <c r="H37" s="133">
        <f t="array" ref="H37">SUMPRODUCT(IF(E$60:E$195=E37,1,0),IF(K$60:K$195=K37,1,0),IF(I$60:I$195=I37,1,0),H$60:H$195)</f>
        <v>0.34</v>
      </c>
      <c r="I37" s="125" t="s">
        <v>1532</v>
      </c>
      <c r="J37" s="139">
        <f t="shared" si="2"/>
        <v>340</v>
      </c>
      <c r="K37" s="139" t="s">
        <v>509</v>
      </c>
      <c r="L37" s="238" t="str">
        <f t="shared" si="3"/>
        <v>Aterro</v>
      </c>
      <c r="M37" s="238" t="s">
        <v>1920</v>
      </c>
      <c r="N37" s="238" t="s">
        <v>1911</v>
      </c>
      <c r="O37" s="91" t="str">
        <f>IFERROR(INDEX(Tabela3[Tipos de Tratamento],MATCH('A3.9.1 copy'!K37,Tabela3[Código],0)),"")</f>
        <v>Armazenagem enquanto se aguarda a execução de uma das operações enumeradas de D1 a D14</v>
      </c>
      <c r="P37" s="91"/>
      <c r="Q37" s="91"/>
      <c r="R37" s="91"/>
      <c r="S37">
        <v>2022</v>
      </c>
      <c r="T37" s="261" t="s">
        <v>3535</v>
      </c>
      <c r="U37" s="261" t="s">
        <v>3606</v>
      </c>
      <c r="V37" t="s">
        <v>42</v>
      </c>
    </row>
    <row r="38" spans="1:22" ht="15.75" thickBot="1" x14ac:dyDescent="0.3">
      <c r="A38" s="82" t="s">
        <v>45</v>
      </c>
      <c r="B38" s="82" t="str">
        <f t="shared" si="4"/>
        <v>Barraqueiro Transportes, S.A.</v>
      </c>
      <c r="C38" s="82" t="str">
        <f t="shared" si="1"/>
        <v>X</v>
      </c>
      <c r="D38" s="82" t="s">
        <v>42</v>
      </c>
      <c r="E38" s="217" t="s">
        <v>1880</v>
      </c>
      <c r="F38" s="83" t="s">
        <v>1563</v>
      </c>
      <c r="G38" s="125" t="s">
        <v>34</v>
      </c>
      <c r="H38" s="133">
        <f t="array" ref="H38">SUMPRODUCT(IF(E$60:E$195=E38,1,0),IF(K$60:K$195=K38,1,0),IF(I$60:I$195=I38,1,0),H$60:H$195)</f>
        <v>2.04</v>
      </c>
      <c r="I38" s="125" t="s">
        <v>1532</v>
      </c>
      <c r="J38" s="139">
        <f t="shared" si="2"/>
        <v>2040</v>
      </c>
      <c r="K38" s="139" t="s">
        <v>483</v>
      </c>
      <c r="L38" s="238" t="str">
        <f t="shared" si="3"/>
        <v>Reciclagem</v>
      </c>
      <c r="M38" s="238" t="s">
        <v>1653</v>
      </c>
      <c r="N38" s="238" t="s">
        <v>1896</v>
      </c>
      <c r="O38" s="91" t="str">
        <f>IFERROR(INDEX(Tabela3[Tipos de Tratamento],MATCH('A3.9.1 copy'!K38,Tabela3[Código],0)),"")</f>
        <v xml:space="preserve">Troca de resíduos com vista a submetê-los a uma das operações enumeradas de R 1 a R 11 </v>
      </c>
      <c r="P38" s="91"/>
      <c r="Q38" s="91"/>
      <c r="R38" s="91"/>
      <c r="S38">
        <v>2022</v>
      </c>
      <c r="T38" s="261" t="s">
        <v>3535</v>
      </c>
      <c r="U38" s="261" t="s">
        <v>3606</v>
      </c>
      <c r="V38" t="s">
        <v>42</v>
      </c>
    </row>
    <row r="39" spans="1:22" ht="15.75" thickBot="1" x14ac:dyDescent="0.3">
      <c r="A39" s="82" t="s">
        <v>45</v>
      </c>
      <c r="B39" s="82" t="str">
        <f t="shared" si="4"/>
        <v>Barraqueiro Transportes, S.A.</v>
      </c>
      <c r="C39" s="82" t="str">
        <f t="shared" si="1"/>
        <v>X</v>
      </c>
      <c r="D39" s="82" t="s">
        <v>42</v>
      </c>
      <c r="E39" s="217" t="s">
        <v>1880</v>
      </c>
      <c r="F39" s="83" t="s">
        <v>1563</v>
      </c>
      <c r="G39" s="125" t="s">
        <v>34</v>
      </c>
      <c r="H39" s="133">
        <f t="array" ref="H39">SUMPRODUCT(IF(E$60:E$195=E39,1,0),IF(K$60:K$195=K39,1,0),IF(I$60:I$195=I39,1,0),H$60:H$195)</f>
        <v>15.299999999999999</v>
      </c>
      <c r="I39" s="125" t="s">
        <v>1532</v>
      </c>
      <c r="J39" s="139">
        <f t="shared" si="2"/>
        <v>15299.999999999998</v>
      </c>
      <c r="K39" s="139" t="s">
        <v>484</v>
      </c>
      <c r="L39" s="238" t="str">
        <f t="shared" si="3"/>
        <v>Reciclagem</v>
      </c>
      <c r="M39" s="238" t="s">
        <v>1653</v>
      </c>
      <c r="N39" s="238" t="s">
        <v>1896</v>
      </c>
      <c r="O39" s="91" t="str">
        <f>IFERROR(INDEX(Tabela3[Tipos de Tratamento],MATCH('A3.9.1 copy'!K39,Tabela3[Código],0)),"")</f>
        <v>Acumulação de resíduos destinados a uma das operações enumeradas de R1 a R12</v>
      </c>
      <c r="P39" s="91"/>
      <c r="Q39" s="91"/>
      <c r="R39" s="91"/>
      <c r="S39">
        <v>2022</v>
      </c>
      <c r="T39" s="261" t="s">
        <v>3535</v>
      </c>
      <c r="U39" s="261" t="s">
        <v>3606</v>
      </c>
      <c r="V39" t="s">
        <v>42</v>
      </c>
    </row>
    <row r="40" spans="1:22" ht="15.75" thickBot="1" x14ac:dyDescent="0.3">
      <c r="A40" s="82" t="s">
        <v>45</v>
      </c>
      <c r="B40" s="82" t="str">
        <f t="shared" si="4"/>
        <v>Barraqueiro Transportes, S.A.</v>
      </c>
      <c r="C40" s="82" t="str">
        <f t="shared" si="1"/>
        <v>X</v>
      </c>
      <c r="D40" s="82" t="s">
        <v>42</v>
      </c>
      <c r="E40" s="217" t="s">
        <v>1881</v>
      </c>
      <c r="F40" s="83" t="s">
        <v>1577</v>
      </c>
      <c r="G40" s="125" t="s">
        <v>42</v>
      </c>
      <c r="H40" s="133">
        <f t="array" ref="H40">SUMPRODUCT(IF(E$60:E$195=E40,1,0),IF(K$60:K$195=K40,1,0),IF(I$60:I$195=I40,1,0),H$60:H$195)</f>
        <v>0.86</v>
      </c>
      <c r="I40" s="125" t="s">
        <v>1532</v>
      </c>
      <c r="J40" s="139">
        <f t="shared" si="2"/>
        <v>860</v>
      </c>
      <c r="K40" s="139" t="s">
        <v>483</v>
      </c>
      <c r="L40" s="238" t="str">
        <f t="shared" si="3"/>
        <v>Reciclagem</v>
      </c>
      <c r="M40" s="238" t="s">
        <v>1920</v>
      </c>
      <c r="N40" s="238" t="s">
        <v>1911</v>
      </c>
      <c r="O40" s="91" t="str">
        <f>IFERROR(INDEX(Tabela3[Tipos de Tratamento],MATCH('A3.9.1 copy'!K40,Tabela3[Código],0)),"")</f>
        <v xml:space="preserve">Troca de resíduos com vista a submetê-los a uma das operações enumeradas de R 1 a R 11 </v>
      </c>
      <c r="P40" s="91"/>
      <c r="Q40" s="91"/>
      <c r="R40" s="91"/>
      <c r="S40">
        <v>2022</v>
      </c>
      <c r="T40" s="261" t="s">
        <v>3535</v>
      </c>
      <c r="U40" s="261" t="s">
        <v>3606</v>
      </c>
      <c r="V40" t="s">
        <v>42</v>
      </c>
    </row>
    <row r="41" spans="1:22" ht="15.75" thickBot="1" x14ac:dyDescent="0.3">
      <c r="A41" s="82" t="s">
        <v>45</v>
      </c>
      <c r="B41" s="82" t="str">
        <f t="shared" si="4"/>
        <v>Barraqueiro Transportes, S.A.</v>
      </c>
      <c r="C41" s="82" t="str">
        <f t="shared" si="1"/>
        <v>X</v>
      </c>
      <c r="D41" s="82" t="s">
        <v>42</v>
      </c>
      <c r="E41" s="217" t="s">
        <v>1882</v>
      </c>
      <c r="F41" s="83" t="s">
        <v>1597</v>
      </c>
      <c r="G41" s="125" t="s">
        <v>42</v>
      </c>
      <c r="H41" s="133">
        <f t="array" ref="H41">SUMPRODUCT(IF(E$60:E$195=E41,1,0),IF(K$60:K$195=K41,1,0),IF(I$60:I$195=I41,1,0),H$60:H$195)</f>
        <v>3.92</v>
      </c>
      <c r="I41" s="125" t="s">
        <v>1532</v>
      </c>
      <c r="J41" s="139">
        <f t="shared" si="2"/>
        <v>3920</v>
      </c>
      <c r="K41" s="139" t="s">
        <v>483</v>
      </c>
      <c r="L41" s="238" t="str">
        <f t="shared" si="3"/>
        <v>Reciclagem</v>
      </c>
      <c r="M41" s="238" t="s">
        <v>1923</v>
      </c>
      <c r="N41" s="238" t="s">
        <v>1922</v>
      </c>
      <c r="O41" s="91" t="str">
        <f>IFERROR(INDEX(Tabela3[Tipos de Tratamento],MATCH('A3.9.1 copy'!K41,Tabela3[Código],0)),"")</f>
        <v xml:space="preserve">Troca de resíduos com vista a submetê-los a uma das operações enumeradas de R 1 a R 11 </v>
      </c>
      <c r="P41" s="91"/>
      <c r="Q41" s="91"/>
      <c r="R41" s="91"/>
      <c r="S41">
        <v>2022</v>
      </c>
      <c r="T41" s="261" t="s">
        <v>3535</v>
      </c>
      <c r="U41" s="261" t="s">
        <v>3606</v>
      </c>
      <c r="V41" t="s">
        <v>42</v>
      </c>
    </row>
    <row r="42" spans="1:22" ht="15.75" thickBot="1" x14ac:dyDescent="0.3">
      <c r="A42" s="82" t="s">
        <v>45</v>
      </c>
      <c r="B42" s="82" t="str">
        <f t="shared" si="4"/>
        <v>Barraqueiro Transportes, S.A.</v>
      </c>
      <c r="C42" s="82" t="str">
        <f t="shared" si="1"/>
        <v>X</v>
      </c>
      <c r="D42" s="82" t="s">
        <v>42</v>
      </c>
      <c r="E42" s="217" t="s">
        <v>1883</v>
      </c>
      <c r="F42" s="83" t="s">
        <v>1561</v>
      </c>
      <c r="G42" s="125" t="s">
        <v>42</v>
      </c>
      <c r="H42" s="133">
        <f t="array" ref="H42">SUMPRODUCT(IF(E$60:E$195=E42,1,0),IF(K$60:K$195=K42,1,0),IF(I$60:I$195=I42,1,0),H$60:H$195)</f>
        <v>5.1820000000000004</v>
      </c>
      <c r="I42" s="125" t="s">
        <v>1532</v>
      </c>
      <c r="J42" s="139">
        <f t="shared" si="2"/>
        <v>5182</v>
      </c>
      <c r="K42" s="139" t="s">
        <v>483</v>
      </c>
      <c r="L42" s="238" t="str">
        <f t="shared" si="3"/>
        <v>Reciclagem</v>
      </c>
      <c r="M42" s="238" t="s">
        <v>1561</v>
      </c>
      <c r="N42" s="238" t="s">
        <v>1922</v>
      </c>
      <c r="O42" s="91" t="str">
        <f>IFERROR(INDEX(Tabela3[Tipos de Tratamento],MATCH('A3.9.1 copy'!K42,Tabela3[Código],0)),"")</f>
        <v xml:space="preserve">Troca de resíduos com vista a submetê-los a uma das operações enumeradas de R 1 a R 11 </v>
      </c>
      <c r="P42" s="91"/>
      <c r="Q42" s="91"/>
      <c r="R42" s="91"/>
      <c r="S42">
        <v>2022</v>
      </c>
      <c r="T42" s="261" t="s">
        <v>3535</v>
      </c>
      <c r="U42" s="261" t="s">
        <v>3606</v>
      </c>
      <c r="V42" t="s">
        <v>42</v>
      </c>
    </row>
    <row r="43" spans="1:22" ht="15.75" thickBot="1" x14ac:dyDescent="0.3">
      <c r="A43" s="82" t="s">
        <v>45</v>
      </c>
      <c r="B43" s="82" t="str">
        <f t="shared" si="4"/>
        <v>Barraqueiro Transportes, S.A.</v>
      </c>
      <c r="C43" s="82" t="str">
        <f t="shared" si="1"/>
        <v>X</v>
      </c>
      <c r="D43" s="82" t="s">
        <v>42</v>
      </c>
      <c r="E43" s="217" t="s">
        <v>1884</v>
      </c>
      <c r="F43" s="83" t="s">
        <v>1564</v>
      </c>
      <c r="G43" s="125" t="s">
        <v>34</v>
      </c>
      <c r="H43" s="133">
        <f t="array" ref="H43">SUMPRODUCT(IF(E$60:E$195=E43,1,0),IF(K$60:K$195=K43,1,0),IF(I$60:I$195=I43,1,0),H$60:H$195)</f>
        <v>8.5999999999999993E-2</v>
      </c>
      <c r="I43" s="125" t="s">
        <v>1532</v>
      </c>
      <c r="J43" s="139">
        <f t="shared" si="2"/>
        <v>86</v>
      </c>
      <c r="K43" s="139" t="s">
        <v>484</v>
      </c>
      <c r="L43" s="238" t="str">
        <f t="shared" si="3"/>
        <v>Reciclagem</v>
      </c>
      <c r="M43" s="238" t="s">
        <v>1920</v>
      </c>
      <c r="N43" s="238" t="s">
        <v>1911</v>
      </c>
      <c r="O43" s="91" t="str">
        <f>IFERROR(INDEX(Tabela3[Tipos de Tratamento],MATCH('A3.9.1 copy'!K43,Tabela3[Código],0)),"")</f>
        <v>Acumulação de resíduos destinados a uma das operações enumeradas de R1 a R12</v>
      </c>
      <c r="P43" s="91"/>
      <c r="Q43" s="91"/>
      <c r="R43" s="91"/>
      <c r="S43">
        <v>2022</v>
      </c>
      <c r="T43" s="261" t="s">
        <v>3535</v>
      </c>
      <c r="U43" s="261" t="s">
        <v>3606</v>
      </c>
      <c r="V43" t="s">
        <v>42</v>
      </c>
    </row>
    <row r="44" spans="1:22" ht="15.75" thickBot="1" x14ac:dyDescent="0.3">
      <c r="A44" s="82" t="s">
        <v>45</v>
      </c>
      <c r="B44" s="82" t="str">
        <f t="shared" si="4"/>
        <v>Barraqueiro Transportes, S.A.</v>
      </c>
      <c r="C44" s="82" t="str">
        <f t="shared" si="1"/>
        <v>X</v>
      </c>
      <c r="D44" s="82" t="s">
        <v>42</v>
      </c>
      <c r="E44" s="217" t="s">
        <v>1885</v>
      </c>
      <c r="F44" s="83" t="s">
        <v>1565</v>
      </c>
      <c r="G44" s="125" t="s">
        <v>42</v>
      </c>
      <c r="H44" s="133">
        <f t="array" ref="H44">SUMPRODUCT(IF(E$60:E$195=E44,1,0),IF(K$60:K$195=K44,1,0),IF(I$60:I$195=I44,1,0),H$60:H$195)</f>
        <v>0.31</v>
      </c>
      <c r="I44" s="125" t="s">
        <v>1532</v>
      </c>
      <c r="J44" s="139">
        <f t="shared" si="2"/>
        <v>310</v>
      </c>
      <c r="K44" s="139" t="s">
        <v>483</v>
      </c>
      <c r="L44" s="238" t="str">
        <f t="shared" si="3"/>
        <v>Reciclagem</v>
      </c>
      <c r="M44" s="238" t="s">
        <v>1927</v>
      </c>
      <c r="N44" s="238" t="s">
        <v>1911</v>
      </c>
      <c r="O44" s="91" t="str">
        <f>IFERROR(INDEX(Tabela3[Tipos de Tratamento],MATCH('A3.9.1 copy'!K44,Tabela3[Código],0)),"")</f>
        <v xml:space="preserve">Troca de resíduos com vista a submetê-los a uma das operações enumeradas de R 1 a R 11 </v>
      </c>
      <c r="P44" s="91"/>
      <c r="Q44" s="91"/>
      <c r="R44" s="91"/>
      <c r="S44">
        <v>2022</v>
      </c>
      <c r="T44" s="261" t="s">
        <v>3535</v>
      </c>
      <c r="U44" s="261" t="s">
        <v>3606</v>
      </c>
      <c r="V44" t="s">
        <v>42</v>
      </c>
    </row>
    <row r="45" spans="1:22" ht="15.75" thickBot="1" x14ac:dyDescent="0.3">
      <c r="A45" s="82" t="s">
        <v>45</v>
      </c>
      <c r="B45" s="82" t="str">
        <f t="shared" si="4"/>
        <v>Barraqueiro Transportes, S.A.</v>
      </c>
      <c r="C45" s="82" t="str">
        <f t="shared" si="1"/>
        <v>X</v>
      </c>
      <c r="D45" s="82" t="s">
        <v>42</v>
      </c>
      <c r="E45" s="217" t="s">
        <v>1886</v>
      </c>
      <c r="F45" s="83" t="s">
        <v>1568</v>
      </c>
      <c r="G45" s="125" t="s">
        <v>42</v>
      </c>
      <c r="H45" s="133">
        <f t="array" ref="H45">SUMPRODUCT(IF(E$60:E$195=E45,1,0),IF(K$60:K$195=K45,1,0),IF(I$60:I$195=I45,1,0),H$60:H$195)</f>
        <v>0.80600000000000005</v>
      </c>
      <c r="I45" s="125" t="s">
        <v>1532</v>
      </c>
      <c r="J45" s="139">
        <f t="shared" si="2"/>
        <v>806</v>
      </c>
      <c r="K45" s="139" t="s">
        <v>483</v>
      </c>
      <c r="L45" s="238" t="str">
        <f t="shared" si="3"/>
        <v>Reciclagem</v>
      </c>
      <c r="M45" s="238" t="s">
        <v>1928</v>
      </c>
      <c r="N45" s="238" t="s">
        <v>1896</v>
      </c>
      <c r="O45" s="91" t="str">
        <f>IFERROR(INDEX(Tabela3[Tipos de Tratamento],MATCH('A3.9.1 copy'!K45,Tabela3[Código],0)),"")</f>
        <v xml:space="preserve">Troca de resíduos com vista a submetê-los a uma das operações enumeradas de R 1 a R 11 </v>
      </c>
      <c r="P45" s="91"/>
      <c r="Q45" s="91"/>
      <c r="R45" s="91"/>
      <c r="S45">
        <v>2022</v>
      </c>
      <c r="T45" s="261" t="s">
        <v>3535</v>
      </c>
      <c r="U45" s="261" t="s">
        <v>3606</v>
      </c>
      <c r="V45" t="s">
        <v>42</v>
      </c>
    </row>
    <row r="46" spans="1:22" ht="15.75" thickBot="1" x14ac:dyDescent="0.3">
      <c r="A46" s="82" t="s">
        <v>45</v>
      </c>
      <c r="B46" s="82" t="str">
        <f t="shared" si="4"/>
        <v>Barraqueiro Transportes, S.A.</v>
      </c>
      <c r="C46" s="82" t="str">
        <f t="shared" si="1"/>
        <v>X</v>
      </c>
      <c r="D46" s="82" t="s">
        <v>42</v>
      </c>
      <c r="E46" s="217" t="s">
        <v>1609</v>
      </c>
      <c r="F46" s="83" t="s">
        <v>1610</v>
      </c>
      <c r="G46" s="125" t="s">
        <v>42</v>
      </c>
      <c r="H46" s="133">
        <f t="array" ref="H46">SUMPRODUCT(IF(E$60:E$195=E46,1,0),IF(K$60:K$195=K46,1,0),IF(I$60:I$195=I46,1,0),H$60:H$195)</f>
        <v>13.56</v>
      </c>
      <c r="I46" s="125" t="s">
        <v>1532</v>
      </c>
      <c r="J46" s="139">
        <f t="shared" si="2"/>
        <v>13560</v>
      </c>
      <c r="K46" s="139" t="s">
        <v>483</v>
      </c>
      <c r="L46" s="238" t="str">
        <f t="shared" si="3"/>
        <v>Reciclagem</v>
      </c>
      <c r="M46" s="238" t="s">
        <v>1927</v>
      </c>
      <c r="N46" s="238" t="s">
        <v>1911</v>
      </c>
      <c r="O46" s="91" t="str">
        <f>IFERROR(INDEX(Tabela3[Tipos de Tratamento],MATCH('A3.9.1 copy'!K46,Tabela3[Código],0)),"")</f>
        <v xml:space="preserve">Troca de resíduos com vista a submetê-los a uma das operações enumeradas de R 1 a R 11 </v>
      </c>
      <c r="P46" s="91"/>
      <c r="Q46" s="91"/>
      <c r="R46" s="91"/>
      <c r="S46">
        <v>2022</v>
      </c>
      <c r="T46" s="261" t="s">
        <v>3535</v>
      </c>
      <c r="U46" s="261" t="s">
        <v>3606</v>
      </c>
      <c r="V46" t="s">
        <v>42</v>
      </c>
    </row>
    <row r="47" spans="1:22" ht="15.75" thickBot="1" x14ac:dyDescent="0.3">
      <c r="A47" s="82" t="s">
        <v>45</v>
      </c>
      <c r="B47" s="82" t="str">
        <f t="shared" si="4"/>
        <v>Barraqueiro Transportes, S.A.</v>
      </c>
      <c r="C47" s="82" t="str">
        <f t="shared" si="1"/>
        <v>X</v>
      </c>
      <c r="D47" s="82" t="s">
        <v>42</v>
      </c>
      <c r="E47" s="217" t="s">
        <v>1609</v>
      </c>
      <c r="F47" s="83" t="s">
        <v>1610</v>
      </c>
      <c r="G47" s="125" t="s">
        <v>42</v>
      </c>
      <c r="H47" s="133">
        <f t="array" ref="H47">SUMPRODUCT(IF(E$60:E$195=E47,1,0),IF(K$60:K$195=K47,1,0),IF(I$60:I$195=I47,1,0),H$60:H$195)</f>
        <v>0.24</v>
      </c>
      <c r="I47" s="125" t="s">
        <v>1532</v>
      </c>
      <c r="J47" s="139">
        <f t="shared" si="2"/>
        <v>240</v>
      </c>
      <c r="K47" s="139" t="s">
        <v>509</v>
      </c>
      <c r="L47" s="238" t="str">
        <f t="shared" si="3"/>
        <v>Aterro</v>
      </c>
      <c r="M47" s="238" t="s">
        <v>1927</v>
      </c>
      <c r="N47" s="238" t="s">
        <v>1911</v>
      </c>
      <c r="O47" s="91" t="str">
        <f>IFERROR(INDEX(Tabela3[Tipos de Tratamento],MATCH('A3.9.1 copy'!K47,Tabela3[Código],0)),"")</f>
        <v>Armazenagem enquanto se aguarda a execução de uma das operações enumeradas de D1 a D14</v>
      </c>
      <c r="P47" s="91"/>
      <c r="Q47" s="91"/>
      <c r="R47" s="91"/>
      <c r="S47">
        <v>2022</v>
      </c>
      <c r="T47" s="261" t="s">
        <v>3535</v>
      </c>
      <c r="U47" s="261" t="s">
        <v>3606</v>
      </c>
      <c r="V47" t="s">
        <v>42</v>
      </c>
    </row>
    <row r="48" spans="1:22" ht="15.75" thickBot="1" x14ac:dyDescent="0.3">
      <c r="A48" s="82" t="s">
        <v>4683</v>
      </c>
      <c r="B48" s="82" t="s">
        <v>4683</v>
      </c>
      <c r="C48" s="82" t="str">
        <f t="shared" si="1"/>
        <v>X</v>
      </c>
      <c r="D48" s="82" t="s">
        <v>42</v>
      </c>
      <c r="E48" s="217" t="s">
        <v>1865</v>
      </c>
      <c r="F48" s="83" t="s">
        <v>1531</v>
      </c>
      <c r="G48" s="125" t="s">
        <v>34</v>
      </c>
      <c r="H48" s="133">
        <v>0.88</v>
      </c>
      <c r="I48" s="125" t="s">
        <v>1532</v>
      </c>
      <c r="J48" s="139">
        <f t="shared" si="2"/>
        <v>880</v>
      </c>
      <c r="K48" s="125" t="s">
        <v>480</v>
      </c>
      <c r="L48" s="238" t="str">
        <f t="shared" si="3"/>
        <v>Reciclagem</v>
      </c>
      <c r="M48" s="238" t="s">
        <v>1921</v>
      </c>
      <c r="N48" s="238" t="s">
        <v>1896</v>
      </c>
      <c r="O48" s="91" t="str">
        <f>IFERROR(INDEX(Tabela3[Tipos de Tratamento],MATCH('A3.9.1 copy'!K48,Tabela3[Código],0)),"")</f>
        <v xml:space="preserve">Regeneração de óleos e outras reutilizações de óleos </v>
      </c>
      <c r="P48" s="91" t="s">
        <v>1535</v>
      </c>
      <c r="Q48" s="91" t="s">
        <v>1536</v>
      </c>
      <c r="R48" s="91"/>
      <c r="S48">
        <v>2022</v>
      </c>
      <c r="T48" s="261" t="s">
        <v>3535</v>
      </c>
      <c r="U48" s="261" t="s">
        <v>3606</v>
      </c>
      <c r="V48" t="s">
        <v>42</v>
      </c>
    </row>
    <row r="49" spans="1:22" ht="15.75" thickBot="1" x14ac:dyDescent="0.3">
      <c r="A49" s="82" t="s">
        <v>4683</v>
      </c>
      <c r="B49" s="82" t="s">
        <v>4683</v>
      </c>
      <c r="C49" s="82" t="str">
        <f t="shared" si="1"/>
        <v>X</v>
      </c>
      <c r="D49" s="82" t="s">
        <v>42</v>
      </c>
      <c r="E49" s="217" t="s">
        <v>1866</v>
      </c>
      <c r="F49" s="83" t="s">
        <v>1569</v>
      </c>
      <c r="G49" s="125" t="s">
        <v>34</v>
      </c>
      <c r="H49" s="133">
        <v>10.78</v>
      </c>
      <c r="I49" s="125" t="s">
        <v>1532</v>
      </c>
      <c r="J49" s="139">
        <f t="shared" si="2"/>
        <v>10780</v>
      </c>
      <c r="K49" s="125" t="s">
        <v>483</v>
      </c>
      <c r="L49" s="238" t="str">
        <f t="shared" si="3"/>
        <v>Reciclagem</v>
      </c>
      <c r="M49" s="238" t="s">
        <v>1920</v>
      </c>
      <c r="N49" s="238" t="s">
        <v>1911</v>
      </c>
      <c r="O49" s="91" t="s">
        <v>485</v>
      </c>
      <c r="P49" s="91" t="s">
        <v>1570</v>
      </c>
      <c r="Q49" s="91" t="s">
        <v>1571</v>
      </c>
      <c r="R49" s="91"/>
      <c r="S49">
        <v>2022</v>
      </c>
      <c r="T49" s="261" t="s">
        <v>3535</v>
      </c>
      <c r="U49" s="261" t="s">
        <v>3606</v>
      </c>
      <c r="V49" t="s">
        <v>42</v>
      </c>
    </row>
    <row r="50" spans="1:22" ht="15.75" thickBot="1" x14ac:dyDescent="0.3">
      <c r="A50" s="82" t="s">
        <v>4683</v>
      </c>
      <c r="B50" s="82" t="s">
        <v>4683</v>
      </c>
      <c r="C50" s="82" t="str">
        <f t="shared" si="1"/>
        <v>X</v>
      </c>
      <c r="D50" s="82" t="s">
        <v>42</v>
      </c>
      <c r="E50" s="217" t="s">
        <v>1867</v>
      </c>
      <c r="F50" s="83" t="s">
        <v>1572</v>
      </c>
      <c r="G50" s="125" t="s">
        <v>34</v>
      </c>
      <c r="H50" s="133">
        <v>6.28</v>
      </c>
      <c r="I50" s="125" t="s">
        <v>1532</v>
      </c>
      <c r="J50" s="139">
        <f t="shared" si="2"/>
        <v>6280</v>
      </c>
      <c r="K50" s="125" t="s">
        <v>483</v>
      </c>
      <c r="L50" s="238" t="str">
        <f t="shared" si="3"/>
        <v>Reciclagem</v>
      </c>
      <c r="M50" s="238" t="s">
        <v>1920</v>
      </c>
      <c r="N50" s="238" t="s">
        <v>1911</v>
      </c>
      <c r="O50" s="91" t="s">
        <v>485</v>
      </c>
      <c r="P50" s="91" t="s">
        <v>1570</v>
      </c>
      <c r="Q50" s="91" t="s">
        <v>1571</v>
      </c>
      <c r="R50" s="91"/>
      <c r="S50">
        <v>2022</v>
      </c>
      <c r="T50" s="261" t="s">
        <v>3535</v>
      </c>
      <c r="U50" s="261" t="s">
        <v>3606</v>
      </c>
      <c r="V50" t="s">
        <v>42</v>
      </c>
    </row>
    <row r="51" spans="1:22" ht="15.75" thickBot="1" x14ac:dyDescent="0.3">
      <c r="A51" s="82" t="s">
        <v>4683</v>
      </c>
      <c r="B51" s="82" t="s">
        <v>4683</v>
      </c>
      <c r="C51" s="82" t="str">
        <f t="shared" si="1"/>
        <v>X</v>
      </c>
      <c r="D51" s="82" t="s">
        <v>42</v>
      </c>
      <c r="E51" s="217" t="s">
        <v>1868</v>
      </c>
      <c r="F51" s="83" t="s">
        <v>1537</v>
      </c>
      <c r="G51" s="125" t="s">
        <v>42</v>
      </c>
      <c r="H51" s="133">
        <v>7.3999999999999996E-2</v>
      </c>
      <c r="I51" s="125" t="s">
        <v>1532</v>
      </c>
      <c r="J51" s="139">
        <f t="shared" si="2"/>
        <v>74</v>
      </c>
      <c r="K51" s="125" t="s">
        <v>483</v>
      </c>
      <c r="L51" s="238" t="str">
        <f t="shared" si="3"/>
        <v>Reciclagem</v>
      </c>
      <c r="M51" s="238" t="s">
        <v>1923</v>
      </c>
      <c r="N51" s="238" t="s">
        <v>1922</v>
      </c>
      <c r="O51" s="91" t="s">
        <v>485</v>
      </c>
      <c r="P51" s="91" t="s">
        <v>1538</v>
      </c>
      <c r="Q51" s="91" t="s">
        <v>1539</v>
      </c>
      <c r="R51" s="91"/>
      <c r="S51">
        <v>2022</v>
      </c>
      <c r="T51" s="261" t="s">
        <v>3535</v>
      </c>
      <c r="U51" s="261" t="s">
        <v>3606</v>
      </c>
      <c r="V51" t="s">
        <v>42</v>
      </c>
    </row>
    <row r="52" spans="1:22" ht="15.75" thickBot="1" x14ac:dyDescent="0.3">
      <c r="A52" s="82" t="s">
        <v>4683</v>
      </c>
      <c r="B52" s="82" t="s">
        <v>4683</v>
      </c>
      <c r="C52" s="82" t="str">
        <f t="shared" si="1"/>
        <v>X</v>
      </c>
      <c r="D52" s="82" t="s">
        <v>42</v>
      </c>
      <c r="E52" s="217" t="s">
        <v>1872</v>
      </c>
      <c r="F52" s="83" t="s">
        <v>1547</v>
      </c>
      <c r="G52" s="125" t="s">
        <v>34</v>
      </c>
      <c r="H52" s="133">
        <v>0.08</v>
      </c>
      <c r="I52" s="125" t="s">
        <v>1532</v>
      </c>
      <c r="J52" s="139">
        <f t="shared" si="2"/>
        <v>80</v>
      </c>
      <c r="K52" s="125" t="s">
        <v>484</v>
      </c>
      <c r="L52" s="238" t="str">
        <f t="shared" si="3"/>
        <v>Reciclagem</v>
      </c>
      <c r="M52" s="238" t="s">
        <v>1920</v>
      </c>
      <c r="N52" s="238" t="s">
        <v>1911</v>
      </c>
      <c r="O52" s="91" t="s">
        <v>1553</v>
      </c>
      <c r="P52" s="91" t="s">
        <v>1538</v>
      </c>
      <c r="Q52" s="91" t="s">
        <v>1539</v>
      </c>
      <c r="R52" s="91"/>
      <c r="S52">
        <v>2022</v>
      </c>
      <c r="T52" s="261" t="s">
        <v>3535</v>
      </c>
      <c r="U52" s="261" t="s">
        <v>3606</v>
      </c>
      <c r="V52" t="s">
        <v>42</v>
      </c>
    </row>
    <row r="53" spans="1:22" ht="15.75" thickBot="1" x14ac:dyDescent="0.3">
      <c r="A53" s="82" t="s">
        <v>4683</v>
      </c>
      <c r="B53" s="82" t="s">
        <v>4683</v>
      </c>
      <c r="C53" s="82" t="str">
        <f t="shared" si="1"/>
        <v>X</v>
      </c>
      <c r="D53" s="82" t="s">
        <v>42</v>
      </c>
      <c r="E53" s="217" t="s">
        <v>1873</v>
      </c>
      <c r="F53" s="83" t="s">
        <v>1550</v>
      </c>
      <c r="G53" s="125" t="s">
        <v>42</v>
      </c>
      <c r="H53" s="133">
        <v>0.2</v>
      </c>
      <c r="I53" s="125" t="s">
        <v>1532</v>
      </c>
      <c r="J53" s="139">
        <f t="shared" si="2"/>
        <v>200</v>
      </c>
      <c r="K53" s="125" t="s">
        <v>483</v>
      </c>
      <c r="L53" s="238" t="str">
        <f t="shared" si="3"/>
        <v>Reciclagem</v>
      </c>
      <c r="M53" s="238" t="s">
        <v>1920</v>
      </c>
      <c r="N53" s="238" t="s">
        <v>1911</v>
      </c>
      <c r="O53" s="91" t="s">
        <v>485</v>
      </c>
      <c r="P53" s="91" t="s">
        <v>1538</v>
      </c>
      <c r="Q53" s="91" t="s">
        <v>1539</v>
      </c>
      <c r="R53" s="91"/>
      <c r="S53">
        <v>2022</v>
      </c>
      <c r="T53" s="261" t="s">
        <v>3535</v>
      </c>
      <c r="U53" s="261" t="s">
        <v>3606</v>
      </c>
      <c r="V53" t="s">
        <v>42</v>
      </c>
    </row>
    <row r="54" spans="1:22" ht="15.75" thickBot="1" x14ac:dyDescent="0.3">
      <c r="A54" s="82" t="s">
        <v>4683</v>
      </c>
      <c r="B54" s="82" t="s">
        <v>4683</v>
      </c>
      <c r="C54" s="82" t="str">
        <f t="shared" si="1"/>
        <v>X</v>
      </c>
      <c r="D54" s="82" t="s">
        <v>42</v>
      </c>
      <c r="E54" s="217" t="s">
        <v>1874</v>
      </c>
      <c r="F54" s="83" t="s">
        <v>1551</v>
      </c>
      <c r="G54" s="125" t="s">
        <v>34</v>
      </c>
      <c r="H54" s="133">
        <v>0.20799999999999999</v>
      </c>
      <c r="I54" s="125" t="s">
        <v>1532</v>
      </c>
      <c r="J54" s="139">
        <f t="shared" si="2"/>
        <v>208</v>
      </c>
      <c r="K54" s="125" t="s">
        <v>484</v>
      </c>
      <c r="L54" s="238" t="str">
        <f t="shared" si="3"/>
        <v>Reciclagem</v>
      </c>
      <c r="M54" s="238" t="s">
        <v>1920</v>
      </c>
      <c r="N54" s="238" t="s">
        <v>1911</v>
      </c>
      <c r="O54" s="91" t="s">
        <v>1553</v>
      </c>
      <c r="P54" s="91" t="s">
        <v>1538</v>
      </c>
      <c r="Q54" s="91" t="s">
        <v>1539</v>
      </c>
      <c r="R54" s="91"/>
      <c r="S54">
        <v>2022</v>
      </c>
      <c r="T54" s="261" t="s">
        <v>3535</v>
      </c>
      <c r="U54" s="261" t="s">
        <v>3606</v>
      </c>
      <c r="V54" t="s">
        <v>42</v>
      </c>
    </row>
    <row r="55" spans="1:22" ht="15.75" thickBot="1" x14ac:dyDescent="0.3">
      <c r="A55" s="82" t="s">
        <v>4683</v>
      </c>
      <c r="B55" s="82" t="s">
        <v>4683</v>
      </c>
      <c r="C55" s="82" t="str">
        <f t="shared" si="1"/>
        <v>X</v>
      </c>
      <c r="D55" s="82" t="s">
        <v>42</v>
      </c>
      <c r="E55" s="217" t="s">
        <v>1875</v>
      </c>
      <c r="F55" s="83" t="s">
        <v>1552</v>
      </c>
      <c r="G55" s="125" t="s">
        <v>34</v>
      </c>
      <c r="H55" s="133">
        <v>0.27</v>
      </c>
      <c r="I55" s="125" t="s">
        <v>1532</v>
      </c>
      <c r="J55" s="139">
        <f t="shared" si="2"/>
        <v>270</v>
      </c>
      <c r="K55" s="125" t="s">
        <v>483</v>
      </c>
      <c r="L55" s="238" t="str">
        <f t="shared" si="3"/>
        <v>Reciclagem</v>
      </c>
      <c r="M55" s="238" t="s">
        <v>1557</v>
      </c>
      <c r="N55" s="238" t="s">
        <v>1922</v>
      </c>
      <c r="O55" s="91" t="s">
        <v>485</v>
      </c>
      <c r="P55" s="91" t="s">
        <v>1538</v>
      </c>
      <c r="Q55" s="91" t="s">
        <v>1539</v>
      </c>
      <c r="R55" s="91"/>
      <c r="S55">
        <v>2022</v>
      </c>
      <c r="T55" s="261" t="s">
        <v>3535</v>
      </c>
      <c r="U55" s="261" t="s">
        <v>3606</v>
      </c>
      <c r="V55" t="s">
        <v>42</v>
      </c>
    </row>
    <row r="56" spans="1:22" ht="15.75" thickBot="1" x14ac:dyDescent="0.3">
      <c r="A56" s="82" t="s">
        <v>4683</v>
      </c>
      <c r="B56" s="82" t="s">
        <v>4683</v>
      </c>
      <c r="C56" s="82" t="str">
        <f t="shared" si="1"/>
        <v>X</v>
      </c>
      <c r="D56" s="82" t="s">
        <v>42</v>
      </c>
      <c r="E56" s="217" t="s">
        <v>1876</v>
      </c>
      <c r="F56" s="83" t="s">
        <v>1557</v>
      </c>
      <c r="G56" s="125" t="s">
        <v>42</v>
      </c>
      <c r="H56" s="133">
        <v>1.54</v>
      </c>
      <c r="I56" s="125" t="s">
        <v>1532</v>
      </c>
      <c r="J56" s="139">
        <f t="shared" si="2"/>
        <v>1540</v>
      </c>
      <c r="K56" s="125" t="s">
        <v>483</v>
      </c>
      <c r="L56" s="238" t="str">
        <f t="shared" si="3"/>
        <v>Reciclagem</v>
      </c>
      <c r="M56" s="238" t="s">
        <v>1557</v>
      </c>
      <c r="N56" s="238" t="s">
        <v>1922</v>
      </c>
      <c r="O56" s="91" t="s">
        <v>485</v>
      </c>
      <c r="P56" s="91" t="s">
        <v>1558</v>
      </c>
      <c r="Q56" s="91" t="s">
        <v>1559</v>
      </c>
      <c r="R56" s="91"/>
      <c r="S56">
        <v>2022</v>
      </c>
      <c r="T56" s="261" t="s">
        <v>3535</v>
      </c>
      <c r="U56" s="261" t="s">
        <v>3606</v>
      </c>
      <c r="V56" t="s">
        <v>42</v>
      </c>
    </row>
    <row r="57" spans="1:22" ht="15.75" thickBot="1" x14ac:dyDescent="0.3">
      <c r="A57" s="82" t="s">
        <v>4683</v>
      </c>
      <c r="B57" s="82" t="s">
        <v>4683</v>
      </c>
      <c r="C57" s="82" t="str">
        <f t="shared" si="1"/>
        <v>X</v>
      </c>
      <c r="D57" s="82" t="s">
        <v>42</v>
      </c>
      <c r="E57" s="217" t="s">
        <v>1877</v>
      </c>
      <c r="F57" s="83" t="s">
        <v>1560</v>
      </c>
      <c r="G57" s="125" t="s">
        <v>42</v>
      </c>
      <c r="H57" s="133">
        <v>2.8000000000000001E-2</v>
      </c>
      <c r="I57" s="125" t="s">
        <v>1532</v>
      </c>
      <c r="J57" s="139">
        <f t="shared" si="2"/>
        <v>28</v>
      </c>
      <c r="K57" s="125" t="s">
        <v>483</v>
      </c>
      <c r="L57" s="238" t="str">
        <f t="shared" si="3"/>
        <v>Reciclagem</v>
      </c>
      <c r="M57" s="238" t="s">
        <v>1560</v>
      </c>
      <c r="N57" s="238" t="s">
        <v>1922</v>
      </c>
      <c r="O57" s="91" t="s">
        <v>485</v>
      </c>
      <c r="P57" s="91" t="s">
        <v>1538</v>
      </c>
      <c r="Q57" s="91" t="s">
        <v>1539</v>
      </c>
      <c r="R57" s="91"/>
      <c r="S57">
        <v>2022</v>
      </c>
      <c r="T57" s="261" t="s">
        <v>3535</v>
      </c>
      <c r="U57" s="261" t="s">
        <v>3606</v>
      </c>
      <c r="V57" t="s">
        <v>42</v>
      </c>
    </row>
    <row r="58" spans="1:22" ht="15.75" thickBot="1" x14ac:dyDescent="0.3">
      <c r="A58" s="82" t="s">
        <v>4683</v>
      </c>
      <c r="B58" s="82" t="s">
        <v>4683</v>
      </c>
      <c r="C58" s="82" t="str">
        <f t="shared" si="1"/>
        <v>X</v>
      </c>
      <c r="D58" s="82" t="s">
        <v>42</v>
      </c>
      <c r="E58" s="217" t="s">
        <v>1879</v>
      </c>
      <c r="F58" s="83" t="s">
        <v>1562</v>
      </c>
      <c r="G58" s="125" t="s">
        <v>42</v>
      </c>
      <c r="H58" s="133">
        <v>0.34</v>
      </c>
      <c r="I58" s="125" t="s">
        <v>1532</v>
      </c>
      <c r="J58" s="139">
        <f t="shared" si="2"/>
        <v>340</v>
      </c>
      <c r="K58" s="125" t="s">
        <v>483</v>
      </c>
      <c r="L58" s="238" t="str">
        <f t="shared" si="3"/>
        <v>Reciclagem</v>
      </c>
      <c r="M58" s="238" t="s">
        <v>1920</v>
      </c>
      <c r="N58" s="238" t="s">
        <v>1911</v>
      </c>
      <c r="O58" s="91" t="s">
        <v>485</v>
      </c>
      <c r="P58" s="91" t="s">
        <v>1538</v>
      </c>
      <c r="Q58" s="91" t="s">
        <v>1539</v>
      </c>
      <c r="R58" s="91"/>
      <c r="S58">
        <v>2022</v>
      </c>
      <c r="T58" s="261" t="s">
        <v>3535</v>
      </c>
      <c r="U58" s="261" t="s">
        <v>3606</v>
      </c>
      <c r="V58" t="s">
        <v>42</v>
      </c>
    </row>
    <row r="59" spans="1:22" ht="15.75" thickBot="1" x14ac:dyDescent="0.3">
      <c r="A59" s="82" t="s">
        <v>4683</v>
      </c>
      <c r="B59" s="82" t="s">
        <v>4683</v>
      </c>
      <c r="C59" s="82" t="str">
        <f t="shared" si="1"/>
        <v>X</v>
      </c>
      <c r="D59" s="82" t="s">
        <v>42</v>
      </c>
      <c r="E59" s="217" t="s">
        <v>1880</v>
      </c>
      <c r="F59" s="83" t="s">
        <v>1563</v>
      </c>
      <c r="G59" s="125" t="s">
        <v>34</v>
      </c>
      <c r="H59" s="133">
        <v>1.82</v>
      </c>
      <c r="I59" s="125" t="s">
        <v>1532</v>
      </c>
      <c r="J59" s="139">
        <f t="shared" si="2"/>
        <v>1820</v>
      </c>
      <c r="K59" s="125" t="s">
        <v>483</v>
      </c>
      <c r="L59" s="238" t="str">
        <f t="shared" si="3"/>
        <v>Reciclagem</v>
      </c>
      <c r="M59" s="238" t="s">
        <v>1653</v>
      </c>
      <c r="N59" s="238" t="s">
        <v>1896</v>
      </c>
      <c r="O59" s="91" t="s">
        <v>485</v>
      </c>
      <c r="P59" s="91" t="s">
        <v>1558</v>
      </c>
      <c r="Q59" s="91" t="s">
        <v>1559</v>
      </c>
      <c r="R59" s="91"/>
      <c r="S59">
        <v>2022</v>
      </c>
      <c r="T59" s="261" t="s">
        <v>3535</v>
      </c>
      <c r="U59" s="261" t="s">
        <v>3606</v>
      </c>
      <c r="V59" t="s">
        <v>42</v>
      </c>
    </row>
    <row r="60" spans="1:22" ht="15.75" thickBot="1" x14ac:dyDescent="0.3">
      <c r="A60" s="114" t="s">
        <v>3514</v>
      </c>
      <c r="B60" s="82" t="str">
        <f t="shared" si="4"/>
        <v>Barraqueiro Transportes, S.A.</v>
      </c>
      <c r="C60" s="82" t="str">
        <f t="shared" si="1"/>
        <v>Sede</v>
      </c>
      <c r="D60" s="82" t="s">
        <v>34</v>
      </c>
      <c r="E60" s="218" t="s">
        <v>1865</v>
      </c>
      <c r="F60" s="115" t="s">
        <v>1531</v>
      </c>
      <c r="G60" s="138" t="s">
        <v>34</v>
      </c>
      <c r="H60" s="326">
        <v>0</v>
      </c>
      <c r="I60" s="138" t="s">
        <v>1532</v>
      </c>
      <c r="J60" s="139">
        <f t="shared" si="2"/>
        <v>0</v>
      </c>
      <c r="K60" s="138" t="s">
        <v>480</v>
      </c>
      <c r="L60" s="238" t="str">
        <f t="shared" si="3"/>
        <v>Reciclagem</v>
      </c>
      <c r="M60" s="238" t="s">
        <v>1921</v>
      </c>
      <c r="N60" s="238" t="s">
        <v>1896</v>
      </c>
      <c r="O60" s="114" t="str">
        <f>IFERROR(INDEX(Tabela3[Tipos de Tratamento],MATCH('A3.9.1 copy'!K60,Tabela3[Código],0)),"")</f>
        <v xml:space="preserve">Regeneração de óleos e outras reutilizações de óleos </v>
      </c>
      <c r="P60" s="114" t="s">
        <v>1535</v>
      </c>
      <c r="Q60" s="114" t="s">
        <v>1536</v>
      </c>
      <c r="R60" s="114"/>
      <c r="S60">
        <v>2022</v>
      </c>
      <c r="T60" s="261" t="s">
        <v>3535</v>
      </c>
      <c r="U60" s="261" t="s">
        <v>3606</v>
      </c>
      <c r="V60" t="s">
        <v>42</v>
      </c>
    </row>
    <row r="61" spans="1:22" ht="15.75" thickBot="1" x14ac:dyDescent="0.3">
      <c r="A61" s="114" t="s">
        <v>3507</v>
      </c>
      <c r="B61" s="82" t="str">
        <f t="shared" si="4"/>
        <v>Barraqueiro Transportes, S.A.</v>
      </c>
      <c r="C61" s="82" t="str">
        <f t="shared" si="1"/>
        <v>Estremadura</v>
      </c>
      <c r="D61" s="82" t="s">
        <v>34</v>
      </c>
      <c r="E61" s="218" t="s">
        <v>1865</v>
      </c>
      <c r="F61" s="115" t="s">
        <v>1531</v>
      </c>
      <c r="G61" s="138" t="s">
        <v>34</v>
      </c>
      <c r="H61" s="326">
        <f>100%*5.321</f>
        <v>5.3209999999999997</v>
      </c>
      <c r="I61" s="138" t="s">
        <v>1532</v>
      </c>
      <c r="J61" s="139">
        <f t="shared" si="2"/>
        <v>5321</v>
      </c>
      <c r="K61" s="138" t="s">
        <v>480</v>
      </c>
      <c r="L61" s="238" t="str">
        <f t="shared" si="3"/>
        <v>Reciclagem</v>
      </c>
      <c r="M61" s="238" t="s">
        <v>1921</v>
      </c>
      <c r="N61" s="238" t="s">
        <v>1896</v>
      </c>
      <c r="O61" s="114" t="str">
        <f>IFERROR(INDEX(Tabela3[Tipos de Tratamento],MATCH('A3.9.1 copy'!K61,Tabela3[Código],0)),"")</f>
        <v xml:space="preserve">Regeneração de óleos e outras reutilizações de óleos </v>
      </c>
      <c r="P61" s="114" t="s">
        <v>1535</v>
      </c>
      <c r="Q61" s="114" t="s">
        <v>1536</v>
      </c>
      <c r="R61" s="114"/>
      <c r="S61">
        <v>2022</v>
      </c>
      <c r="T61" s="261" t="s">
        <v>3535</v>
      </c>
      <c r="U61" s="261" t="s">
        <v>3606</v>
      </c>
      <c r="V61" t="s">
        <v>42</v>
      </c>
    </row>
    <row r="62" spans="1:22" ht="15.75" thickBot="1" x14ac:dyDescent="0.3">
      <c r="A62" s="114" t="s">
        <v>3514</v>
      </c>
      <c r="B62" s="82" t="str">
        <f t="shared" si="4"/>
        <v>Barraqueiro Transportes, S.A.</v>
      </c>
      <c r="C62" s="82" t="str">
        <f t="shared" si="1"/>
        <v>Sede</v>
      </c>
      <c r="D62" s="82" t="s">
        <v>34</v>
      </c>
      <c r="E62" s="218" t="s">
        <v>1868</v>
      </c>
      <c r="F62" s="115" t="s">
        <v>1537</v>
      </c>
      <c r="G62" s="138" t="s">
        <v>42</v>
      </c>
      <c r="H62" s="326">
        <f>30%*0.474</f>
        <v>0.14219999999999999</v>
      </c>
      <c r="I62" s="138" t="s">
        <v>1532</v>
      </c>
      <c r="J62" s="139">
        <f t="shared" si="2"/>
        <v>142.19999999999999</v>
      </c>
      <c r="K62" s="138" t="s">
        <v>483</v>
      </c>
      <c r="L62" s="238" t="str">
        <f t="shared" si="3"/>
        <v>Reciclagem</v>
      </c>
      <c r="M62" s="238" t="s">
        <v>1923</v>
      </c>
      <c r="N62" s="238" t="s">
        <v>1922</v>
      </c>
      <c r="O62" s="114" t="str">
        <f>IFERROR(INDEX(Tabela3[Tipos de Tratamento],MATCH('A3.9.1 copy'!K62,Tabela3[Código],0)),"")</f>
        <v xml:space="preserve">Troca de resíduos com vista a submetê-los a uma das operações enumeradas de R 1 a R 11 </v>
      </c>
      <c r="P62" s="114" t="s">
        <v>1538</v>
      </c>
      <c r="Q62" s="114" t="s">
        <v>1539</v>
      </c>
      <c r="R62" s="114"/>
      <c r="S62">
        <v>2022</v>
      </c>
      <c r="T62" s="261" t="s">
        <v>3535</v>
      </c>
      <c r="U62" s="261" t="s">
        <v>3606</v>
      </c>
      <c r="V62" t="s">
        <v>42</v>
      </c>
    </row>
    <row r="63" spans="1:22" ht="15.75" thickBot="1" x14ac:dyDescent="0.3">
      <c r="A63" s="114" t="s">
        <v>3507</v>
      </c>
      <c r="B63" s="82" t="str">
        <f t="shared" si="4"/>
        <v>Barraqueiro Transportes, S.A.</v>
      </c>
      <c r="C63" s="82" t="str">
        <f t="shared" si="1"/>
        <v>Estremadura</v>
      </c>
      <c r="D63" s="82" t="s">
        <v>34</v>
      </c>
      <c r="E63" s="218" t="s">
        <v>1868</v>
      </c>
      <c r="F63" s="115" t="s">
        <v>1537</v>
      </c>
      <c r="G63" s="138" t="s">
        <v>42</v>
      </c>
      <c r="H63" s="326">
        <f>70%*0.474</f>
        <v>0.33179999999999998</v>
      </c>
      <c r="I63" s="138" t="s">
        <v>1532</v>
      </c>
      <c r="J63" s="139">
        <f t="shared" si="2"/>
        <v>331.8</v>
      </c>
      <c r="K63" s="138" t="s">
        <v>483</v>
      </c>
      <c r="L63" s="238" t="str">
        <f t="shared" si="3"/>
        <v>Reciclagem</v>
      </c>
      <c r="M63" s="238" t="s">
        <v>1923</v>
      </c>
      <c r="N63" s="238" t="s">
        <v>1922</v>
      </c>
      <c r="O63" s="114" t="str">
        <f>IFERROR(INDEX(Tabela3[Tipos de Tratamento],MATCH('A3.9.1 copy'!K63,Tabela3[Código],0)),"")</f>
        <v xml:space="preserve">Troca de resíduos com vista a submetê-los a uma das operações enumeradas de R 1 a R 11 </v>
      </c>
      <c r="P63" s="114" t="s">
        <v>1538</v>
      </c>
      <c r="Q63" s="114" t="s">
        <v>1539</v>
      </c>
      <c r="R63" s="114"/>
      <c r="S63">
        <v>2022</v>
      </c>
      <c r="T63" s="261" t="s">
        <v>3535</v>
      </c>
      <c r="U63" s="261" t="s">
        <v>3606</v>
      </c>
      <c r="V63" t="s">
        <v>42</v>
      </c>
    </row>
    <row r="64" spans="1:22" ht="15.75" thickBot="1" x14ac:dyDescent="0.3">
      <c r="A64" s="114" t="s">
        <v>3514</v>
      </c>
      <c r="B64" s="82" t="str">
        <f t="shared" si="4"/>
        <v>Barraqueiro Transportes, S.A.</v>
      </c>
      <c r="C64" s="82" t="str">
        <f t="shared" si="1"/>
        <v>Sede</v>
      </c>
      <c r="D64" s="82" t="s">
        <v>34</v>
      </c>
      <c r="E64" s="218" t="s">
        <v>1868</v>
      </c>
      <c r="F64" s="115" t="s">
        <v>1537</v>
      </c>
      <c r="G64" s="138" t="s">
        <v>42</v>
      </c>
      <c r="H64" s="326">
        <f>30%*0.5</f>
        <v>0.15</v>
      </c>
      <c r="I64" s="138" t="s">
        <v>1532</v>
      </c>
      <c r="J64" s="139">
        <f t="shared" si="2"/>
        <v>150</v>
      </c>
      <c r="K64" s="138" t="s">
        <v>483</v>
      </c>
      <c r="L64" s="238" t="str">
        <f t="shared" si="3"/>
        <v>Reciclagem</v>
      </c>
      <c r="M64" s="238" t="s">
        <v>1923</v>
      </c>
      <c r="N64" s="238" t="s">
        <v>1922</v>
      </c>
      <c r="O64" s="114" t="str">
        <f>IFERROR(INDEX(Tabela3[Tipos de Tratamento],MATCH('A3.9.1 copy'!K64,Tabela3[Código],0)),"")</f>
        <v xml:space="preserve">Troca de resíduos com vista a submetê-los a uma das operações enumeradas de R 1 a R 11 </v>
      </c>
      <c r="P64" s="114" t="s">
        <v>1540</v>
      </c>
      <c r="Q64" s="114" t="s">
        <v>1541</v>
      </c>
      <c r="R64" s="114"/>
      <c r="S64">
        <v>2022</v>
      </c>
      <c r="T64" s="261" t="s">
        <v>3535</v>
      </c>
      <c r="U64" s="261" t="s">
        <v>3606</v>
      </c>
      <c r="V64" t="s">
        <v>42</v>
      </c>
    </row>
    <row r="65" spans="1:22" ht="15.75" thickBot="1" x14ac:dyDescent="0.3">
      <c r="A65" s="114" t="s">
        <v>3507</v>
      </c>
      <c r="B65" s="82" t="str">
        <f t="shared" si="4"/>
        <v>Barraqueiro Transportes, S.A.</v>
      </c>
      <c r="C65" s="82" t="str">
        <f t="shared" si="1"/>
        <v>Estremadura</v>
      </c>
      <c r="D65" s="82" t="s">
        <v>34</v>
      </c>
      <c r="E65" s="218" t="s">
        <v>1868</v>
      </c>
      <c r="F65" s="115" t="s">
        <v>1537</v>
      </c>
      <c r="G65" s="138" t="s">
        <v>42</v>
      </c>
      <c r="H65" s="326">
        <f>70%*0.5</f>
        <v>0.35</v>
      </c>
      <c r="I65" s="138" t="s">
        <v>1532</v>
      </c>
      <c r="J65" s="139">
        <f t="shared" si="2"/>
        <v>350</v>
      </c>
      <c r="K65" s="138" t="s">
        <v>483</v>
      </c>
      <c r="L65" s="238" t="str">
        <f t="shared" si="3"/>
        <v>Reciclagem</v>
      </c>
      <c r="M65" s="238" t="s">
        <v>1923</v>
      </c>
      <c r="N65" s="238" t="s">
        <v>1922</v>
      </c>
      <c r="O65" s="114" t="str">
        <f>IFERROR(INDEX(Tabela3[Tipos de Tratamento],MATCH('A3.9.1 copy'!K65,Tabela3[Código],0)),"")</f>
        <v xml:space="preserve">Troca de resíduos com vista a submetê-los a uma das operações enumeradas de R 1 a R 11 </v>
      </c>
      <c r="P65" s="114" t="s">
        <v>1540</v>
      </c>
      <c r="Q65" s="114" t="s">
        <v>1541</v>
      </c>
      <c r="R65" s="114"/>
      <c r="S65">
        <v>2022</v>
      </c>
      <c r="T65" s="261" t="s">
        <v>3535</v>
      </c>
      <c r="U65" s="261" t="s">
        <v>3606</v>
      </c>
      <c r="V65" t="s">
        <v>42</v>
      </c>
    </row>
    <row r="66" spans="1:22" ht="15.75" thickBot="1" x14ac:dyDescent="0.3">
      <c r="A66" s="114" t="s">
        <v>3514</v>
      </c>
      <c r="B66" s="82" t="str">
        <f t="shared" si="4"/>
        <v>Barraqueiro Transportes, S.A.</v>
      </c>
      <c r="C66" s="82" t="str">
        <f t="shared" si="1"/>
        <v>Sede</v>
      </c>
      <c r="D66" s="82" t="s">
        <v>34</v>
      </c>
      <c r="E66" s="218" t="s">
        <v>1870</v>
      </c>
      <c r="F66" s="115" t="s">
        <v>1542</v>
      </c>
      <c r="G66" s="138" t="s">
        <v>34</v>
      </c>
      <c r="H66" s="326">
        <v>0</v>
      </c>
      <c r="I66" s="138" t="s">
        <v>1532</v>
      </c>
      <c r="J66" s="139">
        <f t="shared" si="2"/>
        <v>0</v>
      </c>
      <c r="K66" s="138" t="s">
        <v>484</v>
      </c>
      <c r="L66" s="238" t="str">
        <f t="shared" si="3"/>
        <v>Reciclagem</v>
      </c>
      <c r="M66" s="238" t="s">
        <v>1920</v>
      </c>
      <c r="N66" s="238" t="s">
        <v>1911</v>
      </c>
      <c r="O66" s="114" t="str">
        <f>IFERROR(INDEX(Tabela3[Tipos de Tratamento],MATCH('A3.9.1 copy'!K66,Tabela3[Código],0)),"")</f>
        <v>Acumulação de resíduos destinados a uma das operações enumeradas de R1 a R12</v>
      </c>
      <c r="P66" s="114" t="s">
        <v>1538</v>
      </c>
      <c r="Q66" s="114" t="s">
        <v>1539</v>
      </c>
      <c r="R66" s="114"/>
      <c r="S66">
        <v>2022</v>
      </c>
      <c r="T66" s="261" t="s">
        <v>3535</v>
      </c>
      <c r="U66" s="261" t="s">
        <v>3606</v>
      </c>
      <c r="V66" t="s">
        <v>42</v>
      </c>
    </row>
    <row r="67" spans="1:22" ht="15.75" thickBot="1" x14ac:dyDescent="0.3">
      <c r="A67" s="114" t="s">
        <v>3507</v>
      </c>
      <c r="B67" s="82" t="str">
        <f t="shared" ref="B67:B98" si="5">LEFT(A67,IFERROR(FIND(" - ",A67)-1,LEN(A67)))</f>
        <v>Barraqueiro Transportes, S.A.</v>
      </c>
      <c r="C67" s="82" t="str">
        <f t="shared" ref="C67:C130" si="6">IF(A67=B67,"X",RIGHT(A67,LEN(A67)-LEN(B67)-3))</f>
        <v>Estremadura</v>
      </c>
      <c r="D67" s="82" t="s">
        <v>34</v>
      </c>
      <c r="E67" s="218" t="s">
        <v>1870</v>
      </c>
      <c r="F67" s="115" t="s">
        <v>1542</v>
      </c>
      <c r="G67" s="138" t="s">
        <v>34</v>
      </c>
      <c r="H67" s="326">
        <f>100%*0.09</f>
        <v>0.09</v>
      </c>
      <c r="I67" s="138" t="s">
        <v>1532</v>
      </c>
      <c r="J67" s="139">
        <f t="shared" ref="J67:J130" si="7">IF(LEFT(I67,3)="ton",1000*H67,H67)</f>
        <v>90</v>
      </c>
      <c r="K67" s="138" t="s">
        <v>484</v>
      </c>
      <c r="L67" s="238" t="str">
        <f t="shared" ref="L67:L130" si="8">IF(LEFT(K67,1)="R","Reciclagem",IF(OR(K67="D10",K67="D11"),"Iceneração","Aterro"))</f>
        <v>Reciclagem</v>
      </c>
      <c r="M67" s="238" t="s">
        <v>1920</v>
      </c>
      <c r="N67" s="238" t="s">
        <v>1911</v>
      </c>
      <c r="O67" s="114" t="str">
        <f>IFERROR(INDEX(Tabela3[Tipos de Tratamento],MATCH('A3.9.1 copy'!K67,Tabela3[Código],0)),"")</f>
        <v>Acumulação de resíduos destinados a uma das operações enumeradas de R1 a R12</v>
      </c>
      <c r="P67" s="114" t="s">
        <v>1538</v>
      </c>
      <c r="Q67" s="114" t="s">
        <v>1539</v>
      </c>
      <c r="R67" s="114"/>
      <c r="S67">
        <v>2022</v>
      </c>
      <c r="T67" s="261" t="s">
        <v>3535</v>
      </c>
      <c r="U67" s="261" t="s">
        <v>3606</v>
      </c>
      <c r="V67" t="s">
        <v>42</v>
      </c>
    </row>
    <row r="68" spans="1:22" ht="15.75" thickBot="1" x14ac:dyDescent="0.3">
      <c r="A68" s="114" t="s">
        <v>3514</v>
      </c>
      <c r="B68" s="82" t="str">
        <f t="shared" si="5"/>
        <v>Barraqueiro Transportes, S.A.</v>
      </c>
      <c r="C68" s="82" t="str">
        <f t="shared" si="6"/>
        <v>Sede</v>
      </c>
      <c r="D68" s="82" t="s">
        <v>34</v>
      </c>
      <c r="E68" s="218" t="s">
        <v>1871</v>
      </c>
      <c r="F68" s="115" t="s">
        <v>1548</v>
      </c>
      <c r="G68" s="138" t="s">
        <v>34</v>
      </c>
      <c r="H68" s="326">
        <f>30%*0.036</f>
        <v>1.0799999999999999E-2</v>
      </c>
      <c r="I68" s="138" t="s">
        <v>1532</v>
      </c>
      <c r="J68" s="139">
        <f t="shared" si="7"/>
        <v>10.799999999999999</v>
      </c>
      <c r="K68" s="138" t="s">
        <v>484</v>
      </c>
      <c r="L68" s="238" t="str">
        <f t="shared" si="8"/>
        <v>Reciclagem</v>
      </c>
      <c r="M68" s="238" t="s">
        <v>1925</v>
      </c>
      <c r="N68" s="238" t="s">
        <v>1922</v>
      </c>
      <c r="O68" s="114" t="str">
        <f>IFERROR(INDEX(Tabela3[Tipos de Tratamento],MATCH('A3.9.1 copy'!K68,Tabela3[Código],0)),"")</f>
        <v>Acumulação de resíduos destinados a uma das operações enumeradas de R1 a R12</v>
      </c>
      <c r="P68" s="114" t="s">
        <v>1538</v>
      </c>
      <c r="Q68" s="114" t="s">
        <v>1539</v>
      </c>
      <c r="R68" s="114"/>
      <c r="S68">
        <v>2022</v>
      </c>
      <c r="T68" s="261" t="s">
        <v>3535</v>
      </c>
      <c r="U68" s="261" t="s">
        <v>3606</v>
      </c>
      <c r="V68" t="s">
        <v>42</v>
      </c>
    </row>
    <row r="69" spans="1:22" ht="15.75" thickBot="1" x14ac:dyDescent="0.3">
      <c r="A69" s="114" t="s">
        <v>3507</v>
      </c>
      <c r="B69" s="82" t="str">
        <f t="shared" si="5"/>
        <v>Barraqueiro Transportes, S.A.</v>
      </c>
      <c r="C69" s="82" t="str">
        <f t="shared" si="6"/>
        <v>Estremadura</v>
      </c>
      <c r="D69" s="82" t="s">
        <v>34</v>
      </c>
      <c r="E69" s="218" t="s">
        <v>1871</v>
      </c>
      <c r="F69" s="115" t="s">
        <v>1549</v>
      </c>
      <c r="G69" s="138" t="s">
        <v>34</v>
      </c>
      <c r="H69" s="326">
        <f>70%*0.036</f>
        <v>2.5199999999999997E-2</v>
      </c>
      <c r="I69" s="138" t="s">
        <v>1532</v>
      </c>
      <c r="J69" s="139">
        <f t="shared" si="7"/>
        <v>25.199999999999996</v>
      </c>
      <c r="K69" s="138" t="s">
        <v>484</v>
      </c>
      <c r="L69" s="238" t="str">
        <f t="shared" si="8"/>
        <v>Reciclagem</v>
      </c>
      <c r="M69" s="238" t="s">
        <v>1925</v>
      </c>
      <c r="N69" s="238" t="s">
        <v>1922</v>
      </c>
      <c r="O69" s="114" t="str">
        <f>IFERROR(INDEX(Tabela3[Tipos de Tratamento],MATCH('A3.9.1 copy'!K69,Tabela3[Código],0)),"")</f>
        <v>Acumulação de resíduos destinados a uma das operações enumeradas de R1 a R12</v>
      </c>
      <c r="P69" s="114" t="s">
        <v>1538</v>
      </c>
      <c r="Q69" s="114" t="s">
        <v>1539</v>
      </c>
      <c r="R69" s="114"/>
      <c r="S69">
        <v>2022</v>
      </c>
      <c r="T69" s="261" t="s">
        <v>3535</v>
      </c>
      <c r="U69" s="261" t="s">
        <v>3606</v>
      </c>
      <c r="V69" t="s">
        <v>42</v>
      </c>
    </row>
    <row r="70" spans="1:22" ht="15.75" thickBot="1" x14ac:dyDescent="0.3">
      <c r="A70" s="114" t="s">
        <v>3514</v>
      </c>
      <c r="B70" s="82" t="str">
        <f t="shared" si="5"/>
        <v>Barraqueiro Transportes, S.A.</v>
      </c>
      <c r="C70" s="82" t="str">
        <f t="shared" si="6"/>
        <v>Sede</v>
      </c>
      <c r="D70" s="82" t="s">
        <v>34</v>
      </c>
      <c r="E70" s="218" t="s">
        <v>1872</v>
      </c>
      <c r="F70" s="115" t="s">
        <v>1547</v>
      </c>
      <c r="G70" s="138" t="s">
        <v>34</v>
      </c>
      <c r="H70" s="326">
        <f>30%*0.28</f>
        <v>8.4000000000000005E-2</v>
      </c>
      <c r="I70" s="138" t="s">
        <v>1532</v>
      </c>
      <c r="J70" s="139">
        <f t="shared" si="7"/>
        <v>84</v>
      </c>
      <c r="K70" s="138" t="s">
        <v>484</v>
      </c>
      <c r="L70" s="238" t="str">
        <f t="shared" si="8"/>
        <v>Reciclagem</v>
      </c>
      <c r="M70" s="238" t="s">
        <v>1920</v>
      </c>
      <c r="N70" s="238" t="s">
        <v>1911</v>
      </c>
      <c r="O70" s="114" t="str">
        <f>IFERROR(INDEX(Tabela3[Tipos de Tratamento],MATCH('A3.9.1 copy'!K70,Tabela3[Código],0)),"")</f>
        <v>Acumulação de resíduos destinados a uma das operações enumeradas de R1 a R12</v>
      </c>
      <c r="P70" s="114" t="s">
        <v>1538</v>
      </c>
      <c r="Q70" s="114" t="s">
        <v>1539</v>
      </c>
      <c r="R70" s="114"/>
      <c r="S70">
        <v>2022</v>
      </c>
      <c r="T70" s="261" t="s">
        <v>3535</v>
      </c>
      <c r="U70" s="261" t="s">
        <v>3606</v>
      </c>
      <c r="V70" t="s">
        <v>42</v>
      </c>
    </row>
    <row r="71" spans="1:22" ht="15.75" thickBot="1" x14ac:dyDescent="0.3">
      <c r="A71" s="114" t="s">
        <v>3507</v>
      </c>
      <c r="B71" s="82" t="str">
        <f t="shared" si="5"/>
        <v>Barraqueiro Transportes, S.A.</v>
      </c>
      <c r="C71" s="82" t="str">
        <f t="shared" si="6"/>
        <v>Estremadura</v>
      </c>
      <c r="D71" s="82" t="s">
        <v>34</v>
      </c>
      <c r="E71" s="218" t="s">
        <v>1872</v>
      </c>
      <c r="F71" s="115" t="s">
        <v>1547</v>
      </c>
      <c r="G71" s="138" t="s">
        <v>34</v>
      </c>
      <c r="H71" s="326">
        <f>70%*0.28</f>
        <v>0.19600000000000001</v>
      </c>
      <c r="I71" s="138" t="s">
        <v>1532</v>
      </c>
      <c r="J71" s="139">
        <f t="shared" si="7"/>
        <v>196</v>
      </c>
      <c r="K71" s="138" t="s">
        <v>484</v>
      </c>
      <c r="L71" s="238" t="str">
        <f t="shared" si="8"/>
        <v>Reciclagem</v>
      </c>
      <c r="M71" s="238" t="s">
        <v>1920</v>
      </c>
      <c r="N71" s="238" t="s">
        <v>1911</v>
      </c>
      <c r="O71" s="114" t="str">
        <f>IFERROR(INDEX(Tabela3[Tipos de Tratamento],MATCH('A3.9.1 copy'!K71,Tabela3[Código],0)),"")</f>
        <v>Acumulação de resíduos destinados a uma das operações enumeradas de R1 a R12</v>
      </c>
      <c r="P71" s="114" t="s">
        <v>1538</v>
      </c>
      <c r="Q71" s="114" t="s">
        <v>1539</v>
      </c>
      <c r="R71" s="114"/>
      <c r="S71">
        <v>2022</v>
      </c>
      <c r="T71" s="261" t="s">
        <v>3535</v>
      </c>
      <c r="U71" s="261" t="s">
        <v>3606</v>
      </c>
      <c r="V71" t="s">
        <v>42</v>
      </c>
    </row>
    <row r="72" spans="1:22" ht="15.75" thickBot="1" x14ac:dyDescent="0.3">
      <c r="A72" s="114" t="s">
        <v>3514</v>
      </c>
      <c r="B72" s="82" t="str">
        <f t="shared" si="5"/>
        <v>Barraqueiro Transportes, S.A.</v>
      </c>
      <c r="C72" s="82" t="str">
        <f t="shared" si="6"/>
        <v>Sede</v>
      </c>
      <c r="D72" s="82" t="s">
        <v>34</v>
      </c>
      <c r="E72" s="218" t="s">
        <v>1873</v>
      </c>
      <c r="F72" s="115" t="s">
        <v>1550</v>
      </c>
      <c r="G72" s="138" t="s">
        <v>42</v>
      </c>
      <c r="H72" s="326">
        <f>0.3*1.4</f>
        <v>0.42</v>
      </c>
      <c r="I72" s="138" t="s">
        <v>1532</v>
      </c>
      <c r="J72" s="139">
        <f t="shared" si="7"/>
        <v>420</v>
      </c>
      <c r="K72" s="138" t="s">
        <v>483</v>
      </c>
      <c r="L72" s="238" t="str">
        <f t="shared" si="8"/>
        <v>Reciclagem</v>
      </c>
      <c r="M72" s="238" t="s">
        <v>1920</v>
      </c>
      <c r="N72" s="238" t="s">
        <v>1911</v>
      </c>
      <c r="O72" s="114" t="str">
        <f>IFERROR(INDEX(Tabela3[Tipos de Tratamento],MATCH('A3.9.1 copy'!K72,Tabela3[Código],0)),"")</f>
        <v xml:space="preserve">Troca de resíduos com vista a submetê-los a uma das operações enumeradas de R 1 a R 11 </v>
      </c>
      <c r="P72" s="114" t="s">
        <v>1538</v>
      </c>
      <c r="Q72" s="114" t="s">
        <v>1539</v>
      </c>
      <c r="R72" s="114"/>
      <c r="S72">
        <v>2022</v>
      </c>
      <c r="T72" s="261" t="s">
        <v>3535</v>
      </c>
      <c r="U72" s="261" t="s">
        <v>3606</v>
      </c>
      <c r="V72" t="s">
        <v>42</v>
      </c>
    </row>
    <row r="73" spans="1:22" ht="15.75" thickBot="1" x14ac:dyDescent="0.3">
      <c r="A73" s="114" t="s">
        <v>3507</v>
      </c>
      <c r="B73" s="82" t="str">
        <f t="shared" si="5"/>
        <v>Barraqueiro Transportes, S.A.</v>
      </c>
      <c r="C73" s="82" t="str">
        <f t="shared" si="6"/>
        <v>Estremadura</v>
      </c>
      <c r="D73" s="82" t="s">
        <v>34</v>
      </c>
      <c r="E73" s="218" t="s">
        <v>1873</v>
      </c>
      <c r="F73" s="115" t="s">
        <v>1550</v>
      </c>
      <c r="G73" s="138" t="s">
        <v>42</v>
      </c>
      <c r="H73" s="326">
        <f>0.7*1.4</f>
        <v>0.97999999999999987</v>
      </c>
      <c r="I73" s="138" t="s">
        <v>1532</v>
      </c>
      <c r="J73" s="139">
        <f t="shared" si="7"/>
        <v>979.99999999999989</v>
      </c>
      <c r="K73" s="138" t="s">
        <v>483</v>
      </c>
      <c r="L73" s="238" t="str">
        <f t="shared" si="8"/>
        <v>Reciclagem</v>
      </c>
      <c r="M73" s="238" t="s">
        <v>1920</v>
      </c>
      <c r="N73" s="238" t="s">
        <v>1911</v>
      </c>
      <c r="O73" s="114" t="str">
        <f>IFERROR(INDEX(Tabela3[Tipos de Tratamento],MATCH('A3.9.1 copy'!K73,Tabela3[Código],0)),"")</f>
        <v xml:space="preserve">Troca de resíduos com vista a submetê-los a uma das operações enumeradas de R 1 a R 11 </v>
      </c>
      <c r="P73" s="114" t="s">
        <v>1538</v>
      </c>
      <c r="Q73" s="114" t="s">
        <v>1539</v>
      </c>
      <c r="R73" s="114"/>
      <c r="S73">
        <v>2022</v>
      </c>
      <c r="T73" s="261" t="s">
        <v>3535</v>
      </c>
      <c r="U73" s="261" t="s">
        <v>3606</v>
      </c>
      <c r="V73" t="s">
        <v>42</v>
      </c>
    </row>
    <row r="74" spans="1:22" ht="15.75" thickBot="1" x14ac:dyDescent="0.3">
      <c r="A74" s="114" t="s">
        <v>3514</v>
      </c>
      <c r="B74" s="82" t="str">
        <f t="shared" si="5"/>
        <v>Barraqueiro Transportes, S.A.</v>
      </c>
      <c r="C74" s="82" t="str">
        <f t="shared" si="6"/>
        <v>Sede</v>
      </c>
      <c r="D74" s="82" t="s">
        <v>34</v>
      </c>
      <c r="E74" s="218" t="s">
        <v>1874</v>
      </c>
      <c r="F74" s="115" t="s">
        <v>1551</v>
      </c>
      <c r="G74" s="138" t="s">
        <v>34</v>
      </c>
      <c r="H74" s="326">
        <v>0</v>
      </c>
      <c r="I74" s="138" t="s">
        <v>1532</v>
      </c>
      <c r="J74" s="139">
        <f t="shared" si="7"/>
        <v>0</v>
      </c>
      <c r="K74" s="138" t="s">
        <v>484</v>
      </c>
      <c r="L74" s="238" t="str">
        <f t="shared" si="8"/>
        <v>Reciclagem</v>
      </c>
      <c r="M74" s="238" t="s">
        <v>1920</v>
      </c>
      <c r="N74" s="238" t="s">
        <v>1911</v>
      </c>
      <c r="O74" s="114" t="str">
        <f>IFERROR(INDEX(Tabela3[Tipos de Tratamento],MATCH('A3.9.1 copy'!K74,Tabela3[Código],0)),"")</f>
        <v>Acumulação de resíduos destinados a uma das operações enumeradas de R1 a R12</v>
      </c>
      <c r="P74" s="114" t="s">
        <v>1538</v>
      </c>
      <c r="Q74" s="114" t="s">
        <v>1539</v>
      </c>
      <c r="R74" s="114"/>
      <c r="S74">
        <v>2022</v>
      </c>
      <c r="T74" s="261" t="s">
        <v>3535</v>
      </c>
      <c r="U74" s="261" t="s">
        <v>3606</v>
      </c>
      <c r="V74" t="s">
        <v>42</v>
      </c>
    </row>
    <row r="75" spans="1:22" ht="15.75" thickBot="1" x14ac:dyDescent="0.3">
      <c r="A75" s="114" t="s">
        <v>3507</v>
      </c>
      <c r="B75" s="82" t="str">
        <f t="shared" si="5"/>
        <v>Barraqueiro Transportes, S.A.</v>
      </c>
      <c r="C75" s="82" t="str">
        <f t="shared" si="6"/>
        <v>Estremadura</v>
      </c>
      <c r="D75" s="82" t="s">
        <v>34</v>
      </c>
      <c r="E75" s="218" t="s">
        <v>1874</v>
      </c>
      <c r="F75" s="115" t="s">
        <v>1551</v>
      </c>
      <c r="G75" s="138" t="s">
        <v>34</v>
      </c>
      <c r="H75" s="326">
        <f>100%*0.52</f>
        <v>0.52</v>
      </c>
      <c r="I75" s="138" t="s">
        <v>1532</v>
      </c>
      <c r="J75" s="139">
        <f t="shared" si="7"/>
        <v>520</v>
      </c>
      <c r="K75" s="138" t="s">
        <v>484</v>
      </c>
      <c r="L75" s="238" t="str">
        <f t="shared" si="8"/>
        <v>Reciclagem</v>
      </c>
      <c r="M75" s="238" t="s">
        <v>1920</v>
      </c>
      <c r="N75" s="238" t="s">
        <v>1911</v>
      </c>
      <c r="O75" s="114" t="str">
        <f>IFERROR(INDEX(Tabela3[Tipos de Tratamento],MATCH('A3.9.1 copy'!K75,Tabela3[Código],0)),"")</f>
        <v>Acumulação de resíduos destinados a uma das operações enumeradas de R1 a R12</v>
      </c>
      <c r="P75" s="114" t="s">
        <v>1538</v>
      </c>
      <c r="Q75" s="114" t="s">
        <v>1539</v>
      </c>
      <c r="R75" s="114"/>
      <c r="S75">
        <v>2022</v>
      </c>
      <c r="T75" s="261" t="s">
        <v>3535</v>
      </c>
      <c r="U75" s="261" t="s">
        <v>3606</v>
      </c>
      <c r="V75" t="s">
        <v>42</v>
      </c>
    </row>
    <row r="76" spans="1:22" ht="15.75" thickBot="1" x14ac:dyDescent="0.3">
      <c r="A76" s="114" t="s">
        <v>3514</v>
      </c>
      <c r="B76" s="82" t="str">
        <f t="shared" si="5"/>
        <v>Barraqueiro Transportes, S.A.</v>
      </c>
      <c r="C76" s="82" t="str">
        <f t="shared" si="6"/>
        <v>Sede</v>
      </c>
      <c r="D76" s="82" t="s">
        <v>34</v>
      </c>
      <c r="E76" s="218" t="s">
        <v>1875</v>
      </c>
      <c r="F76" s="115" t="s">
        <v>1552</v>
      </c>
      <c r="G76" s="138" t="s">
        <v>34</v>
      </c>
      <c r="H76" s="326">
        <v>0</v>
      </c>
      <c r="I76" s="138" t="s">
        <v>1532</v>
      </c>
      <c r="J76" s="139">
        <f t="shared" si="7"/>
        <v>0</v>
      </c>
      <c r="K76" s="138" t="s">
        <v>483</v>
      </c>
      <c r="L76" s="238" t="str">
        <f t="shared" si="8"/>
        <v>Reciclagem</v>
      </c>
      <c r="M76" s="238" t="s">
        <v>1557</v>
      </c>
      <c r="N76" s="238" t="s">
        <v>1922</v>
      </c>
      <c r="O76" s="114" t="str">
        <f>IFERROR(INDEX(Tabela3[Tipos de Tratamento],MATCH('A3.9.1 copy'!K76,Tabela3[Código],0)),"")</f>
        <v xml:space="preserve">Troca de resíduos com vista a submetê-los a uma das operações enumeradas de R 1 a R 11 </v>
      </c>
      <c r="P76" s="114" t="s">
        <v>1538</v>
      </c>
      <c r="Q76" s="114" t="s">
        <v>1539</v>
      </c>
      <c r="R76" s="114"/>
      <c r="S76">
        <v>2022</v>
      </c>
      <c r="T76" s="261" t="s">
        <v>3535</v>
      </c>
      <c r="U76" s="261" t="s">
        <v>3606</v>
      </c>
      <c r="V76" t="s">
        <v>42</v>
      </c>
    </row>
    <row r="77" spans="1:22" ht="15.75" thickBot="1" x14ac:dyDescent="0.3">
      <c r="A77" s="114" t="s">
        <v>3507</v>
      </c>
      <c r="B77" s="82" t="str">
        <f t="shared" si="5"/>
        <v>Barraqueiro Transportes, S.A.</v>
      </c>
      <c r="C77" s="82" t="str">
        <f t="shared" si="6"/>
        <v>Estremadura</v>
      </c>
      <c r="D77" s="82" t="s">
        <v>34</v>
      </c>
      <c r="E77" s="218" t="s">
        <v>1875</v>
      </c>
      <c r="F77" s="115" t="s">
        <v>1552</v>
      </c>
      <c r="G77" s="138" t="s">
        <v>34</v>
      </c>
      <c r="H77" s="326">
        <f>100%*0.54</f>
        <v>0.54</v>
      </c>
      <c r="I77" s="138" t="s">
        <v>1532</v>
      </c>
      <c r="J77" s="139">
        <f t="shared" si="7"/>
        <v>540</v>
      </c>
      <c r="K77" s="138" t="s">
        <v>483</v>
      </c>
      <c r="L77" s="238" t="str">
        <f t="shared" si="8"/>
        <v>Reciclagem</v>
      </c>
      <c r="M77" s="238" t="s">
        <v>1557</v>
      </c>
      <c r="N77" s="238" t="s">
        <v>1922</v>
      </c>
      <c r="O77" s="114" t="str">
        <f>IFERROR(INDEX(Tabela3[Tipos de Tratamento],MATCH('A3.9.1 copy'!K77,Tabela3[Código],0)),"")</f>
        <v xml:space="preserve">Troca de resíduos com vista a submetê-los a uma das operações enumeradas de R 1 a R 11 </v>
      </c>
      <c r="P77" s="114" t="s">
        <v>1538</v>
      </c>
      <c r="Q77" s="114" t="s">
        <v>1539</v>
      </c>
      <c r="R77" s="114"/>
      <c r="S77">
        <v>2022</v>
      </c>
      <c r="T77" s="261" t="s">
        <v>3535</v>
      </c>
      <c r="U77" s="261" t="s">
        <v>3606</v>
      </c>
      <c r="V77" t="s">
        <v>42</v>
      </c>
    </row>
    <row r="78" spans="1:22" ht="15.75" thickBot="1" x14ac:dyDescent="0.3">
      <c r="A78" s="114" t="s">
        <v>3514</v>
      </c>
      <c r="B78" s="82" t="str">
        <f t="shared" si="5"/>
        <v>Barraqueiro Transportes, S.A.</v>
      </c>
      <c r="C78" s="82" t="str">
        <f t="shared" si="6"/>
        <v>Sede</v>
      </c>
      <c r="D78" s="82" t="s">
        <v>34</v>
      </c>
      <c r="E78" s="218" t="s">
        <v>1876</v>
      </c>
      <c r="F78" s="115" t="s">
        <v>1557</v>
      </c>
      <c r="G78" s="138" t="s">
        <v>42</v>
      </c>
      <c r="H78" s="326">
        <v>0</v>
      </c>
      <c r="I78" s="138" t="s">
        <v>1532</v>
      </c>
      <c r="J78" s="139">
        <f t="shared" si="7"/>
        <v>0</v>
      </c>
      <c r="K78" s="138" t="s">
        <v>483</v>
      </c>
      <c r="L78" s="238" t="str">
        <f t="shared" si="8"/>
        <v>Reciclagem</v>
      </c>
      <c r="M78" s="238" t="s">
        <v>1557</v>
      </c>
      <c r="N78" s="238" t="s">
        <v>1922</v>
      </c>
      <c r="O78" s="114" t="str">
        <f>IFERROR(INDEX(Tabela3[Tipos de Tratamento],MATCH('A3.9.1 copy'!K78,Tabela3[Código],0)),"")</f>
        <v xml:space="preserve">Troca de resíduos com vista a submetê-los a uma das operações enumeradas de R 1 a R 11 </v>
      </c>
      <c r="P78" s="114" t="s">
        <v>1558</v>
      </c>
      <c r="Q78" s="114" t="s">
        <v>1559</v>
      </c>
      <c r="R78" s="114"/>
      <c r="S78">
        <v>2022</v>
      </c>
      <c r="T78" s="261" t="s">
        <v>3535</v>
      </c>
      <c r="U78" s="261" t="s">
        <v>3606</v>
      </c>
      <c r="V78" t="s">
        <v>42</v>
      </c>
    </row>
    <row r="79" spans="1:22" ht="15.75" thickBot="1" x14ac:dyDescent="0.3">
      <c r="A79" s="114" t="s">
        <v>3507</v>
      </c>
      <c r="B79" s="82" t="str">
        <f t="shared" si="5"/>
        <v>Barraqueiro Transportes, S.A.</v>
      </c>
      <c r="C79" s="82" t="str">
        <f t="shared" si="6"/>
        <v>Estremadura</v>
      </c>
      <c r="D79" s="82" t="s">
        <v>34</v>
      </c>
      <c r="E79" s="218" t="s">
        <v>1876</v>
      </c>
      <c r="F79" s="115" t="s">
        <v>1557</v>
      </c>
      <c r="G79" s="138" t="s">
        <v>42</v>
      </c>
      <c r="H79" s="326">
        <v>3.2</v>
      </c>
      <c r="I79" s="138" t="s">
        <v>1532</v>
      </c>
      <c r="J79" s="139">
        <f t="shared" si="7"/>
        <v>3200</v>
      </c>
      <c r="K79" s="138" t="s">
        <v>483</v>
      </c>
      <c r="L79" s="238" t="str">
        <f t="shared" si="8"/>
        <v>Reciclagem</v>
      </c>
      <c r="M79" s="238" t="s">
        <v>1557</v>
      </c>
      <c r="N79" s="238" t="s">
        <v>1922</v>
      </c>
      <c r="O79" s="114" t="str">
        <f>IFERROR(INDEX(Tabela3[Tipos de Tratamento],MATCH('A3.9.1 copy'!K79,Tabela3[Código],0)),"")</f>
        <v xml:space="preserve">Troca de resíduos com vista a submetê-los a uma das operações enumeradas de R 1 a R 11 </v>
      </c>
      <c r="P79" s="114" t="s">
        <v>1558</v>
      </c>
      <c r="Q79" s="114" t="s">
        <v>1559</v>
      </c>
      <c r="R79" s="114"/>
      <c r="S79">
        <v>2022</v>
      </c>
      <c r="T79" s="261" t="s">
        <v>3535</v>
      </c>
      <c r="U79" s="261" t="s">
        <v>3606</v>
      </c>
      <c r="V79" t="s">
        <v>42</v>
      </c>
    </row>
    <row r="80" spans="1:22" ht="15.75" thickBot="1" x14ac:dyDescent="0.3">
      <c r="A80" s="114" t="s">
        <v>3514</v>
      </c>
      <c r="B80" s="82" t="str">
        <f t="shared" si="5"/>
        <v>Barraqueiro Transportes, S.A.</v>
      </c>
      <c r="C80" s="82" t="str">
        <f t="shared" si="6"/>
        <v>Sede</v>
      </c>
      <c r="D80" s="82" t="s">
        <v>34</v>
      </c>
      <c r="E80" s="218" t="s">
        <v>1877</v>
      </c>
      <c r="F80" s="115" t="s">
        <v>1560</v>
      </c>
      <c r="G80" s="138" t="s">
        <v>42</v>
      </c>
      <c r="H80" s="326">
        <f>0.3*0.514</f>
        <v>0.1542</v>
      </c>
      <c r="I80" s="138" t="s">
        <v>1532</v>
      </c>
      <c r="J80" s="139">
        <f t="shared" si="7"/>
        <v>154.20000000000002</v>
      </c>
      <c r="K80" s="138" t="s">
        <v>483</v>
      </c>
      <c r="L80" s="238" t="str">
        <f t="shared" si="8"/>
        <v>Reciclagem</v>
      </c>
      <c r="M80" s="238" t="s">
        <v>1560</v>
      </c>
      <c r="N80" s="238" t="s">
        <v>1922</v>
      </c>
      <c r="O80" s="114" t="str">
        <f>IFERROR(INDEX(Tabela3[Tipos de Tratamento],MATCH('A3.9.1 copy'!K80,Tabela3[Código],0)),"")</f>
        <v xml:space="preserve">Troca de resíduos com vista a submetê-los a uma das operações enumeradas de R 1 a R 11 </v>
      </c>
      <c r="P80" s="114" t="s">
        <v>1538</v>
      </c>
      <c r="Q80" s="114" t="s">
        <v>1539</v>
      </c>
      <c r="R80" s="114"/>
      <c r="S80">
        <v>2022</v>
      </c>
      <c r="T80" s="261" t="s">
        <v>3535</v>
      </c>
      <c r="U80" s="261" t="s">
        <v>3606</v>
      </c>
      <c r="V80" t="s">
        <v>42</v>
      </c>
    </row>
    <row r="81" spans="1:22" ht="15.75" thickBot="1" x14ac:dyDescent="0.3">
      <c r="A81" s="114" t="s">
        <v>3507</v>
      </c>
      <c r="B81" s="82" t="str">
        <f t="shared" si="5"/>
        <v>Barraqueiro Transportes, S.A.</v>
      </c>
      <c r="C81" s="82" t="str">
        <f t="shared" si="6"/>
        <v>Estremadura</v>
      </c>
      <c r="D81" s="82" t="s">
        <v>34</v>
      </c>
      <c r="E81" s="218" t="s">
        <v>1877</v>
      </c>
      <c r="F81" s="115" t="s">
        <v>1560</v>
      </c>
      <c r="G81" s="138" t="s">
        <v>42</v>
      </c>
      <c r="H81" s="326">
        <f>0.7*0.514</f>
        <v>0.35980000000000001</v>
      </c>
      <c r="I81" s="138" t="s">
        <v>1532</v>
      </c>
      <c r="J81" s="139">
        <f t="shared" si="7"/>
        <v>359.8</v>
      </c>
      <c r="K81" s="138" t="s">
        <v>483</v>
      </c>
      <c r="L81" s="238" t="str">
        <f t="shared" si="8"/>
        <v>Reciclagem</v>
      </c>
      <c r="M81" s="238" t="s">
        <v>1560</v>
      </c>
      <c r="N81" s="238" t="s">
        <v>1922</v>
      </c>
      <c r="O81" s="114" t="str">
        <f>IFERROR(INDEX(Tabela3[Tipos de Tratamento],MATCH('A3.9.1 copy'!K81,Tabela3[Código],0)),"")</f>
        <v xml:space="preserve">Troca de resíduos com vista a submetê-los a uma das operações enumeradas de R 1 a R 11 </v>
      </c>
      <c r="P81" s="114" t="s">
        <v>1538</v>
      </c>
      <c r="Q81" s="114" t="s">
        <v>1539</v>
      </c>
      <c r="R81" s="114"/>
      <c r="S81">
        <v>2022</v>
      </c>
      <c r="T81" s="261" t="s">
        <v>3535</v>
      </c>
      <c r="U81" s="261" t="s">
        <v>3606</v>
      </c>
      <c r="V81" t="s">
        <v>42</v>
      </c>
    </row>
    <row r="82" spans="1:22" ht="15.75" thickBot="1" x14ac:dyDescent="0.3">
      <c r="A82" s="114" t="s">
        <v>3514</v>
      </c>
      <c r="B82" s="82" t="str">
        <f t="shared" si="5"/>
        <v>Barraqueiro Transportes, S.A.</v>
      </c>
      <c r="C82" s="82" t="str">
        <f t="shared" si="6"/>
        <v>Sede</v>
      </c>
      <c r="D82" s="82" t="s">
        <v>34</v>
      </c>
      <c r="E82" s="218" t="s">
        <v>1587</v>
      </c>
      <c r="F82" s="115" t="s">
        <v>1561</v>
      </c>
      <c r="G82" s="138" t="s">
        <v>42</v>
      </c>
      <c r="H82" s="326">
        <f>0.3*0.661</f>
        <v>0.1983</v>
      </c>
      <c r="I82" s="138" t="s">
        <v>1532</v>
      </c>
      <c r="J82" s="139">
        <f t="shared" si="7"/>
        <v>198.3</v>
      </c>
      <c r="K82" s="138" t="s">
        <v>483</v>
      </c>
      <c r="L82" s="238" t="str">
        <f t="shared" si="8"/>
        <v>Reciclagem</v>
      </c>
      <c r="M82" s="238" t="s">
        <v>1561</v>
      </c>
      <c r="N82" s="238" t="s">
        <v>1922</v>
      </c>
      <c r="O82" s="114" t="str">
        <f>IFERROR(INDEX(Tabela3[Tipos de Tratamento],MATCH('A3.9.1 copy'!K82,Tabela3[Código],0)),"")</f>
        <v xml:space="preserve">Troca de resíduos com vista a submetê-los a uma das operações enumeradas de R 1 a R 11 </v>
      </c>
      <c r="P82" s="114" t="s">
        <v>1538</v>
      </c>
      <c r="Q82" s="114" t="s">
        <v>1539</v>
      </c>
      <c r="R82" s="114"/>
      <c r="S82">
        <v>2022</v>
      </c>
      <c r="T82" s="261" t="s">
        <v>3535</v>
      </c>
      <c r="U82" s="261" t="s">
        <v>3606</v>
      </c>
      <c r="V82" t="s">
        <v>42</v>
      </c>
    </row>
    <row r="83" spans="1:22" ht="15.75" thickBot="1" x14ac:dyDescent="0.3">
      <c r="A83" s="114" t="s">
        <v>3507</v>
      </c>
      <c r="B83" s="82" t="str">
        <f t="shared" si="5"/>
        <v>Barraqueiro Transportes, S.A.</v>
      </c>
      <c r="C83" s="82" t="str">
        <f t="shared" si="6"/>
        <v>Estremadura</v>
      </c>
      <c r="D83" s="82" t="s">
        <v>34</v>
      </c>
      <c r="E83" s="218" t="s">
        <v>1587</v>
      </c>
      <c r="F83" s="115" t="s">
        <v>1561</v>
      </c>
      <c r="G83" s="138" t="s">
        <v>42</v>
      </c>
      <c r="H83" s="326">
        <f>0.7*0.661</f>
        <v>0.4627</v>
      </c>
      <c r="I83" s="138" t="s">
        <v>1532</v>
      </c>
      <c r="J83" s="139">
        <f t="shared" si="7"/>
        <v>462.7</v>
      </c>
      <c r="K83" s="138" t="s">
        <v>483</v>
      </c>
      <c r="L83" s="238" t="str">
        <f t="shared" si="8"/>
        <v>Reciclagem</v>
      </c>
      <c r="M83" s="238" t="s">
        <v>1561</v>
      </c>
      <c r="N83" s="238" t="s">
        <v>1922</v>
      </c>
      <c r="O83" s="114" t="str">
        <f>IFERROR(INDEX(Tabela3[Tipos de Tratamento],MATCH('A3.9.1 copy'!K83,Tabela3[Código],0)),"")</f>
        <v xml:space="preserve">Troca de resíduos com vista a submetê-los a uma das operações enumeradas de R 1 a R 11 </v>
      </c>
      <c r="P83" s="114" t="s">
        <v>1538</v>
      </c>
      <c r="Q83" s="114" t="s">
        <v>1539</v>
      </c>
      <c r="R83" s="114"/>
      <c r="S83">
        <v>2022</v>
      </c>
      <c r="T83" s="261" t="s">
        <v>3535</v>
      </c>
      <c r="U83" s="261" t="s">
        <v>3606</v>
      </c>
      <c r="V83" t="s">
        <v>42</v>
      </c>
    </row>
    <row r="84" spans="1:22" ht="15.75" thickBot="1" x14ac:dyDescent="0.3">
      <c r="A84" s="114" t="s">
        <v>3514</v>
      </c>
      <c r="B84" s="82" t="str">
        <f t="shared" si="5"/>
        <v>Barraqueiro Transportes, S.A.</v>
      </c>
      <c r="C84" s="82" t="str">
        <f t="shared" si="6"/>
        <v>Sede</v>
      </c>
      <c r="D84" s="82" t="s">
        <v>34</v>
      </c>
      <c r="E84" s="218" t="s">
        <v>1879</v>
      </c>
      <c r="F84" s="115" t="s">
        <v>1562</v>
      </c>
      <c r="G84" s="138" t="s">
        <v>42</v>
      </c>
      <c r="H84" s="326">
        <f>0.3*1.038</f>
        <v>0.31140000000000001</v>
      </c>
      <c r="I84" s="138" t="s">
        <v>1532</v>
      </c>
      <c r="J84" s="139">
        <f t="shared" si="7"/>
        <v>311.40000000000003</v>
      </c>
      <c r="K84" s="138" t="s">
        <v>483</v>
      </c>
      <c r="L84" s="238" t="str">
        <f t="shared" si="8"/>
        <v>Reciclagem</v>
      </c>
      <c r="M84" s="238" t="s">
        <v>1920</v>
      </c>
      <c r="N84" s="238" t="s">
        <v>1911</v>
      </c>
      <c r="O84" s="114" t="str">
        <f>IFERROR(INDEX(Tabela3[Tipos de Tratamento],MATCH('A3.9.1 copy'!K84,Tabela3[Código],0)),"")</f>
        <v xml:space="preserve">Troca de resíduos com vista a submetê-los a uma das operações enumeradas de R 1 a R 11 </v>
      </c>
      <c r="P84" s="114" t="s">
        <v>1538</v>
      </c>
      <c r="Q84" s="114" t="s">
        <v>1539</v>
      </c>
      <c r="R84" s="114"/>
      <c r="S84">
        <v>2022</v>
      </c>
      <c r="T84" s="261" t="s">
        <v>3535</v>
      </c>
      <c r="U84" s="261" t="s">
        <v>3606</v>
      </c>
      <c r="V84" t="s">
        <v>42</v>
      </c>
    </row>
    <row r="85" spans="1:22" ht="15.75" thickBot="1" x14ac:dyDescent="0.3">
      <c r="A85" s="114" t="s">
        <v>3507</v>
      </c>
      <c r="B85" s="82" t="str">
        <f t="shared" si="5"/>
        <v>Barraqueiro Transportes, S.A.</v>
      </c>
      <c r="C85" s="82" t="str">
        <f t="shared" si="6"/>
        <v>Estremadura</v>
      </c>
      <c r="D85" s="82" t="s">
        <v>34</v>
      </c>
      <c r="E85" s="218" t="s">
        <v>1879</v>
      </c>
      <c r="F85" s="115" t="s">
        <v>1562</v>
      </c>
      <c r="G85" s="138" t="s">
        <v>42</v>
      </c>
      <c r="H85" s="326">
        <f>0.7*1.038</f>
        <v>0.72660000000000002</v>
      </c>
      <c r="I85" s="138" t="s">
        <v>1532</v>
      </c>
      <c r="J85" s="139">
        <f t="shared" si="7"/>
        <v>726.6</v>
      </c>
      <c r="K85" s="138" t="s">
        <v>483</v>
      </c>
      <c r="L85" s="238" t="str">
        <f t="shared" si="8"/>
        <v>Reciclagem</v>
      </c>
      <c r="M85" s="238" t="s">
        <v>1920</v>
      </c>
      <c r="N85" s="238" t="s">
        <v>1911</v>
      </c>
      <c r="O85" s="114" t="str">
        <f>IFERROR(INDEX(Tabela3[Tipos de Tratamento],MATCH('A3.9.1 copy'!K85,Tabela3[Código],0)),"")</f>
        <v xml:space="preserve">Troca de resíduos com vista a submetê-los a uma das operações enumeradas de R 1 a R 11 </v>
      </c>
      <c r="P85" s="114" t="s">
        <v>1538</v>
      </c>
      <c r="Q85" s="114" t="s">
        <v>1539</v>
      </c>
      <c r="R85" s="114"/>
      <c r="S85">
        <v>2022</v>
      </c>
      <c r="T85" s="261" t="s">
        <v>3535</v>
      </c>
      <c r="U85" s="261" t="s">
        <v>3606</v>
      </c>
      <c r="V85" t="s">
        <v>42</v>
      </c>
    </row>
    <row r="86" spans="1:22" ht="15.75" thickBot="1" x14ac:dyDescent="0.3">
      <c r="A86" s="114" t="s">
        <v>3514</v>
      </c>
      <c r="B86" s="82" t="str">
        <f t="shared" si="5"/>
        <v>Barraqueiro Transportes, S.A.</v>
      </c>
      <c r="C86" s="82" t="str">
        <f t="shared" si="6"/>
        <v>Sede</v>
      </c>
      <c r="D86" s="82" t="s">
        <v>34</v>
      </c>
      <c r="E86" s="218" t="s">
        <v>1880</v>
      </c>
      <c r="F86" s="115" t="s">
        <v>1563</v>
      </c>
      <c r="G86" s="138" t="s">
        <v>34</v>
      </c>
      <c r="H86" s="326">
        <v>0</v>
      </c>
      <c r="I86" s="138" t="s">
        <v>1532</v>
      </c>
      <c r="J86" s="139">
        <f t="shared" si="7"/>
        <v>0</v>
      </c>
      <c r="K86" s="138" t="s">
        <v>483</v>
      </c>
      <c r="L86" s="238" t="str">
        <f t="shared" si="8"/>
        <v>Reciclagem</v>
      </c>
      <c r="M86" s="238" t="s">
        <v>1653</v>
      </c>
      <c r="N86" s="238" t="s">
        <v>1896</v>
      </c>
      <c r="O86" s="114" t="str">
        <f>IFERROR(INDEX(Tabela3[Tipos de Tratamento],MATCH('A3.9.1 copy'!K86,Tabela3[Código],0)),"")</f>
        <v xml:space="preserve">Troca de resíduos com vista a submetê-los a uma das operações enumeradas de R 1 a R 11 </v>
      </c>
      <c r="P86" s="114" t="s">
        <v>1538</v>
      </c>
      <c r="Q86" s="114" t="s">
        <v>1539</v>
      </c>
      <c r="R86" s="114"/>
      <c r="S86">
        <v>2022</v>
      </c>
      <c r="T86" s="261" t="s">
        <v>3535</v>
      </c>
      <c r="U86" s="261" t="s">
        <v>3606</v>
      </c>
      <c r="V86" t="s">
        <v>42</v>
      </c>
    </row>
    <row r="87" spans="1:22" ht="15.75" thickBot="1" x14ac:dyDescent="0.3">
      <c r="A87" s="114" t="s">
        <v>3507</v>
      </c>
      <c r="B87" s="82" t="str">
        <f t="shared" si="5"/>
        <v>Barraqueiro Transportes, S.A.</v>
      </c>
      <c r="C87" s="82" t="str">
        <f t="shared" si="6"/>
        <v>Estremadura</v>
      </c>
      <c r="D87" s="82" t="s">
        <v>34</v>
      </c>
      <c r="E87" s="218" t="s">
        <v>1880</v>
      </c>
      <c r="F87" s="115" t="s">
        <v>1563</v>
      </c>
      <c r="G87" s="138" t="s">
        <v>34</v>
      </c>
      <c r="H87" s="326">
        <f>100%*2.04</f>
        <v>2.04</v>
      </c>
      <c r="I87" s="138" t="s">
        <v>1532</v>
      </c>
      <c r="J87" s="139">
        <f t="shared" si="7"/>
        <v>2040</v>
      </c>
      <c r="K87" s="138" t="s">
        <v>483</v>
      </c>
      <c r="L87" s="238" t="str">
        <f t="shared" si="8"/>
        <v>Reciclagem</v>
      </c>
      <c r="M87" s="238" t="s">
        <v>1653</v>
      </c>
      <c r="N87" s="238" t="s">
        <v>1896</v>
      </c>
      <c r="O87" s="114" t="str">
        <f>IFERROR(INDEX(Tabela3[Tipos de Tratamento],MATCH('A3.9.1 copy'!K87,Tabela3[Código],0)),"")</f>
        <v xml:space="preserve">Troca de resíduos com vista a submetê-los a uma das operações enumeradas de R 1 a R 11 </v>
      </c>
      <c r="P87" s="114" t="s">
        <v>1538</v>
      </c>
      <c r="Q87" s="114" t="s">
        <v>1539</v>
      </c>
      <c r="R87" s="114"/>
      <c r="S87">
        <v>2022</v>
      </c>
      <c r="T87" s="261" t="s">
        <v>3535</v>
      </c>
      <c r="U87" s="261" t="s">
        <v>3606</v>
      </c>
      <c r="V87" t="s">
        <v>42</v>
      </c>
    </row>
    <row r="88" spans="1:22" ht="15.75" thickBot="1" x14ac:dyDescent="0.3">
      <c r="A88" s="114" t="s">
        <v>3514</v>
      </c>
      <c r="B88" s="82" t="str">
        <f t="shared" si="5"/>
        <v>Barraqueiro Transportes, S.A.</v>
      </c>
      <c r="C88" s="82" t="str">
        <f t="shared" si="6"/>
        <v>Sede</v>
      </c>
      <c r="D88" s="82" t="s">
        <v>34</v>
      </c>
      <c r="E88" s="218" t="s">
        <v>1882</v>
      </c>
      <c r="F88" s="115" t="s">
        <v>1597</v>
      </c>
      <c r="G88" s="138" t="s">
        <v>42</v>
      </c>
      <c r="H88" s="326">
        <f>0.3*1.36</f>
        <v>0.40800000000000003</v>
      </c>
      <c r="I88" s="138" t="s">
        <v>1532</v>
      </c>
      <c r="J88" s="139">
        <f t="shared" si="7"/>
        <v>408.00000000000006</v>
      </c>
      <c r="K88" s="138" t="s">
        <v>483</v>
      </c>
      <c r="L88" s="238" t="str">
        <f t="shared" si="8"/>
        <v>Reciclagem</v>
      </c>
      <c r="M88" s="238" t="s">
        <v>1923</v>
      </c>
      <c r="N88" s="238" t="s">
        <v>1922</v>
      </c>
      <c r="O88" s="114" t="str">
        <f>IFERROR(INDEX(Tabela3[Tipos de Tratamento],MATCH('A3.9.1 copy'!K88,Tabela3[Código],0)),"")</f>
        <v xml:space="preserve">Troca de resíduos com vista a submetê-los a uma das operações enumeradas de R 1 a R 11 </v>
      </c>
      <c r="P88" s="114" t="s">
        <v>1540</v>
      </c>
      <c r="Q88" s="114" t="s">
        <v>1541</v>
      </c>
      <c r="R88" s="114"/>
      <c r="S88">
        <v>2022</v>
      </c>
      <c r="T88" s="261" t="s">
        <v>3535</v>
      </c>
      <c r="U88" s="261" t="s">
        <v>3606</v>
      </c>
      <c r="V88" t="s">
        <v>42</v>
      </c>
    </row>
    <row r="89" spans="1:22" ht="15.75" thickBot="1" x14ac:dyDescent="0.3">
      <c r="A89" s="114" t="s">
        <v>3507</v>
      </c>
      <c r="B89" s="82" t="str">
        <f t="shared" si="5"/>
        <v>Barraqueiro Transportes, S.A.</v>
      </c>
      <c r="C89" s="82" t="str">
        <f t="shared" si="6"/>
        <v>Estremadura</v>
      </c>
      <c r="D89" s="82" t="s">
        <v>34</v>
      </c>
      <c r="E89" s="218" t="s">
        <v>1882</v>
      </c>
      <c r="F89" s="115" t="s">
        <v>1597</v>
      </c>
      <c r="G89" s="138" t="s">
        <v>42</v>
      </c>
      <c r="H89" s="326">
        <f>0.7*1.36</f>
        <v>0.95199999999999996</v>
      </c>
      <c r="I89" s="138" t="s">
        <v>1532</v>
      </c>
      <c r="J89" s="139">
        <f t="shared" si="7"/>
        <v>952</v>
      </c>
      <c r="K89" s="138" t="s">
        <v>483</v>
      </c>
      <c r="L89" s="238" t="str">
        <f t="shared" si="8"/>
        <v>Reciclagem</v>
      </c>
      <c r="M89" s="238" t="s">
        <v>1923</v>
      </c>
      <c r="N89" s="238" t="s">
        <v>1922</v>
      </c>
      <c r="O89" s="114" t="str">
        <f>IFERROR(INDEX(Tabela3[Tipos de Tratamento],MATCH('A3.9.1 copy'!K89,Tabela3[Código],0)),"")</f>
        <v xml:space="preserve">Troca de resíduos com vista a submetê-los a uma das operações enumeradas de R 1 a R 11 </v>
      </c>
      <c r="P89" s="114" t="s">
        <v>1540</v>
      </c>
      <c r="Q89" s="114" t="s">
        <v>1541</v>
      </c>
      <c r="R89" s="114"/>
      <c r="S89">
        <v>2022</v>
      </c>
      <c r="T89" s="261" t="s">
        <v>3535</v>
      </c>
      <c r="U89" s="261" t="s">
        <v>3606</v>
      </c>
      <c r="V89" t="s">
        <v>42</v>
      </c>
    </row>
    <row r="90" spans="1:22" ht="15.75" thickBot="1" x14ac:dyDescent="0.3">
      <c r="A90" s="114" t="s">
        <v>3514</v>
      </c>
      <c r="B90" s="82" t="str">
        <f t="shared" si="5"/>
        <v>Barraqueiro Transportes, S.A.</v>
      </c>
      <c r="C90" s="82" t="str">
        <f t="shared" si="6"/>
        <v>Sede</v>
      </c>
      <c r="D90" s="82" t="s">
        <v>34</v>
      </c>
      <c r="E90" s="218" t="s">
        <v>1883</v>
      </c>
      <c r="F90" s="115" t="s">
        <v>1561</v>
      </c>
      <c r="G90" s="138" t="s">
        <v>42</v>
      </c>
      <c r="H90" s="326">
        <f>0.3*0.442</f>
        <v>0.1326</v>
      </c>
      <c r="I90" s="138" t="s">
        <v>1532</v>
      </c>
      <c r="J90" s="139">
        <f t="shared" si="7"/>
        <v>132.6</v>
      </c>
      <c r="K90" s="138" t="s">
        <v>483</v>
      </c>
      <c r="L90" s="238" t="str">
        <f t="shared" si="8"/>
        <v>Reciclagem</v>
      </c>
      <c r="M90" s="238" t="s">
        <v>1561</v>
      </c>
      <c r="N90" s="238" t="s">
        <v>1922</v>
      </c>
      <c r="O90" s="114" t="str">
        <f>IFERROR(INDEX(Tabela3[Tipos de Tratamento],MATCH('A3.9.1 copy'!K90,Tabela3[Código],0)),"")</f>
        <v xml:space="preserve">Troca de resíduos com vista a submetê-los a uma das operações enumeradas de R 1 a R 11 </v>
      </c>
      <c r="P90" s="114" t="s">
        <v>1538</v>
      </c>
      <c r="Q90" s="114" t="s">
        <v>1539</v>
      </c>
      <c r="R90" s="114"/>
      <c r="S90">
        <v>2022</v>
      </c>
      <c r="T90" s="261" t="s">
        <v>3535</v>
      </c>
      <c r="U90" s="261" t="s">
        <v>3606</v>
      </c>
      <c r="V90" t="s">
        <v>42</v>
      </c>
    </row>
    <row r="91" spans="1:22" ht="15.75" thickBot="1" x14ac:dyDescent="0.3">
      <c r="A91" s="114" t="s">
        <v>3507</v>
      </c>
      <c r="B91" s="82" t="str">
        <f t="shared" si="5"/>
        <v>Barraqueiro Transportes, S.A.</v>
      </c>
      <c r="C91" s="82" t="str">
        <f t="shared" si="6"/>
        <v>Estremadura</v>
      </c>
      <c r="D91" s="82" t="s">
        <v>34</v>
      </c>
      <c r="E91" s="218" t="s">
        <v>1883</v>
      </c>
      <c r="F91" s="115" t="s">
        <v>1561</v>
      </c>
      <c r="G91" s="138" t="s">
        <v>42</v>
      </c>
      <c r="H91" s="326">
        <f>0.7*0.442</f>
        <v>0.30940000000000001</v>
      </c>
      <c r="I91" s="138" t="s">
        <v>1532</v>
      </c>
      <c r="J91" s="139">
        <f t="shared" si="7"/>
        <v>309.40000000000003</v>
      </c>
      <c r="K91" s="138" t="s">
        <v>483</v>
      </c>
      <c r="L91" s="238" t="str">
        <f t="shared" si="8"/>
        <v>Reciclagem</v>
      </c>
      <c r="M91" s="238" t="s">
        <v>1561</v>
      </c>
      <c r="N91" s="238" t="s">
        <v>1922</v>
      </c>
      <c r="O91" s="114" t="str">
        <f>IFERROR(INDEX(Tabela3[Tipos de Tratamento],MATCH('A3.9.1 copy'!K91,Tabela3[Código],0)),"")</f>
        <v xml:space="preserve">Troca de resíduos com vista a submetê-los a uma das operações enumeradas de R 1 a R 11 </v>
      </c>
      <c r="P91" s="114" t="s">
        <v>1538</v>
      </c>
      <c r="Q91" s="114" t="s">
        <v>1539</v>
      </c>
      <c r="R91" s="114"/>
      <c r="S91">
        <v>2022</v>
      </c>
      <c r="T91" s="261" t="s">
        <v>3535</v>
      </c>
      <c r="U91" s="261" t="s">
        <v>3606</v>
      </c>
      <c r="V91" t="s">
        <v>42</v>
      </c>
    </row>
    <row r="92" spans="1:22" ht="15.75" thickBot="1" x14ac:dyDescent="0.3">
      <c r="A92" s="114" t="s">
        <v>3514</v>
      </c>
      <c r="B92" s="82" t="str">
        <f t="shared" si="5"/>
        <v>Barraqueiro Transportes, S.A.</v>
      </c>
      <c r="C92" s="82" t="str">
        <f t="shared" si="6"/>
        <v>Sede</v>
      </c>
      <c r="D92" s="82" t="s">
        <v>34</v>
      </c>
      <c r="E92" s="218" t="s">
        <v>1884</v>
      </c>
      <c r="F92" s="115" t="s">
        <v>1564</v>
      </c>
      <c r="G92" s="138" t="s">
        <v>34</v>
      </c>
      <c r="H92" s="326">
        <f>0.3*0.018</f>
        <v>5.3999999999999994E-3</v>
      </c>
      <c r="I92" s="138" t="s">
        <v>1532</v>
      </c>
      <c r="J92" s="139">
        <f t="shared" si="7"/>
        <v>5.3999999999999995</v>
      </c>
      <c r="K92" s="138" t="s">
        <v>484</v>
      </c>
      <c r="L92" s="238" t="str">
        <f t="shared" si="8"/>
        <v>Reciclagem</v>
      </c>
      <c r="M92" s="238" t="s">
        <v>1920</v>
      </c>
      <c r="N92" s="238" t="s">
        <v>1911</v>
      </c>
      <c r="O92" s="114" t="str">
        <f>IFERROR(INDEX(Tabela3[Tipos de Tratamento],MATCH('A3.9.1 copy'!K92,Tabela3[Código],0)),"")</f>
        <v>Acumulação de resíduos destinados a uma das operações enumeradas de R1 a R12</v>
      </c>
      <c r="P92" s="114" t="s">
        <v>1538</v>
      </c>
      <c r="Q92" s="114" t="s">
        <v>1539</v>
      </c>
      <c r="R92" s="114"/>
      <c r="S92">
        <v>2022</v>
      </c>
      <c r="T92" s="261" t="s">
        <v>3535</v>
      </c>
      <c r="U92" s="261" t="s">
        <v>3606</v>
      </c>
      <c r="V92" t="s">
        <v>42</v>
      </c>
    </row>
    <row r="93" spans="1:22" ht="15.75" thickBot="1" x14ac:dyDescent="0.3">
      <c r="A93" s="114" t="s">
        <v>3507</v>
      </c>
      <c r="B93" s="82" t="str">
        <f t="shared" si="5"/>
        <v>Barraqueiro Transportes, S.A.</v>
      </c>
      <c r="C93" s="82" t="str">
        <f t="shared" si="6"/>
        <v>Estremadura</v>
      </c>
      <c r="D93" s="82" t="s">
        <v>34</v>
      </c>
      <c r="E93" s="218" t="s">
        <v>1884</v>
      </c>
      <c r="F93" s="115" t="s">
        <v>1564</v>
      </c>
      <c r="G93" s="138" t="s">
        <v>34</v>
      </c>
      <c r="H93" s="326">
        <f>0.7*0.018</f>
        <v>1.2599999999999998E-2</v>
      </c>
      <c r="I93" s="138" t="s">
        <v>1532</v>
      </c>
      <c r="J93" s="139">
        <f t="shared" si="7"/>
        <v>12.599999999999998</v>
      </c>
      <c r="K93" s="138" t="s">
        <v>484</v>
      </c>
      <c r="L93" s="238" t="str">
        <f t="shared" si="8"/>
        <v>Reciclagem</v>
      </c>
      <c r="M93" s="238" t="s">
        <v>1920</v>
      </c>
      <c r="N93" s="238" t="s">
        <v>1911</v>
      </c>
      <c r="O93" s="114" t="str">
        <f>IFERROR(INDEX(Tabela3[Tipos de Tratamento],MATCH('A3.9.1 copy'!K93,Tabela3[Código],0)),"")</f>
        <v>Acumulação de resíduos destinados a uma das operações enumeradas de R1 a R12</v>
      </c>
      <c r="P93" s="114" t="s">
        <v>1538</v>
      </c>
      <c r="Q93" s="114" t="s">
        <v>1539</v>
      </c>
      <c r="R93" s="114"/>
      <c r="S93">
        <v>2022</v>
      </c>
      <c r="T93" s="261" t="s">
        <v>3535</v>
      </c>
      <c r="U93" s="261" t="s">
        <v>3606</v>
      </c>
      <c r="V93" t="s">
        <v>42</v>
      </c>
    </row>
    <row r="94" spans="1:22" ht="15.75" thickBot="1" x14ac:dyDescent="0.3">
      <c r="A94" s="114" t="s">
        <v>3514</v>
      </c>
      <c r="B94" s="82" t="str">
        <f t="shared" si="5"/>
        <v>Barraqueiro Transportes, S.A.</v>
      </c>
      <c r="C94" s="82" t="str">
        <f t="shared" si="6"/>
        <v>Sede</v>
      </c>
      <c r="D94" s="82" t="s">
        <v>34</v>
      </c>
      <c r="E94" s="218" t="s">
        <v>1885</v>
      </c>
      <c r="F94" s="115" t="s">
        <v>1565</v>
      </c>
      <c r="G94" s="138" t="s">
        <v>42</v>
      </c>
      <c r="H94" s="326">
        <f>0.3*0.08</f>
        <v>2.4E-2</v>
      </c>
      <c r="I94" s="138" t="s">
        <v>1532</v>
      </c>
      <c r="J94" s="139">
        <f t="shared" si="7"/>
        <v>24</v>
      </c>
      <c r="K94" s="138" t="s">
        <v>483</v>
      </c>
      <c r="L94" s="238" t="str">
        <f t="shared" si="8"/>
        <v>Reciclagem</v>
      </c>
      <c r="M94" s="238" t="s">
        <v>1920</v>
      </c>
      <c r="N94" s="238" t="s">
        <v>1911</v>
      </c>
      <c r="O94" s="114" t="str">
        <f>IFERROR(INDEX(Tabela3[Tipos de Tratamento],MATCH('A3.9.1 copy'!K94,Tabela3[Código],0)),"")</f>
        <v xml:space="preserve">Troca de resíduos com vista a submetê-los a uma das operações enumeradas de R 1 a R 11 </v>
      </c>
      <c r="P94" s="114" t="s">
        <v>1566</v>
      </c>
      <c r="Q94" s="114" t="s">
        <v>1567</v>
      </c>
      <c r="R94" s="114"/>
      <c r="S94">
        <v>2022</v>
      </c>
      <c r="T94" s="261" t="s">
        <v>3535</v>
      </c>
      <c r="U94" s="261" t="s">
        <v>3606</v>
      </c>
      <c r="V94" t="s">
        <v>42</v>
      </c>
    </row>
    <row r="95" spans="1:22" ht="15.75" thickBot="1" x14ac:dyDescent="0.3">
      <c r="A95" s="114" t="s">
        <v>3507</v>
      </c>
      <c r="B95" s="82" t="str">
        <f t="shared" si="5"/>
        <v>Barraqueiro Transportes, S.A.</v>
      </c>
      <c r="C95" s="82" t="str">
        <f t="shared" si="6"/>
        <v>Estremadura</v>
      </c>
      <c r="D95" s="82" t="s">
        <v>34</v>
      </c>
      <c r="E95" s="218" t="s">
        <v>1885</v>
      </c>
      <c r="F95" s="115" t="s">
        <v>1565</v>
      </c>
      <c r="G95" s="138" t="s">
        <v>42</v>
      </c>
      <c r="H95" s="326">
        <f>0.7*0.08</f>
        <v>5.5999999999999994E-2</v>
      </c>
      <c r="I95" s="138" t="s">
        <v>1532</v>
      </c>
      <c r="J95" s="139">
        <f t="shared" si="7"/>
        <v>55.999999999999993</v>
      </c>
      <c r="K95" s="138" t="s">
        <v>483</v>
      </c>
      <c r="L95" s="238" t="str">
        <f t="shared" si="8"/>
        <v>Reciclagem</v>
      </c>
      <c r="M95" s="238" t="s">
        <v>1920</v>
      </c>
      <c r="N95" s="238" t="s">
        <v>1911</v>
      </c>
      <c r="O95" s="114" t="str">
        <f>IFERROR(INDEX(Tabela3[Tipos de Tratamento],MATCH('A3.9.1 copy'!K95,Tabela3[Código],0)),"")</f>
        <v xml:space="preserve">Troca de resíduos com vista a submetê-los a uma das operações enumeradas de R 1 a R 11 </v>
      </c>
      <c r="P95" s="114" t="s">
        <v>1566</v>
      </c>
      <c r="Q95" s="114" t="s">
        <v>1567</v>
      </c>
      <c r="R95" s="114"/>
      <c r="S95">
        <v>2022</v>
      </c>
      <c r="T95" s="261" t="s">
        <v>3535</v>
      </c>
      <c r="U95" s="261" t="s">
        <v>3606</v>
      </c>
      <c r="V95" t="s">
        <v>42</v>
      </c>
    </row>
    <row r="96" spans="1:22" ht="15.75" thickBot="1" x14ac:dyDescent="0.3">
      <c r="A96" s="114" t="s">
        <v>3514</v>
      </c>
      <c r="B96" s="82" t="str">
        <f t="shared" si="5"/>
        <v>Barraqueiro Transportes, S.A.</v>
      </c>
      <c r="C96" s="82" t="str">
        <f t="shared" si="6"/>
        <v>Sede</v>
      </c>
      <c r="D96" s="82" t="s">
        <v>34</v>
      </c>
      <c r="E96" s="218" t="s">
        <v>1886</v>
      </c>
      <c r="F96" s="115" t="s">
        <v>1568</v>
      </c>
      <c r="G96" s="138" t="s">
        <v>42</v>
      </c>
      <c r="H96" s="326">
        <f>0.3*0.205</f>
        <v>6.1499999999999992E-2</v>
      </c>
      <c r="I96" s="138" t="s">
        <v>1532</v>
      </c>
      <c r="J96" s="139">
        <f t="shared" si="7"/>
        <v>61.499999999999993</v>
      </c>
      <c r="K96" s="138" t="s">
        <v>483</v>
      </c>
      <c r="L96" s="238" t="str">
        <f t="shared" si="8"/>
        <v>Reciclagem</v>
      </c>
      <c r="M96" s="238" t="s">
        <v>1928</v>
      </c>
      <c r="N96" s="238" t="s">
        <v>1896</v>
      </c>
      <c r="O96" s="114" t="str">
        <f>IFERROR(INDEX(Tabela3[Tipos de Tratamento],MATCH('A3.9.1 copy'!K96,Tabela3[Código],0)),"")</f>
        <v xml:space="preserve">Troca de resíduos com vista a submetê-los a uma das operações enumeradas de R 1 a R 11 </v>
      </c>
      <c r="P96" s="114" t="s">
        <v>1538</v>
      </c>
      <c r="Q96" s="114" t="s">
        <v>1539</v>
      </c>
      <c r="R96" s="114"/>
      <c r="S96">
        <v>2022</v>
      </c>
      <c r="T96" s="261" t="s">
        <v>3535</v>
      </c>
      <c r="U96" s="261" t="s">
        <v>3606</v>
      </c>
      <c r="V96" t="s">
        <v>42</v>
      </c>
    </row>
    <row r="97" spans="1:22" ht="15.75" thickBot="1" x14ac:dyDescent="0.3">
      <c r="A97" s="114" t="s">
        <v>3507</v>
      </c>
      <c r="B97" s="82" t="str">
        <f t="shared" si="5"/>
        <v>Barraqueiro Transportes, S.A.</v>
      </c>
      <c r="C97" s="82" t="str">
        <f t="shared" si="6"/>
        <v>Estremadura</v>
      </c>
      <c r="D97" s="82" t="s">
        <v>34</v>
      </c>
      <c r="E97" s="218" t="s">
        <v>1886</v>
      </c>
      <c r="F97" s="115" t="s">
        <v>1568</v>
      </c>
      <c r="G97" s="138" t="s">
        <v>42</v>
      </c>
      <c r="H97" s="326">
        <f>0.7*0.205</f>
        <v>0.14349999999999999</v>
      </c>
      <c r="I97" s="138" t="s">
        <v>1532</v>
      </c>
      <c r="J97" s="139">
        <f t="shared" si="7"/>
        <v>143.5</v>
      </c>
      <c r="K97" s="138" t="s">
        <v>483</v>
      </c>
      <c r="L97" s="238" t="str">
        <f t="shared" si="8"/>
        <v>Reciclagem</v>
      </c>
      <c r="M97" s="238" t="s">
        <v>1928</v>
      </c>
      <c r="N97" s="238" t="s">
        <v>1896</v>
      </c>
      <c r="O97" s="114" t="str">
        <f>IFERROR(INDEX(Tabela3[Tipos de Tratamento],MATCH('A3.9.1 copy'!K97,Tabela3[Código],0)),"")</f>
        <v xml:space="preserve">Troca de resíduos com vista a submetê-los a uma das operações enumeradas de R 1 a R 11 </v>
      </c>
      <c r="P97" s="114" t="s">
        <v>1538</v>
      </c>
      <c r="Q97" s="114" t="s">
        <v>1539</v>
      </c>
      <c r="R97" s="114"/>
      <c r="S97">
        <v>2022</v>
      </c>
      <c r="T97" s="261" t="s">
        <v>3535</v>
      </c>
      <c r="U97" s="261" t="s">
        <v>3606</v>
      </c>
      <c r="V97" t="s">
        <v>42</v>
      </c>
    </row>
    <row r="98" spans="1:22" ht="15.75" thickBot="1" x14ac:dyDescent="0.3">
      <c r="A98" s="114" t="s">
        <v>3509</v>
      </c>
      <c r="B98" s="82" t="str">
        <f t="shared" si="5"/>
        <v>Barraqueiro Transportes, S.A.</v>
      </c>
      <c r="C98" s="82" t="str">
        <f t="shared" si="6"/>
        <v>Barraqueiro Oeste</v>
      </c>
      <c r="D98" s="82" t="s">
        <v>34</v>
      </c>
      <c r="E98" s="218" t="s">
        <v>1865</v>
      </c>
      <c r="F98" s="115" t="s">
        <v>1531</v>
      </c>
      <c r="G98" s="138" t="s">
        <v>34</v>
      </c>
      <c r="H98" s="326">
        <v>4.9370000000000003</v>
      </c>
      <c r="I98" s="138" t="s">
        <v>1532</v>
      </c>
      <c r="J98" s="139">
        <f t="shared" si="7"/>
        <v>4937</v>
      </c>
      <c r="K98" s="138" t="s">
        <v>480</v>
      </c>
      <c r="L98" s="238" t="str">
        <f t="shared" si="8"/>
        <v>Reciclagem</v>
      </c>
      <c r="M98" s="238" t="s">
        <v>1921</v>
      </c>
      <c r="N98" s="238" t="s">
        <v>1896</v>
      </c>
      <c r="O98" s="114" t="str">
        <f>IFERROR(INDEX(Tabela3[Tipos de Tratamento],MATCH('A3.9.1 copy'!K98,Tabela3[Código],0)),"")</f>
        <v xml:space="preserve">Regeneração de óleos e outras reutilizações de óleos </v>
      </c>
      <c r="P98" s="114" t="s">
        <v>1535</v>
      </c>
      <c r="Q98" s="114" t="s">
        <v>1536</v>
      </c>
      <c r="R98" s="114"/>
      <c r="S98">
        <v>2022</v>
      </c>
      <c r="T98" s="261" t="s">
        <v>3535</v>
      </c>
      <c r="U98" s="261" t="s">
        <v>3606</v>
      </c>
      <c r="V98" t="s">
        <v>42</v>
      </c>
    </row>
    <row r="99" spans="1:22" ht="15.75" thickBot="1" x14ac:dyDescent="0.3">
      <c r="A99" s="114" t="s">
        <v>3509</v>
      </c>
      <c r="B99" s="82" t="str">
        <f t="shared" ref="B99:B130" si="9">LEFT(A99,IFERROR(FIND(" - ",A99)-1,LEN(A99)))</f>
        <v>Barraqueiro Transportes, S.A.</v>
      </c>
      <c r="C99" s="82" t="str">
        <f t="shared" si="6"/>
        <v>Barraqueiro Oeste</v>
      </c>
      <c r="D99" s="82" t="s">
        <v>34</v>
      </c>
      <c r="E99" s="218" t="s">
        <v>1866</v>
      </c>
      <c r="F99" s="115" t="s">
        <v>1569</v>
      </c>
      <c r="G99" s="138" t="s">
        <v>34</v>
      </c>
      <c r="H99" s="326">
        <v>5.4</v>
      </c>
      <c r="I99" s="138" t="s">
        <v>1532</v>
      </c>
      <c r="J99" s="139">
        <f t="shared" si="7"/>
        <v>5400</v>
      </c>
      <c r="K99" s="138" t="s">
        <v>483</v>
      </c>
      <c r="L99" s="238" t="str">
        <f t="shared" si="8"/>
        <v>Reciclagem</v>
      </c>
      <c r="M99" s="238" t="s">
        <v>1920</v>
      </c>
      <c r="N99" s="238" t="s">
        <v>1911</v>
      </c>
      <c r="O99" s="114" t="str">
        <f>IFERROR(INDEX(Tabela3[Tipos de Tratamento],MATCH('A3.9.1 copy'!K99,Tabela3[Código],0)),"")</f>
        <v xml:space="preserve">Troca de resíduos com vista a submetê-los a uma das operações enumeradas de R 1 a R 11 </v>
      </c>
      <c r="P99" s="114" t="s">
        <v>1570</v>
      </c>
      <c r="Q99" s="114" t="s">
        <v>1571</v>
      </c>
      <c r="R99" s="114"/>
      <c r="S99">
        <v>2022</v>
      </c>
      <c r="T99" s="261" t="s">
        <v>3535</v>
      </c>
      <c r="U99" s="261" t="s">
        <v>3606</v>
      </c>
      <c r="V99" t="s">
        <v>42</v>
      </c>
    </row>
    <row r="100" spans="1:22" ht="15.75" thickBot="1" x14ac:dyDescent="0.3">
      <c r="A100" s="114" t="s">
        <v>3509</v>
      </c>
      <c r="B100" s="82" t="str">
        <f t="shared" si="9"/>
        <v>Barraqueiro Transportes, S.A.</v>
      </c>
      <c r="C100" s="82" t="str">
        <f t="shared" si="6"/>
        <v>Barraqueiro Oeste</v>
      </c>
      <c r="D100" s="82" t="s">
        <v>34</v>
      </c>
      <c r="E100" s="218" t="s">
        <v>1867</v>
      </c>
      <c r="F100" s="115" t="s">
        <v>1572</v>
      </c>
      <c r="G100" s="138" t="s">
        <v>34</v>
      </c>
      <c r="H100" s="326">
        <v>8.8800000000000008</v>
      </c>
      <c r="I100" s="138" t="s">
        <v>1532</v>
      </c>
      <c r="J100" s="139">
        <f t="shared" si="7"/>
        <v>8880</v>
      </c>
      <c r="K100" s="138" t="s">
        <v>483</v>
      </c>
      <c r="L100" s="238" t="str">
        <f t="shared" si="8"/>
        <v>Reciclagem</v>
      </c>
      <c r="M100" s="238" t="s">
        <v>1920</v>
      </c>
      <c r="N100" s="238" t="s">
        <v>1911</v>
      </c>
      <c r="O100" s="114" t="str">
        <f>IFERROR(INDEX(Tabela3[Tipos de Tratamento],MATCH('A3.9.1 copy'!K100,Tabela3[Código],0)),"")</f>
        <v xml:space="preserve">Troca de resíduos com vista a submetê-los a uma das operações enumeradas de R 1 a R 11 </v>
      </c>
      <c r="P100" s="114" t="s">
        <v>1570</v>
      </c>
      <c r="Q100" s="114" t="s">
        <v>1571</v>
      </c>
      <c r="R100" s="114"/>
      <c r="S100">
        <v>2022</v>
      </c>
      <c r="T100" s="261" t="s">
        <v>3535</v>
      </c>
      <c r="U100" s="261" t="s">
        <v>3606</v>
      </c>
      <c r="V100" t="s">
        <v>42</v>
      </c>
    </row>
    <row r="101" spans="1:22" ht="15.75" thickBot="1" x14ac:dyDescent="0.3">
      <c r="A101" s="114" t="s">
        <v>3509</v>
      </c>
      <c r="B101" s="82" t="str">
        <f t="shared" si="9"/>
        <v>Barraqueiro Transportes, S.A.</v>
      </c>
      <c r="C101" s="82" t="str">
        <f t="shared" si="6"/>
        <v>Barraqueiro Oeste</v>
      </c>
      <c r="D101" s="82" t="s">
        <v>34</v>
      </c>
      <c r="E101" s="218" t="s">
        <v>1868</v>
      </c>
      <c r="F101" s="115" t="s">
        <v>1537</v>
      </c>
      <c r="G101" s="138" t="s">
        <v>42</v>
      </c>
      <c r="H101" s="326">
        <v>0.24</v>
      </c>
      <c r="I101" s="138" t="s">
        <v>1532</v>
      </c>
      <c r="J101" s="139">
        <f t="shared" si="7"/>
        <v>240</v>
      </c>
      <c r="K101" s="138" t="s">
        <v>483</v>
      </c>
      <c r="L101" s="238" t="str">
        <f t="shared" si="8"/>
        <v>Reciclagem</v>
      </c>
      <c r="M101" s="238" t="s">
        <v>1923</v>
      </c>
      <c r="N101" s="238" t="s">
        <v>1922</v>
      </c>
      <c r="O101" s="114" t="str">
        <f>IFERROR(INDEX(Tabela3[Tipos de Tratamento],MATCH('A3.9.1 copy'!K101,Tabela3[Código],0)),"")</f>
        <v xml:space="preserve">Troca de resíduos com vista a submetê-los a uma das operações enumeradas de R 1 a R 11 </v>
      </c>
      <c r="P101" s="114" t="s">
        <v>1538</v>
      </c>
      <c r="Q101" s="114" t="s">
        <v>1539</v>
      </c>
      <c r="R101" s="114"/>
      <c r="S101">
        <v>2022</v>
      </c>
      <c r="T101" s="261" t="s">
        <v>3535</v>
      </c>
      <c r="U101" s="261" t="s">
        <v>3606</v>
      </c>
      <c r="V101" t="s">
        <v>42</v>
      </c>
    </row>
    <row r="102" spans="1:22" ht="15.75" thickBot="1" x14ac:dyDescent="0.3">
      <c r="A102" s="114" t="s">
        <v>3509</v>
      </c>
      <c r="B102" s="82" t="str">
        <f t="shared" si="9"/>
        <v>Barraqueiro Transportes, S.A.</v>
      </c>
      <c r="C102" s="82" t="str">
        <f t="shared" si="6"/>
        <v>Barraqueiro Oeste</v>
      </c>
      <c r="D102" s="82" t="s">
        <v>34</v>
      </c>
      <c r="E102" s="218" t="s">
        <v>1868</v>
      </c>
      <c r="F102" s="115" t="s">
        <v>1537</v>
      </c>
      <c r="G102" s="138" t="s">
        <v>42</v>
      </c>
      <c r="H102" s="326">
        <v>7.0999999999999994E-2</v>
      </c>
      <c r="I102" s="138" t="s">
        <v>1532</v>
      </c>
      <c r="J102" s="139">
        <f t="shared" si="7"/>
        <v>71</v>
      </c>
      <c r="K102" s="138" t="s">
        <v>483</v>
      </c>
      <c r="L102" s="238" t="str">
        <f t="shared" si="8"/>
        <v>Reciclagem</v>
      </c>
      <c r="M102" s="238" t="s">
        <v>1923</v>
      </c>
      <c r="N102" s="238" t="s">
        <v>1922</v>
      </c>
      <c r="O102" s="114" t="str">
        <f>IFERROR(INDEX(Tabela3[Tipos de Tratamento],MATCH('A3.9.1 copy'!K102,Tabela3[Código],0)),"")</f>
        <v xml:space="preserve">Troca de resíduos com vista a submetê-los a uma das operações enumeradas de R 1 a R 11 </v>
      </c>
      <c r="P102" s="114" t="s">
        <v>1573</v>
      </c>
      <c r="Q102" s="114" t="s">
        <v>1574</v>
      </c>
      <c r="R102" s="114"/>
      <c r="S102">
        <v>2022</v>
      </c>
      <c r="T102" s="261" t="s">
        <v>3535</v>
      </c>
      <c r="U102" s="261" t="s">
        <v>3606</v>
      </c>
      <c r="V102" t="s">
        <v>42</v>
      </c>
    </row>
    <row r="103" spans="1:22" ht="15.75" thickBot="1" x14ac:dyDescent="0.3">
      <c r="A103" s="114" t="s">
        <v>3509</v>
      </c>
      <c r="B103" s="82" t="str">
        <f t="shared" si="9"/>
        <v>Barraqueiro Transportes, S.A.</v>
      </c>
      <c r="C103" s="82" t="str">
        <f t="shared" si="6"/>
        <v>Barraqueiro Oeste</v>
      </c>
      <c r="D103" s="82" t="s">
        <v>34</v>
      </c>
      <c r="E103" s="218" t="s">
        <v>1868</v>
      </c>
      <c r="F103" s="115" t="s">
        <v>1537</v>
      </c>
      <c r="G103" s="138" t="s">
        <v>42</v>
      </c>
      <c r="H103" s="326">
        <v>0.122</v>
      </c>
      <c r="I103" s="138" t="s">
        <v>1532</v>
      </c>
      <c r="J103" s="139">
        <f t="shared" si="7"/>
        <v>122</v>
      </c>
      <c r="K103" s="138" t="s">
        <v>484</v>
      </c>
      <c r="L103" s="238" t="str">
        <f t="shared" si="8"/>
        <v>Reciclagem</v>
      </c>
      <c r="M103" s="238" t="s">
        <v>1923</v>
      </c>
      <c r="N103" s="238" t="s">
        <v>1922</v>
      </c>
      <c r="O103" s="114" t="str">
        <f>IFERROR(INDEX(Tabela3[Tipos de Tratamento],MATCH('A3.9.1 copy'!K103,Tabela3[Código],0)),"")</f>
        <v>Acumulação de resíduos destinados a uma das operações enumeradas de R1 a R12</v>
      </c>
      <c r="P103" s="114" t="s">
        <v>1573</v>
      </c>
      <c r="Q103" s="114" t="s">
        <v>1574</v>
      </c>
      <c r="R103" s="114"/>
      <c r="S103">
        <v>2022</v>
      </c>
      <c r="T103" s="261" t="s">
        <v>3535</v>
      </c>
      <c r="U103" s="261" t="s">
        <v>3606</v>
      </c>
      <c r="V103" t="s">
        <v>42</v>
      </c>
    </row>
    <row r="104" spans="1:22" ht="15.75" thickBot="1" x14ac:dyDescent="0.3">
      <c r="A104" s="114" t="s">
        <v>3509</v>
      </c>
      <c r="B104" s="82" t="str">
        <f t="shared" si="9"/>
        <v>Barraqueiro Transportes, S.A.</v>
      </c>
      <c r="C104" s="82" t="str">
        <f t="shared" si="6"/>
        <v>Barraqueiro Oeste</v>
      </c>
      <c r="D104" s="82" t="s">
        <v>34</v>
      </c>
      <c r="E104" s="218" t="s">
        <v>1868</v>
      </c>
      <c r="F104" s="115" t="s">
        <v>1537</v>
      </c>
      <c r="G104" s="138" t="s">
        <v>42</v>
      </c>
      <c r="H104" s="326">
        <v>0.88</v>
      </c>
      <c r="I104" s="138" t="s">
        <v>1532</v>
      </c>
      <c r="J104" s="139">
        <f t="shared" si="7"/>
        <v>880</v>
      </c>
      <c r="K104" s="138" t="s">
        <v>483</v>
      </c>
      <c r="L104" s="238" t="str">
        <f t="shared" si="8"/>
        <v>Reciclagem</v>
      </c>
      <c r="M104" s="238" t="s">
        <v>1923</v>
      </c>
      <c r="N104" s="238" t="s">
        <v>1922</v>
      </c>
      <c r="O104" s="114" t="str">
        <f>IFERROR(INDEX(Tabela3[Tipos de Tratamento],MATCH('A3.9.1 copy'!K104,Tabela3[Código],0)),"")</f>
        <v xml:space="preserve">Troca de resíduos com vista a submetê-los a uma das operações enumeradas de R 1 a R 11 </v>
      </c>
      <c r="P104" s="114" t="s">
        <v>1540</v>
      </c>
      <c r="Q104" s="114" t="s">
        <v>1541</v>
      </c>
      <c r="R104" s="114"/>
      <c r="S104">
        <v>2022</v>
      </c>
      <c r="T104" s="261" t="s">
        <v>3535</v>
      </c>
      <c r="U104" s="261" t="s">
        <v>3606</v>
      </c>
      <c r="V104" t="s">
        <v>42</v>
      </c>
    </row>
    <row r="105" spans="1:22" ht="15.75" thickBot="1" x14ac:dyDescent="0.3">
      <c r="A105" s="114" t="s">
        <v>3509</v>
      </c>
      <c r="B105" s="82" t="str">
        <f t="shared" si="9"/>
        <v>Barraqueiro Transportes, S.A.</v>
      </c>
      <c r="C105" s="82" t="str">
        <f t="shared" si="6"/>
        <v>Barraqueiro Oeste</v>
      </c>
      <c r="D105" s="82" t="s">
        <v>34</v>
      </c>
      <c r="E105" s="218" t="s">
        <v>1869</v>
      </c>
      <c r="F105" s="115" t="s">
        <v>1575</v>
      </c>
      <c r="G105" s="138" t="s">
        <v>42</v>
      </c>
      <c r="H105" s="326">
        <v>0.106</v>
      </c>
      <c r="I105" s="138" t="s">
        <v>1532</v>
      </c>
      <c r="J105" s="139">
        <f t="shared" si="7"/>
        <v>106</v>
      </c>
      <c r="K105" s="138" t="s">
        <v>483</v>
      </c>
      <c r="L105" s="238" t="str">
        <f t="shared" si="8"/>
        <v>Reciclagem</v>
      </c>
      <c r="M105" s="238" t="s">
        <v>1560</v>
      </c>
      <c r="N105" s="238" t="s">
        <v>1922</v>
      </c>
      <c r="O105" s="114" t="str">
        <f>IFERROR(INDEX(Tabela3[Tipos de Tratamento],MATCH('A3.9.1 copy'!K105,Tabela3[Código],0)),"")</f>
        <v xml:space="preserve">Troca de resíduos com vista a submetê-los a uma das operações enumeradas de R 1 a R 11 </v>
      </c>
      <c r="P105" s="114" t="s">
        <v>1538</v>
      </c>
      <c r="Q105" s="114" t="s">
        <v>1539</v>
      </c>
      <c r="R105" s="114"/>
      <c r="S105">
        <v>2022</v>
      </c>
      <c r="T105" s="261" t="s">
        <v>3535</v>
      </c>
      <c r="U105" s="261" t="s">
        <v>3606</v>
      </c>
      <c r="V105" t="s">
        <v>42</v>
      </c>
    </row>
    <row r="106" spans="1:22" ht="15.75" thickBot="1" x14ac:dyDescent="0.3">
      <c r="A106" s="114" t="s">
        <v>3509</v>
      </c>
      <c r="B106" s="82" t="str">
        <f t="shared" si="9"/>
        <v>Barraqueiro Transportes, S.A.</v>
      </c>
      <c r="C106" s="82" t="str">
        <f t="shared" si="6"/>
        <v>Barraqueiro Oeste</v>
      </c>
      <c r="D106" s="82" t="s">
        <v>34</v>
      </c>
      <c r="E106" s="218" t="s">
        <v>1869</v>
      </c>
      <c r="F106" s="115" t="s">
        <v>1575</v>
      </c>
      <c r="G106" s="138" t="s">
        <v>42</v>
      </c>
      <c r="H106" s="326">
        <v>2.4E-2</v>
      </c>
      <c r="I106" s="138" t="s">
        <v>1532</v>
      </c>
      <c r="J106" s="139">
        <f t="shared" si="7"/>
        <v>24</v>
      </c>
      <c r="K106" s="138" t="s">
        <v>483</v>
      </c>
      <c r="L106" s="238" t="str">
        <f t="shared" si="8"/>
        <v>Reciclagem</v>
      </c>
      <c r="M106" s="238" t="s">
        <v>1560</v>
      </c>
      <c r="N106" s="238" t="s">
        <v>1922</v>
      </c>
      <c r="O106" s="114" t="str">
        <f>IFERROR(INDEX(Tabela3[Tipos de Tratamento],MATCH('A3.9.1 copy'!K106,Tabela3[Código],0)),"")</f>
        <v xml:space="preserve">Troca de resíduos com vista a submetê-los a uma das operações enumeradas de R 1 a R 11 </v>
      </c>
      <c r="P106" s="114" t="s">
        <v>1573</v>
      </c>
      <c r="Q106" s="114" t="s">
        <v>1574</v>
      </c>
      <c r="R106" s="114"/>
      <c r="S106">
        <v>2022</v>
      </c>
      <c r="T106" s="261" t="s">
        <v>3535</v>
      </c>
      <c r="U106" s="261" t="s">
        <v>3606</v>
      </c>
      <c r="V106" t="s">
        <v>42</v>
      </c>
    </row>
    <row r="107" spans="1:22" ht="15.75" thickBot="1" x14ac:dyDescent="0.3">
      <c r="A107" s="114" t="s">
        <v>3509</v>
      </c>
      <c r="B107" s="82" t="str">
        <f t="shared" si="9"/>
        <v>Barraqueiro Transportes, S.A.</v>
      </c>
      <c r="C107" s="82" t="str">
        <f t="shared" si="6"/>
        <v>Barraqueiro Oeste</v>
      </c>
      <c r="D107" s="82" t="s">
        <v>34</v>
      </c>
      <c r="E107" s="218" t="s">
        <v>1870</v>
      </c>
      <c r="F107" s="115" t="s">
        <v>1542</v>
      </c>
      <c r="G107" s="138" t="s">
        <v>34</v>
      </c>
      <c r="H107" s="326">
        <v>0.09</v>
      </c>
      <c r="I107" s="138" t="s">
        <v>1532</v>
      </c>
      <c r="J107" s="139">
        <f t="shared" si="7"/>
        <v>90</v>
      </c>
      <c r="K107" s="138" t="s">
        <v>484</v>
      </c>
      <c r="L107" s="238" t="str">
        <f t="shared" si="8"/>
        <v>Reciclagem</v>
      </c>
      <c r="M107" s="238" t="s">
        <v>1920</v>
      </c>
      <c r="N107" s="238" t="s">
        <v>1911</v>
      </c>
      <c r="O107" s="114" t="str">
        <f>IFERROR(INDEX(Tabela3[Tipos de Tratamento],MATCH('A3.9.1 copy'!K107,Tabela3[Código],0)),"")</f>
        <v>Acumulação de resíduos destinados a uma das operações enumeradas de R1 a R12</v>
      </c>
      <c r="P107" s="114" t="s">
        <v>1538</v>
      </c>
      <c r="Q107" s="114" t="s">
        <v>1539</v>
      </c>
      <c r="R107" s="114"/>
      <c r="S107">
        <v>2022</v>
      </c>
      <c r="T107" s="261" t="s">
        <v>3535</v>
      </c>
      <c r="U107" s="261" t="s">
        <v>3606</v>
      </c>
      <c r="V107" t="s">
        <v>42</v>
      </c>
    </row>
    <row r="108" spans="1:22" ht="15.75" thickBot="1" x14ac:dyDescent="0.3">
      <c r="A108" s="114" t="s">
        <v>3509</v>
      </c>
      <c r="B108" s="82" t="str">
        <f t="shared" si="9"/>
        <v>Barraqueiro Transportes, S.A.</v>
      </c>
      <c r="C108" s="82" t="str">
        <f t="shared" si="6"/>
        <v>Barraqueiro Oeste</v>
      </c>
      <c r="D108" s="82" t="s">
        <v>34</v>
      </c>
      <c r="E108" s="218" t="s">
        <v>1872</v>
      </c>
      <c r="F108" s="115" t="s">
        <v>1547</v>
      </c>
      <c r="G108" s="138" t="s">
        <v>34</v>
      </c>
      <c r="H108" s="326">
        <v>0.36</v>
      </c>
      <c r="I108" s="138" t="s">
        <v>1532</v>
      </c>
      <c r="J108" s="139">
        <f t="shared" si="7"/>
        <v>360</v>
      </c>
      <c r="K108" s="138" t="s">
        <v>484</v>
      </c>
      <c r="L108" s="238" t="str">
        <f t="shared" si="8"/>
        <v>Reciclagem</v>
      </c>
      <c r="M108" s="238" t="s">
        <v>1920</v>
      </c>
      <c r="N108" s="238" t="s">
        <v>1911</v>
      </c>
      <c r="O108" s="114" t="str">
        <f>IFERROR(INDEX(Tabela3[Tipos de Tratamento],MATCH('A3.9.1 copy'!K108,Tabela3[Código],0)),"")</f>
        <v>Acumulação de resíduos destinados a uma das operações enumeradas de R1 a R12</v>
      </c>
      <c r="P108" s="114" t="s">
        <v>1538</v>
      </c>
      <c r="Q108" s="114" t="s">
        <v>1539</v>
      </c>
      <c r="R108" s="114"/>
      <c r="S108">
        <v>2022</v>
      </c>
      <c r="T108" s="261" t="s">
        <v>3535</v>
      </c>
      <c r="U108" s="261" t="s">
        <v>3606</v>
      </c>
      <c r="V108" t="s">
        <v>42</v>
      </c>
    </row>
    <row r="109" spans="1:22" ht="15.75" thickBot="1" x14ac:dyDescent="0.3">
      <c r="A109" s="114" t="s">
        <v>3509</v>
      </c>
      <c r="B109" s="82" t="str">
        <f t="shared" si="9"/>
        <v>Barraqueiro Transportes, S.A.</v>
      </c>
      <c r="C109" s="82" t="str">
        <f t="shared" si="6"/>
        <v>Barraqueiro Oeste</v>
      </c>
      <c r="D109" s="82" t="s">
        <v>34</v>
      </c>
      <c r="E109" s="218" t="s">
        <v>1873</v>
      </c>
      <c r="F109" s="115" t="s">
        <v>1550</v>
      </c>
      <c r="G109" s="138" t="s">
        <v>42</v>
      </c>
      <c r="H109" s="326">
        <v>0.6</v>
      </c>
      <c r="I109" s="138" t="s">
        <v>1532</v>
      </c>
      <c r="J109" s="139">
        <f t="shared" si="7"/>
        <v>600</v>
      </c>
      <c r="K109" s="138" t="s">
        <v>483</v>
      </c>
      <c r="L109" s="238" t="str">
        <f t="shared" si="8"/>
        <v>Reciclagem</v>
      </c>
      <c r="M109" s="238" t="s">
        <v>1920</v>
      </c>
      <c r="N109" s="238" t="s">
        <v>1911</v>
      </c>
      <c r="O109" s="114" t="str">
        <f>IFERROR(INDEX(Tabela3[Tipos de Tratamento],MATCH('A3.9.1 copy'!K109,Tabela3[Código],0)),"")</f>
        <v xml:space="preserve">Troca de resíduos com vista a submetê-los a uma das operações enumeradas de R 1 a R 11 </v>
      </c>
      <c r="P109" s="114" t="s">
        <v>1538</v>
      </c>
      <c r="Q109" s="114" t="s">
        <v>1539</v>
      </c>
      <c r="R109" s="114"/>
      <c r="S109">
        <v>2022</v>
      </c>
      <c r="T109" s="261" t="s">
        <v>3535</v>
      </c>
      <c r="U109" s="261" t="s">
        <v>3606</v>
      </c>
      <c r="V109" t="s">
        <v>42</v>
      </c>
    </row>
    <row r="110" spans="1:22" ht="15.75" thickBot="1" x14ac:dyDescent="0.3">
      <c r="A110" s="114" t="s">
        <v>3509</v>
      </c>
      <c r="B110" s="82" t="str">
        <f t="shared" si="9"/>
        <v>Barraqueiro Transportes, S.A.</v>
      </c>
      <c r="C110" s="82" t="str">
        <f t="shared" si="6"/>
        <v>Barraqueiro Oeste</v>
      </c>
      <c r="D110" s="82" t="s">
        <v>34</v>
      </c>
      <c r="E110" s="218" t="s">
        <v>1873</v>
      </c>
      <c r="F110" s="115" t="s">
        <v>1550</v>
      </c>
      <c r="G110" s="138" t="s">
        <v>42</v>
      </c>
      <c r="H110" s="326">
        <v>0.2</v>
      </c>
      <c r="I110" s="138" t="s">
        <v>1532</v>
      </c>
      <c r="J110" s="139">
        <f t="shared" si="7"/>
        <v>200</v>
      </c>
      <c r="K110" s="138" t="s">
        <v>509</v>
      </c>
      <c r="L110" s="238" t="str">
        <f t="shared" si="8"/>
        <v>Aterro</v>
      </c>
      <c r="M110" s="238" t="s">
        <v>1920</v>
      </c>
      <c r="N110" s="238" t="s">
        <v>1911</v>
      </c>
      <c r="O110" s="114" t="str">
        <f>IFERROR(INDEX(Tabela3[Tipos de Tratamento],MATCH('A3.9.1 copy'!K110,Tabela3[Código],0)),"")</f>
        <v>Armazenagem enquanto se aguarda a execução de uma das operações enumeradas de D1 a D14</v>
      </c>
      <c r="P110" s="114" t="s">
        <v>1573</v>
      </c>
      <c r="Q110" s="114" t="s">
        <v>1574</v>
      </c>
      <c r="R110" s="114"/>
      <c r="S110">
        <v>2022</v>
      </c>
      <c r="T110" s="261" t="s">
        <v>3535</v>
      </c>
      <c r="U110" s="261" t="s">
        <v>3606</v>
      </c>
      <c r="V110" t="s">
        <v>42</v>
      </c>
    </row>
    <row r="111" spans="1:22" ht="15.75" thickBot="1" x14ac:dyDescent="0.3">
      <c r="A111" s="114" t="s">
        <v>3509</v>
      </c>
      <c r="B111" s="82" t="str">
        <f t="shared" si="9"/>
        <v>Barraqueiro Transportes, S.A.</v>
      </c>
      <c r="C111" s="82" t="str">
        <f t="shared" si="6"/>
        <v>Barraqueiro Oeste</v>
      </c>
      <c r="D111" s="82" t="s">
        <v>34</v>
      </c>
      <c r="E111" s="218" t="s">
        <v>1874</v>
      </c>
      <c r="F111" s="115" t="s">
        <v>1551</v>
      </c>
      <c r="G111" s="138" t="s">
        <v>34</v>
      </c>
      <c r="H111" s="326">
        <v>0.312</v>
      </c>
      <c r="I111" s="138" t="s">
        <v>1532</v>
      </c>
      <c r="J111" s="139">
        <f t="shared" si="7"/>
        <v>312</v>
      </c>
      <c r="K111" s="138" t="s">
        <v>484</v>
      </c>
      <c r="L111" s="238" t="str">
        <f t="shared" si="8"/>
        <v>Reciclagem</v>
      </c>
      <c r="M111" s="238" t="s">
        <v>1920</v>
      </c>
      <c r="N111" s="238" t="s">
        <v>1911</v>
      </c>
      <c r="O111" s="114" t="str">
        <f>IFERROR(INDEX(Tabela3[Tipos de Tratamento],MATCH('A3.9.1 copy'!K111,Tabela3[Código],0)),"")</f>
        <v>Acumulação de resíduos destinados a uma das operações enumeradas de R1 a R12</v>
      </c>
      <c r="P111" s="114" t="s">
        <v>1538</v>
      </c>
      <c r="Q111" s="114" t="s">
        <v>1539</v>
      </c>
      <c r="R111" s="114"/>
      <c r="S111">
        <v>2022</v>
      </c>
      <c r="T111" s="261" t="s">
        <v>3535</v>
      </c>
      <c r="U111" s="261" t="s">
        <v>3606</v>
      </c>
      <c r="V111" t="s">
        <v>42</v>
      </c>
    </row>
    <row r="112" spans="1:22" ht="15.75" thickBot="1" x14ac:dyDescent="0.3">
      <c r="A112" s="114" t="s">
        <v>3509</v>
      </c>
      <c r="B112" s="82" t="str">
        <f t="shared" si="9"/>
        <v>Barraqueiro Transportes, S.A.</v>
      </c>
      <c r="C112" s="82" t="str">
        <f t="shared" si="6"/>
        <v>Barraqueiro Oeste</v>
      </c>
      <c r="D112" s="82" t="s">
        <v>34</v>
      </c>
      <c r="E112" s="218" t="s">
        <v>1875</v>
      </c>
      <c r="F112" s="115" t="s">
        <v>1552</v>
      </c>
      <c r="G112" s="138" t="s">
        <v>34</v>
      </c>
      <c r="H112" s="326">
        <v>0.27</v>
      </c>
      <c r="I112" s="138" t="s">
        <v>1532</v>
      </c>
      <c r="J112" s="139">
        <f t="shared" si="7"/>
        <v>270</v>
      </c>
      <c r="K112" s="138" t="s">
        <v>483</v>
      </c>
      <c r="L112" s="238" t="str">
        <f t="shared" si="8"/>
        <v>Reciclagem</v>
      </c>
      <c r="M112" s="238" t="s">
        <v>1557</v>
      </c>
      <c r="N112" s="238" t="s">
        <v>1922</v>
      </c>
      <c r="O112" s="114" t="str">
        <f>IFERROR(INDEX(Tabela3[Tipos de Tratamento],MATCH('A3.9.1 copy'!K112,Tabela3[Código],0)),"")</f>
        <v xml:space="preserve">Troca de resíduos com vista a submetê-los a uma das operações enumeradas de R 1 a R 11 </v>
      </c>
      <c r="P112" s="114" t="s">
        <v>1538</v>
      </c>
      <c r="Q112" s="114" t="s">
        <v>1539</v>
      </c>
      <c r="R112" s="114"/>
      <c r="S112">
        <v>2022</v>
      </c>
      <c r="T112" s="261" t="s">
        <v>3535</v>
      </c>
      <c r="U112" s="261" t="s">
        <v>3606</v>
      </c>
      <c r="V112" t="s">
        <v>42</v>
      </c>
    </row>
    <row r="113" spans="1:22" ht="15.75" thickBot="1" x14ac:dyDescent="0.3">
      <c r="A113" s="114" t="s">
        <v>3509</v>
      </c>
      <c r="B113" s="82" t="str">
        <f t="shared" si="9"/>
        <v>Barraqueiro Transportes, S.A.</v>
      </c>
      <c r="C113" s="82" t="str">
        <f t="shared" si="6"/>
        <v>Barraqueiro Oeste</v>
      </c>
      <c r="D113" s="82" t="s">
        <v>34</v>
      </c>
      <c r="E113" s="218" t="s">
        <v>1876</v>
      </c>
      <c r="F113" s="115" t="s">
        <v>1557</v>
      </c>
      <c r="G113" s="138" t="s">
        <v>42</v>
      </c>
      <c r="H113" s="326">
        <v>2.62</v>
      </c>
      <c r="I113" s="138" t="s">
        <v>1532</v>
      </c>
      <c r="J113" s="139">
        <f t="shared" si="7"/>
        <v>2620</v>
      </c>
      <c r="K113" s="138" t="s">
        <v>483</v>
      </c>
      <c r="L113" s="238" t="str">
        <f t="shared" si="8"/>
        <v>Reciclagem</v>
      </c>
      <c r="M113" s="238" t="s">
        <v>1557</v>
      </c>
      <c r="N113" s="238" t="s">
        <v>1922</v>
      </c>
      <c r="O113" s="114" t="str">
        <f>IFERROR(INDEX(Tabela3[Tipos de Tratamento],MATCH('A3.9.1 copy'!K113,Tabela3[Código],0)),"")</f>
        <v xml:space="preserve">Troca de resíduos com vista a submetê-los a uma das operações enumeradas de R 1 a R 11 </v>
      </c>
      <c r="P113" s="114" t="s">
        <v>1558</v>
      </c>
      <c r="Q113" s="114" t="s">
        <v>1559</v>
      </c>
      <c r="R113" s="114"/>
      <c r="S113">
        <v>2022</v>
      </c>
      <c r="T113" s="261" t="s">
        <v>3535</v>
      </c>
      <c r="U113" s="261" t="s">
        <v>3606</v>
      </c>
      <c r="V113" t="s">
        <v>42</v>
      </c>
    </row>
    <row r="114" spans="1:22" ht="15.75" thickBot="1" x14ac:dyDescent="0.3">
      <c r="A114" s="114" t="s">
        <v>3509</v>
      </c>
      <c r="B114" s="82" t="str">
        <f t="shared" si="9"/>
        <v>Barraqueiro Transportes, S.A.</v>
      </c>
      <c r="C114" s="82" t="str">
        <f t="shared" si="6"/>
        <v>Barraqueiro Oeste</v>
      </c>
      <c r="D114" s="82" t="s">
        <v>34</v>
      </c>
      <c r="E114" s="218" t="s">
        <v>1878</v>
      </c>
      <c r="F114" s="115" t="s">
        <v>1576</v>
      </c>
      <c r="G114" s="138" t="s">
        <v>34</v>
      </c>
      <c r="H114" s="326">
        <v>0.16800000000000001</v>
      </c>
      <c r="I114" s="138" t="s">
        <v>1532</v>
      </c>
      <c r="J114" s="139">
        <f t="shared" si="7"/>
        <v>168</v>
      </c>
      <c r="K114" s="138" t="s">
        <v>509</v>
      </c>
      <c r="L114" s="238" t="str">
        <f t="shared" si="8"/>
        <v>Aterro</v>
      </c>
      <c r="M114" s="238" t="s">
        <v>1920</v>
      </c>
      <c r="N114" s="238" t="s">
        <v>1911</v>
      </c>
      <c r="O114" s="114" t="str">
        <f>IFERROR(INDEX(Tabela3[Tipos de Tratamento],MATCH('A3.9.1 copy'!K114,Tabela3[Código],0)),"")</f>
        <v>Armazenagem enquanto se aguarda a execução de uma das operações enumeradas de D1 a D14</v>
      </c>
      <c r="P114" s="114" t="s">
        <v>1573</v>
      </c>
      <c r="Q114" s="114" t="s">
        <v>1574</v>
      </c>
      <c r="R114" s="114"/>
      <c r="S114">
        <v>2022</v>
      </c>
      <c r="T114" s="261" t="s">
        <v>3535</v>
      </c>
      <c r="U114" s="261" t="s">
        <v>3606</v>
      </c>
      <c r="V114" t="s">
        <v>42</v>
      </c>
    </row>
    <row r="115" spans="1:22" ht="15.75" thickBot="1" x14ac:dyDescent="0.3">
      <c r="A115" s="114" t="s">
        <v>3509</v>
      </c>
      <c r="B115" s="82" t="str">
        <f t="shared" si="9"/>
        <v>Barraqueiro Transportes, S.A.</v>
      </c>
      <c r="C115" s="82" t="str">
        <f t="shared" si="6"/>
        <v>Barraqueiro Oeste</v>
      </c>
      <c r="D115" s="82" t="s">
        <v>34</v>
      </c>
      <c r="E115" s="218" t="s">
        <v>1879</v>
      </c>
      <c r="F115" s="115" t="s">
        <v>1562</v>
      </c>
      <c r="G115" s="138" t="s">
        <v>42</v>
      </c>
      <c r="H115" s="326">
        <v>0.51</v>
      </c>
      <c r="I115" s="138" t="s">
        <v>1532</v>
      </c>
      <c r="J115" s="139">
        <f t="shared" si="7"/>
        <v>510</v>
      </c>
      <c r="K115" s="138" t="s">
        <v>483</v>
      </c>
      <c r="L115" s="238" t="str">
        <f t="shared" si="8"/>
        <v>Reciclagem</v>
      </c>
      <c r="M115" s="238" t="s">
        <v>1920</v>
      </c>
      <c r="N115" s="238" t="s">
        <v>1911</v>
      </c>
      <c r="O115" s="114" t="str">
        <f>IFERROR(INDEX(Tabela3[Tipos de Tratamento],MATCH('A3.9.1 copy'!K115,Tabela3[Código],0)),"")</f>
        <v xml:space="preserve">Troca de resíduos com vista a submetê-los a uma das operações enumeradas de R 1 a R 11 </v>
      </c>
      <c r="P115" s="114" t="s">
        <v>1538</v>
      </c>
      <c r="Q115" s="114" t="s">
        <v>1539</v>
      </c>
      <c r="R115" s="114"/>
      <c r="S115">
        <v>2022</v>
      </c>
      <c r="T115" s="261" t="s">
        <v>3535</v>
      </c>
      <c r="U115" s="261" t="s">
        <v>3606</v>
      </c>
      <c r="V115" t="s">
        <v>42</v>
      </c>
    </row>
    <row r="116" spans="1:22" ht="15.75" thickBot="1" x14ac:dyDescent="0.3">
      <c r="A116" s="114" t="s">
        <v>3509</v>
      </c>
      <c r="B116" s="82" t="str">
        <f t="shared" si="9"/>
        <v>Barraqueiro Transportes, S.A.</v>
      </c>
      <c r="C116" s="82" t="str">
        <f t="shared" si="6"/>
        <v>Barraqueiro Oeste</v>
      </c>
      <c r="D116" s="82" t="s">
        <v>34</v>
      </c>
      <c r="E116" s="218" t="s">
        <v>1879</v>
      </c>
      <c r="F116" s="115" t="s">
        <v>1562</v>
      </c>
      <c r="G116" s="138" t="s">
        <v>42</v>
      </c>
      <c r="H116" s="326">
        <v>0.34</v>
      </c>
      <c r="I116" s="138" t="s">
        <v>1532</v>
      </c>
      <c r="J116" s="139">
        <f t="shared" si="7"/>
        <v>340</v>
      </c>
      <c r="K116" s="138" t="s">
        <v>509</v>
      </c>
      <c r="L116" s="238" t="str">
        <f t="shared" si="8"/>
        <v>Aterro</v>
      </c>
      <c r="M116" s="238" t="s">
        <v>1920</v>
      </c>
      <c r="N116" s="238" t="s">
        <v>1911</v>
      </c>
      <c r="O116" s="114" t="str">
        <f>IFERROR(INDEX(Tabela3[Tipos de Tratamento],MATCH('A3.9.1 copy'!K116,Tabela3[Código],0)),"")</f>
        <v>Armazenagem enquanto se aguarda a execução de uma das operações enumeradas de D1 a D14</v>
      </c>
      <c r="P116" s="114" t="s">
        <v>1573</v>
      </c>
      <c r="Q116" s="114" t="s">
        <v>1574</v>
      </c>
      <c r="R116" s="114"/>
      <c r="S116">
        <v>2022</v>
      </c>
      <c r="T116" s="261" t="s">
        <v>3535</v>
      </c>
      <c r="U116" s="261" t="s">
        <v>3606</v>
      </c>
      <c r="V116" t="s">
        <v>42</v>
      </c>
    </row>
    <row r="117" spans="1:22" ht="15.75" thickBot="1" x14ac:dyDescent="0.3">
      <c r="A117" s="114" t="s">
        <v>3509</v>
      </c>
      <c r="B117" s="82" t="str">
        <f t="shared" si="9"/>
        <v>Barraqueiro Transportes, S.A.</v>
      </c>
      <c r="C117" s="82" t="str">
        <f t="shared" si="6"/>
        <v>Barraqueiro Oeste</v>
      </c>
      <c r="D117" s="82" t="s">
        <v>34</v>
      </c>
      <c r="E117" s="218" t="s">
        <v>1880</v>
      </c>
      <c r="F117" s="115" t="s">
        <v>1563</v>
      </c>
      <c r="G117" s="138" t="s">
        <v>34</v>
      </c>
      <c r="H117" s="326">
        <v>1.52</v>
      </c>
      <c r="I117" s="138" t="s">
        <v>1532</v>
      </c>
      <c r="J117" s="139">
        <f t="shared" si="7"/>
        <v>1520</v>
      </c>
      <c r="K117" s="138" t="s">
        <v>484</v>
      </c>
      <c r="L117" s="238" t="str">
        <f t="shared" si="8"/>
        <v>Reciclagem</v>
      </c>
      <c r="M117" s="238" t="s">
        <v>1653</v>
      </c>
      <c r="N117" s="238" t="s">
        <v>1896</v>
      </c>
      <c r="O117" s="114" t="str">
        <f>IFERROR(INDEX(Tabela3[Tipos de Tratamento],MATCH('A3.9.1 copy'!K117,Tabela3[Código],0)),"")</f>
        <v>Acumulação de resíduos destinados a uma das operações enumeradas de R1 a R12</v>
      </c>
      <c r="P117" s="114" t="s">
        <v>1558</v>
      </c>
      <c r="Q117" s="114" t="s">
        <v>1559</v>
      </c>
      <c r="R117" s="114"/>
      <c r="S117">
        <v>2022</v>
      </c>
      <c r="T117" s="261" t="s">
        <v>3535</v>
      </c>
      <c r="U117" s="261" t="s">
        <v>3606</v>
      </c>
      <c r="V117" t="s">
        <v>42</v>
      </c>
    </row>
    <row r="118" spans="1:22" ht="15.75" thickBot="1" x14ac:dyDescent="0.3">
      <c r="A118" s="137" t="s">
        <v>3509</v>
      </c>
      <c r="B118" s="82" t="str">
        <f t="shared" si="9"/>
        <v>Barraqueiro Transportes, S.A.</v>
      </c>
      <c r="C118" s="82" t="str">
        <f t="shared" si="6"/>
        <v>Barraqueiro Oeste</v>
      </c>
      <c r="D118" s="82" t="s">
        <v>34</v>
      </c>
      <c r="E118" s="219" t="s">
        <v>1881</v>
      </c>
      <c r="F118" s="141" t="s">
        <v>1577</v>
      </c>
      <c r="G118" s="138" t="s">
        <v>42</v>
      </c>
      <c r="H118" s="326">
        <v>0.86</v>
      </c>
      <c r="I118" s="138" t="s">
        <v>1532</v>
      </c>
      <c r="J118" s="139">
        <f t="shared" si="7"/>
        <v>860</v>
      </c>
      <c r="K118" s="138" t="s">
        <v>483</v>
      </c>
      <c r="L118" s="238" t="str">
        <f t="shared" si="8"/>
        <v>Reciclagem</v>
      </c>
      <c r="M118" s="238" t="s">
        <v>1920</v>
      </c>
      <c r="N118" s="238" t="s">
        <v>1911</v>
      </c>
      <c r="O118" s="114" t="str">
        <f>IFERROR(INDEX(Tabela3[Tipos de Tratamento],MATCH('A3.9.1 copy'!K118,Tabela3[Código],0)),"")</f>
        <v xml:space="preserve">Troca de resíduos com vista a submetê-los a uma das operações enumeradas de R 1 a R 11 </v>
      </c>
      <c r="P118" s="114" t="s">
        <v>1570</v>
      </c>
      <c r="Q118" s="114" t="s">
        <v>1571</v>
      </c>
      <c r="R118" s="114"/>
      <c r="S118">
        <v>2022</v>
      </c>
      <c r="T118" s="261" t="s">
        <v>3535</v>
      </c>
      <c r="U118" s="261" t="s">
        <v>3606</v>
      </c>
      <c r="V118" t="s">
        <v>42</v>
      </c>
    </row>
    <row r="119" spans="1:22" ht="15.75" thickBot="1" x14ac:dyDescent="0.3">
      <c r="A119" s="114" t="s">
        <v>3509</v>
      </c>
      <c r="B119" s="82" t="str">
        <f t="shared" si="9"/>
        <v>Barraqueiro Transportes, S.A.</v>
      </c>
      <c r="C119" s="82" t="str">
        <f t="shared" si="6"/>
        <v>Barraqueiro Oeste</v>
      </c>
      <c r="D119" s="82" t="s">
        <v>34</v>
      </c>
      <c r="E119" s="218" t="s">
        <v>1885</v>
      </c>
      <c r="F119" s="115" t="s">
        <v>1565</v>
      </c>
      <c r="G119" s="138" t="s">
        <v>42</v>
      </c>
      <c r="H119" s="326">
        <v>7.0000000000000007E-2</v>
      </c>
      <c r="I119" s="138" t="s">
        <v>1532</v>
      </c>
      <c r="J119" s="139">
        <f t="shared" si="7"/>
        <v>70</v>
      </c>
      <c r="K119" s="138" t="s">
        <v>483</v>
      </c>
      <c r="L119" s="238" t="str">
        <f t="shared" si="8"/>
        <v>Reciclagem</v>
      </c>
      <c r="M119" s="238" t="s">
        <v>1920</v>
      </c>
      <c r="N119" s="238" t="s">
        <v>1911</v>
      </c>
      <c r="O119" s="114" t="str">
        <f>IFERROR(INDEX(Tabela3[Tipos de Tratamento],MATCH('A3.9.1 copy'!K119,Tabela3[Código],0)),"")</f>
        <v xml:space="preserve">Troca de resíduos com vista a submetê-los a uma das operações enumeradas de R 1 a R 11 </v>
      </c>
      <c r="P119" s="114" t="s">
        <v>1566</v>
      </c>
      <c r="Q119" s="114" t="s">
        <v>1578</v>
      </c>
      <c r="R119" s="114"/>
      <c r="S119">
        <v>2022</v>
      </c>
      <c r="T119" s="261" t="s">
        <v>3535</v>
      </c>
      <c r="U119" s="261" t="s">
        <v>3606</v>
      </c>
      <c r="V119" t="s">
        <v>42</v>
      </c>
    </row>
    <row r="120" spans="1:22" ht="15.75" thickBot="1" x14ac:dyDescent="0.3">
      <c r="A120" s="114" t="s">
        <v>3510</v>
      </c>
      <c r="B120" s="82" t="str">
        <f t="shared" si="9"/>
        <v>Barraqueiro Transportes, S.A.</v>
      </c>
      <c r="C120" s="82" t="str">
        <f t="shared" si="6"/>
        <v>Boa Viagem</v>
      </c>
      <c r="D120" s="82" t="s">
        <v>34</v>
      </c>
      <c r="E120" s="218" t="s">
        <v>1579</v>
      </c>
      <c r="F120" s="115" t="s">
        <v>1580</v>
      </c>
      <c r="G120" s="138" t="s">
        <v>34</v>
      </c>
      <c r="H120" s="326">
        <v>1.6E-2</v>
      </c>
      <c r="I120" s="138" t="s">
        <v>1532</v>
      </c>
      <c r="J120" s="139">
        <f t="shared" si="7"/>
        <v>16</v>
      </c>
      <c r="K120" s="138" t="s">
        <v>509</v>
      </c>
      <c r="L120" s="238" t="str">
        <f t="shared" si="8"/>
        <v>Aterro</v>
      </c>
      <c r="M120" s="238" t="s">
        <v>1920</v>
      </c>
      <c r="N120" s="238" t="s">
        <v>1911</v>
      </c>
      <c r="O120" s="114" t="str">
        <f>IFERROR(INDEX(Tabela3[Tipos de Tratamento],MATCH('A3.9.1 copy'!K120,Tabela3[Código],0)),"")</f>
        <v>Armazenagem enquanto se aguarda a execução de uma das operações enumeradas de D1 a D14</v>
      </c>
      <c r="P120" s="114" t="s">
        <v>1573</v>
      </c>
      <c r="Q120" s="114" t="s">
        <v>1539</v>
      </c>
      <c r="R120" s="114"/>
      <c r="S120">
        <v>2022</v>
      </c>
      <c r="T120" s="261" t="s">
        <v>3535</v>
      </c>
      <c r="U120" s="261" t="s">
        <v>3606</v>
      </c>
      <c r="V120" t="s">
        <v>42</v>
      </c>
    </row>
    <row r="121" spans="1:22" ht="15.75" thickBot="1" x14ac:dyDescent="0.3">
      <c r="A121" s="114" t="s">
        <v>3510</v>
      </c>
      <c r="B121" s="82" t="str">
        <f t="shared" si="9"/>
        <v>Barraqueiro Transportes, S.A.</v>
      </c>
      <c r="C121" s="82" t="str">
        <f t="shared" si="6"/>
        <v>Boa Viagem</v>
      </c>
      <c r="D121" s="82" t="s">
        <v>34</v>
      </c>
      <c r="E121" s="218" t="s">
        <v>1579</v>
      </c>
      <c r="F121" s="115" t="s">
        <v>1580</v>
      </c>
      <c r="G121" s="138" t="s">
        <v>34</v>
      </c>
      <c r="H121" s="326">
        <v>1.6E-2</v>
      </c>
      <c r="I121" s="138" t="s">
        <v>1532</v>
      </c>
      <c r="J121" s="139">
        <f t="shared" si="7"/>
        <v>16</v>
      </c>
      <c r="K121" s="138" t="s">
        <v>483</v>
      </c>
      <c r="L121" s="238" t="str">
        <f t="shared" si="8"/>
        <v>Reciclagem</v>
      </c>
      <c r="M121" s="238" t="s">
        <v>1920</v>
      </c>
      <c r="N121" s="238" t="s">
        <v>1911</v>
      </c>
      <c r="O121" s="114" t="str">
        <f>IFERROR(INDEX(Tabela3[Tipos de Tratamento],MATCH('A3.9.1 copy'!K121,Tabela3[Código],0)),"")</f>
        <v xml:space="preserve">Troca de resíduos com vista a submetê-los a uma das operações enumeradas de R 1 a R 11 </v>
      </c>
      <c r="P121" s="114" t="s">
        <v>1573</v>
      </c>
      <c r="Q121" s="114" t="s">
        <v>1539</v>
      </c>
      <c r="R121" s="114"/>
      <c r="S121">
        <v>2022</v>
      </c>
      <c r="T121" s="261" t="s">
        <v>3535</v>
      </c>
      <c r="U121" s="261" t="s">
        <v>3606</v>
      </c>
      <c r="V121" t="s">
        <v>42</v>
      </c>
    </row>
    <row r="122" spans="1:22" ht="15.75" thickBot="1" x14ac:dyDescent="0.3">
      <c r="A122" s="114" t="s">
        <v>3510</v>
      </c>
      <c r="B122" s="82" t="str">
        <f t="shared" si="9"/>
        <v>Barraqueiro Transportes, S.A.</v>
      </c>
      <c r="C122" s="82" t="str">
        <f t="shared" si="6"/>
        <v>Boa Viagem</v>
      </c>
      <c r="D122" s="82" t="s">
        <v>34</v>
      </c>
      <c r="E122" s="218" t="s">
        <v>1865</v>
      </c>
      <c r="F122" s="115" t="s">
        <v>1531</v>
      </c>
      <c r="G122" s="138" t="s">
        <v>34</v>
      </c>
      <c r="H122" s="326">
        <v>3.589</v>
      </c>
      <c r="I122" s="138" t="s">
        <v>1532</v>
      </c>
      <c r="J122" s="139">
        <f t="shared" si="7"/>
        <v>3589</v>
      </c>
      <c r="K122" s="138" t="s">
        <v>480</v>
      </c>
      <c r="L122" s="238" t="str">
        <f t="shared" si="8"/>
        <v>Reciclagem</v>
      </c>
      <c r="M122" s="238" t="s">
        <v>1921</v>
      </c>
      <c r="N122" s="238" t="s">
        <v>1896</v>
      </c>
      <c r="O122" s="114" t="str">
        <f>IFERROR(INDEX(Tabela3[Tipos de Tratamento],MATCH('A3.9.1 copy'!K122,Tabela3[Código],0)),"")</f>
        <v xml:space="preserve">Regeneração de óleos e outras reutilizações de óleos </v>
      </c>
      <c r="P122" s="114" t="s">
        <v>1535</v>
      </c>
      <c r="Q122" s="114" t="s">
        <v>1536</v>
      </c>
      <c r="R122" s="114"/>
      <c r="S122">
        <v>2022</v>
      </c>
      <c r="T122" s="261" t="s">
        <v>3535</v>
      </c>
      <c r="U122" s="261" t="s">
        <v>3606</v>
      </c>
      <c r="V122" t="s">
        <v>42</v>
      </c>
    </row>
    <row r="123" spans="1:22" ht="15.75" thickBot="1" x14ac:dyDescent="0.3">
      <c r="A123" s="114" t="s">
        <v>3510</v>
      </c>
      <c r="B123" s="82" t="str">
        <f t="shared" si="9"/>
        <v>Barraqueiro Transportes, S.A.</v>
      </c>
      <c r="C123" s="82" t="str">
        <f t="shared" si="6"/>
        <v>Boa Viagem</v>
      </c>
      <c r="D123" s="82" t="s">
        <v>34</v>
      </c>
      <c r="E123" s="218" t="s">
        <v>1866</v>
      </c>
      <c r="F123" s="115" t="s">
        <v>1569</v>
      </c>
      <c r="G123" s="138" t="s">
        <v>34</v>
      </c>
      <c r="H123" s="326">
        <v>6.36</v>
      </c>
      <c r="I123" s="138" t="s">
        <v>1532</v>
      </c>
      <c r="J123" s="139">
        <f t="shared" si="7"/>
        <v>6360</v>
      </c>
      <c r="K123" s="138" t="s">
        <v>483</v>
      </c>
      <c r="L123" s="238" t="str">
        <f t="shared" si="8"/>
        <v>Reciclagem</v>
      </c>
      <c r="M123" s="238" t="s">
        <v>1920</v>
      </c>
      <c r="N123" s="238" t="s">
        <v>1911</v>
      </c>
      <c r="O123" s="114" t="str">
        <f>IFERROR(INDEX(Tabela3[Tipos de Tratamento],MATCH('A3.9.1 copy'!K123,Tabela3[Código],0)),"")</f>
        <v xml:space="preserve">Troca de resíduos com vista a submetê-los a uma das operações enumeradas de R 1 a R 11 </v>
      </c>
      <c r="P123" s="114" t="s">
        <v>1570</v>
      </c>
      <c r="Q123" s="114" t="s">
        <v>1571</v>
      </c>
      <c r="R123" s="114"/>
      <c r="S123">
        <v>2022</v>
      </c>
      <c r="T123" s="261" t="s">
        <v>3535</v>
      </c>
      <c r="U123" s="261" t="s">
        <v>3606</v>
      </c>
      <c r="V123" t="s">
        <v>42</v>
      </c>
    </row>
    <row r="124" spans="1:22" ht="15.75" thickBot="1" x14ac:dyDescent="0.3">
      <c r="A124" s="114" t="s">
        <v>3510</v>
      </c>
      <c r="B124" s="82" t="str">
        <f t="shared" si="9"/>
        <v>Barraqueiro Transportes, S.A.</v>
      </c>
      <c r="C124" s="82" t="str">
        <f t="shared" si="6"/>
        <v>Boa Viagem</v>
      </c>
      <c r="D124" s="82" t="s">
        <v>34</v>
      </c>
      <c r="E124" s="218" t="s">
        <v>1867</v>
      </c>
      <c r="F124" s="115" t="s">
        <v>1572</v>
      </c>
      <c r="G124" s="138" t="s">
        <v>34</v>
      </c>
      <c r="H124" s="326">
        <v>19.920000000000002</v>
      </c>
      <c r="I124" s="138" t="s">
        <v>1532</v>
      </c>
      <c r="J124" s="139">
        <f t="shared" si="7"/>
        <v>19920</v>
      </c>
      <c r="K124" s="138" t="s">
        <v>483</v>
      </c>
      <c r="L124" s="238" t="str">
        <f t="shared" si="8"/>
        <v>Reciclagem</v>
      </c>
      <c r="M124" s="238" t="s">
        <v>1920</v>
      </c>
      <c r="N124" s="238" t="s">
        <v>1911</v>
      </c>
      <c r="O124" s="114" t="str">
        <f>IFERROR(INDEX(Tabela3[Tipos de Tratamento],MATCH('A3.9.1 copy'!K124,Tabela3[Código],0)),"")</f>
        <v xml:space="preserve">Troca de resíduos com vista a submetê-los a uma das operações enumeradas de R 1 a R 11 </v>
      </c>
      <c r="P124" s="114" t="s">
        <v>1570</v>
      </c>
      <c r="Q124" s="114" t="s">
        <v>1571</v>
      </c>
      <c r="R124" s="114"/>
      <c r="S124">
        <v>2022</v>
      </c>
      <c r="T124" s="261" t="s">
        <v>3535</v>
      </c>
      <c r="U124" s="261" t="s">
        <v>3606</v>
      </c>
      <c r="V124" t="s">
        <v>42</v>
      </c>
    </row>
    <row r="125" spans="1:22" ht="15.75" thickBot="1" x14ac:dyDescent="0.3">
      <c r="A125" s="114" t="s">
        <v>3510</v>
      </c>
      <c r="B125" s="82" t="str">
        <f t="shared" si="9"/>
        <v>Barraqueiro Transportes, S.A.</v>
      </c>
      <c r="C125" s="82" t="str">
        <f t="shared" si="6"/>
        <v>Boa Viagem</v>
      </c>
      <c r="D125" s="82" t="s">
        <v>34</v>
      </c>
      <c r="E125" s="218" t="s">
        <v>1868</v>
      </c>
      <c r="F125" s="115" t="s">
        <v>1537</v>
      </c>
      <c r="G125" s="138" t="s">
        <v>42</v>
      </c>
      <c r="H125" s="326">
        <v>1.7</v>
      </c>
      <c r="I125" s="138" t="s">
        <v>1532</v>
      </c>
      <c r="J125" s="139">
        <f t="shared" si="7"/>
        <v>1700</v>
      </c>
      <c r="K125" s="138" t="s">
        <v>484</v>
      </c>
      <c r="L125" s="238" t="str">
        <f t="shared" si="8"/>
        <v>Reciclagem</v>
      </c>
      <c r="M125" s="238" t="s">
        <v>1923</v>
      </c>
      <c r="N125" s="238" t="s">
        <v>1922</v>
      </c>
      <c r="O125" s="114" t="str">
        <f>IFERROR(INDEX(Tabela3[Tipos de Tratamento],MATCH('A3.9.1 copy'!K125,Tabela3[Código],0)),"")</f>
        <v>Acumulação de resíduos destinados a uma das operações enumeradas de R1 a R12</v>
      </c>
      <c r="P125" s="114" t="s">
        <v>1558</v>
      </c>
      <c r="Q125" s="114" t="s">
        <v>1559</v>
      </c>
      <c r="R125" s="114"/>
      <c r="S125">
        <v>2022</v>
      </c>
      <c r="T125" s="261" t="s">
        <v>3535</v>
      </c>
      <c r="U125" s="261" t="s">
        <v>3606</v>
      </c>
      <c r="V125" t="s">
        <v>42</v>
      </c>
    </row>
    <row r="126" spans="1:22" ht="15.75" thickBot="1" x14ac:dyDescent="0.3">
      <c r="A126" s="114" t="s">
        <v>3510</v>
      </c>
      <c r="B126" s="82" t="str">
        <f t="shared" si="9"/>
        <v>Barraqueiro Transportes, S.A.</v>
      </c>
      <c r="C126" s="82" t="str">
        <f t="shared" si="6"/>
        <v>Boa Viagem</v>
      </c>
      <c r="D126" s="82" t="s">
        <v>34</v>
      </c>
      <c r="E126" s="218" t="s">
        <v>1870</v>
      </c>
      <c r="F126" s="115" t="s">
        <v>1542</v>
      </c>
      <c r="G126" s="138" t="s">
        <v>34</v>
      </c>
      <c r="H126" s="326">
        <v>0.09</v>
      </c>
      <c r="I126" s="138" t="s">
        <v>1532</v>
      </c>
      <c r="J126" s="139">
        <f t="shared" si="7"/>
        <v>90</v>
      </c>
      <c r="K126" s="138" t="s">
        <v>484</v>
      </c>
      <c r="L126" s="238" t="str">
        <f t="shared" si="8"/>
        <v>Reciclagem</v>
      </c>
      <c r="M126" s="238" t="s">
        <v>1920</v>
      </c>
      <c r="N126" s="238" t="s">
        <v>1911</v>
      </c>
      <c r="O126" s="114" t="str">
        <f>IFERROR(INDEX(Tabela3[Tipos de Tratamento],MATCH('A3.9.1 copy'!K126,Tabela3[Código],0)),"")</f>
        <v>Acumulação de resíduos destinados a uma das operações enumeradas de R1 a R12</v>
      </c>
      <c r="P126" s="114" t="s">
        <v>1538</v>
      </c>
      <c r="Q126" s="114" t="s">
        <v>1539</v>
      </c>
      <c r="R126" s="114"/>
      <c r="S126">
        <v>2022</v>
      </c>
      <c r="T126" s="261" t="s">
        <v>3535</v>
      </c>
      <c r="U126" s="261" t="s">
        <v>3606</v>
      </c>
      <c r="V126" t="s">
        <v>42</v>
      </c>
    </row>
    <row r="127" spans="1:22" ht="15.75" thickBot="1" x14ac:dyDescent="0.3">
      <c r="A127" s="114" t="s">
        <v>3510</v>
      </c>
      <c r="B127" s="82" t="str">
        <f t="shared" si="9"/>
        <v>Barraqueiro Transportes, S.A.</v>
      </c>
      <c r="C127" s="82" t="str">
        <f t="shared" si="6"/>
        <v>Boa Viagem</v>
      </c>
      <c r="D127" s="82" t="s">
        <v>34</v>
      </c>
      <c r="E127" s="218" t="s">
        <v>1872</v>
      </c>
      <c r="F127" s="115" t="s">
        <v>1547</v>
      </c>
      <c r="G127" s="138" t="s">
        <v>34</v>
      </c>
      <c r="H127" s="326">
        <v>1.28</v>
      </c>
      <c r="I127" s="138" t="s">
        <v>1532</v>
      </c>
      <c r="J127" s="139">
        <f t="shared" si="7"/>
        <v>1280</v>
      </c>
      <c r="K127" s="138" t="s">
        <v>484</v>
      </c>
      <c r="L127" s="238" t="str">
        <f t="shared" si="8"/>
        <v>Reciclagem</v>
      </c>
      <c r="M127" s="238" t="s">
        <v>1920</v>
      </c>
      <c r="N127" s="238" t="s">
        <v>1911</v>
      </c>
      <c r="O127" s="114" t="str">
        <f>IFERROR(INDEX(Tabela3[Tipos de Tratamento],MATCH('A3.9.1 copy'!K127,Tabela3[Código],0)),"")</f>
        <v>Acumulação de resíduos destinados a uma das operações enumeradas de R1 a R12</v>
      </c>
      <c r="P127" s="114" t="s">
        <v>1538</v>
      </c>
      <c r="Q127" s="114" t="s">
        <v>1539</v>
      </c>
      <c r="R127" s="114"/>
      <c r="S127">
        <v>2022</v>
      </c>
      <c r="T127" s="261" t="s">
        <v>3535</v>
      </c>
      <c r="U127" s="261" t="s">
        <v>3606</v>
      </c>
      <c r="V127" t="s">
        <v>42</v>
      </c>
    </row>
    <row r="128" spans="1:22" ht="15.75" thickBot="1" x14ac:dyDescent="0.3">
      <c r="A128" s="114" t="s">
        <v>3510</v>
      </c>
      <c r="B128" s="82" t="str">
        <f t="shared" si="9"/>
        <v>Barraqueiro Transportes, S.A.</v>
      </c>
      <c r="C128" s="82" t="str">
        <f t="shared" si="6"/>
        <v>Boa Viagem</v>
      </c>
      <c r="D128" s="82" t="s">
        <v>34</v>
      </c>
      <c r="E128" s="218" t="s">
        <v>1872</v>
      </c>
      <c r="F128" s="115" t="s">
        <v>1547</v>
      </c>
      <c r="G128" s="138" t="s">
        <v>34</v>
      </c>
      <c r="H128" s="326">
        <v>1.28</v>
      </c>
      <c r="I128" s="138" t="s">
        <v>1532</v>
      </c>
      <c r="J128" s="139">
        <f t="shared" si="7"/>
        <v>1280</v>
      </c>
      <c r="K128" s="138" t="s">
        <v>483</v>
      </c>
      <c r="L128" s="238" t="str">
        <f t="shared" si="8"/>
        <v>Reciclagem</v>
      </c>
      <c r="M128" s="238" t="s">
        <v>1920</v>
      </c>
      <c r="N128" s="238" t="s">
        <v>1911</v>
      </c>
      <c r="O128" s="114" t="str">
        <f>IFERROR(INDEX(Tabela3[Tipos de Tratamento],MATCH('A3.9.1 copy'!K128,Tabela3[Código],0)),"")</f>
        <v xml:space="preserve">Troca de resíduos com vista a submetê-los a uma das operações enumeradas de R 1 a R 11 </v>
      </c>
      <c r="P128" s="114" t="s">
        <v>1573</v>
      </c>
      <c r="Q128" s="114" t="s">
        <v>1574</v>
      </c>
      <c r="R128" s="114"/>
      <c r="S128">
        <v>2022</v>
      </c>
      <c r="T128" s="261" t="s">
        <v>3535</v>
      </c>
      <c r="U128" s="261" t="s">
        <v>3606</v>
      </c>
      <c r="V128" t="s">
        <v>42</v>
      </c>
    </row>
    <row r="129" spans="1:22" ht="15.75" thickBot="1" x14ac:dyDescent="0.3">
      <c r="A129" s="114" t="s">
        <v>3510</v>
      </c>
      <c r="B129" s="82" t="str">
        <f t="shared" si="9"/>
        <v>Barraqueiro Transportes, S.A.</v>
      </c>
      <c r="C129" s="82" t="str">
        <f t="shared" si="6"/>
        <v>Boa Viagem</v>
      </c>
      <c r="D129" s="82" t="s">
        <v>34</v>
      </c>
      <c r="E129" s="218" t="s">
        <v>1873</v>
      </c>
      <c r="F129" s="115" t="s">
        <v>1550</v>
      </c>
      <c r="G129" s="138" t="s">
        <v>42</v>
      </c>
      <c r="H129" s="326">
        <v>1.8</v>
      </c>
      <c r="I129" s="138" t="s">
        <v>1532</v>
      </c>
      <c r="J129" s="139">
        <f t="shared" si="7"/>
        <v>1800</v>
      </c>
      <c r="K129" s="138" t="s">
        <v>483</v>
      </c>
      <c r="L129" s="238" t="str">
        <f t="shared" si="8"/>
        <v>Reciclagem</v>
      </c>
      <c r="M129" s="238" t="s">
        <v>1920</v>
      </c>
      <c r="N129" s="238" t="s">
        <v>1911</v>
      </c>
      <c r="O129" s="114" t="str">
        <f>IFERROR(INDEX(Tabela3[Tipos de Tratamento],MATCH('A3.9.1 copy'!K129,Tabela3[Código],0)),"")</f>
        <v xml:space="preserve">Troca de resíduos com vista a submetê-los a uma das operações enumeradas de R 1 a R 11 </v>
      </c>
      <c r="P129" s="114" t="s">
        <v>1538</v>
      </c>
      <c r="Q129" s="114" t="s">
        <v>1539</v>
      </c>
      <c r="R129" s="114"/>
      <c r="S129">
        <v>2022</v>
      </c>
      <c r="T129" s="261" t="s">
        <v>3535</v>
      </c>
      <c r="U129" s="261" t="s">
        <v>3606</v>
      </c>
      <c r="V129" t="s">
        <v>42</v>
      </c>
    </row>
    <row r="130" spans="1:22" ht="15.75" thickBot="1" x14ac:dyDescent="0.3">
      <c r="A130" s="114" t="s">
        <v>3510</v>
      </c>
      <c r="B130" s="82" t="str">
        <f t="shared" si="9"/>
        <v>Barraqueiro Transportes, S.A.</v>
      </c>
      <c r="C130" s="82" t="str">
        <f t="shared" si="6"/>
        <v>Boa Viagem</v>
      </c>
      <c r="D130" s="82" t="s">
        <v>34</v>
      </c>
      <c r="E130" s="218" t="s">
        <v>1581</v>
      </c>
      <c r="F130" s="115" t="s">
        <v>1582</v>
      </c>
      <c r="G130" s="138" t="s">
        <v>42</v>
      </c>
      <c r="H130" s="326">
        <v>27.68</v>
      </c>
      <c r="I130" s="138" t="s">
        <v>1532</v>
      </c>
      <c r="J130" s="139">
        <f t="shared" si="7"/>
        <v>27680</v>
      </c>
      <c r="K130" s="138" t="s">
        <v>484</v>
      </c>
      <c r="L130" s="238" t="str">
        <f t="shared" si="8"/>
        <v>Reciclagem</v>
      </c>
      <c r="M130" s="238" t="s">
        <v>1681</v>
      </c>
      <c r="N130" s="238" t="s">
        <v>1922</v>
      </c>
      <c r="O130" s="114" t="str">
        <f>IFERROR(INDEX(Tabela3[Tipos de Tratamento],MATCH('A3.9.1 copy'!K130,Tabela3[Código],0)),"")</f>
        <v>Acumulação de resíduos destinados a uma das operações enumeradas de R1 a R12</v>
      </c>
      <c r="P130" s="114" t="s">
        <v>1558</v>
      </c>
      <c r="Q130" s="114" t="s">
        <v>1559</v>
      </c>
      <c r="R130" s="114"/>
      <c r="S130">
        <v>2022</v>
      </c>
      <c r="T130" s="261" t="s">
        <v>3535</v>
      </c>
      <c r="U130" s="261" t="s">
        <v>3606</v>
      </c>
      <c r="V130" t="s">
        <v>42</v>
      </c>
    </row>
    <row r="131" spans="1:22" ht="15.75" thickBot="1" x14ac:dyDescent="0.3">
      <c r="A131" s="114" t="s">
        <v>3510</v>
      </c>
      <c r="B131" s="82" t="str">
        <f t="shared" ref="B131:B162" si="10">LEFT(A131,IFERROR(FIND(" - ",A131)-1,LEN(A131)))</f>
        <v>Barraqueiro Transportes, S.A.</v>
      </c>
      <c r="C131" s="82" t="str">
        <f t="shared" ref="C131:C194" si="11">IF(A131=B131,"X",RIGHT(A131,LEN(A131)-LEN(B131)-3))</f>
        <v>Boa Viagem</v>
      </c>
      <c r="D131" s="82" t="s">
        <v>34</v>
      </c>
      <c r="E131" s="218" t="s">
        <v>1583</v>
      </c>
      <c r="F131" s="115" t="s">
        <v>1584</v>
      </c>
      <c r="G131" s="138" t="s">
        <v>34</v>
      </c>
      <c r="H131" s="326">
        <v>65.02</v>
      </c>
      <c r="I131" s="138" t="s">
        <v>1532</v>
      </c>
      <c r="J131" s="139">
        <f t="shared" ref="J131:J194" si="12">IF(LEFT(I131,3)="ton",1000*H131,H131)</f>
        <v>65019.999999999993</v>
      </c>
      <c r="K131" s="138" t="s">
        <v>484</v>
      </c>
      <c r="L131" s="238" t="str">
        <f t="shared" ref="L131:L194" si="13">IF(LEFT(K131,1)="R","Reciclagem",IF(OR(K131="D10",K131="D11"),"Iceneração","Aterro"))</f>
        <v>Reciclagem</v>
      </c>
      <c r="M131" s="238" t="s">
        <v>1926</v>
      </c>
      <c r="N131" s="238" t="s">
        <v>1922</v>
      </c>
      <c r="O131" s="114" t="str">
        <f>IFERROR(INDEX(Tabela3[Tipos de Tratamento],MATCH('A3.9.1 copy'!K131,Tabela3[Código],0)),"")</f>
        <v>Acumulação de resíduos destinados a uma das operações enumeradas de R1 a R12</v>
      </c>
      <c r="P131" s="114" t="s">
        <v>1585</v>
      </c>
      <c r="Q131" s="114" t="s">
        <v>1586</v>
      </c>
      <c r="R131" s="114"/>
      <c r="S131">
        <v>2022</v>
      </c>
      <c r="T131" s="261" t="s">
        <v>3535</v>
      </c>
      <c r="U131" s="261" t="s">
        <v>3606</v>
      </c>
      <c r="V131" t="s">
        <v>42</v>
      </c>
    </row>
    <row r="132" spans="1:22" ht="15.75" thickBot="1" x14ac:dyDescent="0.3">
      <c r="A132" s="114" t="s">
        <v>3510</v>
      </c>
      <c r="B132" s="82" t="str">
        <f t="shared" si="10"/>
        <v>Barraqueiro Transportes, S.A.</v>
      </c>
      <c r="C132" s="82" t="str">
        <f t="shared" si="11"/>
        <v>Boa Viagem</v>
      </c>
      <c r="D132" s="82" t="s">
        <v>34</v>
      </c>
      <c r="E132" s="218" t="s">
        <v>1874</v>
      </c>
      <c r="F132" s="115" t="s">
        <v>1551</v>
      </c>
      <c r="G132" s="138" t="s">
        <v>34</v>
      </c>
      <c r="H132" s="326">
        <v>0.72799999999999998</v>
      </c>
      <c r="I132" s="138" t="s">
        <v>1532</v>
      </c>
      <c r="J132" s="139">
        <f t="shared" si="12"/>
        <v>728</v>
      </c>
      <c r="K132" s="138" t="s">
        <v>484</v>
      </c>
      <c r="L132" s="238" t="str">
        <f t="shared" si="13"/>
        <v>Reciclagem</v>
      </c>
      <c r="M132" s="238" t="s">
        <v>1920</v>
      </c>
      <c r="N132" s="238" t="s">
        <v>1911</v>
      </c>
      <c r="O132" s="114" t="str">
        <f>IFERROR(INDEX(Tabela3[Tipos de Tratamento],MATCH('A3.9.1 copy'!K132,Tabela3[Código],0)),"")</f>
        <v>Acumulação de resíduos destinados a uma das operações enumeradas de R1 a R12</v>
      </c>
      <c r="P132" s="114" t="s">
        <v>1538</v>
      </c>
      <c r="Q132" s="114" t="s">
        <v>1539</v>
      </c>
      <c r="R132" s="114"/>
      <c r="S132">
        <v>2022</v>
      </c>
      <c r="T132" s="261" t="s">
        <v>3535</v>
      </c>
      <c r="U132" s="261" t="s">
        <v>3606</v>
      </c>
      <c r="V132" t="s">
        <v>42</v>
      </c>
    </row>
    <row r="133" spans="1:22" ht="15.75" thickBot="1" x14ac:dyDescent="0.3">
      <c r="A133" s="114" t="s">
        <v>3510</v>
      </c>
      <c r="B133" s="82" t="str">
        <f t="shared" si="10"/>
        <v>Barraqueiro Transportes, S.A.</v>
      </c>
      <c r="C133" s="82" t="str">
        <f t="shared" si="11"/>
        <v>Boa Viagem</v>
      </c>
      <c r="D133" s="82" t="s">
        <v>34</v>
      </c>
      <c r="E133" s="218" t="s">
        <v>1875</v>
      </c>
      <c r="F133" s="115" t="s">
        <v>1552</v>
      </c>
      <c r="G133" s="138" t="s">
        <v>34</v>
      </c>
      <c r="H133" s="326">
        <v>0.81</v>
      </c>
      <c r="I133" s="138" t="s">
        <v>1532</v>
      </c>
      <c r="J133" s="139">
        <f t="shared" si="12"/>
        <v>810</v>
      </c>
      <c r="K133" s="138" t="s">
        <v>483</v>
      </c>
      <c r="L133" s="238" t="str">
        <f t="shared" si="13"/>
        <v>Reciclagem</v>
      </c>
      <c r="M133" s="238" t="s">
        <v>1557</v>
      </c>
      <c r="N133" s="238" t="s">
        <v>1922</v>
      </c>
      <c r="O133" s="114" t="str">
        <f>IFERROR(INDEX(Tabela3[Tipos de Tratamento],MATCH('A3.9.1 copy'!K133,Tabela3[Código],0)),"")</f>
        <v xml:space="preserve">Troca de resíduos com vista a submetê-los a uma das operações enumeradas de R 1 a R 11 </v>
      </c>
      <c r="P133" s="114" t="s">
        <v>1538</v>
      </c>
      <c r="Q133" s="114" t="s">
        <v>1539</v>
      </c>
      <c r="R133" s="114"/>
      <c r="S133">
        <v>2022</v>
      </c>
      <c r="T133" s="261" t="s">
        <v>3535</v>
      </c>
      <c r="U133" s="261" t="s">
        <v>3606</v>
      </c>
      <c r="V133" t="s">
        <v>42</v>
      </c>
    </row>
    <row r="134" spans="1:22" ht="15.75" thickBot="1" x14ac:dyDescent="0.3">
      <c r="A134" s="114" t="s">
        <v>3510</v>
      </c>
      <c r="B134" s="82" t="str">
        <f t="shared" si="10"/>
        <v>Barraqueiro Transportes, S.A.</v>
      </c>
      <c r="C134" s="82" t="str">
        <f t="shared" si="11"/>
        <v>Boa Viagem</v>
      </c>
      <c r="D134" s="82" t="s">
        <v>34</v>
      </c>
      <c r="E134" s="218" t="s">
        <v>1876</v>
      </c>
      <c r="F134" s="115" t="s">
        <v>1557</v>
      </c>
      <c r="G134" s="138" t="s">
        <v>42</v>
      </c>
      <c r="H134" s="326">
        <v>3.1</v>
      </c>
      <c r="I134" s="138" t="s">
        <v>1532</v>
      </c>
      <c r="J134" s="139">
        <f t="shared" si="12"/>
        <v>3100</v>
      </c>
      <c r="K134" s="138" t="s">
        <v>483</v>
      </c>
      <c r="L134" s="238" t="str">
        <f t="shared" si="13"/>
        <v>Reciclagem</v>
      </c>
      <c r="M134" s="238" t="s">
        <v>1557</v>
      </c>
      <c r="N134" s="238" t="s">
        <v>1922</v>
      </c>
      <c r="O134" s="114" t="str">
        <f>IFERROR(INDEX(Tabela3[Tipos de Tratamento],MATCH('A3.9.1 copy'!K134,Tabela3[Código],0)),"")</f>
        <v xml:space="preserve">Troca de resíduos com vista a submetê-los a uma das operações enumeradas de R 1 a R 11 </v>
      </c>
      <c r="P134" s="114" t="s">
        <v>1558</v>
      </c>
      <c r="Q134" s="114" t="s">
        <v>1559</v>
      </c>
      <c r="R134" s="114"/>
      <c r="S134">
        <v>2022</v>
      </c>
      <c r="T134" s="261" t="s">
        <v>3535</v>
      </c>
      <c r="U134" s="261" t="s">
        <v>3606</v>
      </c>
      <c r="V134" t="s">
        <v>42</v>
      </c>
    </row>
    <row r="135" spans="1:22" ht="15.75" thickBot="1" x14ac:dyDescent="0.3">
      <c r="A135" s="114" t="s">
        <v>3510</v>
      </c>
      <c r="B135" s="82" t="str">
        <f t="shared" si="10"/>
        <v>Barraqueiro Transportes, S.A.</v>
      </c>
      <c r="C135" s="82" t="str">
        <f t="shared" si="11"/>
        <v>Boa Viagem</v>
      </c>
      <c r="D135" s="82" t="s">
        <v>34</v>
      </c>
      <c r="E135" s="218" t="s">
        <v>1877</v>
      </c>
      <c r="F135" s="115" t="s">
        <v>1560</v>
      </c>
      <c r="G135" s="138" t="s">
        <v>42</v>
      </c>
      <c r="H135" s="326">
        <v>8.5999999999999993E-2</v>
      </c>
      <c r="I135" s="138" t="s">
        <v>1532</v>
      </c>
      <c r="J135" s="139">
        <f t="shared" si="12"/>
        <v>86</v>
      </c>
      <c r="K135" s="138" t="s">
        <v>483</v>
      </c>
      <c r="L135" s="238" t="str">
        <f t="shared" si="13"/>
        <v>Reciclagem</v>
      </c>
      <c r="M135" s="238" t="s">
        <v>1560</v>
      </c>
      <c r="N135" s="238" t="s">
        <v>1922</v>
      </c>
      <c r="O135" s="114" t="str">
        <f>IFERROR(INDEX(Tabela3[Tipos de Tratamento],MATCH('A3.9.1 copy'!K135,Tabela3[Código],0)),"")</f>
        <v xml:space="preserve">Troca de resíduos com vista a submetê-los a uma das operações enumeradas de R 1 a R 11 </v>
      </c>
      <c r="P135" s="114" t="s">
        <v>1538</v>
      </c>
      <c r="Q135" s="114" t="s">
        <v>1539</v>
      </c>
      <c r="R135" s="114"/>
      <c r="S135">
        <v>2022</v>
      </c>
      <c r="T135" s="261" t="s">
        <v>3535</v>
      </c>
      <c r="U135" s="261" t="s">
        <v>3606</v>
      </c>
      <c r="V135" t="s">
        <v>42</v>
      </c>
    </row>
    <row r="136" spans="1:22" ht="15.75" thickBot="1" x14ac:dyDescent="0.3">
      <c r="A136" s="114" t="s">
        <v>3510</v>
      </c>
      <c r="B136" s="82" t="str">
        <f t="shared" si="10"/>
        <v>Barraqueiro Transportes, S.A.</v>
      </c>
      <c r="C136" s="82" t="str">
        <f t="shared" si="11"/>
        <v>Boa Viagem</v>
      </c>
      <c r="D136" s="82" t="s">
        <v>34</v>
      </c>
      <c r="E136" s="218" t="s">
        <v>1587</v>
      </c>
      <c r="F136" s="115" t="s">
        <v>1561</v>
      </c>
      <c r="G136" s="138" t="s">
        <v>42</v>
      </c>
      <c r="H136" s="326">
        <v>0.82799999999999996</v>
      </c>
      <c r="I136" s="138" t="s">
        <v>1532</v>
      </c>
      <c r="J136" s="139">
        <f t="shared" si="12"/>
        <v>828</v>
      </c>
      <c r="K136" s="138" t="s">
        <v>483</v>
      </c>
      <c r="L136" s="238" t="str">
        <f t="shared" si="13"/>
        <v>Reciclagem</v>
      </c>
      <c r="M136" s="238" t="s">
        <v>1561</v>
      </c>
      <c r="N136" s="238" t="s">
        <v>1922</v>
      </c>
      <c r="O136" s="114" t="str">
        <f>IFERROR(INDEX(Tabela3[Tipos de Tratamento],MATCH('A3.9.1 copy'!K136,Tabela3[Código],0)),"")</f>
        <v xml:space="preserve">Troca de resíduos com vista a submetê-los a uma das operações enumeradas de R 1 a R 11 </v>
      </c>
      <c r="P136" s="114" t="s">
        <v>1538</v>
      </c>
      <c r="Q136" s="114" t="s">
        <v>1539</v>
      </c>
      <c r="R136" s="114"/>
      <c r="S136">
        <v>2022</v>
      </c>
      <c r="T136" s="261" t="s">
        <v>3535</v>
      </c>
      <c r="U136" s="261" t="s">
        <v>3606</v>
      </c>
      <c r="V136" t="s">
        <v>42</v>
      </c>
    </row>
    <row r="137" spans="1:22" ht="15.75" thickBot="1" x14ac:dyDescent="0.3">
      <c r="A137" s="114" t="s">
        <v>3510</v>
      </c>
      <c r="B137" s="82" t="str">
        <f t="shared" si="10"/>
        <v>Barraqueiro Transportes, S.A.</v>
      </c>
      <c r="C137" s="82" t="str">
        <f t="shared" si="11"/>
        <v>Boa Viagem</v>
      </c>
      <c r="D137" s="82" t="s">
        <v>34</v>
      </c>
      <c r="E137" s="218" t="s">
        <v>1878</v>
      </c>
      <c r="F137" s="115" t="s">
        <v>1576</v>
      </c>
      <c r="G137" s="138" t="s">
        <v>34</v>
      </c>
      <c r="H137" s="326">
        <v>0.84</v>
      </c>
      <c r="I137" s="138" t="s">
        <v>1532</v>
      </c>
      <c r="J137" s="139">
        <f t="shared" si="12"/>
        <v>840</v>
      </c>
      <c r="K137" s="138" t="s">
        <v>484</v>
      </c>
      <c r="L137" s="238" t="str">
        <f t="shared" si="13"/>
        <v>Reciclagem</v>
      </c>
      <c r="M137" s="238" t="s">
        <v>1920</v>
      </c>
      <c r="N137" s="238" t="s">
        <v>1911</v>
      </c>
      <c r="O137" s="114" t="str">
        <f>IFERROR(INDEX(Tabela3[Tipos de Tratamento],MATCH('A3.9.1 copy'!K137,Tabela3[Código],0)),"")</f>
        <v>Acumulação de resíduos destinados a uma das operações enumeradas de R1 a R12</v>
      </c>
      <c r="P137" s="114" t="s">
        <v>1538</v>
      </c>
      <c r="Q137" s="114" t="s">
        <v>1539</v>
      </c>
      <c r="R137" s="114"/>
      <c r="S137">
        <v>2022</v>
      </c>
      <c r="T137" s="261" t="s">
        <v>3535</v>
      </c>
      <c r="U137" s="261" t="s">
        <v>3606</v>
      </c>
      <c r="V137" t="s">
        <v>42</v>
      </c>
    </row>
    <row r="138" spans="1:22" ht="15.75" thickBot="1" x14ac:dyDescent="0.3">
      <c r="A138" s="114" t="s">
        <v>3510</v>
      </c>
      <c r="B138" s="82" t="str">
        <f t="shared" si="10"/>
        <v>Barraqueiro Transportes, S.A.</v>
      </c>
      <c r="C138" s="82" t="str">
        <f t="shared" si="11"/>
        <v>Boa Viagem</v>
      </c>
      <c r="D138" s="82" t="s">
        <v>34</v>
      </c>
      <c r="E138" s="218" t="s">
        <v>1879</v>
      </c>
      <c r="F138" s="115" t="s">
        <v>1562</v>
      </c>
      <c r="G138" s="138" t="s">
        <v>42</v>
      </c>
      <c r="H138" s="326">
        <v>0.68</v>
      </c>
      <c r="I138" s="138" t="s">
        <v>1532</v>
      </c>
      <c r="J138" s="139">
        <f t="shared" si="12"/>
        <v>680</v>
      </c>
      <c r="K138" s="138" t="s">
        <v>483</v>
      </c>
      <c r="L138" s="238" t="str">
        <f t="shared" si="13"/>
        <v>Reciclagem</v>
      </c>
      <c r="M138" s="238" t="s">
        <v>1920</v>
      </c>
      <c r="N138" s="238" t="s">
        <v>1911</v>
      </c>
      <c r="O138" s="114" t="str">
        <f>IFERROR(INDEX(Tabela3[Tipos de Tratamento],MATCH('A3.9.1 copy'!K138,Tabela3[Código],0)),"")</f>
        <v xml:space="preserve">Troca de resíduos com vista a submetê-los a uma das operações enumeradas de R 1 a R 11 </v>
      </c>
      <c r="P138" s="114" t="s">
        <v>1538</v>
      </c>
      <c r="Q138" s="114" t="s">
        <v>1539</v>
      </c>
      <c r="R138" s="114"/>
      <c r="S138">
        <v>2022</v>
      </c>
      <c r="T138" s="261" t="s">
        <v>3535</v>
      </c>
      <c r="U138" s="261" t="s">
        <v>3606</v>
      </c>
      <c r="V138" t="s">
        <v>42</v>
      </c>
    </row>
    <row r="139" spans="1:22" ht="15.75" thickBot="1" x14ac:dyDescent="0.3">
      <c r="A139" s="114" t="s">
        <v>3510</v>
      </c>
      <c r="B139" s="82" t="str">
        <f t="shared" si="10"/>
        <v>Barraqueiro Transportes, S.A.</v>
      </c>
      <c r="C139" s="82" t="str">
        <f t="shared" si="11"/>
        <v>Boa Viagem</v>
      </c>
      <c r="D139" s="82" t="s">
        <v>34</v>
      </c>
      <c r="E139" s="218" t="s">
        <v>1880</v>
      </c>
      <c r="F139" s="115" t="s">
        <v>1563</v>
      </c>
      <c r="G139" s="138" t="s">
        <v>34</v>
      </c>
      <c r="H139" s="326">
        <v>4.08</v>
      </c>
      <c r="I139" s="138" t="s">
        <v>1532</v>
      </c>
      <c r="J139" s="139">
        <f t="shared" si="12"/>
        <v>4080</v>
      </c>
      <c r="K139" s="138" t="s">
        <v>484</v>
      </c>
      <c r="L139" s="238" t="str">
        <f t="shared" si="13"/>
        <v>Reciclagem</v>
      </c>
      <c r="M139" s="238" t="s">
        <v>1653</v>
      </c>
      <c r="N139" s="238" t="s">
        <v>1896</v>
      </c>
      <c r="O139" s="114" t="str">
        <f>IFERROR(INDEX(Tabela3[Tipos de Tratamento],MATCH('A3.9.1 copy'!K139,Tabela3[Código],0)),"")</f>
        <v>Acumulação de resíduos destinados a uma das operações enumeradas de R1 a R12</v>
      </c>
      <c r="P139" s="114" t="s">
        <v>1558</v>
      </c>
      <c r="Q139" s="114" t="s">
        <v>1559</v>
      </c>
      <c r="R139" s="114"/>
      <c r="S139">
        <v>2022</v>
      </c>
      <c r="T139" s="261" t="s">
        <v>3535</v>
      </c>
      <c r="U139" s="261" t="s">
        <v>3606</v>
      </c>
      <c r="V139" t="s">
        <v>42</v>
      </c>
    </row>
    <row r="140" spans="1:22" ht="15.75" thickBot="1" x14ac:dyDescent="0.3">
      <c r="A140" s="114" t="s">
        <v>3510</v>
      </c>
      <c r="B140" s="82" t="str">
        <f t="shared" si="10"/>
        <v>Barraqueiro Transportes, S.A.</v>
      </c>
      <c r="C140" s="82" t="str">
        <f t="shared" si="11"/>
        <v>Boa Viagem</v>
      </c>
      <c r="D140" s="82" t="s">
        <v>34</v>
      </c>
      <c r="E140" s="218" t="s">
        <v>1884</v>
      </c>
      <c r="F140" s="115" t="s">
        <v>1564</v>
      </c>
      <c r="G140" s="138" t="s">
        <v>34</v>
      </c>
      <c r="H140" s="326">
        <v>2.4E-2</v>
      </c>
      <c r="I140" s="138" t="s">
        <v>1532</v>
      </c>
      <c r="J140" s="139">
        <f t="shared" si="12"/>
        <v>24</v>
      </c>
      <c r="K140" s="138" t="s">
        <v>484</v>
      </c>
      <c r="L140" s="238" t="str">
        <f t="shared" si="13"/>
        <v>Reciclagem</v>
      </c>
      <c r="M140" s="238" t="s">
        <v>1920</v>
      </c>
      <c r="N140" s="238" t="s">
        <v>1911</v>
      </c>
      <c r="O140" s="114" t="str">
        <f>IFERROR(INDEX(Tabela3[Tipos de Tratamento],MATCH('A3.9.1 copy'!K140,Tabela3[Código],0)),"")</f>
        <v>Acumulação de resíduos destinados a uma das operações enumeradas de R1 a R12</v>
      </c>
      <c r="P140" s="114" t="s">
        <v>1538</v>
      </c>
      <c r="Q140" s="114" t="s">
        <v>1539</v>
      </c>
      <c r="R140" s="114"/>
      <c r="S140">
        <v>2022</v>
      </c>
      <c r="T140" s="261" t="s">
        <v>3535</v>
      </c>
      <c r="U140" s="261" t="s">
        <v>3606</v>
      </c>
      <c r="V140" t="s">
        <v>42</v>
      </c>
    </row>
    <row r="141" spans="1:22" ht="15.75" thickBot="1" x14ac:dyDescent="0.3">
      <c r="A141" s="114" t="s">
        <v>3510</v>
      </c>
      <c r="B141" s="82" t="str">
        <f t="shared" si="10"/>
        <v>Barraqueiro Transportes, S.A.</v>
      </c>
      <c r="C141" s="82" t="str">
        <f t="shared" si="11"/>
        <v>Boa Viagem</v>
      </c>
      <c r="D141" s="82" t="s">
        <v>34</v>
      </c>
      <c r="E141" s="218" t="s">
        <v>1886</v>
      </c>
      <c r="F141" s="115" t="s">
        <v>1568</v>
      </c>
      <c r="G141" s="138" t="s">
        <v>42</v>
      </c>
      <c r="H141" s="326">
        <v>0.05</v>
      </c>
      <c r="I141" s="138" t="s">
        <v>1532</v>
      </c>
      <c r="J141" s="139">
        <f t="shared" si="12"/>
        <v>50</v>
      </c>
      <c r="K141" s="138" t="s">
        <v>483</v>
      </c>
      <c r="L141" s="238" t="str">
        <f t="shared" si="13"/>
        <v>Reciclagem</v>
      </c>
      <c r="M141" s="238" t="s">
        <v>1928</v>
      </c>
      <c r="N141" s="238" t="s">
        <v>1896</v>
      </c>
      <c r="O141" s="114" t="str">
        <f>IFERROR(INDEX(Tabela3[Tipos de Tratamento],MATCH('A3.9.1 copy'!K141,Tabela3[Código],0)),"")</f>
        <v xml:space="preserve">Troca de resíduos com vista a submetê-los a uma das operações enumeradas de R 1 a R 11 </v>
      </c>
      <c r="P141" s="114" t="s">
        <v>1538</v>
      </c>
      <c r="Q141" s="114" t="s">
        <v>1539</v>
      </c>
      <c r="R141" s="114"/>
      <c r="S141">
        <v>2022</v>
      </c>
      <c r="T141" s="261" t="s">
        <v>3535</v>
      </c>
      <c r="U141" s="261" t="s">
        <v>3606</v>
      </c>
      <c r="V141" t="s">
        <v>42</v>
      </c>
    </row>
    <row r="142" spans="1:22" ht="15.75" thickBot="1" x14ac:dyDescent="0.3">
      <c r="A142" s="114" t="s">
        <v>3506</v>
      </c>
      <c r="B142" s="82" t="str">
        <f t="shared" si="10"/>
        <v>Barraqueiro Transportes, S.A.</v>
      </c>
      <c r="C142" s="82" t="str">
        <f t="shared" si="11"/>
        <v>Mafrense</v>
      </c>
      <c r="D142" s="82" t="s">
        <v>34</v>
      </c>
      <c r="E142" s="218" t="s">
        <v>1588</v>
      </c>
      <c r="F142" s="115" t="s">
        <v>1589</v>
      </c>
      <c r="G142" s="138" t="s">
        <v>34</v>
      </c>
      <c r="H142" s="326">
        <v>1.2999999999999999E-2</v>
      </c>
      <c r="I142" s="138" t="s">
        <v>1532</v>
      </c>
      <c r="J142" s="139">
        <f t="shared" si="12"/>
        <v>13</v>
      </c>
      <c r="K142" s="138" t="s">
        <v>484</v>
      </c>
      <c r="L142" s="238" t="str">
        <f t="shared" si="13"/>
        <v>Reciclagem</v>
      </c>
      <c r="M142" s="238" t="s">
        <v>1920</v>
      </c>
      <c r="N142" s="238" t="s">
        <v>1911</v>
      </c>
      <c r="O142" s="114" t="str">
        <f>IFERROR(INDEX(Tabela3[Tipos de Tratamento],MATCH('A3.9.1 copy'!K142,Tabela3[Código],0)),"")</f>
        <v>Acumulação de resíduos destinados a uma das operações enumeradas de R1 a R12</v>
      </c>
      <c r="P142" s="114" t="s">
        <v>1538</v>
      </c>
      <c r="Q142" s="114" t="s">
        <v>1539</v>
      </c>
      <c r="R142" s="114"/>
      <c r="S142">
        <v>2022</v>
      </c>
      <c r="T142" s="261" t="s">
        <v>3535</v>
      </c>
      <c r="U142" s="261" t="s">
        <v>3606</v>
      </c>
      <c r="V142" t="s">
        <v>42</v>
      </c>
    </row>
    <row r="143" spans="1:22" ht="15.75" thickBot="1" x14ac:dyDescent="0.3">
      <c r="A143" s="114" t="s">
        <v>3506</v>
      </c>
      <c r="B143" s="82" t="str">
        <f t="shared" si="10"/>
        <v>Barraqueiro Transportes, S.A.</v>
      </c>
      <c r="C143" s="82" t="str">
        <f t="shared" si="11"/>
        <v>Mafrense</v>
      </c>
      <c r="D143" s="82" t="s">
        <v>34</v>
      </c>
      <c r="E143" s="218" t="s">
        <v>1865</v>
      </c>
      <c r="F143" s="115" t="s">
        <v>1531</v>
      </c>
      <c r="G143" s="138" t="s">
        <v>34</v>
      </c>
      <c r="H143" s="326">
        <v>3.448</v>
      </c>
      <c r="I143" s="138" t="s">
        <v>1532</v>
      </c>
      <c r="J143" s="139">
        <f t="shared" si="12"/>
        <v>3448</v>
      </c>
      <c r="K143" s="138" t="s">
        <v>480</v>
      </c>
      <c r="L143" s="238" t="str">
        <f t="shared" si="13"/>
        <v>Reciclagem</v>
      </c>
      <c r="M143" s="238" t="s">
        <v>1921</v>
      </c>
      <c r="N143" s="238" t="s">
        <v>1896</v>
      </c>
      <c r="O143" s="114" t="str">
        <f>IFERROR(INDEX(Tabela3[Tipos de Tratamento],MATCH('A3.9.1 copy'!K143,Tabela3[Código],0)),"")</f>
        <v xml:space="preserve">Regeneração de óleos e outras reutilizações de óleos </v>
      </c>
      <c r="P143" s="114" t="s">
        <v>1535</v>
      </c>
      <c r="Q143" s="114" t="s">
        <v>1536</v>
      </c>
      <c r="R143" s="114"/>
      <c r="S143">
        <v>2022</v>
      </c>
      <c r="T143" s="261" t="s">
        <v>3535</v>
      </c>
      <c r="U143" s="261" t="s">
        <v>3606</v>
      </c>
      <c r="V143" t="s">
        <v>42</v>
      </c>
    </row>
    <row r="144" spans="1:22" ht="15.75" thickBot="1" x14ac:dyDescent="0.3">
      <c r="A144" s="114" t="s">
        <v>3506</v>
      </c>
      <c r="B144" s="82" t="str">
        <f t="shared" si="10"/>
        <v>Barraqueiro Transportes, S.A.</v>
      </c>
      <c r="C144" s="82" t="str">
        <f t="shared" si="11"/>
        <v>Mafrense</v>
      </c>
      <c r="D144" s="82" t="s">
        <v>34</v>
      </c>
      <c r="E144" s="218" t="s">
        <v>1866</v>
      </c>
      <c r="F144" s="115" t="s">
        <v>1569</v>
      </c>
      <c r="G144" s="138" t="s">
        <v>34</v>
      </c>
      <c r="H144" s="326">
        <v>5.88</v>
      </c>
      <c r="I144" s="138" t="s">
        <v>1532</v>
      </c>
      <c r="J144" s="139">
        <f t="shared" si="12"/>
        <v>5880</v>
      </c>
      <c r="K144" s="145" t="s">
        <v>503</v>
      </c>
      <c r="L144" s="238" t="str">
        <f t="shared" si="13"/>
        <v>Aterro</v>
      </c>
      <c r="M144" s="238" t="s">
        <v>1920</v>
      </c>
      <c r="N144" s="238" t="s">
        <v>1911</v>
      </c>
      <c r="O144" s="115" t="str">
        <f>IFERROR(INDEX(Tabela3[Tipos de Tratamento],MATCH('A3.9.1 copy'!K144,Tabela3[Código],0)),"")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144" s="114" t="s">
        <v>1570</v>
      </c>
      <c r="Q144" s="114" t="s">
        <v>1571</v>
      </c>
      <c r="R144" s="115"/>
      <c r="S144">
        <v>2022</v>
      </c>
      <c r="T144" s="261" t="s">
        <v>3535</v>
      </c>
      <c r="U144" s="261" t="s">
        <v>3606</v>
      </c>
      <c r="V144" t="s">
        <v>42</v>
      </c>
    </row>
    <row r="145" spans="1:22" ht="15.75" thickBot="1" x14ac:dyDescent="0.3">
      <c r="A145" s="114" t="s">
        <v>3506</v>
      </c>
      <c r="B145" s="82" t="str">
        <f t="shared" si="10"/>
        <v>Barraqueiro Transportes, S.A.</v>
      </c>
      <c r="C145" s="82" t="str">
        <f t="shared" si="11"/>
        <v>Mafrense</v>
      </c>
      <c r="D145" s="82" t="s">
        <v>34</v>
      </c>
      <c r="E145" s="218" t="s">
        <v>1867</v>
      </c>
      <c r="F145" s="115" t="s">
        <v>1572</v>
      </c>
      <c r="G145" s="138" t="s">
        <v>34</v>
      </c>
      <c r="H145" s="326">
        <v>5.68</v>
      </c>
      <c r="I145" s="138" t="s">
        <v>1532</v>
      </c>
      <c r="J145" s="139">
        <f t="shared" si="12"/>
        <v>5680</v>
      </c>
      <c r="K145" s="138" t="s">
        <v>483</v>
      </c>
      <c r="L145" s="238" t="str">
        <f t="shared" si="13"/>
        <v>Reciclagem</v>
      </c>
      <c r="M145" s="238" t="s">
        <v>1920</v>
      </c>
      <c r="N145" s="238" t="s">
        <v>1911</v>
      </c>
      <c r="O145" s="114" t="str">
        <f>IFERROR(INDEX(Tabela3[Tipos de Tratamento],MATCH('A3.9.1 copy'!K145,Tabela3[Código],0)),"")</f>
        <v xml:space="preserve">Troca de resíduos com vista a submetê-los a uma das operações enumeradas de R 1 a R 11 </v>
      </c>
      <c r="P145" s="114" t="s">
        <v>1570</v>
      </c>
      <c r="Q145" s="114" t="s">
        <v>1571</v>
      </c>
      <c r="R145" s="114"/>
      <c r="S145">
        <v>2022</v>
      </c>
      <c r="T145" s="261" t="s">
        <v>3535</v>
      </c>
      <c r="U145" s="261" t="s">
        <v>3606</v>
      </c>
      <c r="V145" t="s">
        <v>42</v>
      </c>
    </row>
    <row r="146" spans="1:22" ht="15.75" thickBot="1" x14ac:dyDescent="0.3">
      <c r="A146" s="114" t="s">
        <v>3506</v>
      </c>
      <c r="B146" s="82" t="str">
        <f t="shared" si="10"/>
        <v>Barraqueiro Transportes, S.A.</v>
      </c>
      <c r="C146" s="82" t="str">
        <f t="shared" si="11"/>
        <v>Mafrense</v>
      </c>
      <c r="D146" s="82" t="s">
        <v>34</v>
      </c>
      <c r="E146" s="218" t="s">
        <v>1590</v>
      </c>
      <c r="F146" s="115" t="s">
        <v>1591</v>
      </c>
      <c r="G146" s="138" t="s">
        <v>34</v>
      </c>
      <c r="H146" s="326">
        <v>0.16400000000000001</v>
      </c>
      <c r="I146" s="138" t="s">
        <v>1532</v>
      </c>
      <c r="J146" s="139">
        <f t="shared" si="12"/>
        <v>164</v>
      </c>
      <c r="K146" s="138" t="s">
        <v>484</v>
      </c>
      <c r="L146" s="238" t="str">
        <f t="shared" si="13"/>
        <v>Reciclagem</v>
      </c>
      <c r="M146" s="238" t="s">
        <v>1920</v>
      </c>
      <c r="N146" s="238" t="s">
        <v>1911</v>
      </c>
      <c r="O146" s="114" t="str">
        <f>IFERROR(INDEX(Tabela3[Tipos de Tratamento],MATCH('A3.9.1 copy'!K146,Tabela3[Código],0)),"")</f>
        <v>Acumulação de resíduos destinados a uma das operações enumeradas de R1 a R12</v>
      </c>
      <c r="P146" s="114" t="s">
        <v>1538</v>
      </c>
      <c r="Q146" s="114" t="s">
        <v>1539</v>
      </c>
      <c r="R146" s="114"/>
      <c r="S146">
        <v>2022</v>
      </c>
      <c r="T146" s="261" t="s">
        <v>3535</v>
      </c>
      <c r="U146" s="261" t="s">
        <v>3606</v>
      </c>
      <c r="V146" t="s">
        <v>42</v>
      </c>
    </row>
    <row r="147" spans="1:22" ht="15.75" thickBot="1" x14ac:dyDescent="0.3">
      <c r="A147" s="114" t="s">
        <v>3506</v>
      </c>
      <c r="B147" s="82" t="str">
        <f t="shared" si="10"/>
        <v>Barraqueiro Transportes, S.A.</v>
      </c>
      <c r="C147" s="82" t="str">
        <f t="shared" si="11"/>
        <v>Mafrense</v>
      </c>
      <c r="D147" s="82" t="s">
        <v>34</v>
      </c>
      <c r="E147" s="218" t="s">
        <v>1870</v>
      </c>
      <c r="F147" s="115" t="s">
        <v>1542</v>
      </c>
      <c r="G147" s="138" t="s">
        <v>34</v>
      </c>
      <c r="H147" s="326">
        <v>7.1999999999999995E-2</v>
      </c>
      <c r="I147" s="138" t="s">
        <v>1532</v>
      </c>
      <c r="J147" s="139">
        <f t="shared" si="12"/>
        <v>72</v>
      </c>
      <c r="K147" s="138" t="s">
        <v>484</v>
      </c>
      <c r="L147" s="238" t="str">
        <f t="shared" si="13"/>
        <v>Reciclagem</v>
      </c>
      <c r="M147" s="238" t="s">
        <v>1920</v>
      </c>
      <c r="N147" s="238" t="s">
        <v>1911</v>
      </c>
      <c r="O147" s="114" t="str">
        <f>IFERROR(INDEX(Tabela3[Tipos de Tratamento],MATCH('A3.9.1 copy'!K147,Tabela3[Código],0)),"")</f>
        <v>Acumulação de resíduos destinados a uma das operações enumeradas de R1 a R12</v>
      </c>
      <c r="P147" s="114" t="s">
        <v>1538</v>
      </c>
      <c r="Q147" s="114" t="s">
        <v>1539</v>
      </c>
      <c r="R147" s="114"/>
      <c r="S147">
        <v>2022</v>
      </c>
      <c r="T147" s="261" t="s">
        <v>3535</v>
      </c>
      <c r="U147" s="261" t="s">
        <v>3606</v>
      </c>
      <c r="V147" t="s">
        <v>42</v>
      </c>
    </row>
    <row r="148" spans="1:22" ht="15.75" thickBot="1" x14ac:dyDescent="0.3">
      <c r="A148" s="114" t="s">
        <v>3506</v>
      </c>
      <c r="B148" s="82" t="str">
        <f t="shared" si="10"/>
        <v>Barraqueiro Transportes, S.A.</v>
      </c>
      <c r="C148" s="82" t="str">
        <f t="shared" si="11"/>
        <v>Mafrense</v>
      </c>
      <c r="D148" s="82" t="s">
        <v>34</v>
      </c>
      <c r="E148" s="218" t="s">
        <v>1871</v>
      </c>
      <c r="F148" s="115" t="s">
        <v>1549</v>
      </c>
      <c r="G148" s="138" t="s">
        <v>34</v>
      </c>
      <c r="H148" s="326">
        <v>1.7999999999999999E-2</v>
      </c>
      <c r="I148" s="138" t="s">
        <v>1532</v>
      </c>
      <c r="J148" s="139">
        <f t="shared" si="12"/>
        <v>18</v>
      </c>
      <c r="K148" s="138" t="s">
        <v>484</v>
      </c>
      <c r="L148" s="238" t="str">
        <f t="shared" si="13"/>
        <v>Reciclagem</v>
      </c>
      <c r="M148" s="238" t="s">
        <v>1925</v>
      </c>
      <c r="N148" s="238" t="s">
        <v>1922</v>
      </c>
      <c r="O148" s="114" t="str">
        <f>IFERROR(INDEX(Tabela3[Tipos de Tratamento],MATCH('A3.9.1 copy'!K148,Tabela3[Código],0)),"")</f>
        <v>Acumulação de resíduos destinados a uma das operações enumeradas de R1 a R12</v>
      </c>
      <c r="P148" s="114" t="s">
        <v>1538</v>
      </c>
      <c r="Q148" s="114" t="s">
        <v>1539</v>
      </c>
      <c r="R148" s="114"/>
      <c r="S148">
        <v>2022</v>
      </c>
      <c r="T148" s="261" t="s">
        <v>3535</v>
      </c>
      <c r="U148" s="261" t="s">
        <v>3606</v>
      </c>
      <c r="V148" t="s">
        <v>42</v>
      </c>
    </row>
    <row r="149" spans="1:22" ht="15.75" thickBot="1" x14ac:dyDescent="0.3">
      <c r="A149" s="114" t="s">
        <v>3506</v>
      </c>
      <c r="B149" s="82" t="str">
        <f t="shared" si="10"/>
        <v>Barraqueiro Transportes, S.A.</v>
      </c>
      <c r="C149" s="82" t="str">
        <f t="shared" si="11"/>
        <v>Mafrense</v>
      </c>
      <c r="D149" s="82" t="s">
        <v>34</v>
      </c>
      <c r="E149" s="218" t="s">
        <v>1872</v>
      </c>
      <c r="F149" s="115" t="s">
        <v>1547</v>
      </c>
      <c r="G149" s="138" t="s">
        <v>34</v>
      </c>
      <c r="H149" s="326">
        <v>0.36</v>
      </c>
      <c r="I149" s="138" t="s">
        <v>1532</v>
      </c>
      <c r="J149" s="139">
        <f t="shared" si="12"/>
        <v>360</v>
      </c>
      <c r="K149" s="138" t="s">
        <v>484</v>
      </c>
      <c r="L149" s="238" t="str">
        <f t="shared" si="13"/>
        <v>Reciclagem</v>
      </c>
      <c r="M149" s="238" t="s">
        <v>1920</v>
      </c>
      <c r="N149" s="238" t="s">
        <v>1911</v>
      </c>
      <c r="O149" s="114" t="str">
        <f>IFERROR(INDEX(Tabela3[Tipos de Tratamento],MATCH('A3.9.1 copy'!K149,Tabela3[Código],0)),"")</f>
        <v>Acumulação de resíduos destinados a uma das operações enumeradas de R1 a R12</v>
      </c>
      <c r="P149" s="114" t="s">
        <v>1538</v>
      </c>
      <c r="Q149" s="114" t="s">
        <v>1539</v>
      </c>
      <c r="R149" s="114"/>
      <c r="S149">
        <v>2022</v>
      </c>
      <c r="T149" s="261" t="s">
        <v>3535</v>
      </c>
      <c r="U149" s="261" t="s">
        <v>3606</v>
      </c>
      <c r="V149" t="s">
        <v>42</v>
      </c>
    </row>
    <row r="150" spans="1:22" ht="15.75" thickBot="1" x14ac:dyDescent="0.3">
      <c r="A150" s="114" t="s">
        <v>3506</v>
      </c>
      <c r="B150" s="82" t="str">
        <f t="shared" si="10"/>
        <v>Barraqueiro Transportes, S.A.</v>
      </c>
      <c r="C150" s="82" t="str">
        <f t="shared" si="11"/>
        <v>Mafrense</v>
      </c>
      <c r="D150" s="82" t="s">
        <v>34</v>
      </c>
      <c r="E150" s="218" t="s">
        <v>1873</v>
      </c>
      <c r="F150" s="115" t="s">
        <v>1550</v>
      </c>
      <c r="G150" s="138" t="s">
        <v>42</v>
      </c>
      <c r="H150" s="326">
        <v>0.2</v>
      </c>
      <c r="I150" s="138" t="s">
        <v>1532</v>
      </c>
      <c r="J150" s="139">
        <f t="shared" si="12"/>
        <v>200</v>
      </c>
      <c r="K150" s="138" t="s">
        <v>483</v>
      </c>
      <c r="L150" s="238" t="str">
        <f t="shared" si="13"/>
        <v>Reciclagem</v>
      </c>
      <c r="M150" s="238" t="s">
        <v>1920</v>
      </c>
      <c r="N150" s="238" t="s">
        <v>1911</v>
      </c>
      <c r="O150" s="114" t="str">
        <f>IFERROR(INDEX(Tabela3[Tipos de Tratamento],MATCH('A3.9.1 copy'!K150,Tabela3[Código],0)),"")</f>
        <v xml:space="preserve">Troca de resíduos com vista a submetê-los a uma das operações enumeradas de R 1 a R 11 </v>
      </c>
      <c r="P150" s="114" t="s">
        <v>1538</v>
      </c>
      <c r="Q150" s="114" t="s">
        <v>1539</v>
      </c>
      <c r="R150" s="114"/>
      <c r="S150">
        <v>2022</v>
      </c>
      <c r="T150" s="261" t="s">
        <v>3535</v>
      </c>
      <c r="U150" s="261" t="s">
        <v>3606</v>
      </c>
      <c r="V150" t="s">
        <v>42</v>
      </c>
    </row>
    <row r="151" spans="1:22" ht="15.75" thickBot="1" x14ac:dyDescent="0.3">
      <c r="A151" s="114" t="s">
        <v>3506</v>
      </c>
      <c r="B151" s="82" t="str">
        <f t="shared" si="10"/>
        <v>Barraqueiro Transportes, S.A.</v>
      </c>
      <c r="C151" s="82" t="str">
        <f t="shared" si="11"/>
        <v>Mafrense</v>
      </c>
      <c r="D151" s="82" t="s">
        <v>34</v>
      </c>
      <c r="E151" s="218" t="s">
        <v>1593</v>
      </c>
      <c r="F151" s="115" t="s">
        <v>1592</v>
      </c>
      <c r="G151" s="138" t="s">
        <v>42</v>
      </c>
      <c r="H151" s="326">
        <v>12.46</v>
      </c>
      <c r="I151" s="138" t="s">
        <v>1532</v>
      </c>
      <c r="J151" s="139">
        <f t="shared" si="12"/>
        <v>12460</v>
      </c>
      <c r="K151" s="138" t="s">
        <v>483</v>
      </c>
      <c r="L151" s="238" t="str">
        <f t="shared" si="13"/>
        <v>Reciclagem</v>
      </c>
      <c r="M151" s="238" t="s">
        <v>1926</v>
      </c>
      <c r="N151" s="238" t="s">
        <v>1922</v>
      </c>
      <c r="O151" s="114" t="str">
        <f>IFERROR(INDEX(Tabela3[Tipos de Tratamento],MATCH('A3.9.1 copy'!K151,Tabela3[Código],0)),"")</f>
        <v xml:space="preserve">Troca de resíduos com vista a submetê-los a uma das operações enumeradas de R 1 a R 11 </v>
      </c>
      <c r="P151" s="114" t="s">
        <v>1585</v>
      </c>
      <c r="Q151" s="114" t="s">
        <v>1594</v>
      </c>
      <c r="R151" s="114"/>
      <c r="S151">
        <v>2022</v>
      </c>
      <c r="T151" s="261" t="s">
        <v>3535</v>
      </c>
      <c r="U151" s="261" t="s">
        <v>3606</v>
      </c>
      <c r="V151" t="s">
        <v>42</v>
      </c>
    </row>
    <row r="152" spans="1:22" ht="15.75" thickBot="1" x14ac:dyDescent="0.3">
      <c r="A152" s="114" t="s">
        <v>3506</v>
      </c>
      <c r="B152" s="82" t="str">
        <f t="shared" si="10"/>
        <v>Barraqueiro Transportes, S.A.</v>
      </c>
      <c r="C152" s="82" t="str">
        <f t="shared" si="11"/>
        <v>Mafrense</v>
      </c>
      <c r="D152" s="82" t="s">
        <v>34</v>
      </c>
      <c r="E152" s="218" t="s">
        <v>1874</v>
      </c>
      <c r="F152" s="115" t="s">
        <v>1551</v>
      </c>
      <c r="G152" s="138" t="s">
        <v>34</v>
      </c>
      <c r="H152" s="326">
        <v>0.624</v>
      </c>
      <c r="I152" s="138" t="s">
        <v>1532</v>
      </c>
      <c r="J152" s="139">
        <f t="shared" si="12"/>
        <v>624</v>
      </c>
      <c r="K152" s="138" t="s">
        <v>484</v>
      </c>
      <c r="L152" s="238" t="str">
        <f t="shared" si="13"/>
        <v>Reciclagem</v>
      </c>
      <c r="M152" s="238" t="s">
        <v>1920</v>
      </c>
      <c r="N152" s="238" t="s">
        <v>1911</v>
      </c>
      <c r="O152" s="114" t="str">
        <f>IFERROR(INDEX(Tabela3[Tipos de Tratamento],MATCH('A3.9.1 copy'!K152,Tabela3[Código],0)),"")</f>
        <v>Acumulação de resíduos destinados a uma das operações enumeradas de R1 a R12</v>
      </c>
      <c r="P152" s="114" t="s">
        <v>1538</v>
      </c>
      <c r="Q152" s="114" t="s">
        <v>1539</v>
      </c>
      <c r="R152" s="114"/>
      <c r="S152">
        <v>2022</v>
      </c>
      <c r="T152" s="261" t="s">
        <v>3535</v>
      </c>
      <c r="U152" s="261" t="s">
        <v>3606</v>
      </c>
      <c r="V152" t="s">
        <v>42</v>
      </c>
    </row>
    <row r="153" spans="1:22" ht="15.75" thickBot="1" x14ac:dyDescent="0.3">
      <c r="A153" s="114" t="s">
        <v>3506</v>
      </c>
      <c r="B153" s="82" t="str">
        <f t="shared" si="10"/>
        <v>Barraqueiro Transportes, S.A.</v>
      </c>
      <c r="C153" s="82" t="str">
        <f t="shared" si="11"/>
        <v>Mafrense</v>
      </c>
      <c r="D153" s="82" t="s">
        <v>34</v>
      </c>
      <c r="E153" s="218" t="s">
        <v>1876</v>
      </c>
      <c r="F153" s="115" t="s">
        <v>1557</v>
      </c>
      <c r="G153" s="138" t="s">
        <v>42</v>
      </c>
      <c r="H153" s="326">
        <v>5.46</v>
      </c>
      <c r="I153" s="138" t="s">
        <v>1532</v>
      </c>
      <c r="J153" s="139">
        <f t="shared" si="12"/>
        <v>5460</v>
      </c>
      <c r="K153" s="138" t="s">
        <v>483</v>
      </c>
      <c r="L153" s="238" t="str">
        <f t="shared" si="13"/>
        <v>Reciclagem</v>
      </c>
      <c r="M153" s="238" t="s">
        <v>1557</v>
      </c>
      <c r="N153" s="238" t="s">
        <v>1922</v>
      </c>
      <c r="O153" s="114" t="str">
        <f>IFERROR(INDEX(Tabela3[Tipos de Tratamento],MATCH('A3.9.1 copy'!K153,Tabela3[Código],0)),"")</f>
        <v xml:space="preserve">Troca de resíduos com vista a submetê-los a uma das operações enumeradas de R 1 a R 11 </v>
      </c>
      <c r="P153" s="114" t="s">
        <v>1595</v>
      </c>
      <c r="Q153" s="114" t="s">
        <v>1596</v>
      </c>
      <c r="R153" s="114"/>
      <c r="S153">
        <v>2022</v>
      </c>
      <c r="T153" s="261" t="s">
        <v>3535</v>
      </c>
      <c r="U153" s="261" t="s">
        <v>3606</v>
      </c>
      <c r="V153" t="s">
        <v>42</v>
      </c>
    </row>
    <row r="154" spans="1:22" ht="15.75" thickBot="1" x14ac:dyDescent="0.3">
      <c r="A154" s="114" t="s">
        <v>3506</v>
      </c>
      <c r="B154" s="82" t="str">
        <f t="shared" si="10"/>
        <v>Barraqueiro Transportes, S.A.</v>
      </c>
      <c r="C154" s="82" t="str">
        <f t="shared" si="11"/>
        <v>Mafrense</v>
      </c>
      <c r="D154" s="82" t="s">
        <v>34</v>
      </c>
      <c r="E154" s="218" t="s">
        <v>1587</v>
      </c>
      <c r="F154" s="115" t="s">
        <v>1561</v>
      </c>
      <c r="G154" s="138" t="s">
        <v>42</v>
      </c>
      <c r="H154" s="326">
        <v>0.61899999999999999</v>
      </c>
      <c r="I154" s="138" t="s">
        <v>1532</v>
      </c>
      <c r="J154" s="139">
        <f t="shared" si="12"/>
        <v>619</v>
      </c>
      <c r="K154" s="138" t="s">
        <v>483</v>
      </c>
      <c r="L154" s="238" t="str">
        <f t="shared" si="13"/>
        <v>Reciclagem</v>
      </c>
      <c r="M154" s="238" t="s">
        <v>1561</v>
      </c>
      <c r="N154" s="238" t="s">
        <v>1922</v>
      </c>
      <c r="O154" s="114" t="str">
        <f>IFERROR(INDEX(Tabela3[Tipos de Tratamento],MATCH('A3.9.1 copy'!K154,Tabela3[Código],0)),"")</f>
        <v xml:space="preserve">Troca de resíduos com vista a submetê-los a uma das operações enumeradas de R 1 a R 11 </v>
      </c>
      <c r="P154" s="114" t="s">
        <v>1538</v>
      </c>
      <c r="Q154" s="114" t="s">
        <v>1539</v>
      </c>
      <c r="R154" s="114"/>
      <c r="S154">
        <v>2022</v>
      </c>
      <c r="T154" s="261" t="s">
        <v>3535</v>
      </c>
      <c r="U154" s="261" t="s">
        <v>3606</v>
      </c>
      <c r="V154" t="s">
        <v>42</v>
      </c>
    </row>
    <row r="155" spans="1:22" ht="15.75" thickBot="1" x14ac:dyDescent="0.3">
      <c r="A155" s="114" t="s">
        <v>3506</v>
      </c>
      <c r="B155" s="82" t="str">
        <f t="shared" si="10"/>
        <v>Barraqueiro Transportes, S.A.</v>
      </c>
      <c r="C155" s="82" t="str">
        <f t="shared" si="11"/>
        <v>Mafrense</v>
      </c>
      <c r="D155" s="82" t="s">
        <v>34</v>
      </c>
      <c r="E155" s="218" t="s">
        <v>1879</v>
      </c>
      <c r="F155" s="115" t="s">
        <v>1562</v>
      </c>
      <c r="G155" s="138" t="s">
        <v>42</v>
      </c>
      <c r="H155" s="326">
        <v>0.27</v>
      </c>
      <c r="I155" s="138" t="s">
        <v>1532</v>
      </c>
      <c r="J155" s="139">
        <f t="shared" si="12"/>
        <v>270</v>
      </c>
      <c r="K155" s="138" t="s">
        <v>483</v>
      </c>
      <c r="L155" s="238" t="str">
        <f t="shared" si="13"/>
        <v>Reciclagem</v>
      </c>
      <c r="M155" s="238" t="s">
        <v>1920</v>
      </c>
      <c r="N155" s="238" t="s">
        <v>1911</v>
      </c>
      <c r="O155" s="114" t="str">
        <f>IFERROR(INDEX(Tabela3[Tipos de Tratamento],MATCH('A3.9.1 copy'!K155,Tabela3[Código],0)),"")</f>
        <v xml:space="preserve">Troca de resíduos com vista a submetê-los a uma das operações enumeradas de R 1 a R 11 </v>
      </c>
      <c r="P155" s="114" t="s">
        <v>1538</v>
      </c>
      <c r="Q155" s="114" t="s">
        <v>1539</v>
      </c>
      <c r="R155" s="114"/>
      <c r="S155">
        <v>2022</v>
      </c>
      <c r="T155" s="261" t="s">
        <v>3535</v>
      </c>
      <c r="U155" s="261" t="s">
        <v>3606</v>
      </c>
      <c r="V155" t="s">
        <v>42</v>
      </c>
    </row>
    <row r="156" spans="1:22" ht="15.75" thickBot="1" x14ac:dyDescent="0.3">
      <c r="A156" s="114" t="s">
        <v>3506</v>
      </c>
      <c r="B156" s="82" t="str">
        <f t="shared" si="10"/>
        <v>Barraqueiro Transportes, S.A.</v>
      </c>
      <c r="C156" s="82" t="str">
        <f t="shared" si="11"/>
        <v>Mafrense</v>
      </c>
      <c r="D156" s="82" t="s">
        <v>34</v>
      </c>
      <c r="E156" s="218" t="s">
        <v>1880</v>
      </c>
      <c r="F156" s="115" t="s">
        <v>1563</v>
      </c>
      <c r="G156" s="138" t="s">
        <v>34</v>
      </c>
      <c r="H156" s="326">
        <v>0.6</v>
      </c>
      <c r="I156" s="138" t="s">
        <v>1532</v>
      </c>
      <c r="J156" s="139">
        <f t="shared" si="12"/>
        <v>600</v>
      </c>
      <c r="K156" s="138" t="s">
        <v>484</v>
      </c>
      <c r="L156" s="238" t="str">
        <f t="shared" si="13"/>
        <v>Reciclagem</v>
      </c>
      <c r="M156" s="238" t="s">
        <v>1653</v>
      </c>
      <c r="N156" s="238" t="s">
        <v>1896</v>
      </c>
      <c r="O156" s="114" t="str">
        <f>IFERROR(INDEX(Tabela3[Tipos de Tratamento],MATCH('A3.9.1 copy'!K156,Tabela3[Código],0)),"")</f>
        <v>Acumulação de resíduos destinados a uma das operações enumeradas de R1 a R12</v>
      </c>
      <c r="P156" s="114" t="s">
        <v>1558</v>
      </c>
      <c r="Q156" s="114" t="s">
        <v>1559</v>
      </c>
      <c r="R156" s="114"/>
      <c r="S156">
        <v>2022</v>
      </c>
      <c r="T156" s="261" t="s">
        <v>3535</v>
      </c>
      <c r="U156" s="261" t="s">
        <v>3606</v>
      </c>
      <c r="V156" t="s">
        <v>42</v>
      </c>
    </row>
    <row r="157" spans="1:22" ht="15.75" thickBot="1" x14ac:dyDescent="0.3">
      <c r="A157" s="114" t="s">
        <v>3506</v>
      </c>
      <c r="B157" s="82" t="str">
        <f t="shared" si="10"/>
        <v>Barraqueiro Transportes, S.A.</v>
      </c>
      <c r="C157" s="82" t="str">
        <f t="shared" si="11"/>
        <v>Mafrense</v>
      </c>
      <c r="D157" s="82" t="s">
        <v>34</v>
      </c>
      <c r="E157" s="218" t="s">
        <v>1882</v>
      </c>
      <c r="F157" s="115" t="s">
        <v>1597</v>
      </c>
      <c r="G157" s="138" t="s">
        <v>42</v>
      </c>
      <c r="H157" s="326">
        <v>1.2</v>
      </c>
      <c r="I157" s="138" t="s">
        <v>1532</v>
      </c>
      <c r="J157" s="139">
        <f t="shared" si="12"/>
        <v>1200</v>
      </c>
      <c r="K157" s="138" t="s">
        <v>483</v>
      </c>
      <c r="L157" s="238" t="str">
        <f t="shared" si="13"/>
        <v>Reciclagem</v>
      </c>
      <c r="M157" s="238" t="s">
        <v>1923</v>
      </c>
      <c r="N157" s="238" t="s">
        <v>1922</v>
      </c>
      <c r="O157" s="114" t="str">
        <f>IFERROR(INDEX(Tabela3[Tipos de Tratamento],MATCH('A3.9.1 copy'!K157,Tabela3[Código],0)),"")</f>
        <v xml:space="preserve">Troca de resíduos com vista a submetê-los a uma das operações enumeradas de R 1 a R 11 </v>
      </c>
      <c r="P157" s="114" t="s">
        <v>1540</v>
      </c>
      <c r="Q157" s="114" t="s">
        <v>1541</v>
      </c>
      <c r="R157" s="114"/>
      <c r="S157">
        <v>2022</v>
      </c>
      <c r="T157" s="261" t="s">
        <v>3535</v>
      </c>
      <c r="U157" s="261" t="s">
        <v>3606</v>
      </c>
      <c r="V157" t="s">
        <v>42</v>
      </c>
    </row>
    <row r="158" spans="1:22" ht="15.75" thickBot="1" x14ac:dyDescent="0.3">
      <c r="A158" s="114" t="s">
        <v>3506</v>
      </c>
      <c r="B158" s="82" t="str">
        <f t="shared" si="10"/>
        <v>Barraqueiro Transportes, S.A.</v>
      </c>
      <c r="C158" s="82" t="str">
        <f t="shared" si="11"/>
        <v>Mafrense</v>
      </c>
      <c r="D158" s="82" t="s">
        <v>34</v>
      </c>
      <c r="E158" s="218" t="s">
        <v>1884</v>
      </c>
      <c r="F158" s="115" t="s">
        <v>1564</v>
      </c>
      <c r="G158" s="138" t="s">
        <v>34</v>
      </c>
      <c r="H158" s="326">
        <v>1.7999999999999999E-2</v>
      </c>
      <c r="I158" s="138" t="s">
        <v>1532</v>
      </c>
      <c r="J158" s="139">
        <f t="shared" si="12"/>
        <v>18</v>
      </c>
      <c r="K158" s="138" t="s">
        <v>484</v>
      </c>
      <c r="L158" s="238" t="str">
        <f t="shared" si="13"/>
        <v>Reciclagem</v>
      </c>
      <c r="M158" s="238" t="s">
        <v>1920</v>
      </c>
      <c r="N158" s="238" t="s">
        <v>1911</v>
      </c>
      <c r="O158" s="114" t="str">
        <f>IFERROR(INDEX(Tabela3[Tipos de Tratamento],MATCH('A3.9.1 copy'!K158,Tabela3[Código],0)),"")</f>
        <v>Acumulação de resíduos destinados a uma das operações enumeradas de R1 a R12</v>
      </c>
      <c r="P158" s="114" t="s">
        <v>1538</v>
      </c>
      <c r="Q158" s="114" t="s">
        <v>1539</v>
      </c>
      <c r="R158" s="114"/>
      <c r="S158">
        <v>2022</v>
      </c>
      <c r="T158" s="261" t="s">
        <v>3535</v>
      </c>
      <c r="U158" s="261" t="s">
        <v>3606</v>
      </c>
      <c r="V158" t="s">
        <v>42</v>
      </c>
    </row>
    <row r="159" spans="1:22" ht="15.75" thickBot="1" x14ac:dyDescent="0.3">
      <c r="A159" s="114" t="s">
        <v>3506</v>
      </c>
      <c r="B159" s="82" t="str">
        <f t="shared" si="10"/>
        <v>Barraqueiro Transportes, S.A.</v>
      </c>
      <c r="C159" s="82" t="str">
        <f t="shared" si="11"/>
        <v>Mafrense</v>
      </c>
      <c r="D159" s="82" t="s">
        <v>34</v>
      </c>
      <c r="E159" s="218" t="s">
        <v>1886</v>
      </c>
      <c r="F159" s="115" t="s">
        <v>1568</v>
      </c>
      <c r="G159" s="138" t="s">
        <v>42</v>
      </c>
      <c r="H159" s="326">
        <v>0.14799999999999999</v>
      </c>
      <c r="I159" s="138" t="s">
        <v>1532</v>
      </c>
      <c r="J159" s="139">
        <f t="shared" si="12"/>
        <v>148</v>
      </c>
      <c r="K159" s="138" t="s">
        <v>483</v>
      </c>
      <c r="L159" s="238" t="str">
        <f t="shared" si="13"/>
        <v>Reciclagem</v>
      </c>
      <c r="M159" s="238" t="s">
        <v>1928</v>
      </c>
      <c r="N159" s="238" t="s">
        <v>1896</v>
      </c>
      <c r="O159" s="114" t="str">
        <f>IFERROR(INDEX(Tabela3[Tipos de Tratamento],MATCH('A3.9.1 copy'!K159,Tabela3[Código],0)),"")</f>
        <v xml:space="preserve">Troca de resíduos com vista a submetê-los a uma das operações enumeradas de R 1 a R 11 </v>
      </c>
      <c r="P159" s="114" t="s">
        <v>1538</v>
      </c>
      <c r="Q159" s="114" t="s">
        <v>1539</v>
      </c>
      <c r="R159" s="114"/>
      <c r="S159">
        <v>2022</v>
      </c>
      <c r="T159" s="261" t="s">
        <v>3535</v>
      </c>
      <c r="U159" s="261" t="s">
        <v>3606</v>
      </c>
      <c r="V159" t="s">
        <v>42</v>
      </c>
    </row>
    <row r="160" spans="1:22" ht="15.75" thickBot="1" x14ac:dyDescent="0.3">
      <c r="A160" s="114" t="s">
        <v>3560</v>
      </c>
      <c r="B160" s="82" t="str">
        <f t="shared" si="10"/>
        <v>Barraqueiro Transportes, S.A.</v>
      </c>
      <c r="C160" s="82" t="str">
        <f t="shared" si="11"/>
        <v>ESEVEL</v>
      </c>
      <c r="D160" s="82" t="s">
        <v>34</v>
      </c>
      <c r="E160" s="218" t="s">
        <v>1865</v>
      </c>
      <c r="F160" s="115" t="s">
        <v>1531</v>
      </c>
      <c r="G160" s="138" t="s">
        <v>34</v>
      </c>
      <c r="H160" s="326">
        <v>5.9660000000000002</v>
      </c>
      <c r="I160" s="138" t="s">
        <v>1532</v>
      </c>
      <c r="J160" s="139">
        <f t="shared" si="12"/>
        <v>5966</v>
      </c>
      <c r="K160" s="138" t="s">
        <v>483</v>
      </c>
      <c r="L160" s="238" t="str">
        <f t="shared" si="13"/>
        <v>Reciclagem</v>
      </c>
      <c r="M160" s="238" t="s">
        <v>1921</v>
      </c>
      <c r="N160" s="238" t="s">
        <v>1896</v>
      </c>
      <c r="O160" s="114" t="str">
        <f>IFERROR(INDEX(Tabela3[Tipos de Tratamento],MATCH('A3.9.1 copy'!K160,Tabela3[Código],0)),"")</f>
        <v xml:space="preserve">Troca de resíduos com vista a submetê-los a uma das operações enumeradas de R 1 a R 11 </v>
      </c>
      <c r="P160" s="114" t="s">
        <v>1598</v>
      </c>
      <c r="Q160" s="114" t="s">
        <v>1599</v>
      </c>
      <c r="R160" s="114"/>
      <c r="S160">
        <v>2022</v>
      </c>
      <c r="T160" s="261" t="s">
        <v>3535</v>
      </c>
      <c r="U160" s="261" t="s">
        <v>3606</v>
      </c>
      <c r="V160" t="s">
        <v>42</v>
      </c>
    </row>
    <row r="161" spans="1:22" ht="15.75" thickBot="1" x14ac:dyDescent="0.3">
      <c r="A161" s="114" t="s">
        <v>3560</v>
      </c>
      <c r="B161" s="82" t="str">
        <f t="shared" si="10"/>
        <v>Barraqueiro Transportes, S.A.</v>
      </c>
      <c r="C161" s="82" t="str">
        <f t="shared" si="11"/>
        <v>ESEVEL</v>
      </c>
      <c r="D161" s="82" t="s">
        <v>34</v>
      </c>
      <c r="E161" s="218" t="s">
        <v>1866</v>
      </c>
      <c r="F161" s="115" t="s">
        <v>1569</v>
      </c>
      <c r="G161" s="138" t="s">
        <v>34</v>
      </c>
      <c r="H161" s="326">
        <v>3.16</v>
      </c>
      <c r="I161" s="138" t="s">
        <v>1532</v>
      </c>
      <c r="J161" s="139">
        <f t="shared" si="12"/>
        <v>3160</v>
      </c>
      <c r="K161" s="145" t="s">
        <v>503</v>
      </c>
      <c r="L161" s="238" t="str">
        <f t="shared" si="13"/>
        <v>Aterro</v>
      </c>
      <c r="M161" s="238" t="s">
        <v>1920</v>
      </c>
      <c r="N161" s="238" t="s">
        <v>1911</v>
      </c>
      <c r="O161" s="115" t="str">
        <f>IFERROR(INDEX(Tabela3[Tipos de Tratamento],MATCH('A3.9.1 copy'!K161,Tabela3[Código],0)),"")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161" s="114" t="s">
        <v>1570</v>
      </c>
      <c r="Q161" s="114" t="s">
        <v>1571</v>
      </c>
      <c r="R161" s="115"/>
      <c r="S161">
        <v>2022</v>
      </c>
      <c r="T161" s="261" t="s">
        <v>3535</v>
      </c>
      <c r="U161" s="261" t="s">
        <v>3606</v>
      </c>
      <c r="V161" t="s">
        <v>42</v>
      </c>
    </row>
    <row r="162" spans="1:22" ht="15.75" thickBot="1" x14ac:dyDescent="0.3">
      <c r="A162" s="114" t="s">
        <v>3560</v>
      </c>
      <c r="B162" s="82" t="str">
        <f t="shared" si="10"/>
        <v>Barraqueiro Transportes, S.A.</v>
      </c>
      <c r="C162" s="82" t="str">
        <f t="shared" si="11"/>
        <v>ESEVEL</v>
      </c>
      <c r="D162" s="82" t="s">
        <v>34</v>
      </c>
      <c r="E162" s="218" t="s">
        <v>1866</v>
      </c>
      <c r="F162" s="115" t="s">
        <v>1569</v>
      </c>
      <c r="G162" s="138" t="s">
        <v>34</v>
      </c>
      <c r="H162" s="326">
        <v>10.220000000000001</v>
      </c>
      <c r="I162" s="138" t="s">
        <v>1532</v>
      </c>
      <c r="J162" s="139">
        <f t="shared" si="12"/>
        <v>10220</v>
      </c>
      <c r="K162" s="145" t="s">
        <v>483</v>
      </c>
      <c r="L162" s="238" t="str">
        <f t="shared" si="13"/>
        <v>Reciclagem</v>
      </c>
      <c r="M162" s="238" t="s">
        <v>1920</v>
      </c>
      <c r="N162" s="238" t="s">
        <v>1911</v>
      </c>
      <c r="O162" s="115" t="str">
        <f>IFERROR(INDEX(Tabela3[Tipos de Tratamento],MATCH('A3.9.1 copy'!K162,Tabela3[Código],0)),"")</f>
        <v xml:space="preserve">Troca de resíduos com vista a submetê-los a uma das operações enumeradas de R 1 a R 11 </v>
      </c>
      <c r="P162" s="114" t="s">
        <v>1570</v>
      </c>
      <c r="Q162" s="114" t="s">
        <v>1571</v>
      </c>
      <c r="R162" s="115"/>
      <c r="S162">
        <v>2022</v>
      </c>
      <c r="T162" s="261" t="s">
        <v>3535</v>
      </c>
      <c r="U162" s="261" t="s">
        <v>3606</v>
      </c>
      <c r="V162" t="s">
        <v>42</v>
      </c>
    </row>
    <row r="163" spans="1:22" ht="15.75" thickBot="1" x14ac:dyDescent="0.3">
      <c r="A163" s="114" t="s">
        <v>3560</v>
      </c>
      <c r="B163" s="82" t="str">
        <f t="shared" ref="B163:B194" si="14">LEFT(A163,IFERROR(FIND(" - ",A163)-1,LEN(A163)))</f>
        <v>Barraqueiro Transportes, S.A.</v>
      </c>
      <c r="C163" s="82" t="str">
        <f t="shared" si="11"/>
        <v>ESEVEL</v>
      </c>
      <c r="D163" s="82" t="s">
        <v>34</v>
      </c>
      <c r="E163" s="218" t="s">
        <v>1867</v>
      </c>
      <c r="F163" s="115" t="s">
        <v>1572</v>
      </c>
      <c r="G163" s="138" t="s">
        <v>34</v>
      </c>
      <c r="H163" s="326">
        <v>11.58</v>
      </c>
      <c r="I163" s="138" t="s">
        <v>1532</v>
      </c>
      <c r="J163" s="139">
        <f t="shared" si="12"/>
        <v>11580</v>
      </c>
      <c r="K163" s="138" t="s">
        <v>483</v>
      </c>
      <c r="L163" s="238" t="str">
        <f t="shared" si="13"/>
        <v>Reciclagem</v>
      </c>
      <c r="M163" s="238" t="s">
        <v>1920</v>
      </c>
      <c r="N163" s="238" t="s">
        <v>1911</v>
      </c>
      <c r="O163" s="114" t="str">
        <f>IFERROR(INDEX(Tabela3[Tipos de Tratamento],MATCH('A3.9.1 copy'!K163,Tabela3[Código],0)),"")</f>
        <v xml:space="preserve">Troca de resíduos com vista a submetê-los a uma das operações enumeradas de R 1 a R 11 </v>
      </c>
      <c r="P163" s="114" t="s">
        <v>1570</v>
      </c>
      <c r="Q163" s="114" t="s">
        <v>1571</v>
      </c>
      <c r="R163" s="115"/>
      <c r="S163">
        <v>2022</v>
      </c>
      <c r="T163" s="261" t="s">
        <v>3535</v>
      </c>
      <c r="U163" s="261" t="s">
        <v>3606</v>
      </c>
      <c r="V163" t="s">
        <v>42</v>
      </c>
    </row>
    <row r="164" spans="1:22" ht="15.75" thickBot="1" x14ac:dyDescent="0.3">
      <c r="A164" s="114" t="s">
        <v>3560</v>
      </c>
      <c r="B164" s="82" t="str">
        <f t="shared" si="14"/>
        <v>Barraqueiro Transportes, S.A.</v>
      </c>
      <c r="C164" s="82" t="str">
        <f t="shared" si="11"/>
        <v>ESEVEL</v>
      </c>
      <c r="D164" s="82" t="s">
        <v>34</v>
      </c>
      <c r="E164" s="218" t="s">
        <v>1872</v>
      </c>
      <c r="F164" s="115" t="s">
        <v>1547</v>
      </c>
      <c r="G164" s="138" t="s">
        <v>34</v>
      </c>
      <c r="H164" s="326">
        <v>0.12</v>
      </c>
      <c r="I164" s="138" t="s">
        <v>1532</v>
      </c>
      <c r="J164" s="139">
        <f t="shared" si="12"/>
        <v>120</v>
      </c>
      <c r="K164" s="138" t="s">
        <v>484</v>
      </c>
      <c r="L164" s="238" t="str">
        <f t="shared" si="13"/>
        <v>Reciclagem</v>
      </c>
      <c r="M164" s="238" t="s">
        <v>1920</v>
      </c>
      <c r="N164" s="238" t="s">
        <v>1911</v>
      </c>
      <c r="O164" s="114" t="str">
        <f>IFERROR(INDEX(Tabela3[Tipos de Tratamento],MATCH('A3.9.1 copy'!K164,Tabela3[Código],0)),"")</f>
        <v>Acumulação de resíduos destinados a uma das operações enumeradas de R1 a R12</v>
      </c>
      <c r="P164" s="114" t="s">
        <v>1538</v>
      </c>
      <c r="Q164" s="114" t="s">
        <v>1539</v>
      </c>
      <c r="R164" s="115"/>
      <c r="S164">
        <v>2022</v>
      </c>
      <c r="T164" s="261" t="s">
        <v>3535</v>
      </c>
      <c r="U164" s="261" t="s">
        <v>3606</v>
      </c>
      <c r="V164" t="s">
        <v>42</v>
      </c>
    </row>
    <row r="165" spans="1:22" ht="15.75" thickBot="1" x14ac:dyDescent="0.3">
      <c r="A165" s="114" t="s">
        <v>3560</v>
      </c>
      <c r="B165" s="82" t="str">
        <f t="shared" si="14"/>
        <v>Barraqueiro Transportes, S.A.</v>
      </c>
      <c r="C165" s="82" t="str">
        <f t="shared" si="11"/>
        <v>ESEVEL</v>
      </c>
      <c r="D165" s="82" t="s">
        <v>34</v>
      </c>
      <c r="E165" s="218" t="s">
        <v>1873</v>
      </c>
      <c r="F165" s="115" t="s">
        <v>1550</v>
      </c>
      <c r="G165" s="138" t="s">
        <v>42</v>
      </c>
      <c r="H165" s="326">
        <v>2.6</v>
      </c>
      <c r="I165" s="138" t="s">
        <v>1532</v>
      </c>
      <c r="J165" s="139">
        <f t="shared" si="12"/>
        <v>2600</v>
      </c>
      <c r="K165" s="138" t="s">
        <v>483</v>
      </c>
      <c r="L165" s="238" t="str">
        <f t="shared" si="13"/>
        <v>Reciclagem</v>
      </c>
      <c r="M165" s="238" t="s">
        <v>1920</v>
      </c>
      <c r="N165" s="238" t="s">
        <v>1911</v>
      </c>
      <c r="O165" s="114" t="str">
        <f>IFERROR(INDEX(Tabela3[Tipos de Tratamento],MATCH('A3.9.1 copy'!K165,Tabela3[Código],0)),"")</f>
        <v xml:space="preserve">Troca de resíduos com vista a submetê-los a uma das operações enumeradas de R 1 a R 11 </v>
      </c>
      <c r="P165" s="114" t="s">
        <v>1538</v>
      </c>
      <c r="Q165" s="114" t="s">
        <v>1539</v>
      </c>
      <c r="R165" s="115"/>
      <c r="S165">
        <v>2022</v>
      </c>
      <c r="T165" s="261" t="s">
        <v>3535</v>
      </c>
      <c r="U165" s="261" t="s">
        <v>3606</v>
      </c>
      <c r="V165" t="s">
        <v>42</v>
      </c>
    </row>
    <row r="166" spans="1:22" ht="15.75" thickBot="1" x14ac:dyDescent="0.3">
      <c r="A166" s="114" t="s">
        <v>3560</v>
      </c>
      <c r="B166" s="82" t="str">
        <f t="shared" si="14"/>
        <v>Barraqueiro Transportes, S.A.</v>
      </c>
      <c r="C166" s="82" t="str">
        <f t="shared" si="11"/>
        <v>ESEVEL</v>
      </c>
      <c r="D166" s="82" t="s">
        <v>34</v>
      </c>
      <c r="E166" s="218" t="s">
        <v>1874</v>
      </c>
      <c r="F166" s="115" t="s">
        <v>1551</v>
      </c>
      <c r="G166" s="138" t="s">
        <v>34</v>
      </c>
      <c r="H166" s="326">
        <v>1.44</v>
      </c>
      <c r="I166" s="138" t="s">
        <v>1532</v>
      </c>
      <c r="J166" s="139">
        <f t="shared" si="12"/>
        <v>1440</v>
      </c>
      <c r="K166" s="138" t="s">
        <v>484</v>
      </c>
      <c r="L166" s="238" t="str">
        <f t="shared" si="13"/>
        <v>Reciclagem</v>
      </c>
      <c r="M166" s="238" t="s">
        <v>1920</v>
      </c>
      <c r="N166" s="238" t="s">
        <v>1911</v>
      </c>
      <c r="O166" s="114" t="str">
        <f>IFERROR(INDEX(Tabela3[Tipos de Tratamento],MATCH('A3.9.1 copy'!K166,Tabela3[Código],0)),"")</f>
        <v>Acumulação de resíduos destinados a uma das operações enumeradas de R1 a R12</v>
      </c>
      <c r="P166" s="114" t="s">
        <v>1538</v>
      </c>
      <c r="Q166" s="114" t="s">
        <v>1539</v>
      </c>
      <c r="R166" s="115"/>
      <c r="S166">
        <v>2022</v>
      </c>
      <c r="T166" s="261" t="s">
        <v>3535</v>
      </c>
      <c r="U166" s="261" t="s">
        <v>3606</v>
      </c>
      <c r="V166" t="s">
        <v>42</v>
      </c>
    </row>
    <row r="167" spans="1:22" ht="15.75" thickBot="1" x14ac:dyDescent="0.3">
      <c r="A167" s="114" t="s">
        <v>3314</v>
      </c>
      <c r="B167" s="82" t="str">
        <f t="shared" si="14"/>
        <v>Barraqueiro Transportes, S.A.</v>
      </c>
      <c r="C167" s="82" t="str">
        <f t="shared" si="11"/>
        <v>Barraqueiro Alugueres</v>
      </c>
      <c r="D167" s="82" t="s">
        <v>34</v>
      </c>
      <c r="E167" s="218" t="s">
        <v>1579</v>
      </c>
      <c r="F167" s="115" t="s">
        <v>1580</v>
      </c>
      <c r="G167" s="138" t="s">
        <v>34</v>
      </c>
      <c r="H167" s="326">
        <v>0.28000000000000003</v>
      </c>
      <c r="I167" s="138" t="s">
        <v>1532</v>
      </c>
      <c r="J167" s="139">
        <f t="shared" si="12"/>
        <v>280</v>
      </c>
      <c r="K167" s="138" t="s">
        <v>509</v>
      </c>
      <c r="L167" s="238" t="str">
        <f t="shared" si="13"/>
        <v>Aterro</v>
      </c>
      <c r="M167" s="238" t="s">
        <v>1920</v>
      </c>
      <c r="N167" s="238" t="s">
        <v>1911</v>
      </c>
      <c r="O167" s="114" t="str">
        <f>IFERROR(INDEX(Tabela3[Tipos de Tratamento],MATCH('A3.9.1 copy'!K167,Tabela3[Código],0)),"")</f>
        <v>Armazenagem enquanto se aguarda a execução de uma das operações enumeradas de D1 a D14</v>
      </c>
      <c r="P167" s="114" t="s">
        <v>1573</v>
      </c>
      <c r="Q167" s="114" t="s">
        <v>1539</v>
      </c>
      <c r="R167" s="115"/>
      <c r="S167">
        <v>2022</v>
      </c>
      <c r="T167" s="261" t="s">
        <v>3535</v>
      </c>
      <c r="U167" s="261" t="s">
        <v>3606</v>
      </c>
      <c r="V167" t="s">
        <v>42</v>
      </c>
    </row>
    <row r="168" spans="1:22" ht="15.75" thickBot="1" x14ac:dyDescent="0.3">
      <c r="A168" s="114" t="s">
        <v>3314</v>
      </c>
      <c r="B168" s="82" t="str">
        <f t="shared" si="14"/>
        <v>Barraqueiro Transportes, S.A.</v>
      </c>
      <c r="C168" s="82" t="str">
        <f t="shared" si="11"/>
        <v>Barraqueiro Alugueres</v>
      </c>
      <c r="D168" s="82" t="s">
        <v>34</v>
      </c>
      <c r="E168" s="218" t="s">
        <v>1579</v>
      </c>
      <c r="F168" s="115" t="s">
        <v>1580</v>
      </c>
      <c r="G168" s="138" t="s">
        <v>34</v>
      </c>
      <c r="H168" s="326">
        <v>0.28000000000000003</v>
      </c>
      <c r="I168" s="138" t="s">
        <v>1532</v>
      </c>
      <c r="J168" s="139">
        <f t="shared" si="12"/>
        <v>280</v>
      </c>
      <c r="K168" s="138" t="s">
        <v>483</v>
      </c>
      <c r="L168" s="238" t="str">
        <f t="shared" si="13"/>
        <v>Reciclagem</v>
      </c>
      <c r="M168" s="238" t="s">
        <v>1920</v>
      </c>
      <c r="N168" s="238" t="s">
        <v>1911</v>
      </c>
      <c r="O168" s="114" t="str">
        <f>IFERROR(INDEX(Tabela3[Tipos de Tratamento],MATCH('A3.9.1 copy'!K168,Tabela3[Código],0)),"")</f>
        <v xml:space="preserve">Troca de resíduos com vista a submetê-los a uma das operações enumeradas de R 1 a R 11 </v>
      </c>
      <c r="P168" s="114" t="s">
        <v>1573</v>
      </c>
      <c r="Q168" s="114" t="s">
        <v>1539</v>
      </c>
      <c r="R168" s="115"/>
      <c r="S168">
        <v>2022</v>
      </c>
      <c r="T168" s="261" t="s">
        <v>3535</v>
      </c>
      <c r="U168" s="261" t="s">
        <v>3606</v>
      </c>
      <c r="V168" t="s">
        <v>42</v>
      </c>
    </row>
    <row r="169" spans="1:22" ht="15.75" thickBot="1" x14ac:dyDescent="0.3">
      <c r="A169" s="114" t="s">
        <v>3314</v>
      </c>
      <c r="B169" s="82" t="str">
        <f t="shared" si="14"/>
        <v>Barraqueiro Transportes, S.A.</v>
      </c>
      <c r="C169" s="82" t="str">
        <f t="shared" si="11"/>
        <v>Barraqueiro Alugueres</v>
      </c>
      <c r="D169" s="82" t="s">
        <v>34</v>
      </c>
      <c r="E169" s="218" t="s">
        <v>1588</v>
      </c>
      <c r="F169" s="115" t="s">
        <v>1589</v>
      </c>
      <c r="G169" s="138" t="s">
        <v>34</v>
      </c>
      <c r="H169" s="326">
        <v>8.3000000000000004E-2</v>
      </c>
      <c r="I169" s="138" t="s">
        <v>1532</v>
      </c>
      <c r="J169" s="139">
        <f t="shared" si="12"/>
        <v>83</v>
      </c>
      <c r="K169" s="138" t="s">
        <v>484</v>
      </c>
      <c r="L169" s="238" t="str">
        <f t="shared" si="13"/>
        <v>Reciclagem</v>
      </c>
      <c r="M169" s="238" t="s">
        <v>1920</v>
      </c>
      <c r="N169" s="238" t="s">
        <v>1911</v>
      </c>
      <c r="O169" s="114" t="str">
        <f>IFERROR(INDEX(Tabela3[Tipos de Tratamento],MATCH('A3.9.1 copy'!K169,Tabela3[Código],0)),"")</f>
        <v>Acumulação de resíduos destinados a uma das operações enumeradas de R1 a R12</v>
      </c>
      <c r="P169" s="114" t="s">
        <v>1538</v>
      </c>
      <c r="Q169" s="114" t="s">
        <v>1539</v>
      </c>
      <c r="R169" s="115"/>
      <c r="S169">
        <v>2022</v>
      </c>
      <c r="T169" s="261" t="s">
        <v>3535</v>
      </c>
      <c r="U169" s="261" t="s">
        <v>3606</v>
      </c>
      <c r="V169" t="s">
        <v>42</v>
      </c>
    </row>
    <row r="170" spans="1:22" ht="15.75" thickBot="1" x14ac:dyDescent="0.3">
      <c r="A170" s="114" t="s">
        <v>3314</v>
      </c>
      <c r="B170" s="82" t="str">
        <f t="shared" si="14"/>
        <v>Barraqueiro Transportes, S.A.</v>
      </c>
      <c r="C170" s="82" t="str">
        <f t="shared" si="11"/>
        <v>Barraqueiro Alugueres</v>
      </c>
      <c r="D170" s="82" t="s">
        <v>34</v>
      </c>
      <c r="E170" s="218" t="s">
        <v>1600</v>
      </c>
      <c r="F170" s="115" t="s">
        <v>1601</v>
      </c>
      <c r="G170" s="138" t="s">
        <v>34</v>
      </c>
      <c r="H170" s="326">
        <v>0.4</v>
      </c>
      <c r="I170" s="138" t="s">
        <v>1532</v>
      </c>
      <c r="J170" s="139">
        <f t="shared" si="12"/>
        <v>400</v>
      </c>
      <c r="K170" s="145" t="s">
        <v>503</v>
      </c>
      <c r="L170" s="238" t="str">
        <f t="shared" si="13"/>
        <v>Aterro</v>
      </c>
      <c r="M170" s="238" t="s">
        <v>1920</v>
      </c>
      <c r="N170" s="238" t="s">
        <v>1911</v>
      </c>
      <c r="O170" s="115" t="str">
        <f>IFERROR(INDEX(Tabela3[Tipos de Tratamento],MATCH('A3.9.1 copy'!K170,Tabela3[Código],0)),"")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170" s="114" t="s">
        <v>1573</v>
      </c>
      <c r="Q170" s="114" t="s">
        <v>1539</v>
      </c>
      <c r="R170" s="115"/>
      <c r="S170">
        <v>2022</v>
      </c>
      <c r="T170" s="261" t="s">
        <v>3535</v>
      </c>
      <c r="U170" s="261" t="s">
        <v>3606</v>
      </c>
      <c r="V170" t="s">
        <v>42</v>
      </c>
    </row>
    <row r="171" spans="1:22" ht="15.75" thickBot="1" x14ac:dyDescent="0.3">
      <c r="A171" s="114" t="s">
        <v>3314</v>
      </c>
      <c r="B171" s="82" t="str">
        <f t="shared" si="14"/>
        <v>Barraqueiro Transportes, S.A.</v>
      </c>
      <c r="C171" s="82" t="str">
        <f t="shared" si="11"/>
        <v>Barraqueiro Alugueres</v>
      </c>
      <c r="D171" s="82" t="s">
        <v>34</v>
      </c>
      <c r="E171" s="218" t="s">
        <v>1600</v>
      </c>
      <c r="F171" s="115" t="s">
        <v>1601</v>
      </c>
      <c r="G171" s="138" t="s">
        <v>34</v>
      </c>
      <c r="H171" s="326">
        <v>0.4</v>
      </c>
      <c r="I171" s="138" t="s">
        <v>1532</v>
      </c>
      <c r="J171" s="139">
        <f t="shared" si="12"/>
        <v>400</v>
      </c>
      <c r="K171" s="145" t="s">
        <v>483</v>
      </c>
      <c r="L171" s="238" t="str">
        <f t="shared" si="13"/>
        <v>Reciclagem</v>
      </c>
      <c r="M171" s="238" t="s">
        <v>1920</v>
      </c>
      <c r="N171" s="238" t="s">
        <v>1911</v>
      </c>
      <c r="O171" s="114" t="str">
        <f>IFERROR(INDEX(Tabela3[Tipos de Tratamento],MATCH('A3.9.1 copy'!K171,Tabela3[Código],0)),"")</f>
        <v xml:space="preserve">Troca de resíduos com vista a submetê-los a uma das operações enumeradas de R 1 a R 11 </v>
      </c>
      <c r="P171" s="114" t="s">
        <v>1573</v>
      </c>
      <c r="Q171" s="114" t="s">
        <v>1539</v>
      </c>
      <c r="R171" s="115"/>
      <c r="S171">
        <v>2022</v>
      </c>
      <c r="T171" s="261" t="s">
        <v>3535</v>
      </c>
      <c r="U171" s="261" t="s">
        <v>3606</v>
      </c>
      <c r="V171" t="s">
        <v>42</v>
      </c>
    </row>
    <row r="172" spans="1:22" ht="15.75" thickBot="1" x14ac:dyDescent="0.3">
      <c r="A172" s="114" t="s">
        <v>3314</v>
      </c>
      <c r="B172" s="82" t="str">
        <f t="shared" si="14"/>
        <v>Barraqueiro Transportes, S.A.</v>
      </c>
      <c r="C172" s="82" t="str">
        <f t="shared" si="11"/>
        <v>Barraqueiro Alugueres</v>
      </c>
      <c r="D172" s="82" t="s">
        <v>34</v>
      </c>
      <c r="E172" s="218" t="s">
        <v>1865</v>
      </c>
      <c r="F172" s="115" t="s">
        <v>1531</v>
      </c>
      <c r="G172" s="138" t="s">
        <v>34</v>
      </c>
      <c r="H172" s="326">
        <v>3.24</v>
      </c>
      <c r="I172" s="138" t="s">
        <v>1532</v>
      </c>
      <c r="J172" s="139">
        <f t="shared" si="12"/>
        <v>3240</v>
      </c>
      <c r="K172" s="138" t="s">
        <v>480</v>
      </c>
      <c r="L172" s="238" t="str">
        <f t="shared" si="13"/>
        <v>Reciclagem</v>
      </c>
      <c r="M172" s="238" t="s">
        <v>1921</v>
      </c>
      <c r="N172" s="238" t="s">
        <v>1896</v>
      </c>
      <c r="O172" s="114" t="str">
        <f>IFERROR(INDEX(Tabela3[Tipos de Tratamento],MATCH('A3.9.1 copy'!K172,Tabela3[Código],0)),"")</f>
        <v xml:space="preserve">Regeneração de óleos e outras reutilizações de óleos </v>
      </c>
      <c r="P172" s="114" t="s">
        <v>1535</v>
      </c>
      <c r="Q172" s="115" t="s">
        <v>1602</v>
      </c>
      <c r="R172" s="115"/>
      <c r="S172">
        <v>2022</v>
      </c>
      <c r="T172" s="261" t="s">
        <v>3535</v>
      </c>
      <c r="U172" s="261" t="s">
        <v>3606</v>
      </c>
      <c r="V172" t="s">
        <v>42</v>
      </c>
    </row>
    <row r="173" spans="1:22" ht="15.75" thickBot="1" x14ac:dyDescent="0.3">
      <c r="A173" s="114" t="s">
        <v>3314</v>
      </c>
      <c r="B173" s="82" t="str">
        <f t="shared" si="14"/>
        <v>Barraqueiro Transportes, S.A.</v>
      </c>
      <c r="C173" s="82" t="str">
        <f t="shared" si="11"/>
        <v>Barraqueiro Alugueres</v>
      </c>
      <c r="D173" s="82" t="s">
        <v>34</v>
      </c>
      <c r="E173" s="218" t="s">
        <v>1866</v>
      </c>
      <c r="F173" s="115" t="s">
        <v>1569</v>
      </c>
      <c r="G173" s="138" t="s">
        <v>34</v>
      </c>
      <c r="H173" s="326">
        <v>12.1</v>
      </c>
      <c r="I173" s="138" t="s">
        <v>1532</v>
      </c>
      <c r="J173" s="139">
        <f t="shared" si="12"/>
        <v>12100</v>
      </c>
      <c r="K173" s="145" t="s">
        <v>483</v>
      </c>
      <c r="L173" s="238" t="str">
        <f t="shared" si="13"/>
        <v>Reciclagem</v>
      </c>
      <c r="M173" s="238" t="s">
        <v>1920</v>
      </c>
      <c r="N173" s="238" t="s">
        <v>1911</v>
      </c>
      <c r="O173" s="115" t="str">
        <f>IFERROR(INDEX(Tabela3[Tipos de Tratamento],MATCH('A3.9.1 copy'!K173,Tabela3[Código],0)),"")</f>
        <v xml:space="preserve">Troca de resíduos com vista a submetê-los a uma das operações enumeradas de R 1 a R 11 </v>
      </c>
      <c r="P173" s="114" t="s">
        <v>1570</v>
      </c>
      <c r="Q173" s="114" t="s">
        <v>1571</v>
      </c>
      <c r="R173" s="115"/>
      <c r="S173">
        <v>2022</v>
      </c>
      <c r="T173" s="261" t="s">
        <v>3535</v>
      </c>
      <c r="U173" s="261" t="s">
        <v>3606</v>
      </c>
      <c r="V173" t="s">
        <v>42</v>
      </c>
    </row>
    <row r="174" spans="1:22" ht="15.75" thickBot="1" x14ac:dyDescent="0.3">
      <c r="A174" s="114" t="s">
        <v>3314</v>
      </c>
      <c r="B174" s="82" t="str">
        <f t="shared" si="14"/>
        <v>Barraqueiro Transportes, S.A.</v>
      </c>
      <c r="C174" s="82" t="str">
        <f t="shared" si="11"/>
        <v>Barraqueiro Alugueres</v>
      </c>
      <c r="D174" s="82" t="s">
        <v>34</v>
      </c>
      <c r="E174" s="218" t="s">
        <v>1867</v>
      </c>
      <c r="F174" s="115" t="s">
        <v>1572</v>
      </c>
      <c r="G174" s="138" t="s">
        <v>34</v>
      </c>
      <c r="H174" s="326">
        <v>9.1199999999999992</v>
      </c>
      <c r="I174" s="138" t="s">
        <v>1532</v>
      </c>
      <c r="J174" s="139">
        <f t="shared" si="12"/>
        <v>9120</v>
      </c>
      <c r="K174" s="138" t="s">
        <v>483</v>
      </c>
      <c r="L174" s="238" t="str">
        <f t="shared" si="13"/>
        <v>Reciclagem</v>
      </c>
      <c r="M174" s="238" t="s">
        <v>1920</v>
      </c>
      <c r="N174" s="238" t="s">
        <v>1911</v>
      </c>
      <c r="O174" s="114" t="str">
        <f>IFERROR(INDEX(Tabela3[Tipos de Tratamento],MATCH('A3.9.1 copy'!K174,Tabela3[Código],0)),"")</f>
        <v xml:space="preserve">Troca de resíduos com vista a submetê-los a uma das operações enumeradas de R 1 a R 11 </v>
      </c>
      <c r="P174" s="114" t="s">
        <v>1570</v>
      </c>
      <c r="Q174" s="114" t="s">
        <v>1571</v>
      </c>
      <c r="R174" s="115"/>
      <c r="S174">
        <v>2022</v>
      </c>
      <c r="T174" s="261" t="s">
        <v>3535</v>
      </c>
      <c r="U174" s="261" t="s">
        <v>3606</v>
      </c>
      <c r="V174" t="s">
        <v>42</v>
      </c>
    </row>
    <row r="175" spans="1:22" ht="15.75" thickBot="1" x14ac:dyDescent="0.3">
      <c r="A175" s="114" t="s">
        <v>3314</v>
      </c>
      <c r="B175" s="82" t="str">
        <f t="shared" si="14"/>
        <v>Barraqueiro Transportes, S.A.</v>
      </c>
      <c r="C175" s="82" t="str">
        <f t="shared" si="11"/>
        <v>Barraqueiro Alugueres</v>
      </c>
      <c r="D175" s="82" t="s">
        <v>34</v>
      </c>
      <c r="E175" s="218" t="s">
        <v>1868</v>
      </c>
      <c r="F175" s="115" t="s">
        <v>1537</v>
      </c>
      <c r="G175" s="138" t="s">
        <v>42</v>
      </c>
      <c r="H175" s="326">
        <v>1.88</v>
      </c>
      <c r="I175" s="138" t="s">
        <v>1532</v>
      </c>
      <c r="J175" s="139">
        <f t="shared" si="12"/>
        <v>1880</v>
      </c>
      <c r="K175" s="138" t="s">
        <v>484</v>
      </c>
      <c r="L175" s="238" t="str">
        <f t="shared" si="13"/>
        <v>Reciclagem</v>
      </c>
      <c r="M175" s="238" t="s">
        <v>1923</v>
      </c>
      <c r="N175" s="238" t="s">
        <v>1922</v>
      </c>
      <c r="O175" s="114" t="str">
        <f>IFERROR(INDEX(Tabela3[Tipos de Tratamento],MATCH('A3.9.1 copy'!K175,Tabela3[Código],0)),"")</f>
        <v>Acumulação de resíduos destinados a uma das operações enumeradas de R1 a R12</v>
      </c>
      <c r="P175" s="114" t="s">
        <v>1538</v>
      </c>
      <c r="Q175" s="114" t="s">
        <v>1603</v>
      </c>
      <c r="R175" s="115"/>
      <c r="S175">
        <v>2022</v>
      </c>
      <c r="T175" s="261" t="s">
        <v>3535</v>
      </c>
      <c r="U175" s="261" t="s">
        <v>3606</v>
      </c>
      <c r="V175" t="s">
        <v>42</v>
      </c>
    </row>
    <row r="176" spans="1:22" ht="15.75" thickBot="1" x14ac:dyDescent="0.3">
      <c r="A176" s="114" t="s">
        <v>3314</v>
      </c>
      <c r="B176" s="82" t="str">
        <f t="shared" si="14"/>
        <v>Barraqueiro Transportes, S.A.</v>
      </c>
      <c r="C176" s="82" t="str">
        <f t="shared" si="11"/>
        <v>Barraqueiro Alugueres</v>
      </c>
      <c r="D176" s="82" t="s">
        <v>34</v>
      </c>
      <c r="E176" s="218" t="s">
        <v>1869</v>
      </c>
      <c r="F176" s="115" t="s">
        <v>1575</v>
      </c>
      <c r="G176" s="138" t="s">
        <v>42</v>
      </c>
      <c r="H176" s="326">
        <v>0.14099999999999999</v>
      </c>
      <c r="I176" s="138" t="s">
        <v>1532</v>
      </c>
      <c r="J176" s="139">
        <f t="shared" si="12"/>
        <v>141</v>
      </c>
      <c r="K176" s="138" t="s">
        <v>483</v>
      </c>
      <c r="L176" s="238" t="str">
        <f t="shared" si="13"/>
        <v>Reciclagem</v>
      </c>
      <c r="M176" s="238" t="s">
        <v>1560</v>
      </c>
      <c r="N176" s="238" t="s">
        <v>1922</v>
      </c>
      <c r="O176" s="114" t="str">
        <f>IFERROR(INDEX(Tabela3[Tipos de Tratamento],MATCH('A3.9.1 copy'!K176,Tabela3[Código],0)),"")</f>
        <v xml:space="preserve">Troca de resíduos com vista a submetê-los a uma das operações enumeradas de R 1 a R 11 </v>
      </c>
      <c r="P176" s="114" t="s">
        <v>1538</v>
      </c>
      <c r="Q176" s="114" t="s">
        <v>1539</v>
      </c>
      <c r="R176" s="115"/>
      <c r="S176">
        <v>2022</v>
      </c>
      <c r="T176" s="261" t="s">
        <v>3535</v>
      </c>
      <c r="U176" s="261" t="s">
        <v>3606</v>
      </c>
      <c r="V176" t="s">
        <v>42</v>
      </c>
    </row>
    <row r="177" spans="1:22" ht="15.75" thickBot="1" x14ac:dyDescent="0.3">
      <c r="A177" s="114" t="s">
        <v>3314</v>
      </c>
      <c r="B177" s="82" t="str">
        <f t="shared" si="14"/>
        <v>Barraqueiro Transportes, S.A.</v>
      </c>
      <c r="C177" s="82" t="str">
        <f t="shared" si="11"/>
        <v>Barraqueiro Alugueres</v>
      </c>
      <c r="D177" s="82" t="s">
        <v>34</v>
      </c>
      <c r="E177" s="218" t="s">
        <v>1604</v>
      </c>
      <c r="F177" s="115" t="s">
        <v>1605</v>
      </c>
      <c r="G177" s="138" t="s">
        <v>42</v>
      </c>
      <c r="H177" s="326">
        <v>2.3199999999999998</v>
      </c>
      <c r="I177" s="138" t="s">
        <v>1532</v>
      </c>
      <c r="J177" s="139">
        <f t="shared" si="12"/>
        <v>2320</v>
      </c>
      <c r="K177" s="138" t="s">
        <v>483</v>
      </c>
      <c r="L177" s="238" t="str">
        <f t="shared" si="13"/>
        <v>Reciclagem</v>
      </c>
      <c r="M177" s="238" t="s">
        <v>1924</v>
      </c>
      <c r="N177" s="238" t="s">
        <v>1922</v>
      </c>
      <c r="O177" s="114" t="str">
        <f>IFERROR(INDEX(Tabela3[Tipos de Tratamento],MATCH('A3.9.1 copy'!K177,Tabela3[Código],0)),"")</f>
        <v xml:space="preserve">Troca de resíduos com vista a submetê-los a uma das operações enumeradas de R 1 a R 11 </v>
      </c>
      <c r="P177" s="114" t="s">
        <v>1538</v>
      </c>
      <c r="Q177" s="114" t="s">
        <v>1603</v>
      </c>
      <c r="R177" s="115"/>
      <c r="S177">
        <v>2022</v>
      </c>
      <c r="T177" s="261" t="s">
        <v>3535</v>
      </c>
      <c r="U177" s="261" t="s">
        <v>3606</v>
      </c>
      <c r="V177" t="s">
        <v>42</v>
      </c>
    </row>
    <row r="178" spans="1:22" ht="15.75" thickBot="1" x14ac:dyDescent="0.3">
      <c r="A178" s="114" t="s">
        <v>3314</v>
      </c>
      <c r="B178" s="82" t="str">
        <f t="shared" si="14"/>
        <v>Barraqueiro Transportes, S.A.</v>
      </c>
      <c r="C178" s="82" t="str">
        <f t="shared" si="11"/>
        <v>Barraqueiro Alugueres</v>
      </c>
      <c r="D178" s="82" t="s">
        <v>34</v>
      </c>
      <c r="E178" s="218" t="s">
        <v>1606</v>
      </c>
      <c r="F178" s="115" t="s">
        <v>1607</v>
      </c>
      <c r="G178" s="138" t="s">
        <v>42</v>
      </c>
      <c r="H178" s="326">
        <v>0.69</v>
      </c>
      <c r="I178" s="138" t="s">
        <v>1532</v>
      </c>
      <c r="J178" s="139">
        <f t="shared" si="12"/>
        <v>690</v>
      </c>
      <c r="K178" s="138" t="s">
        <v>483</v>
      </c>
      <c r="L178" s="238" t="str">
        <f t="shared" si="13"/>
        <v>Reciclagem</v>
      </c>
      <c r="M178" s="238" t="s">
        <v>1925</v>
      </c>
      <c r="N178" s="238" t="s">
        <v>1922</v>
      </c>
      <c r="O178" s="114" t="str">
        <f>IFERROR(INDEX(Tabela3[Tipos de Tratamento],MATCH('A3.9.1 copy'!K178,Tabela3[Código],0)),"")</f>
        <v xml:space="preserve">Troca de resíduos com vista a submetê-los a uma das operações enumeradas de R 1 a R 11 </v>
      </c>
      <c r="P178" s="114" t="s">
        <v>1538</v>
      </c>
      <c r="Q178" s="114" t="s">
        <v>1539</v>
      </c>
      <c r="R178" s="115"/>
      <c r="S178">
        <v>2022</v>
      </c>
      <c r="T178" s="261" t="s">
        <v>3535</v>
      </c>
      <c r="U178" s="261" t="s">
        <v>3606</v>
      </c>
      <c r="V178" t="s">
        <v>42</v>
      </c>
    </row>
    <row r="179" spans="1:22" ht="15.75" thickBot="1" x14ac:dyDescent="0.3">
      <c r="A179" s="114" t="s">
        <v>3314</v>
      </c>
      <c r="B179" s="82" t="str">
        <f t="shared" si="14"/>
        <v>Barraqueiro Transportes, S.A.</v>
      </c>
      <c r="C179" s="82" t="str">
        <f t="shared" si="11"/>
        <v>Barraqueiro Alugueres</v>
      </c>
      <c r="D179" s="82" t="s">
        <v>34</v>
      </c>
      <c r="E179" s="218" t="s">
        <v>1870</v>
      </c>
      <c r="F179" s="115" t="s">
        <v>1542</v>
      </c>
      <c r="G179" s="138" t="s">
        <v>34</v>
      </c>
      <c r="H179" s="326">
        <v>0.45</v>
      </c>
      <c r="I179" s="138" t="s">
        <v>1532</v>
      </c>
      <c r="J179" s="139">
        <f t="shared" si="12"/>
        <v>450</v>
      </c>
      <c r="K179" s="138" t="s">
        <v>484</v>
      </c>
      <c r="L179" s="238" t="str">
        <f t="shared" si="13"/>
        <v>Reciclagem</v>
      </c>
      <c r="M179" s="238" t="s">
        <v>1920</v>
      </c>
      <c r="N179" s="238" t="s">
        <v>1911</v>
      </c>
      <c r="O179" s="114" t="str">
        <f>IFERROR(INDEX(Tabela3[Tipos de Tratamento],MATCH('A3.9.1 copy'!K179,Tabela3[Código],0)),"")</f>
        <v>Acumulação de resíduos destinados a uma das operações enumeradas de R1 a R12</v>
      </c>
      <c r="P179" s="114" t="s">
        <v>1538</v>
      </c>
      <c r="Q179" s="114" t="s">
        <v>1539</v>
      </c>
      <c r="R179" s="115"/>
      <c r="S179">
        <v>2022</v>
      </c>
      <c r="T179" s="261" t="s">
        <v>3535</v>
      </c>
      <c r="U179" s="261" t="s">
        <v>3606</v>
      </c>
      <c r="V179" t="s">
        <v>42</v>
      </c>
    </row>
    <row r="180" spans="1:22" ht="15.75" thickBot="1" x14ac:dyDescent="0.3">
      <c r="A180" s="114" t="s">
        <v>3314</v>
      </c>
      <c r="B180" s="82" t="str">
        <f t="shared" si="14"/>
        <v>Barraqueiro Transportes, S.A.</v>
      </c>
      <c r="C180" s="82" t="str">
        <f t="shared" si="11"/>
        <v>Barraqueiro Alugueres</v>
      </c>
      <c r="D180" s="82" t="s">
        <v>34</v>
      </c>
      <c r="E180" s="218" t="s">
        <v>1871</v>
      </c>
      <c r="F180" s="115" t="s">
        <v>1549</v>
      </c>
      <c r="G180" s="138" t="s">
        <v>34</v>
      </c>
      <c r="H180" s="326">
        <v>1.7999999999999999E-2</v>
      </c>
      <c r="I180" s="138" t="s">
        <v>1532</v>
      </c>
      <c r="J180" s="139">
        <f t="shared" si="12"/>
        <v>18</v>
      </c>
      <c r="K180" s="138" t="s">
        <v>484</v>
      </c>
      <c r="L180" s="238" t="str">
        <f t="shared" si="13"/>
        <v>Reciclagem</v>
      </c>
      <c r="M180" s="238" t="s">
        <v>1925</v>
      </c>
      <c r="N180" s="238" t="s">
        <v>1922</v>
      </c>
      <c r="O180" s="114" t="str">
        <f>IFERROR(INDEX(Tabela3[Tipos de Tratamento],MATCH('A3.9.1 copy'!K180,Tabela3[Código],0)),"")</f>
        <v>Acumulação de resíduos destinados a uma das operações enumeradas de R1 a R12</v>
      </c>
      <c r="P180" s="114" t="s">
        <v>1538</v>
      </c>
      <c r="Q180" s="114" t="s">
        <v>1539</v>
      </c>
      <c r="R180" s="115"/>
      <c r="S180">
        <v>2022</v>
      </c>
      <c r="T180" s="261" t="s">
        <v>3535</v>
      </c>
      <c r="U180" s="261" t="s">
        <v>3606</v>
      </c>
      <c r="V180" t="s">
        <v>42</v>
      </c>
    </row>
    <row r="181" spans="1:22" ht="15.75" thickBot="1" x14ac:dyDescent="0.3">
      <c r="A181" s="114" t="s">
        <v>3314</v>
      </c>
      <c r="B181" s="82" t="str">
        <f t="shared" si="14"/>
        <v>Barraqueiro Transportes, S.A.</v>
      </c>
      <c r="C181" s="82" t="str">
        <f t="shared" si="11"/>
        <v>Barraqueiro Alugueres</v>
      </c>
      <c r="D181" s="82" t="s">
        <v>34</v>
      </c>
      <c r="E181" s="218" t="s">
        <v>1872</v>
      </c>
      <c r="F181" s="115" t="s">
        <v>1547</v>
      </c>
      <c r="G181" s="138" t="s">
        <v>34</v>
      </c>
      <c r="H181" s="326">
        <v>6.4340000000000002</v>
      </c>
      <c r="I181" s="138" t="s">
        <v>1532</v>
      </c>
      <c r="J181" s="139">
        <f t="shared" si="12"/>
        <v>6434</v>
      </c>
      <c r="K181" s="138" t="s">
        <v>484</v>
      </c>
      <c r="L181" s="238" t="str">
        <f t="shared" si="13"/>
        <v>Reciclagem</v>
      </c>
      <c r="M181" s="238" t="s">
        <v>1920</v>
      </c>
      <c r="N181" s="238" t="s">
        <v>1911</v>
      </c>
      <c r="O181" s="114" t="str">
        <f>IFERROR(INDEX(Tabela3[Tipos de Tratamento],MATCH('A3.9.1 copy'!K181,Tabela3[Código],0)),"")</f>
        <v>Acumulação de resíduos destinados a uma das operações enumeradas de R1 a R12</v>
      </c>
      <c r="P181" s="114" t="s">
        <v>1538</v>
      </c>
      <c r="Q181" s="114" t="s">
        <v>1539</v>
      </c>
      <c r="R181" s="115"/>
      <c r="S181">
        <v>2022</v>
      </c>
      <c r="T181" s="261" t="s">
        <v>3535</v>
      </c>
      <c r="U181" s="261" t="s">
        <v>3606</v>
      </c>
      <c r="V181" t="s">
        <v>42</v>
      </c>
    </row>
    <row r="182" spans="1:22" ht="15.75" thickBot="1" x14ac:dyDescent="0.3">
      <c r="A182" s="114" t="s">
        <v>3314</v>
      </c>
      <c r="B182" s="82" t="str">
        <f t="shared" si="14"/>
        <v>Barraqueiro Transportes, S.A.</v>
      </c>
      <c r="C182" s="82" t="str">
        <f t="shared" si="11"/>
        <v>Barraqueiro Alugueres</v>
      </c>
      <c r="D182" s="82" t="s">
        <v>34</v>
      </c>
      <c r="E182" s="218" t="s">
        <v>1873</v>
      </c>
      <c r="F182" s="115" t="s">
        <v>1550</v>
      </c>
      <c r="G182" s="138" t="s">
        <v>42</v>
      </c>
      <c r="H182" s="326">
        <v>1.6</v>
      </c>
      <c r="I182" s="138" t="s">
        <v>1532</v>
      </c>
      <c r="J182" s="139">
        <f t="shared" si="12"/>
        <v>1600</v>
      </c>
      <c r="K182" s="138" t="s">
        <v>483</v>
      </c>
      <c r="L182" s="238" t="str">
        <f t="shared" si="13"/>
        <v>Reciclagem</v>
      </c>
      <c r="M182" s="238" t="s">
        <v>1920</v>
      </c>
      <c r="N182" s="238" t="s">
        <v>1911</v>
      </c>
      <c r="O182" s="114" t="str">
        <f>IFERROR(INDEX(Tabela3[Tipos de Tratamento],MATCH('A3.9.1 copy'!K182,Tabela3[Código],0)),"")</f>
        <v xml:space="preserve">Troca de resíduos com vista a submetê-los a uma das operações enumeradas de R 1 a R 11 </v>
      </c>
      <c r="P182" s="114" t="s">
        <v>1538</v>
      </c>
      <c r="Q182" s="114" t="s">
        <v>1539</v>
      </c>
      <c r="R182" s="115"/>
      <c r="S182">
        <v>2022</v>
      </c>
      <c r="T182" s="261" t="s">
        <v>3535</v>
      </c>
      <c r="U182" s="261" t="s">
        <v>3606</v>
      </c>
      <c r="V182" t="s">
        <v>42</v>
      </c>
    </row>
    <row r="183" spans="1:22" ht="15.75" thickBot="1" x14ac:dyDescent="0.3">
      <c r="A183" s="114" t="s">
        <v>3314</v>
      </c>
      <c r="B183" s="82" t="str">
        <f t="shared" si="14"/>
        <v>Barraqueiro Transportes, S.A.</v>
      </c>
      <c r="C183" s="82" t="str">
        <f t="shared" si="11"/>
        <v>Barraqueiro Alugueres</v>
      </c>
      <c r="D183" s="82" t="s">
        <v>34</v>
      </c>
      <c r="E183" s="218" t="s">
        <v>1874</v>
      </c>
      <c r="F183" s="115" t="s">
        <v>1551</v>
      </c>
      <c r="G183" s="138" t="s">
        <v>34</v>
      </c>
      <c r="H183" s="326">
        <v>0.52</v>
      </c>
      <c r="I183" s="138" t="s">
        <v>1532</v>
      </c>
      <c r="J183" s="139">
        <f t="shared" si="12"/>
        <v>520</v>
      </c>
      <c r="K183" s="138" t="s">
        <v>484</v>
      </c>
      <c r="L183" s="238" t="str">
        <f t="shared" si="13"/>
        <v>Reciclagem</v>
      </c>
      <c r="M183" s="238" t="s">
        <v>1920</v>
      </c>
      <c r="N183" s="238" t="s">
        <v>1911</v>
      </c>
      <c r="O183" s="114" t="str">
        <f>IFERROR(INDEX(Tabela3[Tipos de Tratamento],MATCH('A3.9.1 copy'!K183,Tabela3[Código],0)),"")</f>
        <v>Acumulação de resíduos destinados a uma das operações enumeradas de R1 a R12</v>
      </c>
      <c r="P183" s="114" t="s">
        <v>1538</v>
      </c>
      <c r="Q183" s="114" t="s">
        <v>1539</v>
      </c>
      <c r="R183" s="115"/>
      <c r="S183">
        <v>2022</v>
      </c>
      <c r="T183" s="261" t="s">
        <v>3535</v>
      </c>
      <c r="U183" s="261" t="s">
        <v>3606</v>
      </c>
      <c r="V183" t="s">
        <v>42</v>
      </c>
    </row>
    <row r="184" spans="1:22" ht="15.75" thickBot="1" x14ac:dyDescent="0.3">
      <c r="A184" s="114" t="s">
        <v>3314</v>
      </c>
      <c r="B184" s="82" t="str">
        <f t="shared" si="14"/>
        <v>Barraqueiro Transportes, S.A.</v>
      </c>
      <c r="C184" s="82" t="str">
        <f t="shared" si="11"/>
        <v>Barraqueiro Alugueres</v>
      </c>
      <c r="D184" s="82" t="s">
        <v>34</v>
      </c>
      <c r="E184" s="218" t="s">
        <v>1875</v>
      </c>
      <c r="F184" s="115" t="s">
        <v>1552</v>
      </c>
      <c r="G184" s="138" t="s">
        <v>34</v>
      </c>
      <c r="H184" s="326">
        <v>0.81</v>
      </c>
      <c r="I184" s="138" t="s">
        <v>1532</v>
      </c>
      <c r="J184" s="139">
        <f t="shared" si="12"/>
        <v>810</v>
      </c>
      <c r="K184" s="138" t="s">
        <v>483</v>
      </c>
      <c r="L184" s="238" t="str">
        <f t="shared" si="13"/>
        <v>Reciclagem</v>
      </c>
      <c r="M184" s="238" t="s">
        <v>1557</v>
      </c>
      <c r="N184" s="238" t="s">
        <v>1922</v>
      </c>
      <c r="O184" s="114" t="str">
        <f>IFERROR(INDEX(Tabela3[Tipos de Tratamento],MATCH('A3.9.1 copy'!K184,Tabela3[Código],0)),"")</f>
        <v xml:space="preserve">Troca de resíduos com vista a submetê-los a uma das operações enumeradas de R 1 a R 11 </v>
      </c>
      <c r="P184" s="114" t="s">
        <v>1538</v>
      </c>
      <c r="Q184" s="114" t="s">
        <v>1539</v>
      </c>
      <c r="R184" s="115"/>
      <c r="S184">
        <v>2022</v>
      </c>
      <c r="T184" s="261" t="s">
        <v>3535</v>
      </c>
      <c r="U184" s="261" t="s">
        <v>3606</v>
      </c>
      <c r="V184" t="s">
        <v>42</v>
      </c>
    </row>
    <row r="185" spans="1:22" ht="15.75" thickBot="1" x14ac:dyDescent="0.3">
      <c r="A185" s="114" t="s">
        <v>3314</v>
      </c>
      <c r="B185" s="82" t="str">
        <f t="shared" si="14"/>
        <v>Barraqueiro Transportes, S.A.</v>
      </c>
      <c r="C185" s="82" t="str">
        <f t="shared" si="11"/>
        <v>Barraqueiro Alugueres</v>
      </c>
      <c r="D185" s="82" t="s">
        <v>34</v>
      </c>
      <c r="E185" s="218" t="s">
        <v>1876</v>
      </c>
      <c r="F185" s="115" t="s">
        <v>1557</v>
      </c>
      <c r="G185" s="138" t="s">
        <v>42</v>
      </c>
      <c r="H185" s="326">
        <v>3.12</v>
      </c>
      <c r="I185" s="138" t="s">
        <v>1532</v>
      </c>
      <c r="J185" s="139">
        <f t="shared" si="12"/>
        <v>3120</v>
      </c>
      <c r="K185" s="138" t="s">
        <v>483</v>
      </c>
      <c r="L185" s="238" t="str">
        <f t="shared" si="13"/>
        <v>Reciclagem</v>
      </c>
      <c r="M185" s="238" t="s">
        <v>1557</v>
      </c>
      <c r="N185" s="238" t="s">
        <v>1922</v>
      </c>
      <c r="O185" s="114" t="str">
        <f>IFERROR(INDEX(Tabela3[Tipos de Tratamento],MATCH('A3.9.1 copy'!K185,Tabela3[Código],0)),"")</f>
        <v xml:space="preserve">Troca de resíduos com vista a submetê-los a uma das operações enumeradas de R 1 a R 11 </v>
      </c>
      <c r="P185" s="114" t="s">
        <v>1558</v>
      </c>
      <c r="Q185" s="114" t="s">
        <v>1559</v>
      </c>
      <c r="R185" s="115"/>
      <c r="S185">
        <v>2022</v>
      </c>
      <c r="T185" s="261" t="s">
        <v>3535</v>
      </c>
      <c r="U185" s="261" t="s">
        <v>3606</v>
      </c>
      <c r="V185" t="s">
        <v>42</v>
      </c>
    </row>
    <row r="186" spans="1:22" ht="15.75" thickBot="1" x14ac:dyDescent="0.3">
      <c r="A186" s="114" t="s">
        <v>3314</v>
      </c>
      <c r="B186" s="82" t="str">
        <f t="shared" si="14"/>
        <v>Barraqueiro Transportes, S.A.</v>
      </c>
      <c r="C186" s="82" t="str">
        <f t="shared" si="11"/>
        <v>Barraqueiro Alugueres</v>
      </c>
      <c r="D186" s="82" t="s">
        <v>34</v>
      </c>
      <c r="E186" s="218" t="s">
        <v>1877</v>
      </c>
      <c r="F186" s="115" t="s">
        <v>1560</v>
      </c>
      <c r="G186" s="138" t="s">
        <v>42</v>
      </c>
      <c r="H186" s="326">
        <v>3.3000000000000002E-2</v>
      </c>
      <c r="I186" s="138" t="s">
        <v>1532</v>
      </c>
      <c r="J186" s="139">
        <f t="shared" si="12"/>
        <v>33</v>
      </c>
      <c r="K186" s="138" t="s">
        <v>483</v>
      </c>
      <c r="L186" s="238" t="str">
        <f t="shared" si="13"/>
        <v>Reciclagem</v>
      </c>
      <c r="M186" s="238" t="s">
        <v>1560</v>
      </c>
      <c r="N186" s="238" t="s">
        <v>1922</v>
      </c>
      <c r="O186" s="114" t="str">
        <f>IFERROR(INDEX(Tabela3[Tipos de Tratamento],MATCH('A3.9.1 copy'!K186,Tabela3[Código],0)),"")</f>
        <v xml:space="preserve">Troca de resíduos com vista a submetê-los a uma das operações enumeradas de R 1 a R 11 </v>
      </c>
      <c r="P186" s="114" t="s">
        <v>1538</v>
      </c>
      <c r="Q186" s="114" t="s">
        <v>1539</v>
      </c>
      <c r="R186" s="115"/>
      <c r="S186">
        <v>2022</v>
      </c>
      <c r="T186" s="261" t="s">
        <v>3535</v>
      </c>
      <c r="U186" s="261" t="s">
        <v>3606</v>
      </c>
      <c r="V186" t="s">
        <v>42</v>
      </c>
    </row>
    <row r="187" spans="1:22" ht="15.75" thickBot="1" x14ac:dyDescent="0.3">
      <c r="A187" s="114" t="s">
        <v>3314</v>
      </c>
      <c r="B187" s="82" t="str">
        <f t="shared" si="14"/>
        <v>Barraqueiro Transportes, S.A.</v>
      </c>
      <c r="C187" s="82" t="str">
        <f t="shared" si="11"/>
        <v>Barraqueiro Alugueres</v>
      </c>
      <c r="D187" s="82" t="s">
        <v>34</v>
      </c>
      <c r="E187" s="218" t="s">
        <v>1879</v>
      </c>
      <c r="F187" s="115" t="s">
        <v>1562</v>
      </c>
      <c r="G187" s="138" t="s">
        <v>42</v>
      </c>
      <c r="H187" s="326">
        <v>0.34</v>
      </c>
      <c r="I187" s="138" t="s">
        <v>1532</v>
      </c>
      <c r="J187" s="139">
        <f t="shared" si="12"/>
        <v>340</v>
      </c>
      <c r="K187" s="138" t="s">
        <v>483</v>
      </c>
      <c r="L187" s="238" t="str">
        <f t="shared" si="13"/>
        <v>Reciclagem</v>
      </c>
      <c r="M187" s="238" t="s">
        <v>1920</v>
      </c>
      <c r="N187" s="238" t="s">
        <v>1911</v>
      </c>
      <c r="O187" s="114" t="str">
        <f>IFERROR(INDEX(Tabela3[Tipos de Tratamento],MATCH('A3.9.1 copy'!K187,Tabela3[Código],0)),"")</f>
        <v xml:space="preserve">Troca de resíduos com vista a submetê-los a uma das operações enumeradas de R 1 a R 11 </v>
      </c>
      <c r="P187" s="114" t="s">
        <v>1538</v>
      </c>
      <c r="Q187" s="114" t="s">
        <v>1539</v>
      </c>
      <c r="R187" s="115"/>
      <c r="S187">
        <v>2022</v>
      </c>
      <c r="T187" s="261" t="s">
        <v>3535</v>
      </c>
      <c r="U187" s="261" t="s">
        <v>3606</v>
      </c>
      <c r="V187" t="s">
        <v>42</v>
      </c>
    </row>
    <row r="188" spans="1:22" ht="15.75" thickBot="1" x14ac:dyDescent="0.3">
      <c r="A188" s="114" t="s">
        <v>3314</v>
      </c>
      <c r="B188" s="82" t="str">
        <f t="shared" si="14"/>
        <v>Barraqueiro Transportes, S.A.</v>
      </c>
      <c r="C188" s="82" t="str">
        <f t="shared" si="11"/>
        <v>Barraqueiro Alugueres</v>
      </c>
      <c r="D188" s="82" t="s">
        <v>34</v>
      </c>
      <c r="E188" s="218" t="s">
        <v>1880</v>
      </c>
      <c r="F188" s="115" t="s">
        <v>1563</v>
      </c>
      <c r="G188" s="138" t="s">
        <v>34</v>
      </c>
      <c r="H188" s="326">
        <v>9.1</v>
      </c>
      <c r="I188" s="138" t="s">
        <v>1532</v>
      </c>
      <c r="J188" s="139">
        <f t="shared" si="12"/>
        <v>9100</v>
      </c>
      <c r="K188" s="138" t="s">
        <v>484</v>
      </c>
      <c r="L188" s="238" t="str">
        <f t="shared" si="13"/>
        <v>Reciclagem</v>
      </c>
      <c r="M188" s="238" t="s">
        <v>1653</v>
      </c>
      <c r="N188" s="238" t="s">
        <v>1896</v>
      </c>
      <c r="O188" s="114" t="str">
        <f>IFERROR(INDEX(Tabela3[Tipos de Tratamento],MATCH('A3.9.1 copy'!K188,Tabela3[Código],0)),"")</f>
        <v>Acumulação de resíduos destinados a uma das operações enumeradas de R1 a R12</v>
      </c>
      <c r="P188" s="114" t="s">
        <v>1558</v>
      </c>
      <c r="Q188" s="114" t="s">
        <v>1559</v>
      </c>
      <c r="R188" s="115"/>
      <c r="S188">
        <v>2022</v>
      </c>
      <c r="T188" s="261" t="s">
        <v>3535</v>
      </c>
      <c r="U188" s="261" t="s">
        <v>3606</v>
      </c>
      <c r="V188" t="s">
        <v>42</v>
      </c>
    </row>
    <row r="189" spans="1:22" ht="15.75" thickBot="1" x14ac:dyDescent="0.3">
      <c r="A189" s="114" t="s">
        <v>3314</v>
      </c>
      <c r="B189" s="82" t="str">
        <f t="shared" si="14"/>
        <v>Barraqueiro Transportes, S.A.</v>
      </c>
      <c r="C189" s="82" t="str">
        <f t="shared" si="11"/>
        <v>Barraqueiro Alugueres</v>
      </c>
      <c r="D189" s="82" t="s">
        <v>34</v>
      </c>
      <c r="E189" s="218" t="s">
        <v>1882</v>
      </c>
      <c r="F189" s="115" t="s">
        <v>1597</v>
      </c>
      <c r="G189" s="138" t="s">
        <v>42</v>
      </c>
      <c r="H189" s="326">
        <v>1.36</v>
      </c>
      <c r="I189" s="138" t="s">
        <v>1532</v>
      </c>
      <c r="J189" s="139">
        <f t="shared" si="12"/>
        <v>1360</v>
      </c>
      <c r="K189" s="138" t="s">
        <v>483</v>
      </c>
      <c r="L189" s="238" t="str">
        <f t="shared" si="13"/>
        <v>Reciclagem</v>
      </c>
      <c r="M189" s="238" t="s">
        <v>1923</v>
      </c>
      <c r="N189" s="238" t="s">
        <v>1922</v>
      </c>
      <c r="O189" s="114" t="str">
        <f>IFERROR(INDEX(Tabela3[Tipos de Tratamento],MATCH('A3.9.1 copy'!K189,Tabela3[Código],0)),"")</f>
        <v xml:space="preserve">Troca de resíduos com vista a submetê-los a uma das operações enumeradas de R 1 a R 11 </v>
      </c>
      <c r="P189" s="114" t="s">
        <v>1538</v>
      </c>
      <c r="Q189" s="115" t="s">
        <v>1608</v>
      </c>
      <c r="R189" s="115"/>
      <c r="S189">
        <v>2022</v>
      </c>
      <c r="T189" s="261" t="s">
        <v>3535</v>
      </c>
      <c r="U189" s="261" t="s">
        <v>3606</v>
      </c>
      <c r="V189" t="s">
        <v>42</v>
      </c>
    </row>
    <row r="190" spans="1:22" ht="15.75" thickBot="1" x14ac:dyDescent="0.3">
      <c r="A190" s="114" t="s">
        <v>3314</v>
      </c>
      <c r="B190" s="82" t="str">
        <f t="shared" si="14"/>
        <v>Barraqueiro Transportes, S.A.</v>
      </c>
      <c r="C190" s="82" t="str">
        <f t="shared" si="11"/>
        <v>Barraqueiro Alugueres</v>
      </c>
      <c r="D190" s="82" t="s">
        <v>34</v>
      </c>
      <c r="E190" s="218" t="s">
        <v>1883</v>
      </c>
      <c r="F190" s="115" t="s">
        <v>1561</v>
      </c>
      <c r="G190" s="138" t="s">
        <v>42</v>
      </c>
      <c r="H190" s="326">
        <v>4.74</v>
      </c>
      <c r="I190" s="138" t="s">
        <v>1532</v>
      </c>
      <c r="J190" s="139">
        <f t="shared" si="12"/>
        <v>4740</v>
      </c>
      <c r="K190" s="138" t="s">
        <v>483</v>
      </c>
      <c r="L190" s="238" t="str">
        <f t="shared" si="13"/>
        <v>Reciclagem</v>
      </c>
      <c r="M190" s="238" t="s">
        <v>1561</v>
      </c>
      <c r="N190" s="238" t="s">
        <v>1922</v>
      </c>
      <c r="O190" s="114" t="str">
        <f>IFERROR(INDEX(Tabela3[Tipos de Tratamento],MATCH('A3.9.1 copy'!K190,Tabela3[Código],0)),"")</f>
        <v xml:space="preserve">Troca de resíduos com vista a submetê-los a uma das operações enumeradas de R 1 a R 11 </v>
      </c>
      <c r="P190" s="114" t="s">
        <v>1538</v>
      </c>
      <c r="Q190" s="114" t="s">
        <v>1603</v>
      </c>
      <c r="R190" s="115"/>
      <c r="S190">
        <v>2022</v>
      </c>
      <c r="T190" s="261" t="s">
        <v>3535</v>
      </c>
      <c r="U190" s="261" t="s">
        <v>3606</v>
      </c>
      <c r="V190" t="s">
        <v>42</v>
      </c>
    </row>
    <row r="191" spans="1:22" ht="15.75" thickBot="1" x14ac:dyDescent="0.3">
      <c r="A191" s="114" t="s">
        <v>3314</v>
      </c>
      <c r="B191" s="82" t="str">
        <f t="shared" si="14"/>
        <v>Barraqueiro Transportes, S.A.</v>
      </c>
      <c r="C191" s="82" t="str">
        <f t="shared" si="11"/>
        <v>Barraqueiro Alugueres</v>
      </c>
      <c r="D191" s="82" t="s">
        <v>34</v>
      </c>
      <c r="E191" s="218" t="s">
        <v>1884</v>
      </c>
      <c r="F191" s="115" t="s">
        <v>1564</v>
      </c>
      <c r="G191" s="138" t="s">
        <v>34</v>
      </c>
      <c r="H191" s="326">
        <v>2.5999999999999999E-2</v>
      </c>
      <c r="I191" s="138" t="s">
        <v>1532</v>
      </c>
      <c r="J191" s="139">
        <f t="shared" si="12"/>
        <v>26</v>
      </c>
      <c r="K191" s="138" t="s">
        <v>484</v>
      </c>
      <c r="L191" s="238" t="str">
        <f t="shared" si="13"/>
        <v>Reciclagem</v>
      </c>
      <c r="M191" s="238" t="s">
        <v>1920</v>
      </c>
      <c r="N191" s="238" t="s">
        <v>1911</v>
      </c>
      <c r="O191" s="114" t="str">
        <f>IFERROR(INDEX(Tabela3[Tipos de Tratamento],MATCH('A3.9.1 copy'!K191,Tabela3[Código],0)),"")</f>
        <v>Acumulação de resíduos destinados a uma das operações enumeradas de R1 a R12</v>
      </c>
      <c r="P191" s="114" t="s">
        <v>1538</v>
      </c>
      <c r="Q191" s="114" t="s">
        <v>1539</v>
      </c>
      <c r="R191" s="115"/>
      <c r="S191">
        <v>2022</v>
      </c>
      <c r="T191" s="261" t="s">
        <v>3535</v>
      </c>
      <c r="U191" s="261" t="s">
        <v>3606</v>
      </c>
      <c r="V191" t="s">
        <v>42</v>
      </c>
    </row>
    <row r="192" spans="1:22" ht="15.75" thickBot="1" x14ac:dyDescent="0.3">
      <c r="A192" s="114" t="s">
        <v>3314</v>
      </c>
      <c r="B192" s="82" t="str">
        <f t="shared" si="14"/>
        <v>Barraqueiro Transportes, S.A.</v>
      </c>
      <c r="C192" s="82" t="str">
        <f t="shared" si="11"/>
        <v>Barraqueiro Alugueres</v>
      </c>
      <c r="D192" s="82" t="s">
        <v>34</v>
      </c>
      <c r="E192" s="218" t="s">
        <v>1885</v>
      </c>
      <c r="F192" s="115" t="s">
        <v>1565</v>
      </c>
      <c r="G192" s="138" t="s">
        <v>42</v>
      </c>
      <c r="H192" s="326">
        <v>0.16</v>
      </c>
      <c r="I192" s="138" t="s">
        <v>1532</v>
      </c>
      <c r="J192" s="139">
        <f t="shared" si="12"/>
        <v>160</v>
      </c>
      <c r="K192" s="138" t="s">
        <v>483</v>
      </c>
      <c r="L192" s="238" t="str">
        <f t="shared" si="13"/>
        <v>Reciclagem</v>
      </c>
      <c r="M192" s="238" t="s">
        <v>1927</v>
      </c>
      <c r="N192" s="238" t="s">
        <v>1911</v>
      </c>
      <c r="O192" s="114" t="str">
        <f>IFERROR(INDEX(Tabela3[Tipos de Tratamento],MATCH('A3.9.1 copy'!K192,Tabela3[Código],0)),"")</f>
        <v xml:space="preserve">Troca de resíduos com vista a submetê-los a uma das operações enumeradas de R 1 a R 11 </v>
      </c>
      <c r="P192" s="114" t="s">
        <v>1566</v>
      </c>
      <c r="Q192" s="114" t="s">
        <v>1578</v>
      </c>
      <c r="R192" s="115"/>
      <c r="S192">
        <v>2022</v>
      </c>
      <c r="T192" s="261" t="s">
        <v>3535</v>
      </c>
      <c r="U192" s="261" t="s">
        <v>3606</v>
      </c>
      <c r="V192" t="s">
        <v>42</v>
      </c>
    </row>
    <row r="193" spans="1:22" ht="15.75" thickBot="1" x14ac:dyDescent="0.3">
      <c r="A193" s="114" t="s">
        <v>3314</v>
      </c>
      <c r="B193" s="82" t="str">
        <f t="shared" si="14"/>
        <v>Barraqueiro Transportes, S.A.</v>
      </c>
      <c r="C193" s="82" t="str">
        <f t="shared" si="11"/>
        <v>Barraqueiro Alugueres</v>
      </c>
      <c r="D193" s="82" t="s">
        <v>34</v>
      </c>
      <c r="E193" s="218" t="s">
        <v>1886</v>
      </c>
      <c r="F193" s="115" t="s">
        <v>1568</v>
      </c>
      <c r="G193" s="138" t="s">
        <v>42</v>
      </c>
      <c r="H193" s="326">
        <v>0.40300000000000002</v>
      </c>
      <c r="I193" s="138" t="s">
        <v>1532</v>
      </c>
      <c r="J193" s="139">
        <f t="shared" si="12"/>
        <v>403</v>
      </c>
      <c r="K193" s="138" t="s">
        <v>483</v>
      </c>
      <c r="L193" s="238" t="str">
        <f t="shared" si="13"/>
        <v>Reciclagem</v>
      </c>
      <c r="M193" s="238" t="s">
        <v>1928</v>
      </c>
      <c r="N193" s="238" t="s">
        <v>1896</v>
      </c>
      <c r="O193" s="114" t="str">
        <f>IFERROR(INDEX(Tabela3[Tipos de Tratamento],MATCH('A3.9.1 copy'!K193,Tabela3[Código],0)),"")</f>
        <v xml:space="preserve">Troca de resíduos com vista a submetê-los a uma das operações enumeradas de R 1 a R 11 </v>
      </c>
      <c r="P193" s="114" t="s">
        <v>1538</v>
      </c>
      <c r="Q193" s="114" t="s">
        <v>1539</v>
      </c>
      <c r="R193" s="115"/>
      <c r="S193">
        <v>2022</v>
      </c>
      <c r="T193" s="261" t="s">
        <v>3535</v>
      </c>
      <c r="U193" s="261" t="s">
        <v>3606</v>
      </c>
      <c r="V193" t="s">
        <v>42</v>
      </c>
    </row>
    <row r="194" spans="1:22" ht="15.75" thickBot="1" x14ac:dyDescent="0.3">
      <c r="A194" s="114" t="s">
        <v>3314</v>
      </c>
      <c r="B194" s="82" t="str">
        <f t="shared" si="14"/>
        <v>Barraqueiro Transportes, S.A.</v>
      </c>
      <c r="C194" s="82" t="str">
        <f t="shared" si="11"/>
        <v>Barraqueiro Alugueres</v>
      </c>
      <c r="D194" s="82" t="s">
        <v>34</v>
      </c>
      <c r="E194" s="218" t="s">
        <v>1609</v>
      </c>
      <c r="F194" s="115" t="s">
        <v>1610</v>
      </c>
      <c r="G194" s="138" t="s">
        <v>42</v>
      </c>
      <c r="H194" s="326">
        <v>13.56</v>
      </c>
      <c r="I194" s="138" t="s">
        <v>1532</v>
      </c>
      <c r="J194" s="139">
        <f t="shared" si="12"/>
        <v>13560</v>
      </c>
      <c r="K194" s="138" t="s">
        <v>483</v>
      </c>
      <c r="L194" s="238" t="str">
        <f t="shared" si="13"/>
        <v>Reciclagem</v>
      </c>
      <c r="M194" s="238" t="s">
        <v>1927</v>
      </c>
      <c r="N194" s="238" t="s">
        <v>1911</v>
      </c>
      <c r="O194" s="114" t="str">
        <f>IFERROR(INDEX(Tabela3[Tipos de Tratamento],MATCH('A3.9.1 copy'!K194,Tabela3[Código],0)),"")</f>
        <v xml:space="preserve">Troca de resíduos com vista a submetê-los a uma das operações enumeradas de R 1 a R 11 </v>
      </c>
      <c r="P194" s="114" t="s">
        <v>1538</v>
      </c>
      <c r="Q194" s="115" t="s">
        <v>1608</v>
      </c>
      <c r="R194" s="115"/>
      <c r="S194">
        <v>2022</v>
      </c>
      <c r="T194" s="261" t="s">
        <v>3535</v>
      </c>
      <c r="U194" s="261" t="s">
        <v>3606</v>
      </c>
      <c r="V194" t="s">
        <v>42</v>
      </c>
    </row>
    <row r="195" spans="1:22" ht="15.75" thickBot="1" x14ac:dyDescent="0.3">
      <c r="A195" s="114" t="s">
        <v>3314</v>
      </c>
      <c r="B195" s="82" t="str">
        <f>LEFT(A195,IFERROR(FIND(" - ",A195)-1,LEN(A195)))</f>
        <v>Barraqueiro Transportes, S.A.</v>
      </c>
      <c r="C195" s="82" t="str">
        <f t="shared" ref="C195:C258" si="15">IF(A195=B195,"X",RIGHT(A195,LEN(A195)-LEN(B195)-3))</f>
        <v>Barraqueiro Alugueres</v>
      </c>
      <c r="D195" s="82" t="s">
        <v>34</v>
      </c>
      <c r="E195" s="218" t="s">
        <v>1609</v>
      </c>
      <c r="F195" s="115" t="s">
        <v>1610</v>
      </c>
      <c r="G195" s="138" t="s">
        <v>42</v>
      </c>
      <c r="H195" s="326">
        <v>0.24</v>
      </c>
      <c r="I195" s="138" t="s">
        <v>1532</v>
      </c>
      <c r="J195" s="139">
        <f t="shared" ref="J195:J258" si="16">IF(LEFT(I195,3)="ton",1000*H195,H195)</f>
        <v>240</v>
      </c>
      <c r="K195" s="138" t="s">
        <v>509</v>
      </c>
      <c r="L195" s="238" t="str">
        <f t="shared" ref="L195:L258" si="17">IF(LEFT(K195,1)="R","Reciclagem",IF(OR(K195="D10",K195="D11"),"Iceneração","Aterro"))</f>
        <v>Aterro</v>
      </c>
      <c r="M195" s="238" t="s">
        <v>1927</v>
      </c>
      <c r="N195" s="238" t="s">
        <v>1911</v>
      </c>
      <c r="O195" s="114" t="str">
        <f>IFERROR(INDEX(Tabela3[Tipos de Tratamento],MATCH('A3.9.1 copy'!K195,Tabela3[Código],0)),"")</f>
        <v>Armazenagem enquanto se aguarda a execução de uma das operações enumeradas de D1 a D14</v>
      </c>
      <c r="P195" s="114" t="s">
        <v>1603</v>
      </c>
      <c r="Q195" s="114" t="s">
        <v>1603</v>
      </c>
      <c r="R195" s="115"/>
      <c r="S195">
        <v>2022</v>
      </c>
      <c r="T195" s="261" t="s">
        <v>3535</v>
      </c>
      <c r="U195" s="261" t="s">
        <v>3606</v>
      </c>
      <c r="V195" t="s">
        <v>42</v>
      </c>
    </row>
    <row r="196" spans="1:22" ht="15.75" thickBot="1" x14ac:dyDescent="0.3">
      <c r="A196" s="82" t="s">
        <v>1929</v>
      </c>
      <c r="B196" s="82" t="s">
        <v>1929</v>
      </c>
      <c r="C196" s="82" t="str">
        <f t="shared" si="15"/>
        <v>X</v>
      </c>
      <c r="D196" s="82" t="s">
        <v>42</v>
      </c>
      <c r="E196" s="142">
        <v>150111</v>
      </c>
      <c r="F196" s="393" t="s">
        <v>1549</v>
      </c>
      <c r="G196" s="395" t="s">
        <v>34</v>
      </c>
      <c r="H196" s="133">
        <v>0.02</v>
      </c>
      <c r="I196" s="138" t="s">
        <v>1532</v>
      </c>
      <c r="J196" s="139">
        <f t="shared" si="16"/>
        <v>20</v>
      </c>
      <c r="K196" s="139" t="s">
        <v>484</v>
      </c>
      <c r="L196" s="238" t="str">
        <f t="shared" si="17"/>
        <v>Reciclagem</v>
      </c>
      <c r="M196" s="238" t="s">
        <v>1925</v>
      </c>
      <c r="N196" s="238" t="s">
        <v>1922</v>
      </c>
      <c r="O196" s="114" t="str">
        <f>IFERROR(INDEX(Tabela3[Tipos de Tratamento],MATCH('A3.9.1 copy'!K196,Tabela3[Código],0)),"")</f>
        <v>Acumulação de resíduos destinados a uma das operações enumeradas de R1 a R12</v>
      </c>
      <c r="P196" s="91" t="s">
        <v>3192</v>
      </c>
      <c r="Q196" s="91" t="s">
        <v>3192</v>
      </c>
      <c r="R196" s="93"/>
      <c r="S196">
        <v>2022</v>
      </c>
      <c r="T196" s="261" t="s">
        <v>3535</v>
      </c>
      <c r="U196" s="261" t="s">
        <v>3606</v>
      </c>
      <c r="V196" t="s">
        <v>42</v>
      </c>
    </row>
    <row r="197" spans="1:22" ht="15.75" thickBot="1" x14ac:dyDescent="0.3">
      <c r="A197" s="82" t="s">
        <v>1929</v>
      </c>
      <c r="B197" s="82" t="s">
        <v>1929</v>
      </c>
      <c r="C197" s="82" t="str">
        <f t="shared" si="15"/>
        <v>X</v>
      </c>
      <c r="D197" s="82" t="s">
        <v>42</v>
      </c>
      <c r="E197" s="142">
        <v>160216</v>
      </c>
      <c r="F197" s="393" t="s">
        <v>3190</v>
      </c>
      <c r="G197" s="395" t="s">
        <v>42</v>
      </c>
      <c r="H197" s="133">
        <v>0.02</v>
      </c>
      <c r="I197" s="138" t="s">
        <v>1532</v>
      </c>
      <c r="J197" s="139">
        <f t="shared" si="16"/>
        <v>20</v>
      </c>
      <c r="K197" s="139" t="s">
        <v>483</v>
      </c>
      <c r="L197" s="238" t="str">
        <f t="shared" si="17"/>
        <v>Reciclagem</v>
      </c>
      <c r="M197" s="238" t="s">
        <v>1920</v>
      </c>
      <c r="N197" s="238" t="s">
        <v>1911</v>
      </c>
      <c r="O197" s="114" t="str">
        <f>IFERROR(INDEX(Tabela3[Tipos de Tratamento],MATCH('A3.9.1 copy'!K197,Tabela3[Código],0)),"")</f>
        <v xml:space="preserve">Troca de resíduos com vista a submetê-los a uma das operações enumeradas de R 1 a R 11 </v>
      </c>
      <c r="P197" s="91" t="s">
        <v>3192</v>
      </c>
      <c r="Q197" s="91" t="s">
        <v>3192</v>
      </c>
      <c r="R197" s="93"/>
      <c r="S197">
        <v>2022</v>
      </c>
      <c r="T197" s="261" t="s">
        <v>3535</v>
      </c>
      <c r="U197" s="261" t="s">
        <v>3606</v>
      </c>
      <c r="V197" t="s">
        <v>42</v>
      </c>
    </row>
    <row r="198" spans="1:22" ht="15.75" thickBot="1" x14ac:dyDescent="0.3">
      <c r="A198" s="82" t="s">
        <v>1929</v>
      </c>
      <c r="B198" s="82" t="s">
        <v>1929</v>
      </c>
      <c r="C198" s="82" t="str">
        <f t="shared" si="15"/>
        <v>X</v>
      </c>
      <c r="D198" s="82" t="s">
        <v>42</v>
      </c>
      <c r="E198" s="142">
        <v>200121</v>
      </c>
      <c r="F198" s="393" t="s">
        <v>1564</v>
      </c>
      <c r="G198" s="395" t="s">
        <v>34</v>
      </c>
      <c r="H198" s="133">
        <v>0.06</v>
      </c>
      <c r="I198" s="138" t="s">
        <v>1532</v>
      </c>
      <c r="J198" s="139">
        <f t="shared" si="16"/>
        <v>60</v>
      </c>
      <c r="K198" s="139" t="s">
        <v>484</v>
      </c>
      <c r="L198" s="238" t="str">
        <f t="shared" si="17"/>
        <v>Reciclagem</v>
      </c>
      <c r="M198" s="238" t="s">
        <v>1920</v>
      </c>
      <c r="N198" s="238" t="s">
        <v>1911</v>
      </c>
      <c r="O198" s="114" t="str">
        <f>IFERROR(INDEX(Tabela3[Tipos de Tratamento],MATCH('A3.9.1 copy'!K198,Tabela3[Código],0)),"")</f>
        <v>Acumulação de resíduos destinados a uma das operações enumeradas de R1 a R12</v>
      </c>
      <c r="P198" s="91" t="s">
        <v>3192</v>
      </c>
      <c r="Q198" s="91" t="s">
        <v>3192</v>
      </c>
      <c r="S198">
        <v>2022</v>
      </c>
      <c r="T198" s="261" t="s">
        <v>3535</v>
      </c>
      <c r="U198" s="261" t="s">
        <v>3606</v>
      </c>
      <c r="V198" t="s">
        <v>42</v>
      </c>
    </row>
    <row r="199" spans="1:22" ht="15.75" thickBot="1" x14ac:dyDescent="0.3">
      <c r="A199" s="82" t="s">
        <v>1929</v>
      </c>
      <c r="B199" s="82" t="s">
        <v>1929</v>
      </c>
      <c r="C199" s="82" t="str">
        <f t="shared" si="15"/>
        <v>X</v>
      </c>
      <c r="D199" s="82" t="s">
        <v>42</v>
      </c>
      <c r="E199" s="142">
        <v>150103</v>
      </c>
      <c r="F199" s="393" t="s">
        <v>1605</v>
      </c>
      <c r="G199" s="395" t="s">
        <v>42</v>
      </c>
      <c r="H199" s="133">
        <v>0.33999999999999997</v>
      </c>
      <c r="I199" s="138" t="s">
        <v>1532</v>
      </c>
      <c r="J199" s="139">
        <f t="shared" si="16"/>
        <v>339.99999999999994</v>
      </c>
      <c r="K199" s="139" t="s">
        <v>484</v>
      </c>
      <c r="L199" s="238" t="str">
        <f t="shared" si="17"/>
        <v>Reciclagem</v>
      </c>
      <c r="M199" s="238" t="s">
        <v>1924</v>
      </c>
      <c r="N199" s="238" t="s">
        <v>1922</v>
      </c>
      <c r="O199" s="114" t="str">
        <f>IFERROR(INDEX(Tabela3[Tipos de Tratamento],MATCH('A3.9.1 copy'!K199,Tabela3[Código],0)),"")</f>
        <v>Acumulação de resíduos destinados a uma das operações enumeradas de R1 a R12</v>
      </c>
      <c r="P199" s="91" t="s">
        <v>3192</v>
      </c>
      <c r="Q199" s="91" t="s">
        <v>3192</v>
      </c>
      <c r="S199">
        <v>2022</v>
      </c>
      <c r="T199" s="261" t="s">
        <v>3535</v>
      </c>
      <c r="U199" s="261" t="s">
        <v>3606</v>
      </c>
      <c r="V199" t="s">
        <v>42</v>
      </c>
    </row>
    <row r="200" spans="1:22" ht="15.75" thickBot="1" x14ac:dyDescent="0.3">
      <c r="A200" s="82" t="s">
        <v>1929</v>
      </c>
      <c r="B200" s="82" t="s">
        <v>1929</v>
      </c>
      <c r="C200" s="82" t="str">
        <f t="shared" si="15"/>
        <v>X</v>
      </c>
      <c r="D200" s="82" t="s">
        <v>42</v>
      </c>
      <c r="E200" s="142">
        <v>160119</v>
      </c>
      <c r="F200" s="393" t="s">
        <v>1560</v>
      </c>
      <c r="G200" s="395" t="s">
        <v>42</v>
      </c>
      <c r="H200" s="133">
        <v>0.43</v>
      </c>
      <c r="I200" s="138" t="s">
        <v>1532</v>
      </c>
      <c r="J200" s="139">
        <f t="shared" si="16"/>
        <v>430</v>
      </c>
      <c r="K200" s="139" t="s">
        <v>484</v>
      </c>
      <c r="L200" s="238" t="str">
        <f t="shared" si="17"/>
        <v>Reciclagem</v>
      </c>
      <c r="M200" s="238" t="s">
        <v>1560</v>
      </c>
      <c r="N200" s="238" t="s">
        <v>1922</v>
      </c>
      <c r="O200" s="114" t="str">
        <f>IFERROR(INDEX(Tabela3[Tipos de Tratamento],MATCH('A3.9.1 copy'!K200,Tabela3[Código],0)),"")</f>
        <v>Acumulação de resíduos destinados a uma das operações enumeradas de R1 a R12</v>
      </c>
      <c r="P200" s="91" t="s">
        <v>3192</v>
      </c>
      <c r="Q200" s="91" t="s">
        <v>3192</v>
      </c>
      <c r="S200">
        <v>2022</v>
      </c>
      <c r="T200" s="261" t="s">
        <v>3535</v>
      </c>
      <c r="U200" s="261" t="s">
        <v>3606</v>
      </c>
      <c r="V200" t="s">
        <v>42</v>
      </c>
    </row>
    <row r="201" spans="1:22" ht="15.75" thickBot="1" x14ac:dyDescent="0.3">
      <c r="A201" s="82" t="s">
        <v>1929</v>
      </c>
      <c r="B201" s="82" t="s">
        <v>1929</v>
      </c>
      <c r="C201" s="82" t="str">
        <f t="shared" si="15"/>
        <v>X</v>
      </c>
      <c r="D201" s="82" t="s">
        <v>42</v>
      </c>
      <c r="E201" s="142">
        <v>160107</v>
      </c>
      <c r="F201" s="393" t="s">
        <v>1551</v>
      </c>
      <c r="G201" s="395" t="s">
        <v>34</v>
      </c>
      <c r="H201" s="133">
        <v>0.86</v>
      </c>
      <c r="I201" s="138" t="s">
        <v>1532</v>
      </c>
      <c r="J201" s="139">
        <f t="shared" si="16"/>
        <v>860</v>
      </c>
      <c r="K201" s="139" t="s">
        <v>484</v>
      </c>
      <c r="L201" s="238" t="str">
        <f t="shared" si="17"/>
        <v>Reciclagem</v>
      </c>
      <c r="M201" s="238" t="s">
        <v>1920</v>
      </c>
      <c r="N201" s="238" t="s">
        <v>1911</v>
      </c>
      <c r="O201" s="114" t="str">
        <f>IFERROR(INDEX(Tabela3[Tipos de Tratamento],MATCH('A3.9.1 copy'!K201,Tabela3[Código],0)),"")</f>
        <v>Acumulação de resíduos destinados a uma das operações enumeradas de R1 a R12</v>
      </c>
      <c r="P201" s="91" t="s">
        <v>3192</v>
      </c>
      <c r="Q201" s="91" t="s">
        <v>3192</v>
      </c>
      <c r="S201">
        <v>2022</v>
      </c>
      <c r="T201" s="261" t="s">
        <v>3535</v>
      </c>
      <c r="U201" s="261" t="s">
        <v>3606</v>
      </c>
      <c r="V201" t="s">
        <v>42</v>
      </c>
    </row>
    <row r="202" spans="1:22" ht="15.75" thickBot="1" x14ac:dyDescent="0.3">
      <c r="A202" s="82" t="s">
        <v>1929</v>
      </c>
      <c r="B202" s="82" t="s">
        <v>1929</v>
      </c>
      <c r="C202" s="82" t="str">
        <f t="shared" si="15"/>
        <v>X</v>
      </c>
      <c r="D202" s="82" t="s">
        <v>42</v>
      </c>
      <c r="E202" s="142">
        <v>150110</v>
      </c>
      <c r="F202" s="317" t="s">
        <v>1542</v>
      </c>
      <c r="G202" s="395" t="s">
        <v>34</v>
      </c>
      <c r="H202" s="133">
        <v>1.1600000000000001</v>
      </c>
      <c r="I202" s="138" t="s">
        <v>1532</v>
      </c>
      <c r="J202" s="139">
        <f t="shared" si="16"/>
        <v>1160.0000000000002</v>
      </c>
      <c r="K202" s="139" t="s">
        <v>484</v>
      </c>
      <c r="L202" s="238" t="str">
        <f t="shared" si="17"/>
        <v>Reciclagem</v>
      </c>
      <c r="M202" s="238" t="s">
        <v>1920</v>
      </c>
      <c r="N202" s="238" t="s">
        <v>1911</v>
      </c>
      <c r="O202" s="114" t="str">
        <f>IFERROR(INDEX(Tabela3[Tipos de Tratamento],MATCH('A3.9.1 copy'!K202,Tabela3[Código],0)),"")</f>
        <v>Acumulação de resíduos destinados a uma das operações enumeradas de R1 a R12</v>
      </c>
      <c r="P202" s="91" t="s">
        <v>3192</v>
      </c>
      <c r="Q202" s="91" t="s">
        <v>3192</v>
      </c>
      <c r="S202">
        <v>2022</v>
      </c>
      <c r="T202" s="261" t="s">
        <v>3535</v>
      </c>
      <c r="U202" s="261" t="s">
        <v>3606</v>
      </c>
      <c r="V202" t="s">
        <v>42</v>
      </c>
    </row>
    <row r="203" spans="1:22" ht="15.75" thickBot="1" x14ac:dyDescent="0.3">
      <c r="A203" s="82" t="s">
        <v>1929</v>
      </c>
      <c r="B203" s="82" t="s">
        <v>1929</v>
      </c>
      <c r="C203" s="82" t="str">
        <f t="shared" si="15"/>
        <v>X</v>
      </c>
      <c r="D203" s="82" t="s">
        <v>42</v>
      </c>
      <c r="E203" s="142">
        <v>160120</v>
      </c>
      <c r="F203" s="317" t="s">
        <v>1561</v>
      </c>
      <c r="G203" s="395" t="s">
        <v>42</v>
      </c>
      <c r="H203" s="133">
        <v>1.1600000000000001</v>
      </c>
      <c r="I203" s="138" t="s">
        <v>1532</v>
      </c>
      <c r="J203" s="139">
        <f t="shared" si="16"/>
        <v>1160.0000000000002</v>
      </c>
      <c r="K203" s="139" t="s">
        <v>484</v>
      </c>
      <c r="L203" s="238" t="str">
        <f t="shared" si="17"/>
        <v>Reciclagem</v>
      </c>
      <c r="M203" s="238" t="s">
        <v>1561</v>
      </c>
      <c r="N203" s="238" t="s">
        <v>1922</v>
      </c>
      <c r="O203" s="114" t="str">
        <f>IFERROR(INDEX(Tabela3[Tipos de Tratamento],MATCH('A3.9.1 copy'!K203,Tabela3[Código],0)),"")</f>
        <v>Acumulação de resíduos destinados a uma das operações enumeradas de R1 a R12</v>
      </c>
      <c r="P203" s="91" t="s">
        <v>3192</v>
      </c>
      <c r="Q203" s="91" t="s">
        <v>3192</v>
      </c>
      <c r="S203">
        <v>2022</v>
      </c>
      <c r="T203" s="261" t="s">
        <v>3535</v>
      </c>
      <c r="U203" s="261" t="s">
        <v>3606</v>
      </c>
      <c r="V203" t="s">
        <v>42</v>
      </c>
    </row>
    <row r="204" spans="1:22" ht="15.75" thickBot="1" x14ac:dyDescent="0.3">
      <c r="A204" s="82" t="s">
        <v>1929</v>
      </c>
      <c r="B204" s="82" t="s">
        <v>1929</v>
      </c>
      <c r="C204" s="82" t="str">
        <f t="shared" si="15"/>
        <v>X</v>
      </c>
      <c r="D204" s="82" t="s">
        <v>42</v>
      </c>
      <c r="E204" s="142">
        <v>150203</v>
      </c>
      <c r="F204" s="393" t="s">
        <v>1550</v>
      </c>
      <c r="G204" s="395" t="s">
        <v>34</v>
      </c>
      <c r="H204" s="133">
        <v>1.3599999999999999</v>
      </c>
      <c r="I204" s="138" t="s">
        <v>1532</v>
      </c>
      <c r="J204" s="139">
        <f t="shared" si="16"/>
        <v>1359.9999999999998</v>
      </c>
      <c r="K204" s="139" t="s">
        <v>509</v>
      </c>
      <c r="L204" s="238" t="str">
        <f t="shared" si="17"/>
        <v>Aterro</v>
      </c>
      <c r="M204" s="238" t="s">
        <v>1920</v>
      </c>
      <c r="N204" s="238" t="s">
        <v>1911</v>
      </c>
      <c r="O204" s="114" t="str">
        <f>IFERROR(INDEX(Tabela3[Tipos de Tratamento],MATCH('A3.9.1 copy'!K204,Tabela3[Código],0)),"")</f>
        <v>Armazenagem enquanto se aguarda a execução de uma das operações enumeradas de D1 a D14</v>
      </c>
      <c r="P204" s="91" t="s">
        <v>3192</v>
      </c>
      <c r="Q204" s="91" t="s">
        <v>3192</v>
      </c>
      <c r="S204">
        <v>2022</v>
      </c>
      <c r="T204" s="261" t="s">
        <v>3535</v>
      </c>
      <c r="U204" s="261" t="s">
        <v>3606</v>
      </c>
      <c r="V204" t="s">
        <v>42</v>
      </c>
    </row>
    <row r="205" spans="1:22" ht="15.75" thickBot="1" x14ac:dyDescent="0.3">
      <c r="A205" s="82" t="s">
        <v>1929</v>
      </c>
      <c r="B205" s="82" t="s">
        <v>1929</v>
      </c>
      <c r="C205" s="82" t="str">
        <f t="shared" si="15"/>
        <v>X</v>
      </c>
      <c r="D205" s="82" t="s">
        <v>42</v>
      </c>
      <c r="E205" s="142">
        <v>200136</v>
      </c>
      <c r="F205" s="317" t="s">
        <v>1568</v>
      </c>
      <c r="G205" s="395" t="s">
        <v>42</v>
      </c>
      <c r="H205" s="133">
        <v>1.48</v>
      </c>
      <c r="I205" s="138" t="s">
        <v>1532</v>
      </c>
      <c r="J205" s="139">
        <f t="shared" si="16"/>
        <v>1480</v>
      </c>
      <c r="K205" s="139" t="s">
        <v>483</v>
      </c>
      <c r="L205" s="238" t="str">
        <f t="shared" si="17"/>
        <v>Reciclagem</v>
      </c>
      <c r="M205" s="238" t="s">
        <v>1928</v>
      </c>
      <c r="N205" s="238" t="s">
        <v>1896</v>
      </c>
      <c r="O205" s="114" t="str">
        <f>IFERROR(INDEX(Tabela3[Tipos de Tratamento],MATCH('A3.9.1 copy'!K205,Tabela3[Código],0)),"")</f>
        <v xml:space="preserve">Troca de resíduos com vista a submetê-los a uma das operações enumeradas de R 1 a R 11 </v>
      </c>
      <c r="P205" s="91" t="s">
        <v>3192</v>
      </c>
      <c r="Q205" s="91" t="s">
        <v>3192</v>
      </c>
      <c r="S205">
        <v>2022</v>
      </c>
      <c r="T205" s="261" t="s">
        <v>3535</v>
      </c>
      <c r="U205" s="261" t="s">
        <v>3606</v>
      </c>
      <c r="V205" t="s">
        <v>42</v>
      </c>
    </row>
    <row r="206" spans="1:22" ht="15.75" thickBot="1" x14ac:dyDescent="0.3">
      <c r="A206" s="82" t="s">
        <v>1929</v>
      </c>
      <c r="B206" s="82" t="s">
        <v>1929</v>
      </c>
      <c r="C206" s="82" t="str">
        <f t="shared" si="15"/>
        <v>X</v>
      </c>
      <c r="D206" s="82" t="s">
        <v>42</v>
      </c>
      <c r="E206" s="142">
        <v>160122</v>
      </c>
      <c r="F206" s="83" t="s">
        <v>3250</v>
      </c>
      <c r="G206" s="395" t="s">
        <v>42</v>
      </c>
      <c r="H206" s="133">
        <v>1.7399999999999998</v>
      </c>
      <c r="I206" s="138" t="s">
        <v>1532</v>
      </c>
      <c r="J206" s="139">
        <f t="shared" si="16"/>
        <v>1739.9999999999998</v>
      </c>
      <c r="K206" s="139" t="s">
        <v>484</v>
      </c>
      <c r="L206" s="238" t="str">
        <f t="shared" si="17"/>
        <v>Reciclagem</v>
      </c>
      <c r="M206" s="238" t="s">
        <v>1557</v>
      </c>
      <c r="N206" s="238" t="s">
        <v>1922</v>
      </c>
      <c r="O206" s="114" t="str">
        <f>IFERROR(INDEX(Tabela3[Tipos de Tratamento],MATCH('A3.9.1 copy'!K206,Tabela3[Código],0)),"")</f>
        <v>Acumulação de resíduos destinados a uma das operações enumeradas de R1 a R12</v>
      </c>
      <c r="P206" s="91" t="s">
        <v>3192</v>
      </c>
      <c r="Q206" s="91" t="s">
        <v>3192</v>
      </c>
      <c r="S206">
        <v>2022</v>
      </c>
      <c r="T206" s="261" t="s">
        <v>3535</v>
      </c>
      <c r="U206" s="261" t="s">
        <v>3606</v>
      </c>
      <c r="V206" t="s">
        <v>42</v>
      </c>
    </row>
    <row r="207" spans="1:22" ht="15.75" thickBot="1" x14ac:dyDescent="0.3">
      <c r="A207" s="82" t="s">
        <v>1929</v>
      </c>
      <c r="B207" s="82" t="s">
        <v>1929</v>
      </c>
      <c r="C207" s="82" t="str">
        <f t="shared" si="15"/>
        <v>X</v>
      </c>
      <c r="D207" s="82" t="s">
        <v>42</v>
      </c>
      <c r="E207" s="142">
        <v>200307</v>
      </c>
      <c r="F207" s="393" t="s">
        <v>3191</v>
      </c>
      <c r="G207" s="395" t="s">
        <v>42</v>
      </c>
      <c r="H207" s="133">
        <v>2.3600000000000003</v>
      </c>
      <c r="I207" s="138" t="s">
        <v>1532</v>
      </c>
      <c r="J207" s="139">
        <f t="shared" si="16"/>
        <v>2360.0000000000005</v>
      </c>
      <c r="K207" s="139" t="s">
        <v>483</v>
      </c>
      <c r="L207" s="238" t="str">
        <f t="shared" si="17"/>
        <v>Reciclagem</v>
      </c>
      <c r="M207" s="238" t="s">
        <v>1920</v>
      </c>
      <c r="N207" s="238" t="s">
        <v>1911</v>
      </c>
      <c r="O207" s="114" t="str">
        <f>IFERROR(INDEX(Tabela3[Tipos de Tratamento],MATCH('A3.9.1 copy'!K207,Tabela3[Código],0)),"")</f>
        <v xml:space="preserve">Troca de resíduos com vista a submetê-los a uma das operações enumeradas de R 1 a R 11 </v>
      </c>
      <c r="P207" s="91" t="s">
        <v>3192</v>
      </c>
      <c r="Q207" s="91" t="s">
        <v>3192</v>
      </c>
      <c r="R207" s="93"/>
      <c r="S207">
        <v>2022</v>
      </c>
      <c r="T207" s="261" t="s">
        <v>3535</v>
      </c>
      <c r="U207" s="261" t="s">
        <v>3606</v>
      </c>
      <c r="V207" t="s">
        <v>42</v>
      </c>
    </row>
    <row r="208" spans="1:22" ht="15.75" thickBot="1" x14ac:dyDescent="0.3">
      <c r="A208" s="82" t="s">
        <v>1929</v>
      </c>
      <c r="B208" s="82" t="s">
        <v>1929</v>
      </c>
      <c r="C208" s="82" t="str">
        <f t="shared" si="15"/>
        <v>X</v>
      </c>
      <c r="D208" s="82" t="s">
        <v>42</v>
      </c>
      <c r="E208" s="142">
        <v>150101</v>
      </c>
      <c r="F208" s="393" t="s">
        <v>1537</v>
      </c>
      <c r="G208" s="395" t="s">
        <v>42</v>
      </c>
      <c r="H208" s="133">
        <v>3.1400010000000003</v>
      </c>
      <c r="I208" s="138" t="s">
        <v>1532</v>
      </c>
      <c r="J208" s="139">
        <f t="shared" si="16"/>
        <v>3140.0010000000002</v>
      </c>
      <c r="K208" s="139" t="s">
        <v>484</v>
      </c>
      <c r="L208" s="238" t="str">
        <f t="shared" si="17"/>
        <v>Reciclagem</v>
      </c>
      <c r="M208" s="238" t="s">
        <v>1923</v>
      </c>
      <c r="N208" s="238" t="s">
        <v>1922</v>
      </c>
      <c r="O208" s="114" t="str">
        <f>IFERROR(INDEX(Tabela3[Tipos de Tratamento],MATCH('A3.9.1 copy'!K208,Tabela3[Código],0)),"")</f>
        <v>Acumulação de resíduos destinados a uma das operações enumeradas de R1 a R12</v>
      </c>
      <c r="P208" s="91" t="s">
        <v>3192</v>
      </c>
      <c r="Q208" s="91" t="s">
        <v>3192</v>
      </c>
      <c r="R208" s="93"/>
      <c r="S208">
        <v>2022</v>
      </c>
      <c r="T208" s="261" t="s">
        <v>3535</v>
      </c>
      <c r="U208" s="261" t="s">
        <v>3606</v>
      </c>
      <c r="V208" t="s">
        <v>42</v>
      </c>
    </row>
    <row r="209" spans="1:22" ht="15.75" thickBot="1" x14ac:dyDescent="0.3">
      <c r="A209" s="82" t="s">
        <v>1929</v>
      </c>
      <c r="B209" s="82" t="s">
        <v>1929</v>
      </c>
      <c r="C209" s="82" t="str">
        <f t="shared" si="15"/>
        <v>X</v>
      </c>
      <c r="D209" s="82" t="s">
        <v>42</v>
      </c>
      <c r="E209" s="142">
        <v>160199</v>
      </c>
      <c r="F209" s="393" t="s">
        <v>1562</v>
      </c>
      <c r="G209" s="395" t="s">
        <v>42</v>
      </c>
      <c r="H209" s="133">
        <v>3.26</v>
      </c>
      <c r="I209" s="138" t="s">
        <v>1532</v>
      </c>
      <c r="J209" s="139">
        <f t="shared" si="16"/>
        <v>3260</v>
      </c>
      <c r="K209" s="139" t="s">
        <v>484</v>
      </c>
      <c r="L209" s="238" t="str">
        <f t="shared" si="17"/>
        <v>Reciclagem</v>
      </c>
      <c r="M209" s="238" t="s">
        <v>1920</v>
      </c>
      <c r="N209" s="238" t="s">
        <v>1911</v>
      </c>
      <c r="O209" s="114" t="str">
        <f>IFERROR(INDEX(Tabela3[Tipos de Tratamento],MATCH('A3.9.1 copy'!K209,Tabela3[Código],0)),"")</f>
        <v>Acumulação de resíduos destinados a uma das operações enumeradas de R1 a R12</v>
      </c>
      <c r="P209" s="91" t="s">
        <v>3192</v>
      </c>
      <c r="Q209" s="91" t="s">
        <v>3192</v>
      </c>
      <c r="R209" s="93"/>
      <c r="S209">
        <v>2022</v>
      </c>
      <c r="T209" s="261" t="s">
        <v>3535</v>
      </c>
      <c r="U209" s="261" t="s">
        <v>3606</v>
      </c>
      <c r="V209" t="s">
        <v>42</v>
      </c>
    </row>
    <row r="210" spans="1:22" ht="15.75" thickBot="1" x14ac:dyDescent="0.3">
      <c r="A210" s="82" t="s">
        <v>1929</v>
      </c>
      <c r="B210" s="82" t="s">
        <v>1929</v>
      </c>
      <c r="C210" s="82" t="str">
        <f t="shared" si="15"/>
        <v>X</v>
      </c>
      <c r="D210" s="82" t="s">
        <v>42</v>
      </c>
      <c r="E210" s="142">
        <v>160601</v>
      </c>
      <c r="F210" s="393" t="s">
        <v>1563</v>
      </c>
      <c r="G210" s="395" t="s">
        <v>34</v>
      </c>
      <c r="H210" s="133">
        <v>5.76</v>
      </c>
      <c r="I210" s="138" t="s">
        <v>1532</v>
      </c>
      <c r="J210" s="139">
        <f t="shared" si="16"/>
        <v>5760</v>
      </c>
      <c r="K210" s="139" t="s">
        <v>484</v>
      </c>
      <c r="L210" s="238" t="str">
        <f t="shared" si="17"/>
        <v>Reciclagem</v>
      </c>
      <c r="M210" s="238" t="s">
        <v>1653</v>
      </c>
      <c r="N210" s="238" t="s">
        <v>1896</v>
      </c>
      <c r="O210" s="114" t="str">
        <f>IFERROR(INDEX(Tabela3[Tipos de Tratamento],MATCH('A3.9.1 copy'!K210,Tabela3[Código],0)),"")</f>
        <v>Acumulação de resíduos destinados a uma das operações enumeradas de R1 a R12</v>
      </c>
      <c r="P210" s="91" t="s">
        <v>3192</v>
      </c>
      <c r="Q210" s="91" t="s">
        <v>3192</v>
      </c>
      <c r="R210" s="93"/>
      <c r="S210">
        <v>2022</v>
      </c>
      <c r="T210" s="261" t="s">
        <v>3535</v>
      </c>
      <c r="U210" s="261" t="s">
        <v>3606</v>
      </c>
      <c r="V210" t="s">
        <v>42</v>
      </c>
    </row>
    <row r="211" spans="1:22" ht="15.75" thickBot="1" x14ac:dyDescent="0.3">
      <c r="A211" s="82" t="s">
        <v>1929</v>
      </c>
      <c r="B211" s="82" t="s">
        <v>1929</v>
      </c>
      <c r="C211" s="82" t="str">
        <f t="shared" si="15"/>
        <v>X</v>
      </c>
      <c r="D211" s="82" t="s">
        <v>42</v>
      </c>
      <c r="E211" s="142">
        <v>150202</v>
      </c>
      <c r="F211" s="393" t="s">
        <v>1547</v>
      </c>
      <c r="G211" s="395" t="s">
        <v>34</v>
      </c>
      <c r="H211" s="133">
        <v>6.84</v>
      </c>
      <c r="I211" s="138" t="s">
        <v>1532</v>
      </c>
      <c r="J211" s="139">
        <f t="shared" si="16"/>
        <v>6840</v>
      </c>
      <c r="K211" s="139" t="s">
        <v>509</v>
      </c>
      <c r="L211" s="238" t="str">
        <f t="shared" si="17"/>
        <v>Aterro</v>
      </c>
      <c r="M211" s="238" t="s">
        <v>1920</v>
      </c>
      <c r="N211" s="238" t="s">
        <v>1911</v>
      </c>
      <c r="O211" s="114" t="str">
        <f>IFERROR(INDEX(Tabela3[Tipos de Tratamento],MATCH('A3.9.1 copy'!K211,Tabela3[Código],0)),"")</f>
        <v>Armazenagem enquanto se aguarda a execução de uma das operações enumeradas de D1 a D14</v>
      </c>
      <c r="P211" s="91" t="s">
        <v>3192</v>
      </c>
      <c r="Q211" s="91" t="s">
        <v>3192</v>
      </c>
      <c r="R211" s="93"/>
      <c r="S211">
        <v>2022</v>
      </c>
      <c r="T211" s="261" t="s">
        <v>3535</v>
      </c>
      <c r="U211" s="261" t="s">
        <v>3606</v>
      </c>
      <c r="V211" t="s">
        <v>42</v>
      </c>
    </row>
    <row r="212" spans="1:22" ht="15.75" thickBot="1" x14ac:dyDescent="0.3">
      <c r="A212" s="82" t="s">
        <v>1929</v>
      </c>
      <c r="B212" s="82" t="s">
        <v>1929</v>
      </c>
      <c r="C212" s="82" t="str">
        <f t="shared" si="15"/>
        <v>X</v>
      </c>
      <c r="D212" s="82" t="s">
        <v>42</v>
      </c>
      <c r="E212" s="142">
        <v>160103</v>
      </c>
      <c r="F212" s="393" t="s">
        <v>1582</v>
      </c>
      <c r="G212" s="395" t="s">
        <v>42</v>
      </c>
      <c r="H212" s="133">
        <v>9.5400000000000009</v>
      </c>
      <c r="I212" s="138" t="s">
        <v>1532</v>
      </c>
      <c r="J212" s="139">
        <f t="shared" si="16"/>
        <v>9540.0000000000018</v>
      </c>
      <c r="K212" s="139" t="s">
        <v>484</v>
      </c>
      <c r="L212" s="238" t="str">
        <f t="shared" si="17"/>
        <v>Reciclagem</v>
      </c>
      <c r="M212" s="238" t="s">
        <v>1681</v>
      </c>
      <c r="N212" s="238" t="s">
        <v>1922</v>
      </c>
      <c r="O212" s="114" t="str">
        <f>IFERROR(INDEX(Tabela3[Tipos de Tratamento],MATCH('A3.9.1 copy'!K212,Tabela3[Código],0)),"")</f>
        <v>Acumulação de resíduos destinados a uma das operações enumeradas de R1 a R12</v>
      </c>
      <c r="P212" s="91" t="s">
        <v>3193</v>
      </c>
      <c r="Q212" s="91" t="s">
        <v>3193</v>
      </c>
      <c r="R212" s="93"/>
      <c r="S212">
        <v>2022</v>
      </c>
      <c r="T212" s="261" t="s">
        <v>3535</v>
      </c>
      <c r="U212" s="261" t="s">
        <v>3606</v>
      </c>
      <c r="V212" t="s">
        <v>42</v>
      </c>
    </row>
    <row r="213" spans="1:22" ht="15.75" thickBot="1" x14ac:dyDescent="0.3">
      <c r="A213" s="82" t="s">
        <v>1929</v>
      </c>
      <c r="B213" s="82" t="s">
        <v>1929</v>
      </c>
      <c r="C213" s="82" t="str">
        <f t="shared" si="15"/>
        <v>X</v>
      </c>
      <c r="D213" s="82" t="s">
        <v>42</v>
      </c>
      <c r="E213" s="142">
        <v>130208</v>
      </c>
      <c r="F213" s="393" t="s">
        <v>1531</v>
      </c>
      <c r="G213" s="395" t="s">
        <v>34</v>
      </c>
      <c r="H213" s="133">
        <v>13.734999999999999</v>
      </c>
      <c r="I213" s="138" t="s">
        <v>1532</v>
      </c>
      <c r="J213" s="139">
        <f t="shared" si="16"/>
        <v>13735</v>
      </c>
      <c r="K213" s="139" t="s">
        <v>480</v>
      </c>
      <c r="L213" s="238" t="str">
        <f t="shared" si="17"/>
        <v>Reciclagem</v>
      </c>
      <c r="M213" s="238" t="s">
        <v>1921</v>
      </c>
      <c r="N213" s="238" t="s">
        <v>1896</v>
      </c>
      <c r="O213" s="114" t="str">
        <f>IFERROR(INDEX(Tabela3[Tipos de Tratamento],MATCH('A3.9.1 copy'!K213,Tabela3[Código],0)),"")</f>
        <v xml:space="preserve">Regeneração de óleos e outras reutilizações de óleos </v>
      </c>
      <c r="P213" s="91" t="s">
        <v>3194</v>
      </c>
      <c r="Q213" s="91" t="s">
        <v>3195</v>
      </c>
      <c r="R213" s="93"/>
      <c r="S213">
        <v>2022</v>
      </c>
      <c r="T213" s="261" t="s">
        <v>3535</v>
      </c>
      <c r="U213" s="261" t="s">
        <v>3606</v>
      </c>
      <c r="V213" t="s">
        <v>42</v>
      </c>
    </row>
    <row r="214" spans="1:22" ht="15.75" thickBot="1" x14ac:dyDescent="0.3">
      <c r="A214" s="82" t="s">
        <v>1929</v>
      </c>
      <c r="B214" s="82" t="s">
        <v>1929</v>
      </c>
      <c r="C214" s="82" t="str">
        <f t="shared" si="15"/>
        <v>X</v>
      </c>
      <c r="D214" s="82" t="s">
        <v>42</v>
      </c>
      <c r="E214" s="142">
        <v>160117</v>
      </c>
      <c r="F214" s="393" t="s">
        <v>1557</v>
      </c>
      <c r="G214" s="395" t="s">
        <v>42</v>
      </c>
      <c r="H214" s="133">
        <v>18.38</v>
      </c>
      <c r="I214" s="138" t="s">
        <v>1532</v>
      </c>
      <c r="J214" s="139">
        <f t="shared" si="16"/>
        <v>18380</v>
      </c>
      <c r="K214" s="139" t="s">
        <v>483</v>
      </c>
      <c r="L214" s="238" t="str">
        <f t="shared" si="17"/>
        <v>Reciclagem</v>
      </c>
      <c r="M214" s="238" t="s">
        <v>1557</v>
      </c>
      <c r="N214" s="238" t="s">
        <v>1922</v>
      </c>
      <c r="O214" s="114" t="str">
        <f>IFERROR(INDEX(Tabela3[Tipos de Tratamento],MATCH('A3.9.1 copy'!K214,Tabela3[Código],0)),"")</f>
        <v xml:space="preserve">Troca de resíduos com vista a submetê-los a uma das operações enumeradas de R 1 a R 11 </v>
      </c>
      <c r="P214" s="91" t="s">
        <v>3192</v>
      </c>
      <c r="Q214" s="91" t="s">
        <v>3192</v>
      </c>
      <c r="R214" s="93"/>
      <c r="S214">
        <v>2022</v>
      </c>
      <c r="T214" s="261" t="s">
        <v>3535</v>
      </c>
      <c r="U214" s="261" t="s">
        <v>3606</v>
      </c>
      <c r="V214" t="s">
        <v>42</v>
      </c>
    </row>
    <row r="215" spans="1:22" ht="15.75" thickBot="1" x14ac:dyDescent="0.3">
      <c r="A215" s="82" t="s">
        <v>1929</v>
      </c>
      <c r="B215" s="82" t="s">
        <v>1929</v>
      </c>
      <c r="C215" s="82" t="str">
        <f t="shared" si="15"/>
        <v>X</v>
      </c>
      <c r="D215" s="82" t="s">
        <v>42</v>
      </c>
      <c r="E215" s="142">
        <v>130502</v>
      </c>
      <c r="F215" s="393" t="s">
        <v>1569</v>
      </c>
      <c r="G215" s="395" t="s">
        <v>34</v>
      </c>
      <c r="H215" s="133">
        <v>19.3</v>
      </c>
      <c r="I215" s="138" t="s">
        <v>1532</v>
      </c>
      <c r="J215" s="139">
        <f t="shared" si="16"/>
        <v>19300</v>
      </c>
      <c r="K215" s="139" t="s">
        <v>503</v>
      </c>
      <c r="L215" s="238" t="str">
        <f t="shared" si="17"/>
        <v>Aterro</v>
      </c>
      <c r="M215" s="238" t="s">
        <v>1920</v>
      </c>
      <c r="N215" s="238" t="s">
        <v>1911</v>
      </c>
      <c r="O215" s="114" t="str">
        <f>IFERROR(INDEX(Tabela3[Tipos de Tratamento],MATCH('A3.9.1 copy'!K215,Tabela3[Código],0)),"")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215" s="91" t="s">
        <v>3196</v>
      </c>
      <c r="Q215" s="91" t="s">
        <v>3196</v>
      </c>
      <c r="R215" s="93"/>
      <c r="S215">
        <v>2022</v>
      </c>
      <c r="T215" s="261" t="s">
        <v>3535</v>
      </c>
      <c r="U215" s="261" t="s">
        <v>3606</v>
      </c>
      <c r="V215" t="s">
        <v>42</v>
      </c>
    </row>
    <row r="216" spans="1:22" ht="15.75" thickBot="1" x14ac:dyDescent="0.3">
      <c r="A216" s="82" t="s">
        <v>1929</v>
      </c>
      <c r="B216" s="82" t="s">
        <v>1929</v>
      </c>
      <c r="C216" s="82" t="str">
        <f t="shared" si="15"/>
        <v>X</v>
      </c>
      <c r="D216" s="82" t="s">
        <v>42</v>
      </c>
      <c r="E216" s="142">
        <v>130507</v>
      </c>
      <c r="F216" s="393" t="s">
        <v>1572</v>
      </c>
      <c r="G216" s="395" t="s">
        <v>34</v>
      </c>
      <c r="H216" s="330">
        <v>105.3</v>
      </c>
      <c r="I216" s="138" t="s">
        <v>1532</v>
      </c>
      <c r="J216" s="139">
        <f t="shared" si="16"/>
        <v>105300</v>
      </c>
      <c r="K216" s="142" t="s">
        <v>503</v>
      </c>
      <c r="L216" s="238" t="str">
        <f t="shared" si="17"/>
        <v>Aterro</v>
      </c>
      <c r="M216" s="238" t="s">
        <v>1920</v>
      </c>
      <c r="N216" s="238" t="s">
        <v>1911</v>
      </c>
      <c r="O216" s="114" t="str">
        <f>IFERROR(INDEX(Tabela3[Tipos de Tratamento],MATCH('A3.9.1 copy'!K216,Tabela3[Código],0)),"")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216" s="318" t="s">
        <v>3196</v>
      </c>
      <c r="Q216" s="318" t="s">
        <v>3196</v>
      </c>
      <c r="R216" s="93"/>
      <c r="S216">
        <v>2022</v>
      </c>
      <c r="T216" s="261" t="s">
        <v>3535</v>
      </c>
      <c r="U216" s="261" t="s">
        <v>3606</v>
      </c>
      <c r="V216" t="s">
        <v>42</v>
      </c>
    </row>
    <row r="217" spans="1:22" ht="15.75" thickBot="1" x14ac:dyDescent="0.3">
      <c r="A217" s="82" t="s">
        <v>1929</v>
      </c>
      <c r="B217" s="82" t="s">
        <v>1929</v>
      </c>
      <c r="C217" s="82" t="str">
        <f t="shared" si="15"/>
        <v>X</v>
      </c>
      <c r="D217" s="82" t="s">
        <v>42</v>
      </c>
      <c r="E217" s="142">
        <v>160104</v>
      </c>
      <c r="F217" s="393" t="s">
        <v>1584</v>
      </c>
      <c r="G217" s="395" t="s">
        <v>34</v>
      </c>
      <c r="H217" s="330">
        <v>271.26</v>
      </c>
      <c r="I217" s="138" t="s">
        <v>1532</v>
      </c>
      <c r="J217" s="139">
        <f t="shared" si="16"/>
        <v>271260</v>
      </c>
      <c r="K217" s="142" t="s">
        <v>483</v>
      </c>
      <c r="L217" s="238" t="str">
        <f t="shared" si="17"/>
        <v>Reciclagem</v>
      </c>
      <c r="M217" s="238" t="s">
        <v>1926</v>
      </c>
      <c r="N217" s="238" t="s">
        <v>1922</v>
      </c>
      <c r="O217" s="114" t="str">
        <f>IFERROR(INDEX(Tabela3[Tipos de Tratamento],MATCH('A3.9.1 copy'!K217,Tabela3[Código],0)),"")</f>
        <v xml:space="preserve">Troca de resíduos com vista a submetê-los a uma das operações enumeradas de R 1 a R 11 </v>
      </c>
      <c r="P217" s="318" t="s">
        <v>3192</v>
      </c>
      <c r="Q217" s="318" t="s">
        <v>3197</v>
      </c>
      <c r="R217" s="93"/>
      <c r="S217">
        <v>2022</v>
      </c>
      <c r="T217" s="261" t="s">
        <v>3535</v>
      </c>
      <c r="U217" s="261" t="s">
        <v>3606</v>
      </c>
      <c r="V217" t="s">
        <v>42</v>
      </c>
    </row>
    <row r="218" spans="1:22" ht="15.75" thickBot="1" x14ac:dyDescent="0.3">
      <c r="A218" s="82" t="s">
        <v>1931</v>
      </c>
      <c r="B218" s="82" t="s">
        <v>1931</v>
      </c>
      <c r="C218" s="82" t="str">
        <f t="shared" si="15"/>
        <v>X</v>
      </c>
      <c r="D218" s="82" t="s">
        <v>42</v>
      </c>
      <c r="E218" s="123">
        <v>130208</v>
      </c>
      <c r="F218" s="83" t="s">
        <v>1531</v>
      </c>
      <c r="G218" s="125" t="s">
        <v>34</v>
      </c>
      <c r="H218" s="133">
        <v>1.3160000000000001</v>
      </c>
      <c r="I218" s="125" t="s">
        <v>1532</v>
      </c>
      <c r="J218" s="139">
        <f t="shared" si="16"/>
        <v>1316</v>
      </c>
      <c r="K218" s="139" t="s">
        <v>483</v>
      </c>
      <c r="L218" s="238" t="str">
        <f t="shared" si="17"/>
        <v>Reciclagem</v>
      </c>
      <c r="M218" s="238" t="s">
        <v>1921</v>
      </c>
      <c r="N218" s="238" t="s">
        <v>1896</v>
      </c>
      <c r="O218" s="114" t="str">
        <f>IFERROR(INDEX(Tabela3[Tipos de Tratamento],MATCH('A3.9.1 copy'!K218,Tabela3[Código],0)),"")</f>
        <v xml:space="preserve">Troca de resíduos com vista a submetê-los a uma das operações enumeradas de R 1 a R 11 </v>
      </c>
      <c r="P218" s="91" t="s">
        <v>3198</v>
      </c>
      <c r="Q218" s="91" t="s">
        <v>3198</v>
      </c>
      <c r="S218">
        <v>2022</v>
      </c>
      <c r="T218" s="261" t="s">
        <v>3535</v>
      </c>
      <c r="U218" s="261" t="s">
        <v>3606</v>
      </c>
      <c r="V218" t="s">
        <v>42</v>
      </c>
    </row>
    <row r="219" spans="1:22" ht="15.75" thickBot="1" x14ac:dyDescent="0.3">
      <c r="A219" s="82" t="s">
        <v>1931</v>
      </c>
      <c r="B219" s="82" t="s">
        <v>1931</v>
      </c>
      <c r="C219" s="82" t="str">
        <f t="shared" si="15"/>
        <v>X</v>
      </c>
      <c r="D219" s="82" t="s">
        <v>42</v>
      </c>
      <c r="E219" s="123">
        <v>140603</v>
      </c>
      <c r="F219" s="83" t="s">
        <v>1591</v>
      </c>
      <c r="G219" s="125" t="s">
        <v>34</v>
      </c>
      <c r="H219" s="133">
        <v>0.08</v>
      </c>
      <c r="I219" s="125" t="s">
        <v>1532</v>
      </c>
      <c r="J219" s="139">
        <f t="shared" si="16"/>
        <v>80</v>
      </c>
      <c r="K219" s="139" t="s">
        <v>483</v>
      </c>
      <c r="L219" s="238" t="str">
        <f t="shared" si="17"/>
        <v>Reciclagem</v>
      </c>
      <c r="M219" s="238" t="s">
        <v>1920</v>
      </c>
      <c r="N219" s="238" t="s">
        <v>1911</v>
      </c>
      <c r="O219" s="114" t="str">
        <f>IFERROR(INDEX(Tabela3[Tipos de Tratamento],MATCH('A3.9.1 copy'!K219,Tabela3[Código],0)),"")</f>
        <v xml:space="preserve">Troca de resíduos com vista a submetê-los a uma das operações enumeradas de R 1 a R 11 </v>
      </c>
      <c r="P219" s="91" t="s">
        <v>3199</v>
      </c>
      <c r="Q219" s="91" t="s">
        <v>3199</v>
      </c>
      <c r="S219">
        <v>2022</v>
      </c>
      <c r="T219" s="261" t="s">
        <v>3535</v>
      </c>
      <c r="U219" s="261" t="s">
        <v>3606</v>
      </c>
      <c r="V219" t="s">
        <v>42</v>
      </c>
    </row>
    <row r="220" spans="1:22" ht="15.75" thickBot="1" x14ac:dyDescent="0.3">
      <c r="A220" s="82" t="s">
        <v>1931</v>
      </c>
      <c r="B220" s="82" t="s">
        <v>1931</v>
      </c>
      <c r="C220" s="82" t="str">
        <f t="shared" si="15"/>
        <v>X</v>
      </c>
      <c r="D220" s="82" t="s">
        <v>42</v>
      </c>
      <c r="E220" s="123">
        <v>150203</v>
      </c>
      <c r="F220" s="83" t="s">
        <v>1550</v>
      </c>
      <c r="G220" s="125" t="s">
        <v>34</v>
      </c>
      <c r="H220" s="133">
        <v>0.2</v>
      </c>
      <c r="I220" s="125" t="s">
        <v>1532</v>
      </c>
      <c r="J220" s="139">
        <f t="shared" si="16"/>
        <v>200</v>
      </c>
      <c r="K220" s="139" t="s">
        <v>484</v>
      </c>
      <c r="L220" s="238" t="str">
        <f t="shared" si="17"/>
        <v>Reciclagem</v>
      </c>
      <c r="M220" s="238" t="s">
        <v>1920</v>
      </c>
      <c r="N220" s="238" t="s">
        <v>1911</v>
      </c>
      <c r="O220" s="114" t="str">
        <f>IFERROR(INDEX(Tabela3[Tipos de Tratamento],MATCH('A3.9.1 copy'!K220,Tabela3[Código],0)),"")</f>
        <v>Acumulação de resíduos destinados a uma das operações enumeradas de R1 a R12</v>
      </c>
      <c r="P220" s="91" t="s">
        <v>3198</v>
      </c>
      <c r="Q220" s="91" t="s">
        <v>3198</v>
      </c>
      <c r="S220">
        <v>2022</v>
      </c>
      <c r="T220" s="261" t="s">
        <v>3535</v>
      </c>
      <c r="U220" s="261" t="s">
        <v>3606</v>
      </c>
      <c r="V220" t="s">
        <v>42</v>
      </c>
    </row>
    <row r="221" spans="1:22" ht="15.75" thickBot="1" x14ac:dyDescent="0.3">
      <c r="A221" s="82" t="s">
        <v>1931</v>
      </c>
      <c r="B221" s="82" t="s">
        <v>1931</v>
      </c>
      <c r="C221" s="82" t="str">
        <f t="shared" si="15"/>
        <v>X</v>
      </c>
      <c r="D221" s="82" t="s">
        <v>42</v>
      </c>
      <c r="E221" s="123">
        <v>160104</v>
      </c>
      <c r="F221" s="83" t="s">
        <v>1584</v>
      </c>
      <c r="G221" s="125" t="s">
        <v>34</v>
      </c>
      <c r="H221" s="133">
        <v>5.96</v>
      </c>
      <c r="I221" s="125" t="s">
        <v>1532</v>
      </c>
      <c r="J221" s="139">
        <f t="shared" si="16"/>
        <v>5960</v>
      </c>
      <c r="K221" s="139" t="s">
        <v>483</v>
      </c>
      <c r="L221" s="238" t="str">
        <f t="shared" si="17"/>
        <v>Reciclagem</v>
      </c>
      <c r="M221" s="238" t="s">
        <v>1926</v>
      </c>
      <c r="N221" s="238" t="s">
        <v>1922</v>
      </c>
      <c r="O221" s="114" t="str">
        <f>IFERROR(INDEX(Tabela3[Tipos de Tratamento],MATCH('A3.9.1 copy'!K221,Tabela3[Código],0)),"")</f>
        <v xml:space="preserve">Troca de resíduos com vista a submetê-los a uma das operações enumeradas de R 1 a R 11 </v>
      </c>
      <c r="P221" s="91" t="s">
        <v>3200</v>
      </c>
      <c r="Q221" s="91" t="s">
        <v>3200</v>
      </c>
      <c r="R221" s="93"/>
      <c r="S221">
        <v>2022</v>
      </c>
      <c r="T221" s="261" t="s">
        <v>3535</v>
      </c>
      <c r="U221" s="261" t="s">
        <v>3606</v>
      </c>
      <c r="V221" t="s">
        <v>42</v>
      </c>
    </row>
    <row r="222" spans="1:22" ht="15.75" thickBot="1" x14ac:dyDescent="0.3">
      <c r="A222" s="82" t="s">
        <v>1931</v>
      </c>
      <c r="B222" s="82" t="s">
        <v>1931</v>
      </c>
      <c r="C222" s="82" t="str">
        <f t="shared" si="15"/>
        <v>X</v>
      </c>
      <c r="D222" s="82" t="s">
        <v>42</v>
      </c>
      <c r="E222" s="123">
        <v>160107</v>
      </c>
      <c r="F222" s="83" t="s">
        <v>1551</v>
      </c>
      <c r="G222" s="125" t="s">
        <v>34</v>
      </c>
      <c r="H222" s="133">
        <v>0.104</v>
      </c>
      <c r="I222" s="125" t="s">
        <v>1532</v>
      </c>
      <c r="J222" s="139">
        <f t="shared" si="16"/>
        <v>104</v>
      </c>
      <c r="K222" s="139" t="s">
        <v>483</v>
      </c>
      <c r="L222" s="238" t="str">
        <f t="shared" si="17"/>
        <v>Reciclagem</v>
      </c>
      <c r="M222" s="238" t="s">
        <v>1920</v>
      </c>
      <c r="N222" s="238" t="s">
        <v>1911</v>
      </c>
      <c r="O222" s="114" t="str">
        <f>IFERROR(INDEX(Tabela3[Tipos de Tratamento],MATCH('A3.9.1 copy'!K222,Tabela3[Código],0)),"")</f>
        <v xml:space="preserve">Troca de resíduos com vista a submetê-los a uma das operações enumeradas de R 1 a R 11 </v>
      </c>
      <c r="P222" s="91" t="s">
        <v>3198</v>
      </c>
      <c r="Q222" s="91" t="s">
        <v>3198</v>
      </c>
      <c r="S222">
        <v>2022</v>
      </c>
      <c r="T222" s="261" t="s">
        <v>3535</v>
      </c>
      <c r="U222" s="261" t="s">
        <v>3606</v>
      </c>
      <c r="V222" t="s">
        <v>42</v>
      </c>
    </row>
    <row r="223" spans="1:22" ht="15.75" thickBot="1" x14ac:dyDescent="0.3">
      <c r="A223" s="82" t="s">
        <v>1931</v>
      </c>
      <c r="B223" s="82" t="s">
        <v>1931</v>
      </c>
      <c r="C223" s="82" t="str">
        <f t="shared" si="15"/>
        <v>X</v>
      </c>
      <c r="D223" s="82" t="s">
        <v>42</v>
      </c>
      <c r="E223" s="123">
        <v>160112</v>
      </c>
      <c r="F223" s="83" t="s">
        <v>1552</v>
      </c>
      <c r="G223" s="125" t="s">
        <v>34</v>
      </c>
      <c r="H223" s="133">
        <v>0.27</v>
      </c>
      <c r="I223" s="125" t="s">
        <v>1532</v>
      </c>
      <c r="J223" s="139">
        <f t="shared" si="16"/>
        <v>270</v>
      </c>
      <c r="K223" s="139" t="s">
        <v>484</v>
      </c>
      <c r="L223" s="238" t="str">
        <f t="shared" si="17"/>
        <v>Reciclagem</v>
      </c>
      <c r="M223" s="238" t="s">
        <v>1557</v>
      </c>
      <c r="N223" s="238" t="s">
        <v>1922</v>
      </c>
      <c r="O223" s="114" t="str">
        <f>IFERROR(INDEX(Tabela3[Tipos de Tratamento],MATCH('A3.9.1 copy'!K223,Tabela3[Código],0)),"")</f>
        <v>Acumulação de resíduos destinados a uma das operações enumeradas de R1 a R12</v>
      </c>
      <c r="P223" s="91" t="s">
        <v>3198</v>
      </c>
      <c r="Q223" s="91" t="s">
        <v>3198</v>
      </c>
      <c r="S223">
        <v>2022</v>
      </c>
      <c r="T223" s="261" t="s">
        <v>3535</v>
      </c>
      <c r="U223" s="261" t="s">
        <v>3606</v>
      </c>
      <c r="V223" t="s">
        <v>42</v>
      </c>
    </row>
    <row r="224" spans="1:22" ht="15.75" thickBot="1" x14ac:dyDescent="0.3">
      <c r="A224" s="82" t="s">
        <v>1931</v>
      </c>
      <c r="B224" s="82" t="s">
        <v>1931</v>
      </c>
      <c r="C224" s="82" t="str">
        <f t="shared" si="15"/>
        <v>X</v>
      </c>
      <c r="D224" s="82" t="s">
        <v>42</v>
      </c>
      <c r="E224" s="123">
        <v>160117</v>
      </c>
      <c r="F224" s="83" t="s">
        <v>1557</v>
      </c>
      <c r="G224" s="125" t="s">
        <v>34</v>
      </c>
      <c r="H224" s="133">
        <v>1.0900000000000001</v>
      </c>
      <c r="I224" s="125" t="s">
        <v>1532</v>
      </c>
      <c r="J224" s="139">
        <f t="shared" si="16"/>
        <v>1090</v>
      </c>
      <c r="K224" s="139" t="s">
        <v>483</v>
      </c>
      <c r="L224" s="238" t="str">
        <f t="shared" si="17"/>
        <v>Reciclagem</v>
      </c>
      <c r="M224" s="238" t="s">
        <v>1557</v>
      </c>
      <c r="N224" s="238" t="s">
        <v>1922</v>
      </c>
      <c r="O224" s="114" t="str">
        <f>IFERROR(INDEX(Tabela3[Tipos de Tratamento],MATCH('A3.9.1 copy'!K224,Tabela3[Código],0)),"")</f>
        <v xml:space="preserve">Troca de resíduos com vista a submetê-los a uma das operações enumeradas de R 1 a R 11 </v>
      </c>
      <c r="P224" s="91" t="s">
        <v>3201</v>
      </c>
      <c r="Q224" s="91" t="s">
        <v>3201</v>
      </c>
      <c r="S224">
        <v>2022</v>
      </c>
      <c r="T224" s="261" t="s">
        <v>3535</v>
      </c>
      <c r="U224" s="261" t="s">
        <v>3606</v>
      </c>
      <c r="V224" t="s">
        <v>42</v>
      </c>
    </row>
    <row r="225" spans="1:22" ht="15.75" thickBot="1" x14ac:dyDescent="0.3">
      <c r="A225" s="82" t="s">
        <v>1931</v>
      </c>
      <c r="B225" s="82" t="s">
        <v>1931</v>
      </c>
      <c r="C225" s="82" t="str">
        <f t="shared" si="15"/>
        <v>X</v>
      </c>
      <c r="D225" s="82" t="s">
        <v>42</v>
      </c>
      <c r="E225" s="123">
        <v>160121</v>
      </c>
      <c r="F225" s="83" t="s">
        <v>1576</v>
      </c>
      <c r="G225" s="125" t="s">
        <v>34</v>
      </c>
      <c r="H225" s="133">
        <v>0.84</v>
      </c>
      <c r="I225" s="125" t="s">
        <v>1532</v>
      </c>
      <c r="J225" s="139">
        <f t="shared" si="16"/>
        <v>840</v>
      </c>
      <c r="K225" s="139" t="s">
        <v>484</v>
      </c>
      <c r="L225" s="238" t="str">
        <f t="shared" si="17"/>
        <v>Reciclagem</v>
      </c>
      <c r="M225" s="238" t="s">
        <v>1920</v>
      </c>
      <c r="N225" s="238" t="s">
        <v>1911</v>
      </c>
      <c r="O225" s="114" t="str">
        <f>IFERROR(INDEX(Tabela3[Tipos de Tratamento],MATCH('A3.9.1 copy'!K225,Tabela3[Código],0)),"")</f>
        <v>Acumulação de resíduos destinados a uma das operações enumeradas de R1 a R12</v>
      </c>
      <c r="P225" s="91" t="s">
        <v>3198</v>
      </c>
      <c r="Q225" s="91" t="s">
        <v>3198</v>
      </c>
      <c r="S225">
        <v>2022</v>
      </c>
      <c r="T225" s="261" t="s">
        <v>3535</v>
      </c>
      <c r="U225" s="261" t="s">
        <v>3606</v>
      </c>
      <c r="V225" t="s">
        <v>42</v>
      </c>
    </row>
    <row r="226" spans="1:22" ht="15.75" thickBot="1" x14ac:dyDescent="0.3">
      <c r="A226" s="82" t="s">
        <v>1931</v>
      </c>
      <c r="B226" s="82" t="s">
        <v>1931</v>
      </c>
      <c r="C226" s="82" t="str">
        <f t="shared" si="15"/>
        <v>X</v>
      </c>
      <c r="D226" s="82" t="s">
        <v>42</v>
      </c>
      <c r="E226" s="123">
        <v>160199</v>
      </c>
      <c r="F226" s="83" t="s">
        <v>1562</v>
      </c>
      <c r="G226" s="125" t="s">
        <v>34</v>
      </c>
      <c r="H226" s="133">
        <v>1.125</v>
      </c>
      <c r="I226" s="125" t="s">
        <v>1532</v>
      </c>
      <c r="J226" s="139">
        <f t="shared" si="16"/>
        <v>1125</v>
      </c>
      <c r="K226" s="139" t="s">
        <v>483</v>
      </c>
      <c r="L226" s="238" t="str">
        <f t="shared" si="17"/>
        <v>Reciclagem</v>
      </c>
      <c r="M226" s="238" t="s">
        <v>1920</v>
      </c>
      <c r="N226" s="238" t="s">
        <v>1911</v>
      </c>
      <c r="O226" s="114" t="str">
        <f>IFERROR(INDEX(Tabela3[Tipos de Tratamento],MATCH('A3.9.1 copy'!K226,Tabela3[Código],0)),"")</f>
        <v xml:space="preserve">Troca de resíduos com vista a submetê-los a uma das operações enumeradas de R 1 a R 11 </v>
      </c>
      <c r="P226" s="91" t="s">
        <v>3202</v>
      </c>
      <c r="Q226" s="91" t="s">
        <v>3202</v>
      </c>
      <c r="S226">
        <v>2022</v>
      </c>
      <c r="T226" s="261" t="s">
        <v>3535</v>
      </c>
      <c r="U226" s="261" t="s">
        <v>3606</v>
      </c>
      <c r="V226" t="s">
        <v>42</v>
      </c>
    </row>
    <row r="227" spans="1:22" ht="15.75" thickBot="1" x14ac:dyDescent="0.3">
      <c r="A227" s="82" t="s">
        <v>1931</v>
      </c>
      <c r="B227" s="82" t="s">
        <v>1931</v>
      </c>
      <c r="C227" s="82" t="str">
        <f t="shared" si="15"/>
        <v>X</v>
      </c>
      <c r="D227" s="82" t="s">
        <v>42</v>
      </c>
      <c r="E227" s="123">
        <v>160199</v>
      </c>
      <c r="F227" s="83" t="s">
        <v>1562</v>
      </c>
      <c r="G227" s="125" t="s">
        <v>34</v>
      </c>
      <c r="H227" s="133">
        <v>0.375</v>
      </c>
      <c r="I227" s="125" t="s">
        <v>1532</v>
      </c>
      <c r="J227" s="139">
        <f t="shared" si="16"/>
        <v>375</v>
      </c>
      <c r="K227" s="139" t="s">
        <v>484</v>
      </c>
      <c r="L227" s="238" t="str">
        <f t="shared" si="17"/>
        <v>Reciclagem</v>
      </c>
      <c r="M227" s="238" t="s">
        <v>1920</v>
      </c>
      <c r="N227" s="238" t="s">
        <v>1911</v>
      </c>
      <c r="O227" s="114" t="str">
        <f>IFERROR(INDEX(Tabela3[Tipos de Tratamento],MATCH('A3.9.1 copy'!K227,Tabela3[Código],0)),"")</f>
        <v>Acumulação de resíduos destinados a uma das operações enumeradas de R1 a R12</v>
      </c>
      <c r="P227" s="91" t="s">
        <v>3202</v>
      </c>
      <c r="Q227" s="91" t="s">
        <v>3202</v>
      </c>
      <c r="S227">
        <v>2022</v>
      </c>
      <c r="T227" s="261" t="s">
        <v>3535</v>
      </c>
      <c r="U227" s="261" t="s">
        <v>3606</v>
      </c>
      <c r="V227" t="s">
        <v>42</v>
      </c>
    </row>
    <row r="228" spans="1:22" ht="15.75" thickBot="1" x14ac:dyDescent="0.3">
      <c r="A228" s="93" t="s">
        <v>1932</v>
      </c>
      <c r="B228" s="93" t="s">
        <v>1932</v>
      </c>
      <c r="C228" s="82" t="str">
        <f t="shared" si="15"/>
        <v>X</v>
      </c>
      <c r="D228" s="82" t="s">
        <v>42</v>
      </c>
      <c r="E228" s="142" t="s">
        <v>1579</v>
      </c>
      <c r="F228" s="394" t="str">
        <f>INDEX($F$3:$F$227,MATCH(E228,$E$3:$E$227,0))</f>
        <v>Resíduos da remoção de tintas e vernizes, contendo solventes orgânicos ou outras substâncias perigosas</v>
      </c>
      <c r="G228" s="125" t="s">
        <v>34</v>
      </c>
      <c r="H228" s="133">
        <v>2.8000000000000001E-2</v>
      </c>
      <c r="I228" s="125" t="s">
        <v>1532</v>
      </c>
      <c r="J228" s="139">
        <f t="shared" si="16"/>
        <v>28</v>
      </c>
      <c r="K228" s="139" t="s">
        <v>509</v>
      </c>
      <c r="L228" s="238" t="str">
        <f t="shared" si="17"/>
        <v>Aterro</v>
      </c>
      <c r="M228" s="238" t="s">
        <v>1920</v>
      </c>
      <c r="N228" s="238" t="s">
        <v>1911</v>
      </c>
      <c r="O228" s="114" t="str">
        <f>IFERROR(INDEX(Tabela3[Tipos de Tratamento],MATCH('A3.9.1 copy'!K228,Tabela3[Código],0)),"")</f>
        <v>Armazenagem enquanto se aguarda a execução de uma das operações enumeradas de D1 a D14</v>
      </c>
      <c r="P228" s="91" t="s">
        <v>3198</v>
      </c>
      <c r="Q228" s="91" t="s">
        <v>3198</v>
      </c>
      <c r="R228" s="93"/>
      <c r="S228">
        <v>2022</v>
      </c>
      <c r="T228" s="261" t="s">
        <v>3535</v>
      </c>
      <c r="U228" s="261" t="s">
        <v>3606</v>
      </c>
      <c r="V228" t="s">
        <v>42</v>
      </c>
    </row>
    <row r="229" spans="1:22" ht="15.75" thickBot="1" x14ac:dyDescent="0.3">
      <c r="A229" s="93" t="s">
        <v>1932</v>
      </c>
      <c r="B229" s="93" t="s">
        <v>1932</v>
      </c>
      <c r="C229" s="82" t="str">
        <f t="shared" si="15"/>
        <v>X</v>
      </c>
      <c r="D229" s="82" t="s">
        <v>42</v>
      </c>
      <c r="E229" s="142" t="s">
        <v>1579</v>
      </c>
      <c r="F229" s="394" t="str">
        <f>INDEX($F$3:$F$227,MATCH(E229,$E$3:$E$227,0))</f>
        <v>Resíduos da remoção de tintas e vernizes, contendo solventes orgânicos ou outras substâncias perigosas</v>
      </c>
      <c r="G229" s="125" t="s">
        <v>34</v>
      </c>
      <c r="H229" s="133">
        <v>2.8000000000000001E-2</v>
      </c>
      <c r="I229" s="125" t="s">
        <v>1532</v>
      </c>
      <c r="J229" s="139">
        <f t="shared" si="16"/>
        <v>28</v>
      </c>
      <c r="K229" s="139" t="s">
        <v>483</v>
      </c>
      <c r="L229" s="238" t="str">
        <f t="shared" si="17"/>
        <v>Reciclagem</v>
      </c>
      <c r="M229" s="238" t="s">
        <v>1920</v>
      </c>
      <c r="N229" s="238" t="s">
        <v>1911</v>
      </c>
      <c r="O229" s="114" t="str">
        <f>IFERROR(INDEX(Tabela3[Tipos de Tratamento],MATCH('A3.9.1 copy'!K229,Tabela3[Código],0)),"")</f>
        <v xml:space="preserve">Troca de resíduos com vista a submetê-los a uma das operações enumeradas de R 1 a R 11 </v>
      </c>
      <c r="P229" s="91" t="s">
        <v>3198</v>
      </c>
      <c r="Q229" s="91" t="s">
        <v>3198</v>
      </c>
      <c r="R229" s="93"/>
      <c r="S229">
        <v>2022</v>
      </c>
      <c r="T229" s="261" t="s">
        <v>3535</v>
      </c>
      <c r="U229" s="261" t="s">
        <v>3606</v>
      </c>
      <c r="V229" t="s">
        <v>42</v>
      </c>
    </row>
    <row r="230" spans="1:22" ht="15.75" thickBot="1" x14ac:dyDescent="0.3">
      <c r="A230" s="93" t="s">
        <v>1932</v>
      </c>
      <c r="B230" s="93" t="s">
        <v>1932</v>
      </c>
      <c r="C230" s="82" t="str">
        <f t="shared" si="15"/>
        <v>X</v>
      </c>
      <c r="D230" s="82" t="s">
        <v>42</v>
      </c>
      <c r="E230" s="323" t="s">
        <v>3203</v>
      </c>
      <c r="F230" s="324" t="s">
        <v>3276</v>
      </c>
      <c r="G230" s="125" t="s">
        <v>34</v>
      </c>
      <c r="H230" s="133">
        <v>0.7</v>
      </c>
      <c r="I230" s="125" t="s">
        <v>1532</v>
      </c>
      <c r="J230" s="139">
        <f t="shared" si="16"/>
        <v>700</v>
      </c>
      <c r="K230" s="139" t="s">
        <v>509</v>
      </c>
      <c r="L230" s="238" t="str">
        <f t="shared" si="17"/>
        <v>Aterro</v>
      </c>
      <c r="M230" s="238" t="s">
        <v>1920</v>
      </c>
      <c r="N230" s="238" t="s">
        <v>1911</v>
      </c>
      <c r="O230" s="114" t="str">
        <f>IFERROR(INDEX(Tabela3[Tipos de Tratamento],MATCH('A3.9.1 copy'!K230,Tabela3[Código],0)),"")</f>
        <v>Armazenagem enquanto se aguarda a execução de uma das operações enumeradas de D1 a D14</v>
      </c>
      <c r="P230" s="91" t="s">
        <v>3198</v>
      </c>
      <c r="Q230" s="91" t="s">
        <v>3198</v>
      </c>
      <c r="S230">
        <v>2022</v>
      </c>
      <c r="T230" s="261" t="s">
        <v>3535</v>
      </c>
      <c r="U230" s="261" t="s">
        <v>3606</v>
      </c>
      <c r="V230" t="s">
        <v>42</v>
      </c>
    </row>
    <row r="231" spans="1:22" ht="15.75" thickBot="1" x14ac:dyDescent="0.3">
      <c r="A231" s="93" t="s">
        <v>1932</v>
      </c>
      <c r="B231" s="93" t="s">
        <v>1932</v>
      </c>
      <c r="C231" s="82" t="str">
        <f t="shared" si="15"/>
        <v>X</v>
      </c>
      <c r="D231" s="82" t="s">
        <v>42</v>
      </c>
      <c r="E231" s="320" t="s">
        <v>3203</v>
      </c>
      <c r="F231" s="324" t="s">
        <v>3276</v>
      </c>
      <c r="G231" s="125" t="s">
        <v>34</v>
      </c>
      <c r="H231" s="133">
        <v>0.7</v>
      </c>
      <c r="I231" s="125" t="s">
        <v>1532</v>
      </c>
      <c r="J231" s="139">
        <f t="shared" si="16"/>
        <v>700</v>
      </c>
      <c r="K231" s="139" t="s">
        <v>483</v>
      </c>
      <c r="L231" s="238" t="str">
        <f t="shared" si="17"/>
        <v>Reciclagem</v>
      </c>
      <c r="M231" s="238" t="s">
        <v>1920</v>
      </c>
      <c r="N231" s="238" t="s">
        <v>1911</v>
      </c>
      <c r="O231" s="114" t="str">
        <f>IFERROR(INDEX(Tabela3[Tipos de Tratamento],MATCH('A3.9.1 copy'!K231,Tabela3[Código],0)),"")</f>
        <v xml:space="preserve">Troca de resíduos com vista a submetê-los a uma das operações enumeradas de R 1 a R 11 </v>
      </c>
      <c r="P231" s="91" t="s">
        <v>3198</v>
      </c>
      <c r="Q231" s="91" t="s">
        <v>3198</v>
      </c>
      <c r="S231">
        <v>2022</v>
      </c>
      <c r="T231" s="261" t="s">
        <v>3535</v>
      </c>
      <c r="U231" s="261" t="s">
        <v>3606</v>
      </c>
      <c r="V231" t="s">
        <v>42</v>
      </c>
    </row>
    <row r="232" spans="1:22" ht="15.75" thickBot="1" x14ac:dyDescent="0.3">
      <c r="A232" s="93" t="s">
        <v>1932</v>
      </c>
      <c r="B232" s="93" t="s">
        <v>1932</v>
      </c>
      <c r="C232" s="82" t="str">
        <f t="shared" si="15"/>
        <v>X</v>
      </c>
      <c r="D232" s="82" t="s">
        <v>42</v>
      </c>
      <c r="E232" s="142" t="s">
        <v>1588</v>
      </c>
      <c r="F232" s="394" t="str">
        <f>INDEX($F$3:$F$227,MATCH(E232,$E$3:$E$227,0))</f>
        <v>Resíduos de toner de impressão, contendo substâncias perigosas</v>
      </c>
      <c r="G232" s="125" t="s">
        <v>34</v>
      </c>
      <c r="H232" s="133">
        <v>3.2000000000000001E-2</v>
      </c>
      <c r="I232" s="125" t="s">
        <v>1532</v>
      </c>
      <c r="J232" s="139">
        <f t="shared" si="16"/>
        <v>32</v>
      </c>
      <c r="K232" s="139" t="s">
        <v>484</v>
      </c>
      <c r="L232" s="238" t="str">
        <f t="shared" si="17"/>
        <v>Reciclagem</v>
      </c>
      <c r="M232" s="238" t="s">
        <v>1920</v>
      </c>
      <c r="N232" s="238" t="s">
        <v>1911</v>
      </c>
      <c r="O232" s="114" t="str">
        <f>IFERROR(INDEX(Tabela3[Tipos de Tratamento],MATCH('A3.9.1 copy'!K232,Tabela3[Código],0)),"")</f>
        <v>Acumulação de resíduos destinados a uma das operações enumeradas de R1 a R12</v>
      </c>
      <c r="P232" s="91" t="s">
        <v>3198</v>
      </c>
      <c r="Q232" s="91" t="s">
        <v>3198</v>
      </c>
      <c r="R232" s="93"/>
      <c r="S232">
        <v>2022</v>
      </c>
      <c r="T232" s="261" t="s">
        <v>3535</v>
      </c>
      <c r="U232" s="261" t="s">
        <v>3606</v>
      </c>
      <c r="V232" t="s">
        <v>42</v>
      </c>
    </row>
    <row r="233" spans="1:22" ht="15.75" thickBot="1" x14ac:dyDescent="0.3">
      <c r="A233" s="93" t="s">
        <v>1932</v>
      </c>
      <c r="B233" s="93" t="s">
        <v>1932</v>
      </c>
      <c r="C233" s="82" t="str">
        <f t="shared" si="15"/>
        <v>X</v>
      </c>
      <c r="D233" s="82" t="s">
        <v>42</v>
      </c>
      <c r="E233" s="142" t="s">
        <v>1600</v>
      </c>
      <c r="F233" s="394" t="str">
        <f>INDEX($F$3:$F$227,MATCH(E233,$E$3:$E$227,0))</f>
        <v>Líquidos de lavagem aquosos</v>
      </c>
      <c r="G233" s="125" t="s">
        <v>34</v>
      </c>
      <c r="H233" s="133">
        <v>0.504</v>
      </c>
      <c r="I233" s="125" t="s">
        <v>1532</v>
      </c>
      <c r="J233" s="139">
        <f t="shared" si="16"/>
        <v>504</v>
      </c>
      <c r="K233" s="139" t="s">
        <v>503</v>
      </c>
      <c r="L233" s="238" t="str">
        <f t="shared" si="17"/>
        <v>Aterro</v>
      </c>
      <c r="M233" s="238" t="s">
        <v>1920</v>
      </c>
      <c r="N233" s="238" t="s">
        <v>1911</v>
      </c>
      <c r="O233" s="114" t="str">
        <f>IFERROR(INDEX(Tabela3[Tipos de Tratamento],MATCH('A3.9.1 copy'!K233,Tabela3[Código],0)),"")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233" s="91" t="s">
        <v>3198</v>
      </c>
      <c r="Q233" s="91" t="s">
        <v>3198</v>
      </c>
      <c r="S233">
        <v>2022</v>
      </c>
      <c r="T233" s="261" t="s">
        <v>3535</v>
      </c>
      <c r="U233" s="261" t="s">
        <v>3606</v>
      </c>
      <c r="V233" t="s">
        <v>42</v>
      </c>
    </row>
    <row r="234" spans="1:22" ht="15.75" thickBot="1" x14ac:dyDescent="0.3">
      <c r="A234" s="93" t="s">
        <v>1932</v>
      </c>
      <c r="B234" s="93" t="s">
        <v>1932</v>
      </c>
      <c r="C234" s="82" t="str">
        <f t="shared" si="15"/>
        <v>X</v>
      </c>
      <c r="D234" s="82" t="s">
        <v>42</v>
      </c>
      <c r="E234" s="142" t="s">
        <v>1865</v>
      </c>
      <c r="F234" s="394" t="str">
        <f>INDEX($F$3:$F$227,MATCH(E234,$E$3:$E$227,0))</f>
        <v>Outros óleos de motores, transmissões e lubrificação)</v>
      </c>
      <c r="G234" s="125" t="s">
        <v>34</v>
      </c>
      <c r="H234" s="133">
        <v>5.5129999999999999</v>
      </c>
      <c r="I234" s="125" t="s">
        <v>1532</v>
      </c>
      <c r="J234" s="139">
        <f t="shared" si="16"/>
        <v>5513</v>
      </c>
      <c r="K234" s="139" t="s">
        <v>480</v>
      </c>
      <c r="L234" s="238" t="str">
        <f t="shared" si="17"/>
        <v>Reciclagem</v>
      </c>
      <c r="M234" s="238" t="s">
        <v>1921</v>
      </c>
      <c r="N234" s="238" t="s">
        <v>1896</v>
      </c>
      <c r="O234" s="114" t="str">
        <f>IFERROR(INDEX(Tabela3[Tipos de Tratamento],MATCH('A3.9.1 copy'!K234,Tabela3[Código],0)),"")</f>
        <v xml:space="preserve">Regeneração de óleos e outras reutilizações de óleos </v>
      </c>
      <c r="P234" s="91" t="s">
        <v>3194</v>
      </c>
      <c r="Q234" s="91" t="s">
        <v>3195</v>
      </c>
      <c r="R234" s="93"/>
      <c r="S234">
        <v>2022</v>
      </c>
      <c r="T234" s="261" t="s">
        <v>3535</v>
      </c>
      <c r="U234" s="261" t="s">
        <v>3606</v>
      </c>
      <c r="V234" t="s">
        <v>42</v>
      </c>
    </row>
    <row r="235" spans="1:22" ht="15.75" thickBot="1" x14ac:dyDescent="0.3">
      <c r="A235" s="93" t="s">
        <v>1932</v>
      </c>
      <c r="B235" s="93" t="s">
        <v>1932</v>
      </c>
      <c r="C235" s="82" t="str">
        <f t="shared" si="15"/>
        <v>X</v>
      </c>
      <c r="D235" s="82" t="s">
        <v>42</v>
      </c>
      <c r="E235" s="142" t="s">
        <v>1866</v>
      </c>
      <c r="F235" s="394" t="str">
        <f>INDEX($F$3:$F$227,MATCH(E235,$E$3:$E$227,0))</f>
        <v>Lamas provenientes dos separadores óleo/água</v>
      </c>
      <c r="G235" s="125" t="s">
        <v>34</v>
      </c>
      <c r="H235" s="133">
        <v>5.9009999999999998</v>
      </c>
      <c r="I235" s="125" t="s">
        <v>1532</v>
      </c>
      <c r="J235" s="139">
        <f t="shared" si="16"/>
        <v>5901</v>
      </c>
      <c r="K235" s="139" t="s">
        <v>509</v>
      </c>
      <c r="L235" s="238" t="str">
        <f t="shared" si="17"/>
        <v>Aterro</v>
      </c>
      <c r="M235" s="238" t="s">
        <v>1920</v>
      </c>
      <c r="N235" s="238" t="s">
        <v>1911</v>
      </c>
      <c r="O235" s="114" t="str">
        <f>IFERROR(INDEX(Tabela3[Tipos de Tratamento],MATCH('A3.9.1 copy'!K235,Tabela3[Código],0)),"")</f>
        <v>Armazenagem enquanto se aguarda a execução de uma das operações enumeradas de D1 a D14</v>
      </c>
      <c r="P235" s="91" t="s">
        <v>3198</v>
      </c>
      <c r="Q235" s="91" t="s">
        <v>3198</v>
      </c>
      <c r="R235" s="93"/>
      <c r="S235">
        <v>2022</v>
      </c>
      <c r="T235" s="261" t="s">
        <v>3535</v>
      </c>
      <c r="U235" s="261" t="s">
        <v>3606</v>
      </c>
      <c r="V235" t="s">
        <v>42</v>
      </c>
    </row>
    <row r="236" spans="1:22" ht="15.75" thickBot="1" x14ac:dyDescent="0.3">
      <c r="A236" s="93" t="s">
        <v>1932</v>
      </c>
      <c r="B236" s="93" t="s">
        <v>1932</v>
      </c>
      <c r="C236" s="82" t="str">
        <f t="shared" si="15"/>
        <v>X</v>
      </c>
      <c r="D236" s="82" t="s">
        <v>42</v>
      </c>
      <c r="E236" s="142" t="s">
        <v>1867</v>
      </c>
      <c r="F236" s="394" t="str">
        <f>INDEX($F$3:$F$227,MATCH(E236,$E$3:$E$227,0))</f>
        <v>Água com óleo proveniente dos separadores óleo/água</v>
      </c>
      <c r="G236" s="125" t="s">
        <v>34</v>
      </c>
      <c r="H236" s="133">
        <v>0.82599999999999996</v>
      </c>
      <c r="I236" s="125" t="s">
        <v>1532</v>
      </c>
      <c r="J236" s="139">
        <f t="shared" si="16"/>
        <v>826</v>
      </c>
      <c r="K236" s="139" t="s">
        <v>509</v>
      </c>
      <c r="L236" s="238" t="str">
        <f t="shared" si="17"/>
        <v>Aterro</v>
      </c>
      <c r="M236" s="238" t="s">
        <v>1920</v>
      </c>
      <c r="N236" s="238" t="s">
        <v>1911</v>
      </c>
      <c r="O236" s="114" t="str">
        <f>IFERROR(INDEX(Tabela3[Tipos de Tratamento],MATCH('A3.9.1 copy'!K236,Tabela3[Código],0)),"")</f>
        <v>Armazenagem enquanto se aguarda a execução de uma das operações enumeradas de D1 a D14</v>
      </c>
      <c r="P236" s="91" t="s">
        <v>3198</v>
      </c>
      <c r="Q236" s="91" t="s">
        <v>3198</v>
      </c>
      <c r="S236">
        <v>2022</v>
      </c>
      <c r="T236" s="261" t="s">
        <v>3535</v>
      </c>
      <c r="U236" s="261" t="s">
        <v>3606</v>
      </c>
      <c r="V236" t="s">
        <v>42</v>
      </c>
    </row>
    <row r="237" spans="1:22" ht="15.75" thickBot="1" x14ac:dyDescent="0.3">
      <c r="A237" s="93" t="s">
        <v>1932</v>
      </c>
      <c r="B237" s="93" t="s">
        <v>1932</v>
      </c>
      <c r="C237" s="82" t="str">
        <f t="shared" si="15"/>
        <v>X</v>
      </c>
      <c r="D237" s="82" t="s">
        <v>42</v>
      </c>
      <c r="E237" s="320" t="s">
        <v>3204</v>
      </c>
      <c r="F237" s="325" t="s">
        <v>3279</v>
      </c>
      <c r="G237" s="125" t="s">
        <v>34</v>
      </c>
      <c r="H237" s="133">
        <v>4.88</v>
      </c>
      <c r="I237" s="125" t="s">
        <v>1532</v>
      </c>
      <c r="J237" s="139">
        <f t="shared" si="16"/>
        <v>4880</v>
      </c>
      <c r="K237" s="139" t="s">
        <v>480</v>
      </c>
      <c r="L237" s="238" t="str">
        <f t="shared" si="17"/>
        <v>Reciclagem</v>
      </c>
      <c r="M237" s="238" t="s">
        <v>1921</v>
      </c>
      <c r="N237" s="238" t="s">
        <v>1896</v>
      </c>
      <c r="O237" s="114" t="str">
        <f>IFERROR(INDEX(Tabela3[Tipos de Tratamento],MATCH('A3.9.1 copy'!K237,Tabela3[Código],0)),"")</f>
        <v xml:space="preserve">Regeneração de óleos e outras reutilizações de óleos </v>
      </c>
      <c r="P237" s="91" t="s">
        <v>3198</v>
      </c>
      <c r="Q237" s="91" t="s">
        <v>3198</v>
      </c>
      <c r="R237" s="93"/>
      <c r="S237">
        <v>2022</v>
      </c>
      <c r="T237" s="261" t="s">
        <v>3535</v>
      </c>
      <c r="U237" s="261" t="s">
        <v>3606</v>
      </c>
      <c r="V237" t="s">
        <v>42</v>
      </c>
    </row>
    <row r="238" spans="1:22" ht="15.75" thickBot="1" x14ac:dyDescent="0.3">
      <c r="A238" s="93" t="s">
        <v>1932</v>
      </c>
      <c r="B238" s="93" t="s">
        <v>1932</v>
      </c>
      <c r="C238" s="82" t="str">
        <f t="shared" si="15"/>
        <v>X</v>
      </c>
      <c r="D238" s="82" t="s">
        <v>42</v>
      </c>
      <c r="E238" s="320" t="s">
        <v>3205</v>
      </c>
      <c r="F238" s="325" t="s">
        <v>3278</v>
      </c>
      <c r="G238" s="125" t="s">
        <v>42</v>
      </c>
      <c r="H238" s="133">
        <v>4.22</v>
      </c>
      <c r="I238" s="125" t="s">
        <v>1532</v>
      </c>
      <c r="J238" s="139">
        <f t="shared" si="16"/>
        <v>4220</v>
      </c>
      <c r="K238" s="139" t="s">
        <v>483</v>
      </c>
      <c r="L238" s="238" t="str">
        <f t="shared" si="17"/>
        <v>Reciclagem</v>
      </c>
      <c r="M238" s="238" t="s">
        <v>1920</v>
      </c>
      <c r="N238" s="238" t="s">
        <v>1911</v>
      </c>
      <c r="O238" s="114" t="str">
        <f>IFERROR(INDEX(Tabela3[Tipos de Tratamento],MATCH('A3.9.1 copy'!K238,Tabela3[Código],0)),"")</f>
        <v xml:space="preserve">Troca de resíduos com vista a submetê-los a uma das operações enumeradas de R 1 a R 11 </v>
      </c>
      <c r="P238" s="91" t="s">
        <v>3198</v>
      </c>
      <c r="Q238" s="91" t="s">
        <v>3207</v>
      </c>
      <c r="R238" s="93"/>
      <c r="S238">
        <v>2022</v>
      </c>
      <c r="T238" s="261" t="s">
        <v>3535</v>
      </c>
      <c r="U238" s="261" t="s">
        <v>3606</v>
      </c>
      <c r="V238" t="s">
        <v>42</v>
      </c>
    </row>
    <row r="239" spans="1:22" ht="15.75" thickBot="1" x14ac:dyDescent="0.3">
      <c r="A239" s="93" t="s">
        <v>1932</v>
      </c>
      <c r="B239" s="93" t="s">
        <v>1932</v>
      </c>
      <c r="C239" s="82" t="str">
        <f t="shared" si="15"/>
        <v>X</v>
      </c>
      <c r="D239" s="82" t="s">
        <v>42</v>
      </c>
      <c r="E239" s="320" t="s">
        <v>3205</v>
      </c>
      <c r="F239" s="325" t="s">
        <v>3278</v>
      </c>
      <c r="G239" s="125" t="s">
        <v>42</v>
      </c>
      <c r="H239" s="133">
        <v>4.22</v>
      </c>
      <c r="I239" s="125" t="s">
        <v>1532</v>
      </c>
      <c r="J239" s="139">
        <f t="shared" si="16"/>
        <v>4220</v>
      </c>
      <c r="K239" s="139" t="s">
        <v>483</v>
      </c>
      <c r="L239" s="238" t="str">
        <f t="shared" si="17"/>
        <v>Reciclagem</v>
      </c>
      <c r="M239" s="238" t="s">
        <v>1920</v>
      </c>
      <c r="N239" s="238" t="s">
        <v>1911</v>
      </c>
      <c r="O239" s="114" t="str">
        <f>IFERROR(INDEX(Tabela3[Tipos de Tratamento],MATCH('A3.9.1 copy'!K239,Tabela3[Código],0)),"")</f>
        <v xml:space="preserve">Troca de resíduos com vista a submetê-los a uma das operações enumeradas de R 1 a R 11 </v>
      </c>
      <c r="P239" s="91" t="s">
        <v>3208</v>
      </c>
      <c r="Q239" s="91" t="s">
        <v>3208</v>
      </c>
      <c r="R239" s="93"/>
      <c r="S239">
        <v>2022</v>
      </c>
      <c r="T239" s="261" t="s">
        <v>3535</v>
      </c>
      <c r="U239" s="261" t="s">
        <v>3606</v>
      </c>
      <c r="V239" t="s">
        <v>42</v>
      </c>
    </row>
    <row r="240" spans="1:22" ht="15.75" thickBot="1" x14ac:dyDescent="0.3">
      <c r="A240" s="93" t="s">
        <v>1932</v>
      </c>
      <c r="B240" s="93" t="s">
        <v>1932</v>
      </c>
      <c r="C240" s="82" t="str">
        <f t="shared" si="15"/>
        <v>X</v>
      </c>
      <c r="D240" s="82" t="s">
        <v>42</v>
      </c>
      <c r="E240" s="142" t="s">
        <v>1870</v>
      </c>
      <c r="F240" s="394" t="str">
        <f t="shared" ref="F240:F247" si="18">INDEX($F$3:$F$227,MATCH(E240,$E$3:$E$227,0))</f>
        <v>Embalagens contendo ou contaminadas por resíduos de substâncias perigosas</v>
      </c>
      <c r="G240" s="125" t="s">
        <v>34</v>
      </c>
      <c r="H240" s="133">
        <v>0.40799999999999997</v>
      </c>
      <c r="I240" s="125" t="s">
        <v>1532</v>
      </c>
      <c r="J240" s="139">
        <f t="shared" si="16"/>
        <v>408</v>
      </c>
      <c r="K240" s="139" t="s">
        <v>484</v>
      </c>
      <c r="L240" s="238" t="str">
        <f t="shared" si="17"/>
        <v>Reciclagem</v>
      </c>
      <c r="M240" s="238" t="s">
        <v>1920</v>
      </c>
      <c r="N240" s="238" t="s">
        <v>1911</v>
      </c>
      <c r="O240" s="114" t="str">
        <f>IFERROR(INDEX(Tabela3[Tipos de Tratamento],MATCH('A3.9.1 copy'!K240,Tabela3[Código],0)),"")</f>
        <v>Acumulação de resíduos destinados a uma das operações enumeradas de R1 a R12</v>
      </c>
      <c r="P240" s="91" t="s">
        <v>3198</v>
      </c>
      <c r="Q240" s="91" t="s">
        <v>3198</v>
      </c>
      <c r="S240">
        <v>2022</v>
      </c>
      <c r="T240" s="261" t="s">
        <v>3535</v>
      </c>
      <c r="U240" s="261" t="s">
        <v>3606</v>
      </c>
      <c r="V240" t="s">
        <v>42</v>
      </c>
    </row>
    <row r="241" spans="1:22" ht="15.75" thickBot="1" x14ac:dyDescent="0.3">
      <c r="A241" s="93" t="s">
        <v>1932</v>
      </c>
      <c r="B241" s="93" t="s">
        <v>1932</v>
      </c>
      <c r="C241" s="82" t="str">
        <f t="shared" si="15"/>
        <v>X</v>
      </c>
      <c r="D241" s="82" t="s">
        <v>42</v>
      </c>
      <c r="E241" s="142" t="s">
        <v>1871</v>
      </c>
      <c r="F241" s="394" t="str">
        <f t="shared" si="18"/>
        <v>Embalagens de metal, incluindo recipientes vazios sob pressão, contendo uma matriz porosa sólida perigosa (por exemplo, amianto)</v>
      </c>
      <c r="G241" s="125" t="s">
        <v>34</v>
      </c>
      <c r="H241" s="133">
        <v>0.159</v>
      </c>
      <c r="I241" s="125" t="s">
        <v>1532</v>
      </c>
      <c r="J241" s="139">
        <f t="shared" si="16"/>
        <v>159</v>
      </c>
      <c r="K241" s="139" t="s">
        <v>484</v>
      </c>
      <c r="L241" s="238" t="str">
        <f t="shared" si="17"/>
        <v>Reciclagem</v>
      </c>
      <c r="M241" s="238" t="s">
        <v>1925</v>
      </c>
      <c r="N241" s="238" t="s">
        <v>1922</v>
      </c>
      <c r="O241" s="114" t="str">
        <f>IFERROR(INDEX(Tabela3[Tipos de Tratamento],MATCH('A3.9.1 copy'!K241,Tabela3[Código],0)),"")</f>
        <v>Acumulação de resíduos destinados a uma das operações enumeradas de R1 a R12</v>
      </c>
      <c r="P241" s="91" t="s">
        <v>3198</v>
      </c>
      <c r="Q241" s="91" t="s">
        <v>3198</v>
      </c>
      <c r="S241">
        <v>2022</v>
      </c>
      <c r="T241" s="261" t="s">
        <v>3535</v>
      </c>
      <c r="U241" s="261" t="s">
        <v>3606</v>
      </c>
      <c r="V241" t="s">
        <v>42</v>
      </c>
    </row>
    <row r="242" spans="1:22" ht="15.75" thickBot="1" x14ac:dyDescent="0.3">
      <c r="A242" s="93" t="s">
        <v>1932</v>
      </c>
      <c r="B242" s="93" t="s">
        <v>1932</v>
      </c>
      <c r="C242" s="82" t="str">
        <f t="shared" si="15"/>
        <v>X</v>
      </c>
      <c r="D242" s="82" t="s">
        <v>42</v>
      </c>
      <c r="E242" s="142" t="s">
        <v>1872</v>
      </c>
      <c r="F242" s="394" t="str">
        <f t="shared" si="18"/>
        <v>Absorventes, materiais filtrantes (incluindo filtros de óleo sem outras especificações), panos de limpeza e vestuário de proteção, contaminados por substâncias perigosas)</v>
      </c>
      <c r="G242" s="125" t="s">
        <v>34</v>
      </c>
      <c r="H242" s="133">
        <v>5.2539999999999996</v>
      </c>
      <c r="I242" s="125" t="s">
        <v>1532</v>
      </c>
      <c r="J242" s="139">
        <f t="shared" si="16"/>
        <v>5254</v>
      </c>
      <c r="K242" s="139" t="s">
        <v>484</v>
      </c>
      <c r="L242" s="238" t="str">
        <f t="shared" si="17"/>
        <v>Reciclagem</v>
      </c>
      <c r="M242" s="238" t="s">
        <v>1920</v>
      </c>
      <c r="N242" s="238" t="s">
        <v>1911</v>
      </c>
      <c r="O242" s="114" t="str">
        <f>IFERROR(INDEX(Tabela3[Tipos de Tratamento],MATCH('A3.9.1 copy'!K242,Tabela3[Código],0)),"")</f>
        <v>Acumulação de resíduos destinados a uma das operações enumeradas de R1 a R12</v>
      </c>
      <c r="P242" s="91" t="s">
        <v>3198</v>
      </c>
      <c r="Q242" s="91" t="s">
        <v>3198</v>
      </c>
      <c r="R242" s="93"/>
      <c r="S242">
        <v>2022</v>
      </c>
      <c r="T242" s="261" t="s">
        <v>3535</v>
      </c>
      <c r="U242" s="261" t="s">
        <v>3606</v>
      </c>
      <c r="V242" t="s">
        <v>42</v>
      </c>
    </row>
    <row r="243" spans="1:22" ht="15.75" thickBot="1" x14ac:dyDescent="0.3">
      <c r="A243" s="93" t="s">
        <v>1932</v>
      </c>
      <c r="B243" s="93" t="s">
        <v>1932</v>
      </c>
      <c r="C243" s="82" t="str">
        <f t="shared" si="15"/>
        <v>X</v>
      </c>
      <c r="D243" s="82" t="s">
        <v>42</v>
      </c>
      <c r="E243" s="142" t="s">
        <v>1873</v>
      </c>
      <c r="F243" s="394" t="str">
        <f t="shared" si="18"/>
        <v>Absorventes, materiais filtrantes, panos de limpeza e vestuário de proteção não abrangidos em 15 02 02</v>
      </c>
      <c r="G243" s="125" t="s">
        <v>42</v>
      </c>
      <c r="H243" s="133">
        <v>0.42699999999999999</v>
      </c>
      <c r="I243" s="125" t="s">
        <v>1532</v>
      </c>
      <c r="J243" s="139">
        <f t="shared" si="16"/>
        <v>427</v>
      </c>
      <c r="K243" s="139" t="s">
        <v>483</v>
      </c>
      <c r="L243" s="238" t="str">
        <f t="shared" si="17"/>
        <v>Reciclagem</v>
      </c>
      <c r="M243" s="238" t="s">
        <v>1920</v>
      </c>
      <c r="N243" s="238" t="s">
        <v>1911</v>
      </c>
      <c r="O243" s="114" t="str">
        <f>IFERROR(INDEX(Tabela3[Tipos de Tratamento],MATCH('A3.9.1 copy'!K243,Tabela3[Código],0)),"")</f>
        <v xml:space="preserve">Troca de resíduos com vista a submetê-los a uma das operações enumeradas de R 1 a R 11 </v>
      </c>
      <c r="P243" s="91" t="s">
        <v>3198</v>
      </c>
      <c r="Q243" s="91" t="s">
        <v>3198</v>
      </c>
      <c r="S243">
        <v>2022</v>
      </c>
      <c r="T243" s="261" t="s">
        <v>3535</v>
      </c>
      <c r="U243" s="261" t="s">
        <v>3606</v>
      </c>
      <c r="V243" t="s">
        <v>42</v>
      </c>
    </row>
    <row r="244" spans="1:22" ht="15.75" thickBot="1" x14ac:dyDescent="0.3">
      <c r="A244" s="93" t="s">
        <v>1932</v>
      </c>
      <c r="B244" s="93" t="s">
        <v>1932</v>
      </c>
      <c r="C244" s="82" t="str">
        <f t="shared" si="15"/>
        <v>X</v>
      </c>
      <c r="D244" s="82" t="s">
        <v>42</v>
      </c>
      <c r="E244" s="142" t="s">
        <v>1581</v>
      </c>
      <c r="F244" s="394" t="str">
        <f t="shared" si="18"/>
        <v>Pneus usados</v>
      </c>
      <c r="G244" s="125" t="s">
        <v>42</v>
      </c>
      <c r="H244" s="133">
        <v>18.48</v>
      </c>
      <c r="I244" s="125" t="s">
        <v>1532</v>
      </c>
      <c r="J244" s="139">
        <f t="shared" si="16"/>
        <v>18480</v>
      </c>
      <c r="K244" s="139" t="s">
        <v>483</v>
      </c>
      <c r="L244" s="238" t="str">
        <f t="shared" si="17"/>
        <v>Reciclagem</v>
      </c>
      <c r="M244" s="238" t="s">
        <v>1681</v>
      </c>
      <c r="N244" s="238" t="s">
        <v>1922</v>
      </c>
      <c r="O244" s="114" t="str">
        <f>IFERROR(INDEX(Tabela3[Tipos de Tratamento],MATCH('A3.9.1 copy'!K244,Tabela3[Código],0)),"")</f>
        <v xml:space="preserve">Troca de resíduos com vista a submetê-los a uma das operações enumeradas de R 1 a R 11 </v>
      </c>
      <c r="P244" s="91" t="s">
        <v>3193</v>
      </c>
      <c r="Q244" s="91" t="s">
        <v>3193</v>
      </c>
      <c r="R244" s="93"/>
      <c r="S244">
        <v>2022</v>
      </c>
      <c r="T244" s="261" t="s">
        <v>3535</v>
      </c>
      <c r="U244" s="261" t="s">
        <v>3606</v>
      </c>
      <c r="V244" t="s">
        <v>42</v>
      </c>
    </row>
    <row r="245" spans="1:22" ht="15.75" thickBot="1" x14ac:dyDescent="0.3">
      <c r="A245" s="93" t="s">
        <v>1932</v>
      </c>
      <c r="B245" s="93" t="s">
        <v>1932</v>
      </c>
      <c r="C245" s="82" t="str">
        <f t="shared" si="15"/>
        <v>X</v>
      </c>
      <c r="D245" s="82" t="s">
        <v>42</v>
      </c>
      <c r="E245" s="142" t="s">
        <v>1581</v>
      </c>
      <c r="F245" s="394" t="str">
        <f t="shared" si="18"/>
        <v>Pneus usados</v>
      </c>
      <c r="G245" s="125" t="s">
        <v>42</v>
      </c>
      <c r="H245" s="133">
        <v>18.48</v>
      </c>
      <c r="I245" s="125" t="s">
        <v>1532</v>
      </c>
      <c r="J245" s="139">
        <f t="shared" si="16"/>
        <v>18480</v>
      </c>
      <c r="K245" s="139" t="s">
        <v>484</v>
      </c>
      <c r="L245" s="238" t="str">
        <f t="shared" si="17"/>
        <v>Reciclagem</v>
      </c>
      <c r="M245" s="238" t="s">
        <v>1681</v>
      </c>
      <c r="N245" s="238" t="s">
        <v>1922</v>
      </c>
      <c r="O245" s="114" t="str">
        <f>IFERROR(INDEX(Tabela3[Tipos de Tratamento],MATCH('A3.9.1 copy'!K245,Tabela3[Código],0)),"")</f>
        <v>Acumulação de resíduos destinados a uma das operações enumeradas de R1 a R12</v>
      </c>
      <c r="P245" s="91" t="s">
        <v>3193</v>
      </c>
      <c r="Q245" s="91" t="s">
        <v>3193</v>
      </c>
      <c r="R245" s="93"/>
      <c r="S245">
        <v>2022</v>
      </c>
      <c r="T245" s="261" t="s">
        <v>3535</v>
      </c>
      <c r="U245" s="261" t="s">
        <v>3606</v>
      </c>
      <c r="V245" t="s">
        <v>42</v>
      </c>
    </row>
    <row r="246" spans="1:22" ht="15.75" thickBot="1" x14ac:dyDescent="0.3">
      <c r="A246" s="93" t="s">
        <v>1932</v>
      </c>
      <c r="B246" s="93" t="s">
        <v>1932</v>
      </c>
      <c r="C246" s="82" t="str">
        <f t="shared" si="15"/>
        <v>X</v>
      </c>
      <c r="D246" s="82" t="s">
        <v>42</v>
      </c>
      <c r="E246" s="142" t="s">
        <v>1874</v>
      </c>
      <c r="F246" s="394" t="str">
        <f t="shared" si="18"/>
        <v>Filtros de óleo</v>
      </c>
      <c r="G246" s="125" t="s">
        <v>34</v>
      </c>
      <c r="H246" s="133">
        <v>0.70399999999999996</v>
      </c>
      <c r="I246" s="125" t="s">
        <v>1532</v>
      </c>
      <c r="J246" s="139">
        <f t="shared" si="16"/>
        <v>704</v>
      </c>
      <c r="K246" s="139" t="s">
        <v>484</v>
      </c>
      <c r="L246" s="238" t="str">
        <f t="shared" si="17"/>
        <v>Reciclagem</v>
      </c>
      <c r="M246" s="238" t="s">
        <v>1920</v>
      </c>
      <c r="N246" s="238" t="s">
        <v>1911</v>
      </c>
      <c r="O246" s="114" t="str">
        <f>IFERROR(INDEX(Tabela3[Tipos de Tratamento],MATCH('A3.9.1 copy'!K246,Tabela3[Código],0)),"")</f>
        <v>Acumulação de resíduos destinados a uma das operações enumeradas de R1 a R12</v>
      </c>
      <c r="P246" s="91" t="s">
        <v>3198</v>
      </c>
      <c r="Q246" s="91" t="s">
        <v>3198</v>
      </c>
      <c r="S246">
        <v>2022</v>
      </c>
      <c r="T246" s="261" t="s">
        <v>3535</v>
      </c>
      <c r="U246" s="261" t="s">
        <v>3606</v>
      </c>
      <c r="V246" t="s">
        <v>42</v>
      </c>
    </row>
    <row r="247" spans="1:22" ht="15.75" thickBot="1" x14ac:dyDescent="0.3">
      <c r="A247" s="93" t="s">
        <v>1932</v>
      </c>
      <c r="B247" s="93" t="s">
        <v>1932</v>
      </c>
      <c r="C247" s="82" t="str">
        <f t="shared" si="15"/>
        <v>X</v>
      </c>
      <c r="D247" s="82" t="s">
        <v>42</v>
      </c>
      <c r="E247" s="142" t="s">
        <v>1875</v>
      </c>
      <c r="F247" s="394" t="str">
        <f t="shared" si="18"/>
        <v>Pastilhas de travões não abrangidas em 16 01 11</v>
      </c>
      <c r="G247" s="125" t="s">
        <v>42</v>
      </c>
      <c r="H247" s="133">
        <v>0.27400000000000002</v>
      </c>
      <c r="I247" s="125" t="s">
        <v>1532</v>
      </c>
      <c r="J247" s="139">
        <f t="shared" si="16"/>
        <v>274</v>
      </c>
      <c r="K247" s="139" t="s">
        <v>483</v>
      </c>
      <c r="L247" s="238" t="str">
        <f t="shared" si="17"/>
        <v>Reciclagem</v>
      </c>
      <c r="M247" s="238" t="s">
        <v>1557</v>
      </c>
      <c r="N247" s="238" t="s">
        <v>1922</v>
      </c>
      <c r="O247" s="114" t="str">
        <f>IFERROR(INDEX(Tabela3[Tipos de Tratamento],MATCH('A3.9.1 copy'!K247,Tabela3[Código],0)),"")</f>
        <v xml:space="preserve">Troca de resíduos com vista a submetê-los a uma das operações enumeradas de R 1 a R 11 </v>
      </c>
      <c r="P247" s="91" t="s">
        <v>3198</v>
      </c>
      <c r="Q247" s="91" t="s">
        <v>3198</v>
      </c>
      <c r="S247">
        <v>2022</v>
      </c>
      <c r="T247" s="261" t="s">
        <v>3535</v>
      </c>
      <c r="U247" s="261" t="s">
        <v>3606</v>
      </c>
      <c r="V247" t="s">
        <v>42</v>
      </c>
    </row>
    <row r="248" spans="1:22" ht="15.75" thickBot="1" x14ac:dyDescent="0.3">
      <c r="A248" s="93" t="s">
        <v>1932</v>
      </c>
      <c r="B248" s="93" t="s">
        <v>1932</v>
      </c>
      <c r="C248" s="82" t="str">
        <f t="shared" si="15"/>
        <v>X</v>
      </c>
      <c r="D248" s="82" t="s">
        <v>42</v>
      </c>
      <c r="E248" s="319" t="s">
        <v>3206</v>
      </c>
      <c r="F248" s="324" t="s">
        <v>3277</v>
      </c>
      <c r="G248" s="125" t="s">
        <v>34</v>
      </c>
      <c r="H248" s="133">
        <v>0.36499999999999999</v>
      </c>
      <c r="I248" s="125" t="s">
        <v>1532</v>
      </c>
      <c r="J248" s="139">
        <f t="shared" si="16"/>
        <v>365</v>
      </c>
      <c r="K248" s="139" t="s">
        <v>509</v>
      </c>
      <c r="L248" s="238" t="str">
        <f t="shared" si="17"/>
        <v>Aterro</v>
      </c>
      <c r="M248" s="238" t="s">
        <v>1920</v>
      </c>
      <c r="N248" s="238" t="s">
        <v>1911</v>
      </c>
      <c r="O248" s="114" t="str">
        <f>IFERROR(INDEX(Tabela3[Tipos de Tratamento],MATCH('A3.9.1 copy'!K248,Tabela3[Código],0)),"")</f>
        <v>Armazenagem enquanto se aguarda a execução de uma das operações enumeradas de D1 a D14</v>
      </c>
      <c r="P248" s="91" t="s">
        <v>3198</v>
      </c>
      <c r="Q248" s="91" t="s">
        <v>3198</v>
      </c>
      <c r="S248">
        <v>2022</v>
      </c>
      <c r="T248" s="261" t="s">
        <v>3535</v>
      </c>
      <c r="U248" s="261" t="s">
        <v>3606</v>
      </c>
      <c r="V248" t="s">
        <v>42</v>
      </c>
    </row>
    <row r="249" spans="1:22" ht="15.75" thickBot="1" x14ac:dyDescent="0.3">
      <c r="A249" s="93" t="s">
        <v>1932</v>
      </c>
      <c r="B249" s="93" t="s">
        <v>1932</v>
      </c>
      <c r="C249" s="82" t="str">
        <f t="shared" si="15"/>
        <v>X</v>
      </c>
      <c r="D249" s="82" t="s">
        <v>42</v>
      </c>
      <c r="E249" s="142" t="s">
        <v>1876</v>
      </c>
      <c r="F249" s="394" t="str">
        <f t="shared" ref="F249:F260" si="19">INDEX($F$3:$F$227,MATCH(E249,$E$3:$E$227,0))</f>
        <v>Metais ferrosos</v>
      </c>
      <c r="G249" s="125" t="s">
        <v>42</v>
      </c>
      <c r="H249" s="133">
        <v>4.84</v>
      </c>
      <c r="I249" s="125" t="s">
        <v>1532</v>
      </c>
      <c r="J249" s="139">
        <f t="shared" si="16"/>
        <v>4840</v>
      </c>
      <c r="K249" s="139" t="s">
        <v>483</v>
      </c>
      <c r="L249" s="238" t="str">
        <f t="shared" si="17"/>
        <v>Reciclagem</v>
      </c>
      <c r="M249" s="238" t="s">
        <v>1557</v>
      </c>
      <c r="N249" s="238" t="s">
        <v>1922</v>
      </c>
      <c r="O249" s="114" t="str">
        <f>IFERROR(INDEX(Tabela3[Tipos de Tratamento],MATCH('A3.9.1 copy'!K249,Tabela3[Código],0)),"")</f>
        <v xml:space="preserve">Troca de resíduos com vista a submetê-los a uma das operações enumeradas de R 1 a R 11 </v>
      </c>
      <c r="P249" s="91" t="s">
        <v>3209</v>
      </c>
      <c r="Q249" s="91" t="s">
        <v>3210</v>
      </c>
      <c r="R249" s="93"/>
      <c r="S249">
        <v>2022</v>
      </c>
      <c r="T249" s="261" t="s">
        <v>3535</v>
      </c>
      <c r="U249" s="261" t="s">
        <v>3606</v>
      </c>
      <c r="V249" t="s">
        <v>42</v>
      </c>
    </row>
    <row r="250" spans="1:22" ht="15.75" thickBot="1" x14ac:dyDescent="0.3">
      <c r="A250" s="93" t="s">
        <v>1932</v>
      </c>
      <c r="B250" s="93" t="s">
        <v>1932</v>
      </c>
      <c r="C250" s="82" t="str">
        <f t="shared" si="15"/>
        <v>X</v>
      </c>
      <c r="D250" s="82" t="s">
        <v>42</v>
      </c>
      <c r="E250" s="142" t="s">
        <v>1876</v>
      </c>
      <c r="F250" s="394" t="str">
        <f t="shared" si="19"/>
        <v>Metais ferrosos</v>
      </c>
      <c r="G250" s="125" t="s">
        <v>42</v>
      </c>
      <c r="H250" s="133">
        <v>4.84</v>
      </c>
      <c r="I250" s="125" t="s">
        <v>1532</v>
      </c>
      <c r="J250" s="139">
        <f t="shared" si="16"/>
        <v>4840</v>
      </c>
      <c r="K250" s="139" t="s">
        <v>484</v>
      </c>
      <c r="L250" s="238" t="str">
        <f t="shared" si="17"/>
        <v>Reciclagem</v>
      </c>
      <c r="M250" s="238" t="s">
        <v>1557</v>
      </c>
      <c r="N250" s="238" t="s">
        <v>1922</v>
      </c>
      <c r="O250" s="114" t="str">
        <f>IFERROR(INDEX(Tabela3[Tipos de Tratamento],MATCH('A3.9.1 copy'!K250,Tabela3[Código],0)),"")</f>
        <v>Acumulação de resíduos destinados a uma das operações enumeradas de R1 a R12</v>
      </c>
      <c r="P250" s="91" t="s">
        <v>3209</v>
      </c>
      <c r="Q250" s="91" t="s">
        <v>3210</v>
      </c>
      <c r="R250" s="93"/>
      <c r="S250">
        <v>2022</v>
      </c>
      <c r="T250" s="261" t="s">
        <v>3535</v>
      </c>
      <c r="U250" s="261" t="s">
        <v>3606</v>
      </c>
      <c r="V250" t="s">
        <v>42</v>
      </c>
    </row>
    <row r="251" spans="1:22" ht="15.75" thickBot="1" x14ac:dyDescent="0.3">
      <c r="A251" s="93" t="s">
        <v>1932</v>
      </c>
      <c r="B251" s="93" t="s">
        <v>1932</v>
      </c>
      <c r="C251" s="82" t="str">
        <f t="shared" si="15"/>
        <v>X</v>
      </c>
      <c r="D251" s="82" t="s">
        <v>42</v>
      </c>
      <c r="E251" s="142" t="s">
        <v>1587</v>
      </c>
      <c r="F251" s="394" t="str">
        <f t="shared" si="19"/>
        <v>Vidro</v>
      </c>
      <c r="G251" s="125" t="s">
        <v>42</v>
      </c>
      <c r="H251" s="133">
        <v>0.376</v>
      </c>
      <c r="I251" s="125" t="s">
        <v>1532</v>
      </c>
      <c r="J251" s="139">
        <f t="shared" si="16"/>
        <v>376</v>
      </c>
      <c r="K251" s="139" t="s">
        <v>483</v>
      </c>
      <c r="L251" s="238" t="str">
        <f t="shared" si="17"/>
        <v>Reciclagem</v>
      </c>
      <c r="M251" s="238" t="s">
        <v>1561</v>
      </c>
      <c r="N251" s="238" t="s">
        <v>1922</v>
      </c>
      <c r="O251" s="114" t="str">
        <f>IFERROR(INDEX(Tabela3[Tipos de Tratamento],MATCH('A3.9.1 copy'!K251,Tabela3[Código],0)),"")</f>
        <v xml:space="preserve">Troca de resíduos com vista a submetê-los a uma das operações enumeradas de R 1 a R 11 </v>
      </c>
      <c r="P251" s="91" t="s">
        <v>3198</v>
      </c>
      <c r="Q251" s="91" t="s">
        <v>3198</v>
      </c>
      <c r="S251">
        <v>2022</v>
      </c>
      <c r="T251" s="261" t="s">
        <v>3535</v>
      </c>
      <c r="U251" s="261" t="s">
        <v>3606</v>
      </c>
      <c r="V251" t="s">
        <v>42</v>
      </c>
    </row>
    <row r="252" spans="1:22" ht="15.75" thickBot="1" x14ac:dyDescent="0.3">
      <c r="A252" t="s">
        <v>1932</v>
      </c>
      <c r="B252" t="s">
        <v>1932</v>
      </c>
      <c r="C252" s="82" t="str">
        <f t="shared" si="15"/>
        <v>X</v>
      </c>
      <c r="D252" s="82" t="s">
        <v>42</v>
      </c>
      <c r="E252" s="142" t="s">
        <v>1878</v>
      </c>
      <c r="F252" s="146" t="str">
        <f t="shared" si="19"/>
        <v>Componentes perigosos não abrangidos em 16 01 07 a 16 01 11, 16 01 13 e 16 01 14</v>
      </c>
      <c r="G252" s="125" t="s">
        <v>34</v>
      </c>
      <c r="H252" s="133">
        <v>1.395</v>
      </c>
      <c r="I252" s="125" t="s">
        <v>1532</v>
      </c>
      <c r="J252" s="139">
        <f t="shared" si="16"/>
        <v>1395</v>
      </c>
      <c r="K252" s="139" t="s">
        <v>484</v>
      </c>
      <c r="L252" s="238" t="str">
        <f t="shared" si="17"/>
        <v>Reciclagem</v>
      </c>
      <c r="M252" s="238" t="s">
        <v>1920</v>
      </c>
      <c r="N252" s="238" t="s">
        <v>1911</v>
      </c>
      <c r="O252" s="114" t="str">
        <f>IFERROR(INDEX(Tabela3[Tipos de Tratamento],MATCH('A3.9.1 copy'!K252,Tabela3[Código],0)),"")</f>
        <v>Acumulação de resíduos destinados a uma das operações enumeradas de R1 a R12</v>
      </c>
      <c r="P252" s="91" t="s">
        <v>3198</v>
      </c>
      <c r="Q252" s="91" t="s">
        <v>3198</v>
      </c>
      <c r="S252">
        <v>2022</v>
      </c>
      <c r="T252" s="261" t="s">
        <v>3535</v>
      </c>
      <c r="U252" s="261" t="s">
        <v>3606</v>
      </c>
      <c r="V252" t="s">
        <v>42</v>
      </c>
    </row>
    <row r="253" spans="1:22" ht="15.75" thickBot="1" x14ac:dyDescent="0.3">
      <c r="A253" t="s">
        <v>1932</v>
      </c>
      <c r="B253" t="s">
        <v>1932</v>
      </c>
      <c r="C253" s="82" t="str">
        <f t="shared" si="15"/>
        <v>X</v>
      </c>
      <c r="D253" s="82" t="s">
        <v>42</v>
      </c>
      <c r="E253" s="142" t="s">
        <v>1879</v>
      </c>
      <c r="F253" s="146" t="str">
        <f t="shared" si="19"/>
        <v>Resíduos sem outras especificações</v>
      </c>
      <c r="G253" s="125" t="s">
        <v>42</v>
      </c>
      <c r="H253" s="133">
        <v>1.3380000000000001</v>
      </c>
      <c r="I253" s="125" t="s">
        <v>1532</v>
      </c>
      <c r="J253" s="139">
        <f t="shared" si="16"/>
        <v>1338</v>
      </c>
      <c r="K253" s="139" t="s">
        <v>483</v>
      </c>
      <c r="L253" s="238" t="str">
        <f t="shared" si="17"/>
        <v>Reciclagem</v>
      </c>
      <c r="M253" s="238" t="s">
        <v>1920</v>
      </c>
      <c r="N253" s="238" t="s">
        <v>1911</v>
      </c>
      <c r="O253" s="114" t="str">
        <f>IFERROR(INDEX(Tabela3[Tipos de Tratamento],MATCH('A3.9.1 copy'!K253,Tabela3[Código],0)),"")</f>
        <v xml:space="preserve">Troca de resíduos com vista a submetê-los a uma das operações enumeradas de R 1 a R 11 </v>
      </c>
      <c r="P253" s="91" t="s">
        <v>3198</v>
      </c>
      <c r="Q253" s="91" t="s">
        <v>3198</v>
      </c>
      <c r="S253">
        <v>2022</v>
      </c>
      <c r="T253" s="261" t="s">
        <v>3535</v>
      </c>
      <c r="U253" s="261" t="s">
        <v>3606</v>
      </c>
      <c r="V253" t="s">
        <v>42</v>
      </c>
    </row>
    <row r="254" spans="1:22" ht="15.75" thickBot="1" x14ac:dyDescent="0.3">
      <c r="A254" s="93" t="s">
        <v>1932</v>
      </c>
      <c r="B254" s="93" t="s">
        <v>1932</v>
      </c>
      <c r="C254" s="82" t="str">
        <f t="shared" si="15"/>
        <v>X</v>
      </c>
      <c r="D254" s="82" t="s">
        <v>42</v>
      </c>
      <c r="E254" s="142" t="s">
        <v>1880</v>
      </c>
      <c r="F254" s="394" t="str">
        <f t="shared" si="19"/>
        <v>Acumuladores de chumbo</v>
      </c>
      <c r="G254" s="125" t="s">
        <v>34</v>
      </c>
      <c r="H254" s="133">
        <v>3.1150000000000002</v>
      </c>
      <c r="I254" s="125" t="s">
        <v>1532</v>
      </c>
      <c r="J254" s="139">
        <f t="shared" si="16"/>
        <v>3115</v>
      </c>
      <c r="K254" s="139" t="s">
        <v>483</v>
      </c>
      <c r="L254" s="238" t="str">
        <f t="shared" si="17"/>
        <v>Reciclagem</v>
      </c>
      <c r="M254" s="238" t="s">
        <v>1653</v>
      </c>
      <c r="N254" s="238" t="s">
        <v>1896</v>
      </c>
      <c r="O254" s="114" t="str">
        <f>IFERROR(INDEX(Tabela3[Tipos de Tratamento],MATCH('A3.9.1 copy'!K254,Tabela3[Código],0)),"")</f>
        <v xml:space="preserve">Troca de resíduos com vista a submetê-los a uma das operações enumeradas de R 1 a R 11 </v>
      </c>
      <c r="P254" s="91" t="s">
        <v>3211</v>
      </c>
      <c r="Q254" s="91" t="s">
        <v>3210</v>
      </c>
      <c r="R254" s="93"/>
      <c r="S254">
        <v>2022</v>
      </c>
      <c r="T254" s="261" t="s">
        <v>3535</v>
      </c>
      <c r="U254" s="261" t="s">
        <v>3606</v>
      </c>
      <c r="V254" t="s">
        <v>42</v>
      </c>
    </row>
    <row r="255" spans="1:22" ht="15.75" thickBot="1" x14ac:dyDescent="0.3">
      <c r="A255" s="93" t="s">
        <v>1932</v>
      </c>
      <c r="B255" s="93" t="s">
        <v>1932</v>
      </c>
      <c r="C255" s="82" t="str">
        <f t="shared" si="15"/>
        <v>X</v>
      </c>
      <c r="D255" s="82" t="s">
        <v>42</v>
      </c>
      <c r="E255" s="142" t="s">
        <v>1880</v>
      </c>
      <c r="F255" s="394" t="str">
        <f t="shared" si="19"/>
        <v>Acumuladores de chumbo</v>
      </c>
      <c r="G255" s="125" t="s">
        <v>34</v>
      </c>
      <c r="H255" s="133">
        <v>3.1150000000000002</v>
      </c>
      <c r="I255" s="125" t="s">
        <v>1532</v>
      </c>
      <c r="J255" s="139">
        <f t="shared" si="16"/>
        <v>3115</v>
      </c>
      <c r="K255" s="139" t="s">
        <v>484</v>
      </c>
      <c r="L255" s="238" t="str">
        <f t="shared" si="17"/>
        <v>Reciclagem</v>
      </c>
      <c r="M255" s="238" t="s">
        <v>1653</v>
      </c>
      <c r="N255" s="238" t="s">
        <v>1896</v>
      </c>
      <c r="O255" s="114" t="str">
        <f>IFERROR(INDEX(Tabela3[Tipos de Tratamento],MATCH('A3.9.1 copy'!K255,Tabela3[Código],0)),"")</f>
        <v>Acumulação de resíduos destinados a uma das operações enumeradas de R1 a R12</v>
      </c>
      <c r="P255" s="91" t="s">
        <v>3211</v>
      </c>
      <c r="Q255" s="91" t="s">
        <v>3210</v>
      </c>
      <c r="R255" s="93"/>
      <c r="S255">
        <v>2022</v>
      </c>
      <c r="T255" s="261" t="s">
        <v>3535</v>
      </c>
      <c r="U255" s="261" t="s">
        <v>3606</v>
      </c>
      <c r="V255" t="s">
        <v>42</v>
      </c>
    </row>
    <row r="256" spans="1:22" ht="15.75" thickBot="1" x14ac:dyDescent="0.3">
      <c r="A256" s="93" t="s">
        <v>1932</v>
      </c>
      <c r="B256" s="93" t="s">
        <v>1932</v>
      </c>
      <c r="C256" s="82" t="str">
        <f t="shared" si="15"/>
        <v>X</v>
      </c>
      <c r="D256" s="82" t="s">
        <v>42</v>
      </c>
      <c r="E256" s="142" t="s">
        <v>1884</v>
      </c>
      <c r="F256" s="394" t="str">
        <f t="shared" si="19"/>
        <v>Lâmpadas fluorescentes e outros resíduos contendo mercúrio)</v>
      </c>
      <c r="G256" s="125" t="s">
        <v>34</v>
      </c>
      <c r="H256" s="133">
        <v>2.5999999999999999E-2</v>
      </c>
      <c r="I256" s="125" t="s">
        <v>1532</v>
      </c>
      <c r="J256" s="139">
        <f t="shared" si="16"/>
        <v>26</v>
      </c>
      <c r="K256" s="139" t="s">
        <v>484</v>
      </c>
      <c r="L256" s="238" t="str">
        <f t="shared" si="17"/>
        <v>Reciclagem</v>
      </c>
      <c r="M256" s="238" t="s">
        <v>1920</v>
      </c>
      <c r="N256" s="238" t="s">
        <v>1911</v>
      </c>
      <c r="O256" s="114" t="str">
        <f>IFERROR(INDEX(Tabela3[Tipos de Tratamento],MATCH('A3.9.1 copy'!K256,Tabela3[Código],0)),"")</f>
        <v>Acumulação de resíduos destinados a uma das operações enumeradas de R1 a R12</v>
      </c>
      <c r="P256" s="91" t="s">
        <v>3198</v>
      </c>
      <c r="Q256" s="91" t="s">
        <v>3198</v>
      </c>
      <c r="R256" s="93"/>
      <c r="S256">
        <v>2022</v>
      </c>
      <c r="T256" s="261" t="s">
        <v>3535</v>
      </c>
      <c r="U256" s="261" t="s">
        <v>3606</v>
      </c>
      <c r="V256" t="s">
        <v>42</v>
      </c>
    </row>
    <row r="257" spans="1:22" ht="15.75" thickBot="1" x14ac:dyDescent="0.3">
      <c r="A257" s="93" t="s">
        <v>1932</v>
      </c>
      <c r="B257" s="93" t="s">
        <v>1932</v>
      </c>
      <c r="C257" s="82" t="str">
        <f t="shared" si="15"/>
        <v>X</v>
      </c>
      <c r="D257" s="82" t="s">
        <v>42</v>
      </c>
      <c r="E257" s="142" t="s">
        <v>1886</v>
      </c>
      <c r="F257" s="394" t="str">
        <f t="shared" si="19"/>
        <v>Equipamento elétrico e eletrónico fora de uso não abrangido em 20 01 21, 20 01 23 ou 20 01 35</v>
      </c>
      <c r="G257" s="125" t="s">
        <v>42</v>
      </c>
      <c r="H257" s="133">
        <v>0.19400000000000001</v>
      </c>
      <c r="I257" s="125" t="s">
        <v>1532</v>
      </c>
      <c r="J257" s="139">
        <f t="shared" si="16"/>
        <v>194</v>
      </c>
      <c r="K257" s="139" t="s">
        <v>483</v>
      </c>
      <c r="L257" s="238" t="str">
        <f t="shared" si="17"/>
        <v>Reciclagem</v>
      </c>
      <c r="M257" s="238" t="s">
        <v>1928</v>
      </c>
      <c r="N257" s="238" t="s">
        <v>1896</v>
      </c>
      <c r="O257" s="114" t="str">
        <f>IFERROR(INDEX(Tabela3[Tipos de Tratamento],MATCH('A3.9.1 copy'!K257,Tabela3[Código],0)),"")</f>
        <v xml:space="preserve">Troca de resíduos com vista a submetê-los a uma das operações enumeradas de R 1 a R 11 </v>
      </c>
      <c r="P257" s="91" t="s">
        <v>3198</v>
      </c>
      <c r="Q257" s="91" t="s">
        <v>3198</v>
      </c>
      <c r="S257">
        <v>2022</v>
      </c>
      <c r="T257" s="261" t="s">
        <v>3535</v>
      </c>
      <c r="U257" s="261" t="s">
        <v>3606</v>
      </c>
      <c r="V257" t="s">
        <v>42</v>
      </c>
    </row>
    <row r="258" spans="1:22" ht="15.75" thickBot="1" x14ac:dyDescent="0.3">
      <c r="A258" s="93" t="s">
        <v>1932</v>
      </c>
      <c r="B258" s="93" t="s">
        <v>1932</v>
      </c>
      <c r="C258" s="82" t="str">
        <f t="shared" si="15"/>
        <v>X</v>
      </c>
      <c r="D258" s="82" t="s">
        <v>42</v>
      </c>
      <c r="E258" s="142" t="s">
        <v>1609</v>
      </c>
      <c r="F258" s="394" t="str">
        <f t="shared" si="19"/>
        <v>Misturas de resíduos urbanos equiparados</v>
      </c>
      <c r="G258" s="125" t="s">
        <v>42</v>
      </c>
      <c r="H258" s="133">
        <v>15.3</v>
      </c>
      <c r="I258" s="125" t="s">
        <v>1532</v>
      </c>
      <c r="J258" s="139">
        <f t="shared" si="16"/>
        <v>15300</v>
      </c>
      <c r="K258" s="139" t="s">
        <v>483</v>
      </c>
      <c r="L258" s="238" t="str">
        <f t="shared" si="17"/>
        <v>Reciclagem</v>
      </c>
      <c r="M258" s="238" t="s">
        <v>1927</v>
      </c>
      <c r="N258" s="238" t="s">
        <v>1911</v>
      </c>
      <c r="O258" s="114" t="str">
        <f>IFERROR(INDEX(Tabela3[Tipos de Tratamento],MATCH('A3.9.1 copy'!K258,Tabela3[Código],0)),"")</f>
        <v xml:space="preserve">Troca de resíduos com vista a submetê-los a uma das operações enumeradas de R 1 a R 11 </v>
      </c>
      <c r="P258" s="91" t="s">
        <v>3198</v>
      </c>
      <c r="Q258" s="91" t="s">
        <v>3208</v>
      </c>
      <c r="R258" s="93"/>
      <c r="S258">
        <v>2022</v>
      </c>
      <c r="T258" s="261" t="s">
        <v>3535</v>
      </c>
      <c r="U258" s="261" t="s">
        <v>3606</v>
      </c>
      <c r="V258" t="s">
        <v>42</v>
      </c>
    </row>
    <row r="259" spans="1:22" ht="15.75" thickBot="1" x14ac:dyDescent="0.3">
      <c r="A259" s="93" t="s">
        <v>1932</v>
      </c>
      <c r="B259" s="93" t="s">
        <v>1932</v>
      </c>
      <c r="C259" s="82" t="str">
        <f t="shared" ref="C259:C322" si="20">IF(A259=B259,"X",RIGHT(A259,LEN(A259)-LEN(B259)-3))</f>
        <v>X</v>
      </c>
      <c r="D259" s="82" t="s">
        <v>42</v>
      </c>
      <c r="E259" s="142" t="s">
        <v>1609</v>
      </c>
      <c r="F259" s="394" t="str">
        <f t="shared" si="19"/>
        <v>Misturas de resíduos urbanos equiparados</v>
      </c>
      <c r="G259" s="125" t="s">
        <v>42</v>
      </c>
      <c r="H259" s="133">
        <v>15.3</v>
      </c>
      <c r="I259" s="125" t="s">
        <v>1532</v>
      </c>
      <c r="J259" s="139">
        <f t="shared" ref="J259:J322" si="21">IF(LEFT(I259,3)="ton",1000*H259,H259)</f>
        <v>15300</v>
      </c>
      <c r="K259" s="139" t="s">
        <v>483</v>
      </c>
      <c r="L259" s="238" t="str">
        <f t="shared" ref="L259:L322" si="22">IF(LEFT(K259,1)="R","Reciclagem",IF(OR(K259="D10",K259="D11"),"Iceneração","Aterro"))</f>
        <v>Reciclagem</v>
      </c>
      <c r="M259" s="238" t="s">
        <v>1927</v>
      </c>
      <c r="N259" s="238" t="s">
        <v>1911</v>
      </c>
      <c r="O259" s="114" t="str">
        <f>IFERROR(INDEX(Tabela3[Tipos de Tratamento],MATCH('A3.9.1 copy'!K259,Tabela3[Código],0)),"")</f>
        <v xml:space="preserve">Troca de resíduos com vista a submetê-los a uma das operações enumeradas de R 1 a R 11 </v>
      </c>
      <c r="P259" s="91" t="s">
        <v>3198</v>
      </c>
      <c r="Q259" s="91" t="s">
        <v>3207</v>
      </c>
      <c r="R259" s="93"/>
      <c r="S259">
        <v>2022</v>
      </c>
      <c r="T259" s="261" t="s">
        <v>3535</v>
      </c>
      <c r="U259" s="261" t="s">
        <v>3606</v>
      </c>
      <c r="V259" t="s">
        <v>42</v>
      </c>
    </row>
    <row r="260" spans="1:22" ht="15.75" thickBot="1" x14ac:dyDescent="0.3">
      <c r="A260" s="93" t="s">
        <v>1932</v>
      </c>
      <c r="B260" s="93" t="s">
        <v>1932</v>
      </c>
      <c r="C260" s="82" t="str">
        <f t="shared" si="20"/>
        <v>X</v>
      </c>
      <c r="D260" s="82" t="s">
        <v>42</v>
      </c>
      <c r="E260" s="142" t="s">
        <v>1867</v>
      </c>
      <c r="F260" s="394" t="str">
        <f t="shared" si="19"/>
        <v>Água com óleo proveniente dos separadores óleo/água</v>
      </c>
      <c r="G260" s="125" t="s">
        <v>34</v>
      </c>
      <c r="H260" s="133">
        <v>2.4</v>
      </c>
      <c r="I260" s="125" t="s">
        <v>1532</v>
      </c>
      <c r="J260" s="139">
        <f t="shared" si="21"/>
        <v>2400</v>
      </c>
      <c r="K260" s="139" t="s">
        <v>503</v>
      </c>
      <c r="L260" s="238" t="str">
        <f t="shared" si="22"/>
        <v>Aterro</v>
      </c>
      <c r="M260" s="238" t="s">
        <v>1920</v>
      </c>
      <c r="N260" s="238" t="s">
        <v>1911</v>
      </c>
      <c r="O260" s="114" t="str">
        <f>IFERROR(INDEX(Tabela3[Tipos de Tratamento],MATCH('A3.9.1 copy'!K260,Tabela3[Código],0)),"")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260" s="91" t="s">
        <v>3198</v>
      </c>
      <c r="Q260" s="91" t="s">
        <v>3198</v>
      </c>
      <c r="R260" s="93"/>
      <c r="S260">
        <v>2022</v>
      </c>
      <c r="T260" s="261" t="s">
        <v>3535</v>
      </c>
      <c r="U260" s="261" t="s">
        <v>3606</v>
      </c>
      <c r="V260" t="s">
        <v>42</v>
      </c>
    </row>
    <row r="261" spans="1:22" ht="15.75" thickBot="1" x14ac:dyDescent="0.3">
      <c r="A261" s="82" t="s">
        <v>3212</v>
      </c>
      <c r="B261" s="82" t="s">
        <v>1935</v>
      </c>
      <c r="C261" s="82" t="str">
        <f t="shared" si="20"/>
        <v>Ponte Sor (APA00067113)</v>
      </c>
      <c r="D261" s="82" t="s">
        <v>42</v>
      </c>
      <c r="E261" s="142" t="s">
        <v>1865</v>
      </c>
      <c r="F261" s="83" t="s">
        <v>1531</v>
      </c>
      <c r="G261" s="125" t="s">
        <v>34</v>
      </c>
      <c r="H261" s="133">
        <v>0.51300000000000001</v>
      </c>
      <c r="I261" s="125" t="s">
        <v>1532</v>
      </c>
      <c r="J261" s="139">
        <f t="shared" si="21"/>
        <v>513</v>
      </c>
      <c r="K261" s="139" t="s">
        <v>483</v>
      </c>
      <c r="L261" s="238" t="str">
        <f t="shared" si="22"/>
        <v>Reciclagem</v>
      </c>
      <c r="M261" s="238" t="s">
        <v>1921</v>
      </c>
      <c r="N261" s="238" t="s">
        <v>1896</v>
      </c>
      <c r="O261" s="114" t="str">
        <f>IFERROR(INDEX(Tabela3[Tipos de Tratamento],MATCH('A3.9.1 copy'!K261,Tabela3[Código],0)),"")</f>
        <v xml:space="preserve">Troca de resíduos com vista a submetê-los a uma das operações enumeradas de R 1 a R 11 </v>
      </c>
      <c r="P261" s="91" t="s">
        <v>1539</v>
      </c>
      <c r="Q261" s="91" t="s">
        <v>1539</v>
      </c>
      <c r="S261">
        <v>2022</v>
      </c>
      <c r="T261" s="261" t="s">
        <v>3535</v>
      </c>
      <c r="U261" s="261" t="s">
        <v>3606</v>
      </c>
      <c r="V261" t="s">
        <v>42</v>
      </c>
    </row>
    <row r="262" spans="1:22" ht="15.75" thickBot="1" x14ac:dyDescent="0.3">
      <c r="A262" s="82" t="s">
        <v>3212</v>
      </c>
      <c r="B262" s="82" t="s">
        <v>1935</v>
      </c>
      <c r="C262" s="82" t="str">
        <f t="shared" si="20"/>
        <v>Ponte Sor (APA00067113)</v>
      </c>
      <c r="D262" s="82" t="s">
        <v>42</v>
      </c>
      <c r="E262" s="142" t="s">
        <v>1872</v>
      </c>
      <c r="F262" s="83" t="s">
        <v>1547</v>
      </c>
      <c r="G262" s="125" t="s">
        <v>34</v>
      </c>
      <c r="H262" s="133">
        <v>0.13300000000000001</v>
      </c>
      <c r="I262" s="125" t="s">
        <v>1532</v>
      </c>
      <c r="J262" s="139">
        <f t="shared" si="21"/>
        <v>133</v>
      </c>
      <c r="K262" s="139" t="s">
        <v>484</v>
      </c>
      <c r="L262" s="238" t="str">
        <f t="shared" si="22"/>
        <v>Reciclagem</v>
      </c>
      <c r="M262" s="238" t="s">
        <v>1920</v>
      </c>
      <c r="N262" s="238" t="s">
        <v>1911</v>
      </c>
      <c r="O262" s="114" t="str">
        <f>IFERROR(INDEX(Tabela3[Tipos de Tratamento],MATCH('A3.9.1 copy'!K262,Tabela3[Código],0)),"")</f>
        <v>Acumulação de resíduos destinados a uma das operações enumeradas de R1 a R12</v>
      </c>
      <c r="P262" s="91" t="s">
        <v>1536</v>
      </c>
      <c r="Q262" s="91" t="s">
        <v>3214</v>
      </c>
      <c r="S262">
        <v>2022</v>
      </c>
      <c r="T262" s="261" t="s">
        <v>3535</v>
      </c>
      <c r="U262" s="261" t="s">
        <v>3606</v>
      </c>
      <c r="V262" t="s">
        <v>42</v>
      </c>
    </row>
    <row r="263" spans="1:22" ht="15.75" thickBot="1" x14ac:dyDescent="0.3">
      <c r="A263" s="82" t="s">
        <v>3212</v>
      </c>
      <c r="B263" s="82" t="s">
        <v>1935</v>
      </c>
      <c r="C263" s="82" t="str">
        <f t="shared" si="20"/>
        <v>Ponte Sor (APA00067113)</v>
      </c>
      <c r="D263" s="82" t="s">
        <v>42</v>
      </c>
      <c r="E263" s="142" t="s">
        <v>1874</v>
      </c>
      <c r="F263" s="83" t="s">
        <v>1551</v>
      </c>
      <c r="G263" s="125" t="s">
        <v>34</v>
      </c>
      <c r="H263" s="133">
        <v>6.5000000000000002E-2</v>
      </c>
      <c r="I263" s="125" t="s">
        <v>1532</v>
      </c>
      <c r="J263" s="139">
        <f t="shared" si="21"/>
        <v>65</v>
      </c>
      <c r="K263" s="139" t="s">
        <v>484</v>
      </c>
      <c r="L263" s="238" t="str">
        <f t="shared" si="22"/>
        <v>Reciclagem</v>
      </c>
      <c r="M263" s="238" t="s">
        <v>1920</v>
      </c>
      <c r="N263" s="238" t="s">
        <v>1911</v>
      </c>
      <c r="O263" s="114" t="str">
        <f>IFERROR(INDEX(Tabela3[Tipos de Tratamento],MATCH('A3.9.1 copy'!K263,Tabela3[Código],0)),"")</f>
        <v>Acumulação de resíduos destinados a uma das operações enumeradas de R1 a R12</v>
      </c>
      <c r="P263" s="91" t="s">
        <v>1536</v>
      </c>
      <c r="Q263" s="91" t="s">
        <v>3214</v>
      </c>
      <c r="S263">
        <v>2022</v>
      </c>
      <c r="T263" s="261" t="s">
        <v>3535</v>
      </c>
      <c r="U263" s="261" t="s">
        <v>3606</v>
      </c>
      <c r="V263" t="s">
        <v>42</v>
      </c>
    </row>
    <row r="264" spans="1:22" ht="15.75" thickBot="1" x14ac:dyDescent="0.3">
      <c r="A264" s="82" t="s">
        <v>3212</v>
      </c>
      <c r="B264" s="82" t="s">
        <v>1935</v>
      </c>
      <c r="C264" s="82" t="str">
        <f t="shared" si="20"/>
        <v>Ponte Sor (APA00067113)</v>
      </c>
      <c r="D264" s="82" t="s">
        <v>42</v>
      </c>
      <c r="E264" s="142" t="s">
        <v>1880</v>
      </c>
      <c r="F264" s="83" t="s">
        <v>1563</v>
      </c>
      <c r="G264" s="125" t="s">
        <v>34</v>
      </c>
      <c r="H264" s="133">
        <v>0.115</v>
      </c>
      <c r="I264" s="125" t="s">
        <v>1532</v>
      </c>
      <c r="J264" s="139">
        <f t="shared" si="21"/>
        <v>115</v>
      </c>
      <c r="K264" s="139" t="s">
        <v>483</v>
      </c>
      <c r="L264" s="238" t="str">
        <f t="shared" si="22"/>
        <v>Reciclagem</v>
      </c>
      <c r="M264" s="238" t="s">
        <v>1653</v>
      </c>
      <c r="N264" s="238" t="s">
        <v>1896</v>
      </c>
      <c r="O264" s="114" t="str">
        <f>IFERROR(INDEX(Tabela3[Tipos de Tratamento],MATCH('A3.9.1 copy'!K264,Tabela3[Código],0)),"")</f>
        <v xml:space="preserve">Troca de resíduos com vista a submetê-los a uma das operações enumeradas de R 1 a R 11 </v>
      </c>
      <c r="P264" s="91" t="s">
        <v>3215</v>
      </c>
      <c r="Q264" s="91" t="s">
        <v>3215</v>
      </c>
      <c r="S264">
        <v>2022</v>
      </c>
      <c r="T264" s="261" t="s">
        <v>3535</v>
      </c>
      <c r="U264" s="261" t="s">
        <v>3606</v>
      </c>
      <c r="V264" t="s">
        <v>42</v>
      </c>
    </row>
    <row r="265" spans="1:22" ht="15.75" thickBot="1" x14ac:dyDescent="0.3">
      <c r="A265" s="82" t="s">
        <v>3212</v>
      </c>
      <c r="B265" s="82" t="s">
        <v>1935</v>
      </c>
      <c r="C265" s="82" t="str">
        <f t="shared" si="20"/>
        <v>Ponte Sor (APA00067113)</v>
      </c>
      <c r="D265" s="82" t="s">
        <v>42</v>
      </c>
      <c r="E265" s="142" t="s">
        <v>1880</v>
      </c>
      <c r="F265" s="83" t="s">
        <v>1563</v>
      </c>
      <c r="G265" s="125" t="s">
        <v>34</v>
      </c>
      <c r="H265" s="133">
        <v>0.3</v>
      </c>
      <c r="I265" s="125" t="s">
        <v>1532</v>
      </c>
      <c r="J265" s="139">
        <f t="shared" si="21"/>
        <v>300</v>
      </c>
      <c r="K265" s="139" t="s">
        <v>484</v>
      </c>
      <c r="L265" s="238" t="str">
        <f t="shared" si="22"/>
        <v>Reciclagem</v>
      </c>
      <c r="M265" s="238" t="s">
        <v>1653</v>
      </c>
      <c r="N265" s="238" t="s">
        <v>1896</v>
      </c>
      <c r="O265" s="114" t="str">
        <f>IFERROR(INDEX(Tabela3[Tipos de Tratamento],MATCH('A3.9.1 copy'!K265,Tabela3[Código],0)),"")</f>
        <v>Acumulação de resíduos destinados a uma das operações enumeradas de R1 a R12</v>
      </c>
      <c r="P265" s="91" t="s">
        <v>3215</v>
      </c>
      <c r="Q265" s="91" t="s">
        <v>3215</v>
      </c>
      <c r="S265">
        <v>2022</v>
      </c>
      <c r="T265" s="261" t="s">
        <v>3535</v>
      </c>
      <c r="U265" s="261" t="s">
        <v>3606</v>
      </c>
      <c r="V265" t="s">
        <v>42</v>
      </c>
    </row>
    <row r="266" spans="1:22" ht="15.75" thickBot="1" x14ac:dyDescent="0.3">
      <c r="A266" s="82" t="s">
        <v>3213</v>
      </c>
      <c r="B266" s="82" t="s">
        <v>1935</v>
      </c>
      <c r="C266" s="82" t="str">
        <f t="shared" si="20"/>
        <v>Portalegre (APA00066454)</v>
      </c>
      <c r="D266" s="82" t="s">
        <v>42</v>
      </c>
      <c r="E266" s="142" t="s">
        <v>1590</v>
      </c>
      <c r="F266" s="83" t="s">
        <v>1591</v>
      </c>
      <c r="G266" s="125" t="s">
        <v>34</v>
      </c>
      <c r="H266" s="133">
        <v>9.8400000000000001E-2</v>
      </c>
      <c r="I266" s="125" t="s">
        <v>1532</v>
      </c>
      <c r="J266" s="139">
        <f t="shared" si="21"/>
        <v>98.4</v>
      </c>
      <c r="K266" s="139" t="s">
        <v>483</v>
      </c>
      <c r="L266" s="238" t="str">
        <f t="shared" si="22"/>
        <v>Reciclagem</v>
      </c>
      <c r="M266" s="238" t="s">
        <v>1920</v>
      </c>
      <c r="N266" s="238" t="s">
        <v>1911</v>
      </c>
      <c r="O266" s="114" t="str">
        <f>IFERROR(INDEX(Tabela3[Tipos de Tratamento],MATCH('A3.9.1 copy'!K266,Tabela3[Código],0)),"")</f>
        <v xml:space="preserve">Troca de resíduos com vista a submetê-los a uma das operações enumeradas de R 1 a R 11 </v>
      </c>
      <c r="P266" s="91" t="s">
        <v>1539</v>
      </c>
      <c r="Q266" s="91" t="s">
        <v>1539</v>
      </c>
      <c r="S266">
        <v>2022</v>
      </c>
      <c r="T266" s="261" t="s">
        <v>3535</v>
      </c>
      <c r="U266" s="261" t="s">
        <v>3606</v>
      </c>
      <c r="V266" t="s">
        <v>42</v>
      </c>
    </row>
    <row r="267" spans="1:22" ht="15.75" thickBot="1" x14ac:dyDescent="0.3">
      <c r="A267" s="82" t="s">
        <v>3213</v>
      </c>
      <c r="B267" s="82" t="s">
        <v>1935</v>
      </c>
      <c r="C267" s="82" t="str">
        <f t="shared" si="20"/>
        <v>Portalegre (APA00066454)</v>
      </c>
      <c r="D267" s="82" t="s">
        <v>42</v>
      </c>
      <c r="E267" s="142" t="s">
        <v>1590</v>
      </c>
      <c r="F267" s="83" t="s">
        <v>1591</v>
      </c>
      <c r="G267" s="125" t="s">
        <v>34</v>
      </c>
      <c r="H267" s="133">
        <v>0.10249999999999999</v>
      </c>
      <c r="I267" s="125" t="s">
        <v>1532</v>
      </c>
      <c r="J267" s="139">
        <f t="shared" si="21"/>
        <v>102.5</v>
      </c>
      <c r="K267" s="139" t="s">
        <v>484</v>
      </c>
      <c r="L267" s="238" t="str">
        <f t="shared" si="22"/>
        <v>Reciclagem</v>
      </c>
      <c r="M267" s="238" t="s">
        <v>1920</v>
      </c>
      <c r="N267" s="238" t="s">
        <v>1911</v>
      </c>
      <c r="O267" s="114" t="str">
        <f>IFERROR(INDEX(Tabela3[Tipos de Tratamento],MATCH('A3.9.1 copy'!K267,Tabela3[Código],0)),"")</f>
        <v>Acumulação de resíduos destinados a uma das operações enumeradas de R1 a R12</v>
      </c>
      <c r="P267" s="91" t="s">
        <v>1539</v>
      </c>
      <c r="Q267" s="91" t="s">
        <v>1539</v>
      </c>
      <c r="S267">
        <v>2022</v>
      </c>
      <c r="T267" s="261" t="s">
        <v>3535</v>
      </c>
      <c r="U267" s="261" t="s">
        <v>3606</v>
      </c>
      <c r="V267" t="s">
        <v>42</v>
      </c>
    </row>
    <row r="268" spans="1:22" ht="15.75" thickBot="1" x14ac:dyDescent="0.3">
      <c r="A268" s="82" t="s">
        <v>3213</v>
      </c>
      <c r="B268" s="82" t="s">
        <v>1935</v>
      </c>
      <c r="C268" s="82" t="str">
        <f t="shared" si="20"/>
        <v>Portalegre (APA00066454)</v>
      </c>
      <c r="D268" s="82" t="s">
        <v>42</v>
      </c>
      <c r="E268" s="142" t="s">
        <v>1874</v>
      </c>
      <c r="F268" s="83" t="s">
        <v>1551</v>
      </c>
      <c r="G268" s="125" t="s">
        <v>34</v>
      </c>
      <c r="H268" s="133">
        <v>0.36699999999999999</v>
      </c>
      <c r="I268" s="125" t="s">
        <v>1532</v>
      </c>
      <c r="J268" s="139">
        <f t="shared" si="21"/>
        <v>367</v>
      </c>
      <c r="K268" s="139" t="s">
        <v>484</v>
      </c>
      <c r="L268" s="238" t="str">
        <f t="shared" si="22"/>
        <v>Reciclagem</v>
      </c>
      <c r="M268" s="238" t="s">
        <v>1920</v>
      </c>
      <c r="N268" s="238" t="s">
        <v>1911</v>
      </c>
      <c r="O268" s="114" t="str">
        <f>IFERROR(INDEX(Tabela3[Tipos de Tratamento],MATCH('A3.9.1 copy'!K268,Tabela3[Código],0)),"")</f>
        <v>Acumulação de resíduos destinados a uma das operações enumeradas de R1 a R12</v>
      </c>
      <c r="P268" s="91" t="s">
        <v>1536</v>
      </c>
      <c r="Q268" s="91" t="s">
        <v>3214</v>
      </c>
      <c r="S268">
        <v>2022</v>
      </c>
      <c r="T268" s="261" t="s">
        <v>3535</v>
      </c>
      <c r="U268" s="261" t="s">
        <v>3606</v>
      </c>
      <c r="V268" t="s">
        <v>42</v>
      </c>
    </row>
    <row r="269" spans="1:22" ht="15.75" thickBot="1" x14ac:dyDescent="0.3">
      <c r="A269" s="82" t="s">
        <v>3213</v>
      </c>
      <c r="B269" s="82" t="s">
        <v>1935</v>
      </c>
      <c r="C269" s="82" t="str">
        <f t="shared" si="20"/>
        <v>Portalegre (APA00066454)</v>
      </c>
      <c r="D269" s="82" t="s">
        <v>42</v>
      </c>
      <c r="E269" s="142" t="s">
        <v>1875</v>
      </c>
      <c r="F269" s="83" t="s">
        <v>1552</v>
      </c>
      <c r="G269" s="125" t="s">
        <v>34</v>
      </c>
      <c r="H269" s="133">
        <v>0.19</v>
      </c>
      <c r="I269" s="125" t="s">
        <v>1532</v>
      </c>
      <c r="J269" s="139">
        <f t="shared" si="21"/>
        <v>190</v>
      </c>
      <c r="K269" s="139" t="s">
        <v>509</v>
      </c>
      <c r="L269" s="238" t="str">
        <f t="shared" si="22"/>
        <v>Aterro</v>
      </c>
      <c r="M269" s="238" t="s">
        <v>1557</v>
      </c>
      <c r="N269" s="238" t="s">
        <v>1922</v>
      </c>
      <c r="O269" s="114" t="str">
        <f>IFERROR(INDEX(Tabela3[Tipos de Tratamento],MATCH('A3.9.1 copy'!K269,Tabela3[Código],0)),"")</f>
        <v>Armazenagem enquanto se aguarda a execução de uma das operações enumeradas de D1 a D14</v>
      </c>
      <c r="P269" s="91" t="s">
        <v>1536</v>
      </c>
      <c r="Q269" s="91" t="s">
        <v>3214</v>
      </c>
      <c r="S269">
        <v>2022</v>
      </c>
      <c r="T269" s="261" t="s">
        <v>3535</v>
      </c>
      <c r="U269" s="261" t="s">
        <v>3606</v>
      </c>
      <c r="V269" t="s">
        <v>42</v>
      </c>
    </row>
    <row r="270" spans="1:22" ht="15.75" thickBot="1" x14ac:dyDescent="0.3">
      <c r="A270" s="82" t="s">
        <v>3216</v>
      </c>
      <c r="B270" s="82" t="s">
        <v>1935</v>
      </c>
      <c r="C270" s="82" t="str">
        <f t="shared" si="20"/>
        <v xml:space="preserve"> ZI Portalegre (APA08355203)</v>
      </c>
      <c r="D270" s="82" t="s">
        <v>42</v>
      </c>
      <c r="E270" s="142" t="s">
        <v>1865</v>
      </c>
      <c r="F270" s="83" t="s">
        <v>1531</v>
      </c>
      <c r="G270" s="125" t="s">
        <v>34</v>
      </c>
      <c r="H270" s="133">
        <v>2.3929999999999998</v>
      </c>
      <c r="I270" s="125" t="s">
        <v>1532</v>
      </c>
      <c r="J270" s="139">
        <f t="shared" si="21"/>
        <v>2393</v>
      </c>
      <c r="K270" s="139" t="s">
        <v>483</v>
      </c>
      <c r="L270" s="238" t="str">
        <f t="shared" si="22"/>
        <v>Reciclagem</v>
      </c>
      <c r="M270" s="238" t="s">
        <v>1921</v>
      </c>
      <c r="N270" s="238" t="s">
        <v>1896</v>
      </c>
      <c r="O270" s="114" t="str">
        <f>IFERROR(INDEX(Tabela3[Tipos de Tratamento],MATCH('A3.9.1 copy'!K270,Tabela3[Código],0)),"")</f>
        <v xml:space="preserve">Troca de resíduos com vista a submetê-los a uma das operações enumeradas de R 1 a R 11 </v>
      </c>
      <c r="P270" s="91" t="s">
        <v>1539</v>
      </c>
      <c r="Q270" s="91" t="s">
        <v>1539</v>
      </c>
      <c r="R270" s="93"/>
      <c r="S270">
        <v>2022</v>
      </c>
      <c r="T270" s="261" t="s">
        <v>3535</v>
      </c>
      <c r="U270" s="261" t="s">
        <v>3606</v>
      </c>
      <c r="V270" t="s">
        <v>42</v>
      </c>
    </row>
    <row r="271" spans="1:22" ht="15.75" thickBot="1" x14ac:dyDescent="0.3">
      <c r="A271" s="82" t="s">
        <v>3216</v>
      </c>
      <c r="B271" s="82" t="s">
        <v>1935</v>
      </c>
      <c r="C271" s="82" t="str">
        <f t="shared" si="20"/>
        <v xml:space="preserve"> ZI Portalegre (APA08355203)</v>
      </c>
      <c r="D271" s="82" t="s">
        <v>42</v>
      </c>
      <c r="E271" s="142" t="s">
        <v>1583</v>
      </c>
      <c r="F271" s="83" t="s">
        <v>1584</v>
      </c>
      <c r="G271" s="125" t="s">
        <v>34</v>
      </c>
      <c r="H271" s="133">
        <v>61.16</v>
      </c>
      <c r="I271" s="125" t="s">
        <v>1532</v>
      </c>
      <c r="J271" s="139">
        <f t="shared" si="21"/>
        <v>61160</v>
      </c>
      <c r="K271" s="139" t="s">
        <v>483</v>
      </c>
      <c r="L271" s="238" t="str">
        <f t="shared" si="22"/>
        <v>Reciclagem</v>
      </c>
      <c r="M271" s="238" t="s">
        <v>1926</v>
      </c>
      <c r="N271" s="238" t="s">
        <v>1922</v>
      </c>
      <c r="O271" s="114" t="str">
        <f>IFERROR(INDEX(Tabela3[Tipos de Tratamento],MATCH('A3.9.1 copy'!K271,Tabela3[Código],0)),"")</f>
        <v xml:space="preserve">Troca de resíduos com vista a submetê-los a uma das operações enumeradas de R 1 a R 11 </v>
      </c>
      <c r="P271" s="91" t="s">
        <v>3227</v>
      </c>
      <c r="Q271" s="91" t="s">
        <v>3228</v>
      </c>
      <c r="R271" s="93"/>
      <c r="S271">
        <v>2022</v>
      </c>
      <c r="T271" s="261" t="s">
        <v>3535</v>
      </c>
      <c r="U271" s="261" t="s">
        <v>3606</v>
      </c>
      <c r="V271" t="s">
        <v>42</v>
      </c>
    </row>
    <row r="272" spans="1:22" ht="15.75" thickBot="1" x14ac:dyDescent="0.3">
      <c r="A272" s="82" t="s">
        <v>3216</v>
      </c>
      <c r="B272" s="82" t="s">
        <v>1935</v>
      </c>
      <c r="C272" s="82" t="str">
        <f t="shared" si="20"/>
        <v xml:space="preserve"> ZI Portalegre (APA08355203)</v>
      </c>
      <c r="D272" s="82" t="s">
        <v>42</v>
      </c>
      <c r="E272" s="142" t="s">
        <v>1583</v>
      </c>
      <c r="F272" s="83" t="s">
        <v>1584</v>
      </c>
      <c r="G272" s="125" t="s">
        <v>34</v>
      </c>
      <c r="H272" s="133">
        <v>53.22</v>
      </c>
      <c r="I272" s="125" t="s">
        <v>1532</v>
      </c>
      <c r="J272" s="139">
        <f t="shared" si="21"/>
        <v>53220</v>
      </c>
      <c r="K272" s="139" t="s">
        <v>484</v>
      </c>
      <c r="L272" s="238" t="str">
        <f t="shared" si="22"/>
        <v>Reciclagem</v>
      </c>
      <c r="M272" s="238" t="s">
        <v>1926</v>
      </c>
      <c r="N272" s="238" t="s">
        <v>1922</v>
      </c>
      <c r="O272" s="114" t="str">
        <f>IFERROR(INDEX(Tabela3[Tipos de Tratamento],MATCH('A3.9.1 copy'!K272,Tabela3[Código],0)),"")</f>
        <v>Acumulação de resíduos destinados a uma das operações enumeradas de R1 a R12</v>
      </c>
      <c r="P272" s="91" t="s">
        <v>3229</v>
      </c>
      <c r="Q272" s="91" t="s">
        <v>3228</v>
      </c>
      <c r="R272" s="93"/>
      <c r="S272">
        <v>2022</v>
      </c>
      <c r="T272" s="261" t="s">
        <v>3535</v>
      </c>
      <c r="U272" s="261" t="s">
        <v>3606</v>
      </c>
      <c r="V272" t="s">
        <v>42</v>
      </c>
    </row>
    <row r="273" spans="1:22" ht="15.75" thickBot="1" x14ac:dyDescent="0.3">
      <c r="A273" s="82" t="s">
        <v>3216</v>
      </c>
      <c r="B273" s="82" t="s">
        <v>1935</v>
      </c>
      <c r="C273" s="82" t="str">
        <f t="shared" si="20"/>
        <v xml:space="preserve"> ZI Portalegre (APA08355203)</v>
      </c>
      <c r="D273" s="82" t="s">
        <v>42</v>
      </c>
      <c r="E273" s="142" t="s">
        <v>1880</v>
      </c>
      <c r="F273" s="83" t="s">
        <v>1563</v>
      </c>
      <c r="G273" s="125" t="s">
        <v>34</v>
      </c>
      <c r="H273" s="133">
        <v>0.60699999999999998</v>
      </c>
      <c r="I273" s="125" t="s">
        <v>1532</v>
      </c>
      <c r="J273" s="139">
        <f t="shared" si="21"/>
        <v>607</v>
      </c>
      <c r="K273" s="139" t="s">
        <v>483</v>
      </c>
      <c r="L273" s="238" t="str">
        <f t="shared" si="22"/>
        <v>Reciclagem</v>
      </c>
      <c r="M273" s="238" t="s">
        <v>1653</v>
      </c>
      <c r="N273" s="238" t="s">
        <v>1896</v>
      </c>
      <c r="O273" s="114" t="str">
        <f>IFERROR(INDEX(Tabela3[Tipos de Tratamento],MATCH('A3.9.1 copy'!K273,Tabela3[Código],0)),"")</f>
        <v xml:space="preserve">Troca de resíduos com vista a submetê-los a uma das operações enumeradas de R 1 a R 11 </v>
      </c>
      <c r="P273" s="91" t="s">
        <v>3215</v>
      </c>
      <c r="Q273" s="91" t="s">
        <v>3215</v>
      </c>
      <c r="S273">
        <v>2022</v>
      </c>
      <c r="T273" s="261" t="s">
        <v>3535</v>
      </c>
      <c r="U273" s="261" t="s">
        <v>3606</v>
      </c>
      <c r="V273" t="s">
        <v>42</v>
      </c>
    </row>
    <row r="274" spans="1:22" ht="15.75" thickBot="1" x14ac:dyDescent="0.3">
      <c r="A274" s="82" t="s">
        <v>3216</v>
      </c>
      <c r="B274" s="82" t="s">
        <v>1935</v>
      </c>
      <c r="C274" s="82" t="str">
        <f t="shared" si="20"/>
        <v xml:space="preserve"> ZI Portalegre (APA08355203)</v>
      </c>
      <c r="D274" s="82" t="s">
        <v>42</v>
      </c>
      <c r="E274" s="142" t="s">
        <v>1880</v>
      </c>
      <c r="F274" s="83" t="s">
        <v>1563</v>
      </c>
      <c r="G274" s="125" t="s">
        <v>34</v>
      </c>
      <c r="H274" s="133">
        <v>0.27</v>
      </c>
      <c r="I274" s="125" t="s">
        <v>1532</v>
      </c>
      <c r="J274" s="139">
        <f t="shared" si="21"/>
        <v>270</v>
      </c>
      <c r="K274" s="139" t="s">
        <v>484</v>
      </c>
      <c r="L274" s="238" t="str">
        <f t="shared" si="22"/>
        <v>Reciclagem</v>
      </c>
      <c r="M274" s="238" t="s">
        <v>1653</v>
      </c>
      <c r="N274" s="238" t="s">
        <v>1896</v>
      </c>
      <c r="O274" s="114" t="str">
        <f>IFERROR(INDEX(Tabela3[Tipos de Tratamento],MATCH('A3.9.1 copy'!K274,Tabela3[Código],0)),"")</f>
        <v>Acumulação de resíduos destinados a uma das operações enumeradas de R1 a R12</v>
      </c>
      <c r="P274" s="91" t="s">
        <v>3215</v>
      </c>
      <c r="Q274" s="91" t="s">
        <v>3215</v>
      </c>
      <c r="S274">
        <v>2022</v>
      </c>
      <c r="T274" s="261" t="s">
        <v>3535</v>
      </c>
      <c r="U274" s="261" t="s">
        <v>3606</v>
      </c>
      <c r="V274" t="s">
        <v>42</v>
      </c>
    </row>
    <row r="275" spans="1:22" ht="15.75" thickBot="1" x14ac:dyDescent="0.3">
      <c r="A275" s="82" t="s">
        <v>3216</v>
      </c>
      <c r="B275" s="82" t="s">
        <v>1935</v>
      </c>
      <c r="C275" s="82" t="str">
        <f t="shared" si="20"/>
        <v xml:space="preserve"> ZI Portalegre (APA08355203)</v>
      </c>
      <c r="D275" s="82" t="s">
        <v>42</v>
      </c>
      <c r="E275" s="142" t="s">
        <v>3222</v>
      </c>
      <c r="F275" s="83" t="s">
        <v>1557</v>
      </c>
      <c r="G275" s="125" t="s">
        <v>42</v>
      </c>
      <c r="H275" s="133">
        <v>2.52</v>
      </c>
      <c r="I275" s="125" t="s">
        <v>1532</v>
      </c>
      <c r="J275" s="139">
        <f t="shared" si="21"/>
        <v>2520</v>
      </c>
      <c r="K275" s="139" t="s">
        <v>483</v>
      </c>
      <c r="L275" s="238" t="str">
        <f t="shared" si="22"/>
        <v>Reciclagem</v>
      </c>
      <c r="M275" s="238" t="s">
        <v>1557</v>
      </c>
      <c r="N275" s="238" t="s">
        <v>1922</v>
      </c>
      <c r="O275" s="114" t="str">
        <f>IFERROR(INDEX(Tabela3[Tipos de Tratamento],MATCH('A3.9.1 copy'!K275,Tabela3[Código],0)),"")</f>
        <v xml:space="preserve">Troca de resíduos com vista a submetê-los a uma das operações enumeradas de R 1 a R 11 </v>
      </c>
      <c r="P275" s="91" t="s">
        <v>3215</v>
      </c>
      <c r="Q275" s="91" t="s">
        <v>3215</v>
      </c>
      <c r="R275" s="93"/>
      <c r="S275">
        <v>2022</v>
      </c>
      <c r="T275" s="261" t="s">
        <v>3535</v>
      </c>
      <c r="U275" s="261" t="s">
        <v>3606</v>
      </c>
      <c r="V275" t="s">
        <v>42</v>
      </c>
    </row>
    <row r="276" spans="1:22" ht="15.75" thickBot="1" x14ac:dyDescent="0.3">
      <c r="A276" s="82" t="s">
        <v>3217</v>
      </c>
      <c r="B276" s="82" t="s">
        <v>1935</v>
      </c>
      <c r="C276" s="82" t="str">
        <f t="shared" si="20"/>
        <v>Santiago do Cacém (APA00065050)</v>
      </c>
      <c r="D276" s="82" t="s">
        <v>42</v>
      </c>
      <c r="E276" s="142" t="s">
        <v>1865</v>
      </c>
      <c r="F276" s="83" t="s">
        <v>1531</v>
      </c>
      <c r="G276" s="125" t="s">
        <v>34</v>
      </c>
      <c r="H276" s="133">
        <v>2.8540000000000001</v>
      </c>
      <c r="I276" s="125" t="s">
        <v>1532</v>
      </c>
      <c r="J276" s="139">
        <f t="shared" si="21"/>
        <v>2854</v>
      </c>
      <c r="K276" s="139" t="s">
        <v>484</v>
      </c>
      <c r="L276" s="238" t="str">
        <f t="shared" si="22"/>
        <v>Reciclagem</v>
      </c>
      <c r="M276" s="238" t="s">
        <v>1921</v>
      </c>
      <c r="N276" s="238" t="s">
        <v>1896</v>
      </c>
      <c r="O276" s="114" t="str">
        <f>IFERROR(INDEX(Tabela3[Tipos de Tratamento],MATCH('A3.9.1 copy'!K276,Tabela3[Código],0)),"")</f>
        <v>Acumulação de resíduos destinados a uma das operações enumeradas de R1 a R12</v>
      </c>
      <c r="P276" s="91" t="s">
        <v>3230</v>
      </c>
      <c r="Q276" s="91" t="s">
        <v>3230</v>
      </c>
      <c r="R276" s="93"/>
      <c r="S276">
        <v>2022</v>
      </c>
      <c r="T276" s="261" t="s">
        <v>3535</v>
      </c>
      <c r="U276" s="261" t="s">
        <v>3606</v>
      </c>
      <c r="V276" t="s">
        <v>42</v>
      </c>
    </row>
    <row r="277" spans="1:22" ht="15.75" thickBot="1" x14ac:dyDescent="0.3">
      <c r="A277" s="82" t="s">
        <v>3217</v>
      </c>
      <c r="B277" s="82" t="s">
        <v>1935</v>
      </c>
      <c r="C277" s="82" t="str">
        <f t="shared" si="20"/>
        <v>Santiago do Cacém (APA00065050)</v>
      </c>
      <c r="D277" s="82" t="s">
        <v>42</v>
      </c>
      <c r="E277" s="142" t="s">
        <v>1865</v>
      </c>
      <c r="F277" s="83" t="s">
        <v>1531</v>
      </c>
      <c r="G277" s="125" t="s">
        <v>34</v>
      </c>
      <c r="H277" s="133">
        <v>0.88400000000000001</v>
      </c>
      <c r="I277" s="125" t="s">
        <v>1532</v>
      </c>
      <c r="J277" s="139">
        <f t="shared" si="21"/>
        <v>884</v>
      </c>
      <c r="K277" s="139" t="s">
        <v>483</v>
      </c>
      <c r="L277" s="238" t="str">
        <f t="shared" si="22"/>
        <v>Reciclagem</v>
      </c>
      <c r="M277" s="238" t="s">
        <v>1921</v>
      </c>
      <c r="N277" s="238" t="s">
        <v>1896</v>
      </c>
      <c r="O277" s="114" t="str">
        <f>IFERROR(INDEX(Tabela3[Tipos de Tratamento],MATCH('A3.9.1 copy'!K277,Tabela3[Código],0)),"")</f>
        <v xml:space="preserve">Troca de resíduos com vista a submetê-los a uma das operações enumeradas de R 1 a R 11 </v>
      </c>
      <c r="P277" s="91" t="s">
        <v>3230</v>
      </c>
      <c r="Q277" s="91" t="s">
        <v>3230</v>
      </c>
      <c r="S277">
        <v>2022</v>
      </c>
      <c r="T277" s="261" t="s">
        <v>3535</v>
      </c>
      <c r="U277" s="261" t="s">
        <v>3606</v>
      </c>
      <c r="V277" t="s">
        <v>42</v>
      </c>
    </row>
    <row r="278" spans="1:22" ht="15.75" thickBot="1" x14ac:dyDescent="0.3">
      <c r="A278" s="82" t="s">
        <v>3217</v>
      </c>
      <c r="B278" s="82" t="s">
        <v>1935</v>
      </c>
      <c r="C278" s="82" t="str">
        <f t="shared" si="20"/>
        <v>Santiago do Cacém (APA00065050)</v>
      </c>
      <c r="D278" s="82" t="s">
        <v>42</v>
      </c>
      <c r="E278" s="142" t="s">
        <v>1590</v>
      </c>
      <c r="F278" s="83" t="s">
        <v>1591</v>
      </c>
      <c r="G278" s="125" t="s">
        <v>34</v>
      </c>
      <c r="H278" s="133">
        <v>9.8400000000000001E-2</v>
      </c>
      <c r="I278" s="125" t="s">
        <v>1532</v>
      </c>
      <c r="J278" s="139">
        <f t="shared" si="21"/>
        <v>98.4</v>
      </c>
      <c r="K278" s="139" t="s">
        <v>483</v>
      </c>
      <c r="L278" s="238" t="str">
        <f t="shared" si="22"/>
        <v>Reciclagem</v>
      </c>
      <c r="M278" s="238" t="s">
        <v>1920</v>
      </c>
      <c r="N278" s="238" t="s">
        <v>1911</v>
      </c>
      <c r="O278" s="114" t="str">
        <f>IFERROR(INDEX(Tabela3[Tipos de Tratamento],MATCH('A3.9.1 copy'!K278,Tabela3[Código],0)),"")</f>
        <v xml:space="preserve">Troca de resíduos com vista a submetê-los a uma das operações enumeradas de R 1 a R 11 </v>
      </c>
      <c r="P278" s="91" t="s">
        <v>1539</v>
      </c>
      <c r="Q278" s="91" t="s">
        <v>1539</v>
      </c>
      <c r="S278">
        <v>2022</v>
      </c>
      <c r="T278" s="261" t="s">
        <v>3535</v>
      </c>
      <c r="U278" s="261" t="s">
        <v>3606</v>
      </c>
      <c r="V278" t="s">
        <v>42</v>
      </c>
    </row>
    <row r="279" spans="1:22" ht="15.75" thickBot="1" x14ac:dyDescent="0.3">
      <c r="A279" s="82" t="s">
        <v>3217</v>
      </c>
      <c r="B279" s="82" t="s">
        <v>1935</v>
      </c>
      <c r="C279" s="82" t="str">
        <f t="shared" si="20"/>
        <v>Santiago do Cacém (APA00065050)</v>
      </c>
      <c r="D279" s="82" t="s">
        <v>42</v>
      </c>
      <c r="E279" s="142" t="s">
        <v>1590</v>
      </c>
      <c r="F279" s="83" t="s">
        <v>1591</v>
      </c>
      <c r="G279" s="125" t="s">
        <v>34</v>
      </c>
      <c r="H279" s="133">
        <v>9.8400000000000001E-2</v>
      </c>
      <c r="I279" s="125" t="s">
        <v>1532</v>
      </c>
      <c r="J279" s="139">
        <f t="shared" si="21"/>
        <v>98.4</v>
      </c>
      <c r="K279" s="139" t="s">
        <v>484</v>
      </c>
      <c r="L279" s="238" t="str">
        <f t="shared" si="22"/>
        <v>Reciclagem</v>
      </c>
      <c r="M279" s="238" t="s">
        <v>1920</v>
      </c>
      <c r="N279" s="238" t="s">
        <v>1911</v>
      </c>
      <c r="O279" s="114" t="str">
        <f>IFERROR(INDEX(Tabela3[Tipos de Tratamento],MATCH('A3.9.1 copy'!K279,Tabela3[Código],0)),"")</f>
        <v>Acumulação de resíduos destinados a uma das operações enumeradas de R1 a R12</v>
      </c>
      <c r="P279" s="91" t="s">
        <v>1539</v>
      </c>
      <c r="Q279" s="91" t="s">
        <v>1539</v>
      </c>
      <c r="S279">
        <v>2022</v>
      </c>
      <c r="T279" s="261" t="s">
        <v>3535</v>
      </c>
      <c r="U279" s="261" t="s">
        <v>3606</v>
      </c>
      <c r="V279" t="s">
        <v>42</v>
      </c>
    </row>
    <row r="280" spans="1:22" ht="15.75" thickBot="1" x14ac:dyDescent="0.3">
      <c r="A280" s="82" t="s">
        <v>3217</v>
      </c>
      <c r="B280" s="82" t="s">
        <v>1935</v>
      </c>
      <c r="C280" s="82" t="str">
        <f t="shared" si="20"/>
        <v>Santiago do Cacém (APA00065050)</v>
      </c>
      <c r="D280" s="82" t="s">
        <v>42</v>
      </c>
      <c r="E280" s="142" t="s">
        <v>1870</v>
      </c>
      <c r="F280" s="83" t="s">
        <v>1542</v>
      </c>
      <c r="G280" s="125" t="s">
        <v>34</v>
      </c>
      <c r="H280" s="133">
        <v>0.14599999999999999</v>
      </c>
      <c r="I280" s="125" t="s">
        <v>1532</v>
      </c>
      <c r="J280" s="139">
        <f t="shared" si="21"/>
        <v>146</v>
      </c>
      <c r="K280" s="139" t="s">
        <v>484</v>
      </c>
      <c r="L280" s="238" t="str">
        <f t="shared" si="22"/>
        <v>Reciclagem</v>
      </c>
      <c r="M280" s="238" t="s">
        <v>1920</v>
      </c>
      <c r="N280" s="238" t="s">
        <v>1911</v>
      </c>
      <c r="O280" s="114" t="str">
        <f>IFERROR(INDEX(Tabela3[Tipos de Tratamento],MATCH('A3.9.1 copy'!K280,Tabela3[Código],0)),"")</f>
        <v>Acumulação de resíduos destinados a uma das operações enumeradas de R1 a R12</v>
      </c>
      <c r="P280" s="91" t="s">
        <v>3229</v>
      </c>
      <c r="Q280" s="91" t="s">
        <v>3229</v>
      </c>
      <c r="S280">
        <v>2022</v>
      </c>
      <c r="T280" s="261" t="s">
        <v>3535</v>
      </c>
      <c r="U280" s="261" t="s">
        <v>3606</v>
      </c>
      <c r="V280" t="s">
        <v>42</v>
      </c>
    </row>
    <row r="281" spans="1:22" ht="15.75" thickBot="1" x14ac:dyDescent="0.3">
      <c r="A281" s="82" t="s">
        <v>3217</v>
      </c>
      <c r="B281" s="82" t="s">
        <v>1935</v>
      </c>
      <c r="C281" s="82" t="str">
        <f t="shared" si="20"/>
        <v>Santiago do Cacém (APA00065050)</v>
      </c>
      <c r="D281" s="82" t="s">
        <v>42</v>
      </c>
      <c r="E281" s="142" t="s">
        <v>3223</v>
      </c>
      <c r="F281" s="83" t="s">
        <v>1542</v>
      </c>
      <c r="G281" s="125" t="s">
        <v>34</v>
      </c>
      <c r="H281" s="133">
        <v>2.9000000000000001E-2</v>
      </c>
      <c r="I281" s="125" t="s">
        <v>1532</v>
      </c>
      <c r="J281" s="139">
        <f t="shared" si="21"/>
        <v>29</v>
      </c>
      <c r="K281" s="139" t="s">
        <v>484</v>
      </c>
      <c r="L281" s="238" t="str">
        <f t="shared" si="22"/>
        <v>Reciclagem</v>
      </c>
      <c r="M281" s="238" t="s">
        <v>1920</v>
      </c>
      <c r="N281" s="238" t="s">
        <v>1911</v>
      </c>
      <c r="O281" s="114" t="str">
        <f>IFERROR(INDEX(Tabela3[Tipos de Tratamento],MATCH('A3.9.1 copy'!K281,Tabela3[Código],0)),"")</f>
        <v>Acumulação de resíduos destinados a uma das operações enumeradas de R1 a R12</v>
      </c>
      <c r="P281" s="91" t="s">
        <v>1536</v>
      </c>
      <c r="Q281" s="91" t="s">
        <v>1536</v>
      </c>
      <c r="R281" s="93"/>
      <c r="S281">
        <v>2022</v>
      </c>
      <c r="T281" s="261" t="s">
        <v>3535</v>
      </c>
      <c r="U281" s="261" t="s">
        <v>3606</v>
      </c>
      <c r="V281" t="s">
        <v>42</v>
      </c>
    </row>
    <row r="282" spans="1:22" ht="15.75" thickBot="1" x14ac:dyDescent="0.3">
      <c r="A282" s="82" t="s">
        <v>3217</v>
      </c>
      <c r="B282" s="82" t="s">
        <v>1935</v>
      </c>
      <c r="C282" s="82" t="str">
        <f t="shared" si="20"/>
        <v>Santiago do Cacém (APA00065050)</v>
      </c>
      <c r="D282" s="82" t="s">
        <v>42</v>
      </c>
      <c r="E282" s="142" t="s">
        <v>1872</v>
      </c>
      <c r="F282" s="83" t="s">
        <v>1547</v>
      </c>
      <c r="G282" s="125" t="s">
        <v>34</v>
      </c>
      <c r="H282" s="133">
        <v>0.14799999999999999</v>
      </c>
      <c r="I282" s="125" t="s">
        <v>1532</v>
      </c>
      <c r="J282" s="139">
        <f t="shared" si="21"/>
        <v>148</v>
      </c>
      <c r="K282" s="139" t="s">
        <v>484</v>
      </c>
      <c r="L282" s="238" t="str">
        <f t="shared" si="22"/>
        <v>Reciclagem</v>
      </c>
      <c r="M282" s="238" t="s">
        <v>1920</v>
      </c>
      <c r="N282" s="238" t="s">
        <v>1911</v>
      </c>
      <c r="O282" s="114" t="str">
        <f>IFERROR(INDEX(Tabela3[Tipos de Tratamento],MATCH('A3.9.1 copy'!K282,Tabela3[Código],0)),"")</f>
        <v>Acumulação de resíduos destinados a uma das operações enumeradas de R1 a R12</v>
      </c>
      <c r="P282" s="91" t="s">
        <v>1536</v>
      </c>
      <c r="Q282" s="91" t="s">
        <v>1536</v>
      </c>
      <c r="S282">
        <v>2022</v>
      </c>
      <c r="T282" s="261" t="s">
        <v>3535</v>
      </c>
      <c r="U282" s="261" t="s">
        <v>3606</v>
      </c>
      <c r="V282" t="s">
        <v>42</v>
      </c>
    </row>
    <row r="283" spans="1:22" ht="15.75" thickBot="1" x14ac:dyDescent="0.3">
      <c r="A283" s="82" t="s">
        <v>3217</v>
      </c>
      <c r="B283" s="82" t="s">
        <v>1935</v>
      </c>
      <c r="C283" s="82" t="str">
        <f t="shared" si="20"/>
        <v>Santiago do Cacém (APA00065050)</v>
      </c>
      <c r="D283" s="82" t="s">
        <v>42</v>
      </c>
      <c r="E283" s="142" t="s">
        <v>1873</v>
      </c>
      <c r="F283" s="83" t="s">
        <v>1550</v>
      </c>
      <c r="G283" s="125" t="s">
        <v>42</v>
      </c>
      <c r="H283" s="133">
        <v>0.216</v>
      </c>
      <c r="I283" s="125" t="s">
        <v>1532</v>
      </c>
      <c r="J283" s="139">
        <f t="shared" si="21"/>
        <v>216</v>
      </c>
      <c r="K283" s="139" t="s">
        <v>484</v>
      </c>
      <c r="L283" s="238" t="str">
        <f t="shared" si="22"/>
        <v>Reciclagem</v>
      </c>
      <c r="M283" s="238" t="s">
        <v>1920</v>
      </c>
      <c r="N283" s="238" t="s">
        <v>1911</v>
      </c>
      <c r="O283" s="114" t="str">
        <f>IFERROR(INDEX(Tabela3[Tipos de Tratamento],MATCH('A3.9.1 copy'!K283,Tabela3[Código],0)),"")</f>
        <v>Acumulação de resíduos destinados a uma das operações enumeradas de R1 a R12</v>
      </c>
      <c r="P283" s="91" t="s">
        <v>3229</v>
      </c>
      <c r="Q283" s="91" t="s">
        <v>3229</v>
      </c>
      <c r="S283">
        <v>2022</v>
      </c>
      <c r="T283" s="261" t="s">
        <v>3535</v>
      </c>
      <c r="U283" s="261" t="s">
        <v>3606</v>
      </c>
      <c r="V283" t="s">
        <v>42</v>
      </c>
    </row>
    <row r="284" spans="1:22" ht="15.75" thickBot="1" x14ac:dyDescent="0.3">
      <c r="A284" s="82" t="s">
        <v>3217</v>
      </c>
      <c r="B284" s="82" t="s">
        <v>1935</v>
      </c>
      <c r="C284" s="82" t="str">
        <f t="shared" si="20"/>
        <v>Santiago do Cacém (APA00065050)</v>
      </c>
      <c r="D284" s="82" t="s">
        <v>42</v>
      </c>
      <c r="E284" s="142" t="s">
        <v>1583</v>
      </c>
      <c r="F284" s="83" t="s">
        <v>1584</v>
      </c>
      <c r="G284" s="125" t="s">
        <v>34</v>
      </c>
      <c r="H284" s="133">
        <v>12.98</v>
      </c>
      <c r="I284" s="125" t="s">
        <v>1532</v>
      </c>
      <c r="J284" s="139">
        <f t="shared" si="21"/>
        <v>12980</v>
      </c>
      <c r="K284" s="139" t="s">
        <v>484</v>
      </c>
      <c r="L284" s="238" t="str">
        <f t="shared" si="22"/>
        <v>Reciclagem</v>
      </c>
      <c r="M284" s="238" t="s">
        <v>1926</v>
      </c>
      <c r="N284" s="238" t="s">
        <v>1922</v>
      </c>
      <c r="O284" s="114" t="str">
        <f>IFERROR(INDEX(Tabela3[Tipos de Tratamento],MATCH('A3.9.1 copy'!K284,Tabela3[Código],0)),"")</f>
        <v>Acumulação de resíduos destinados a uma das operações enumeradas de R1 a R12</v>
      </c>
      <c r="P284" s="91" t="s">
        <v>3229</v>
      </c>
      <c r="Q284" s="91" t="s">
        <v>3231</v>
      </c>
      <c r="R284" s="93"/>
      <c r="S284">
        <v>2022</v>
      </c>
      <c r="T284" s="261" t="s">
        <v>3535</v>
      </c>
      <c r="U284" s="261" t="s">
        <v>3606</v>
      </c>
      <c r="V284" t="s">
        <v>42</v>
      </c>
    </row>
    <row r="285" spans="1:22" ht="15.75" thickBot="1" x14ac:dyDescent="0.3">
      <c r="A285" s="82" t="s">
        <v>3217</v>
      </c>
      <c r="B285" s="82" t="s">
        <v>1935</v>
      </c>
      <c r="C285" s="82" t="str">
        <f t="shared" si="20"/>
        <v>Santiago do Cacém (APA00065050)</v>
      </c>
      <c r="D285" s="82" t="s">
        <v>42</v>
      </c>
      <c r="E285" s="142" t="s">
        <v>1874</v>
      </c>
      <c r="F285" s="83" t="s">
        <v>1551</v>
      </c>
      <c r="G285" s="125" t="s">
        <v>34</v>
      </c>
      <c r="H285" s="133">
        <v>0.32200000000000001</v>
      </c>
      <c r="I285" s="125" t="s">
        <v>1532</v>
      </c>
      <c r="J285" s="139">
        <f t="shared" si="21"/>
        <v>322</v>
      </c>
      <c r="K285" s="139" t="s">
        <v>484</v>
      </c>
      <c r="L285" s="238" t="str">
        <f t="shared" si="22"/>
        <v>Reciclagem</v>
      </c>
      <c r="M285" s="238" t="s">
        <v>1920</v>
      </c>
      <c r="N285" s="238" t="s">
        <v>1911</v>
      </c>
      <c r="O285" s="114" t="str">
        <f>IFERROR(INDEX(Tabela3[Tipos de Tratamento],MATCH('A3.9.1 copy'!K285,Tabela3[Código],0)),"")</f>
        <v>Acumulação de resíduos destinados a uma das operações enumeradas de R1 a R12</v>
      </c>
      <c r="P285" s="91" t="s">
        <v>1536</v>
      </c>
      <c r="Q285" s="91" t="s">
        <v>1536</v>
      </c>
      <c r="S285">
        <v>2022</v>
      </c>
      <c r="T285" s="261" t="s">
        <v>3535</v>
      </c>
      <c r="U285" s="261" t="s">
        <v>3606</v>
      </c>
      <c r="V285" t="s">
        <v>42</v>
      </c>
    </row>
    <row r="286" spans="1:22" ht="15.75" thickBot="1" x14ac:dyDescent="0.3">
      <c r="A286" s="82" t="s">
        <v>3217</v>
      </c>
      <c r="B286" s="82" t="s">
        <v>1935</v>
      </c>
      <c r="C286" s="82" t="str">
        <f t="shared" si="20"/>
        <v>Santiago do Cacém (APA00065050)</v>
      </c>
      <c r="D286" s="82" t="s">
        <v>42</v>
      </c>
      <c r="E286" s="142" t="s">
        <v>1875</v>
      </c>
      <c r="F286" s="83" t="s">
        <v>1552</v>
      </c>
      <c r="G286" s="125" t="s">
        <v>34</v>
      </c>
      <c r="H286" s="133">
        <v>0.27700000000000002</v>
      </c>
      <c r="I286" s="125" t="s">
        <v>1532</v>
      </c>
      <c r="J286" s="139">
        <f t="shared" si="21"/>
        <v>277</v>
      </c>
      <c r="K286" s="139" t="s">
        <v>507</v>
      </c>
      <c r="L286" s="238" t="str">
        <f t="shared" si="22"/>
        <v>Aterro</v>
      </c>
      <c r="M286" s="238" t="s">
        <v>1557</v>
      </c>
      <c r="N286" s="238" t="s">
        <v>1922</v>
      </c>
      <c r="O286" s="114" t="str">
        <f>IFERROR(INDEX(Tabela3[Tipos de Tratamento],MATCH('A3.9.1 copy'!K286,Tabela3[Código],0)),"")</f>
        <v>Mistura anterior à execução de uma das operações enumeradas de D1 a D12</v>
      </c>
      <c r="P286" s="91" t="s">
        <v>1536</v>
      </c>
      <c r="Q286" s="91" t="s">
        <v>1536</v>
      </c>
      <c r="S286">
        <v>2022</v>
      </c>
      <c r="T286" s="261" t="s">
        <v>3535</v>
      </c>
      <c r="U286" s="261" t="s">
        <v>3606</v>
      </c>
      <c r="V286" t="s">
        <v>42</v>
      </c>
    </row>
    <row r="287" spans="1:22" ht="15.75" thickBot="1" x14ac:dyDescent="0.3">
      <c r="A287" s="82" t="s">
        <v>3217</v>
      </c>
      <c r="B287" s="82" t="s">
        <v>1935</v>
      </c>
      <c r="C287" s="82" t="str">
        <f t="shared" si="20"/>
        <v>Santiago do Cacém (APA00065050)</v>
      </c>
      <c r="D287" s="82" t="s">
        <v>42</v>
      </c>
      <c r="E287" s="142" t="s">
        <v>1875</v>
      </c>
      <c r="F287" s="83" t="s">
        <v>1552</v>
      </c>
      <c r="G287" s="125" t="s">
        <v>34</v>
      </c>
      <c r="H287" s="133">
        <v>291</v>
      </c>
      <c r="I287" s="125" t="s">
        <v>1532</v>
      </c>
      <c r="J287" s="139">
        <f t="shared" si="21"/>
        <v>291000</v>
      </c>
      <c r="K287" s="139" t="s">
        <v>509</v>
      </c>
      <c r="L287" s="238" t="str">
        <f t="shared" si="22"/>
        <v>Aterro</v>
      </c>
      <c r="M287" s="238" t="s">
        <v>1557</v>
      </c>
      <c r="N287" s="238" t="s">
        <v>1922</v>
      </c>
      <c r="O287" s="114" t="str">
        <f>IFERROR(INDEX(Tabela3[Tipos de Tratamento],MATCH('A3.9.1 copy'!K287,Tabela3[Código],0)),"")</f>
        <v>Armazenagem enquanto se aguarda a execução de uma das operações enumeradas de D1 a D14</v>
      </c>
      <c r="P287" s="91" t="s">
        <v>1536</v>
      </c>
      <c r="Q287" s="91" t="s">
        <v>1536</v>
      </c>
      <c r="R287" s="93"/>
      <c r="S287">
        <v>2022</v>
      </c>
      <c r="T287" s="261" t="s">
        <v>3535</v>
      </c>
      <c r="U287" s="261" t="s">
        <v>3606</v>
      </c>
      <c r="V287" t="s">
        <v>42</v>
      </c>
    </row>
    <row r="288" spans="1:22" ht="15.75" thickBot="1" x14ac:dyDescent="0.3">
      <c r="A288" s="82" t="s">
        <v>3217</v>
      </c>
      <c r="B288" s="82" t="s">
        <v>1935</v>
      </c>
      <c r="C288" s="82" t="str">
        <f t="shared" si="20"/>
        <v>Santiago do Cacém (APA00065050)</v>
      </c>
      <c r="D288" s="82" t="s">
        <v>42</v>
      </c>
      <c r="E288" s="142" t="s">
        <v>1876</v>
      </c>
      <c r="F288" s="83" t="s">
        <v>1557</v>
      </c>
      <c r="G288" s="125" t="s">
        <v>42</v>
      </c>
      <c r="H288" s="133">
        <v>1.964</v>
      </c>
      <c r="I288" s="125" t="s">
        <v>1532</v>
      </c>
      <c r="J288" s="139">
        <f t="shared" si="21"/>
        <v>1964</v>
      </c>
      <c r="K288" s="139" t="s">
        <v>484</v>
      </c>
      <c r="L288" s="238" t="str">
        <f t="shared" si="22"/>
        <v>Reciclagem</v>
      </c>
      <c r="M288" s="238" t="s">
        <v>1557</v>
      </c>
      <c r="N288" s="238" t="s">
        <v>1922</v>
      </c>
      <c r="O288" s="114" t="str">
        <f>IFERROR(INDEX(Tabela3[Tipos de Tratamento],MATCH('A3.9.1 copy'!K288,Tabela3[Código],0)),"")</f>
        <v>Acumulação de resíduos destinados a uma das operações enumeradas de R1 a R12</v>
      </c>
      <c r="P288" s="91" t="s">
        <v>3229</v>
      </c>
      <c r="Q288" s="91" t="s">
        <v>3229</v>
      </c>
      <c r="S288">
        <v>2022</v>
      </c>
      <c r="T288" s="261" t="s">
        <v>3535</v>
      </c>
      <c r="U288" s="261" t="s">
        <v>3606</v>
      </c>
      <c r="V288" t="s">
        <v>42</v>
      </c>
    </row>
    <row r="289" spans="1:22" ht="15.75" thickBot="1" x14ac:dyDescent="0.3">
      <c r="A289" s="82" t="s">
        <v>3217</v>
      </c>
      <c r="B289" s="82" t="s">
        <v>1935</v>
      </c>
      <c r="C289" s="82" t="str">
        <f t="shared" si="20"/>
        <v>Santiago do Cacém (APA00065050)</v>
      </c>
      <c r="D289" s="82" t="s">
        <v>42</v>
      </c>
      <c r="E289" s="142" t="s">
        <v>1879</v>
      </c>
      <c r="F289" s="83" t="s">
        <v>1562</v>
      </c>
      <c r="G289" s="125" t="s">
        <v>42</v>
      </c>
      <c r="H289" s="133">
        <v>1.0820000000000001</v>
      </c>
      <c r="I289" s="125" t="s">
        <v>1532</v>
      </c>
      <c r="J289" s="139">
        <f t="shared" si="21"/>
        <v>1082</v>
      </c>
      <c r="K289" s="139" t="s">
        <v>484</v>
      </c>
      <c r="L289" s="238" t="str">
        <f t="shared" si="22"/>
        <v>Reciclagem</v>
      </c>
      <c r="M289" s="238" t="s">
        <v>1920</v>
      </c>
      <c r="N289" s="238" t="s">
        <v>1911</v>
      </c>
      <c r="O289" s="114" t="str">
        <f>IFERROR(INDEX(Tabela3[Tipos de Tratamento],MATCH('A3.9.1 copy'!K289,Tabela3[Código],0)),"")</f>
        <v>Acumulação de resíduos destinados a uma das operações enumeradas de R1 a R12</v>
      </c>
      <c r="P289" s="91" t="s">
        <v>3229</v>
      </c>
      <c r="Q289" s="91" t="s">
        <v>3229</v>
      </c>
      <c r="S289">
        <v>2022</v>
      </c>
      <c r="T289" s="261" t="s">
        <v>3535</v>
      </c>
      <c r="U289" s="261" t="s">
        <v>3606</v>
      </c>
      <c r="V289" t="s">
        <v>42</v>
      </c>
    </row>
    <row r="290" spans="1:22" ht="15.75" thickBot="1" x14ac:dyDescent="0.3">
      <c r="A290" s="82" t="s">
        <v>3217</v>
      </c>
      <c r="B290" s="82" t="s">
        <v>1935</v>
      </c>
      <c r="C290" s="82" t="str">
        <f t="shared" si="20"/>
        <v>Santiago do Cacém (APA00065050)</v>
      </c>
      <c r="D290" s="82" t="s">
        <v>42</v>
      </c>
      <c r="E290" s="142" t="s">
        <v>1880</v>
      </c>
      <c r="F290" s="83" t="s">
        <v>1563</v>
      </c>
      <c r="G290" s="125" t="s">
        <v>34</v>
      </c>
      <c r="H290" s="133">
        <v>1.8779999999999999</v>
      </c>
      <c r="I290" s="125" t="s">
        <v>1532</v>
      </c>
      <c r="J290" s="139">
        <f t="shared" si="21"/>
        <v>1878</v>
      </c>
      <c r="K290" s="139" t="s">
        <v>484</v>
      </c>
      <c r="L290" s="238" t="str">
        <f t="shared" si="22"/>
        <v>Reciclagem</v>
      </c>
      <c r="M290" s="238" t="s">
        <v>1653</v>
      </c>
      <c r="N290" s="238" t="s">
        <v>1896</v>
      </c>
      <c r="O290" s="114" t="str">
        <f>IFERROR(INDEX(Tabela3[Tipos de Tratamento],MATCH('A3.9.1 copy'!K290,Tabela3[Código],0)),"")</f>
        <v>Acumulação de resíduos destinados a uma das operações enumeradas de R1 a R12</v>
      </c>
      <c r="P290" s="91" t="s">
        <v>3229</v>
      </c>
      <c r="Q290" s="91" t="s">
        <v>3229</v>
      </c>
      <c r="S290">
        <v>2022</v>
      </c>
      <c r="T290" s="261" t="s">
        <v>3535</v>
      </c>
      <c r="U290" s="261" t="s">
        <v>3606</v>
      </c>
      <c r="V290" t="s">
        <v>42</v>
      </c>
    </row>
    <row r="291" spans="1:22" ht="15.75" thickBot="1" x14ac:dyDescent="0.3">
      <c r="A291" s="82" t="s">
        <v>3217</v>
      </c>
      <c r="B291" s="82" t="s">
        <v>1935</v>
      </c>
      <c r="C291" s="82" t="str">
        <f t="shared" si="20"/>
        <v>Santiago do Cacém (APA00065050)</v>
      </c>
      <c r="D291" s="82" t="s">
        <v>42</v>
      </c>
      <c r="E291" s="142" t="s">
        <v>3224</v>
      </c>
      <c r="F291" s="83" t="s">
        <v>3004</v>
      </c>
      <c r="G291" s="125" t="s">
        <v>42</v>
      </c>
      <c r="H291" s="133">
        <v>1.34</v>
      </c>
      <c r="I291" s="125" t="s">
        <v>1532</v>
      </c>
      <c r="J291" s="139">
        <f t="shared" si="21"/>
        <v>1340</v>
      </c>
      <c r="K291" s="139" t="s">
        <v>483</v>
      </c>
      <c r="L291" s="238" t="str">
        <f t="shared" si="22"/>
        <v>Reciclagem</v>
      </c>
      <c r="M291" s="238" t="s">
        <v>1560</v>
      </c>
      <c r="N291" s="238" t="s">
        <v>1922</v>
      </c>
      <c r="O291" s="114" t="str">
        <f>IFERROR(INDEX(Tabela3[Tipos de Tratamento],MATCH('A3.9.1 copy'!K291,Tabela3[Código],0)),"")</f>
        <v xml:space="preserve">Troca de resíduos com vista a submetê-los a uma das operações enumeradas de R 1 a R 11 </v>
      </c>
      <c r="P291" s="91" t="s">
        <v>3232</v>
      </c>
      <c r="Q291" s="91" t="s">
        <v>3232</v>
      </c>
      <c r="S291">
        <v>2022</v>
      </c>
      <c r="T291" s="261" t="s">
        <v>3535</v>
      </c>
      <c r="U291" s="261" t="s">
        <v>3606</v>
      </c>
      <c r="V291" t="s">
        <v>42</v>
      </c>
    </row>
    <row r="292" spans="1:22" ht="15.75" thickBot="1" x14ac:dyDescent="0.3">
      <c r="A292" s="82" t="s">
        <v>3218</v>
      </c>
      <c r="B292" s="82" t="s">
        <v>1935</v>
      </c>
      <c r="C292" s="82" t="str">
        <f t="shared" si="20"/>
        <v>Beja (APA00066322)</v>
      </c>
      <c r="D292" s="82" t="s">
        <v>42</v>
      </c>
      <c r="E292" s="142" t="s">
        <v>1579</v>
      </c>
      <c r="F292" s="83" t="s">
        <v>1580</v>
      </c>
      <c r="G292" s="125" t="s">
        <v>34</v>
      </c>
      <c r="H292" s="133">
        <v>8.2000000000000007E-3</v>
      </c>
      <c r="I292" s="125" t="s">
        <v>1532</v>
      </c>
      <c r="J292" s="139">
        <f t="shared" si="21"/>
        <v>8.2000000000000011</v>
      </c>
      <c r="K292" s="139" t="s">
        <v>509</v>
      </c>
      <c r="L292" s="238" t="str">
        <f t="shared" si="22"/>
        <v>Aterro</v>
      </c>
      <c r="M292" s="238" t="s">
        <v>1920</v>
      </c>
      <c r="N292" s="238" t="s">
        <v>1911</v>
      </c>
      <c r="O292" s="114" t="str">
        <f>IFERROR(INDEX(Tabela3[Tipos de Tratamento],MATCH('A3.9.1 copy'!K292,Tabela3[Código],0)),"")</f>
        <v>Armazenagem enquanto se aguarda a execução de uma das operações enumeradas de D1 a D14</v>
      </c>
      <c r="P292" s="91" t="s">
        <v>1539</v>
      </c>
      <c r="Q292" s="91" t="s">
        <v>1539</v>
      </c>
      <c r="R292" s="93"/>
      <c r="S292">
        <v>2022</v>
      </c>
      <c r="T292" s="261" t="s">
        <v>3535</v>
      </c>
      <c r="U292" s="261" t="s">
        <v>3606</v>
      </c>
      <c r="V292" t="s">
        <v>42</v>
      </c>
    </row>
    <row r="293" spans="1:22" ht="15.75" thickBot="1" x14ac:dyDescent="0.3">
      <c r="A293" s="82" t="s">
        <v>3218</v>
      </c>
      <c r="B293" s="82" t="s">
        <v>1935</v>
      </c>
      <c r="C293" s="82" t="str">
        <f t="shared" si="20"/>
        <v>Beja (APA00066322)</v>
      </c>
      <c r="D293" s="82" t="s">
        <v>42</v>
      </c>
      <c r="E293" s="142" t="s">
        <v>1579</v>
      </c>
      <c r="F293" s="83" t="s">
        <v>1580</v>
      </c>
      <c r="G293" s="125" t="s">
        <v>34</v>
      </c>
      <c r="H293" s="133">
        <v>4.1000000000000003E-3</v>
      </c>
      <c r="I293" s="125" t="s">
        <v>1532</v>
      </c>
      <c r="J293" s="139">
        <f t="shared" si="21"/>
        <v>4.1000000000000005</v>
      </c>
      <c r="K293" s="139" t="s">
        <v>483</v>
      </c>
      <c r="L293" s="238" t="str">
        <f t="shared" si="22"/>
        <v>Reciclagem</v>
      </c>
      <c r="M293" s="238" t="s">
        <v>1920</v>
      </c>
      <c r="N293" s="238" t="s">
        <v>1911</v>
      </c>
      <c r="O293" s="114" t="str">
        <f>IFERROR(INDEX(Tabela3[Tipos de Tratamento],MATCH('A3.9.1 copy'!K293,Tabela3[Código],0)),"")</f>
        <v xml:space="preserve">Troca de resíduos com vista a submetê-los a uma das operações enumeradas de R 1 a R 11 </v>
      </c>
      <c r="P293" s="91" t="s">
        <v>1539</v>
      </c>
      <c r="Q293" s="91" t="s">
        <v>1539</v>
      </c>
      <c r="R293" s="93"/>
      <c r="S293">
        <v>2022</v>
      </c>
      <c r="T293" s="261" t="s">
        <v>3535</v>
      </c>
      <c r="U293" s="261" t="s">
        <v>3606</v>
      </c>
      <c r="V293" t="s">
        <v>42</v>
      </c>
    </row>
    <row r="294" spans="1:22" ht="15.75" thickBot="1" x14ac:dyDescent="0.3">
      <c r="A294" s="82" t="s">
        <v>3218</v>
      </c>
      <c r="B294" s="82" t="s">
        <v>1935</v>
      </c>
      <c r="C294" s="82" t="str">
        <f t="shared" si="20"/>
        <v>Beja (APA00066322)</v>
      </c>
      <c r="D294" s="82" t="s">
        <v>42</v>
      </c>
      <c r="E294" s="142" t="s">
        <v>1579</v>
      </c>
      <c r="F294" s="83" t="s">
        <v>1580</v>
      </c>
      <c r="G294" s="125" t="s">
        <v>34</v>
      </c>
      <c r="H294" s="133">
        <v>4.1000000000000003E-3</v>
      </c>
      <c r="I294" s="125" t="s">
        <v>1532</v>
      </c>
      <c r="J294" s="139">
        <f t="shared" si="21"/>
        <v>4.1000000000000005</v>
      </c>
      <c r="K294" s="139" t="s">
        <v>484</v>
      </c>
      <c r="L294" s="238" t="str">
        <f t="shared" si="22"/>
        <v>Reciclagem</v>
      </c>
      <c r="M294" s="238" t="s">
        <v>1920</v>
      </c>
      <c r="N294" s="238" t="s">
        <v>1911</v>
      </c>
      <c r="O294" s="114" t="str">
        <f>IFERROR(INDEX(Tabela3[Tipos de Tratamento],MATCH('A3.9.1 copy'!K294,Tabela3[Código],0)),"")</f>
        <v>Acumulação de resíduos destinados a uma das operações enumeradas de R1 a R12</v>
      </c>
      <c r="P294" s="91" t="s">
        <v>1539</v>
      </c>
      <c r="Q294" s="91" t="s">
        <v>1539</v>
      </c>
      <c r="R294" s="93"/>
      <c r="S294">
        <v>2022</v>
      </c>
      <c r="T294" s="261" t="s">
        <v>3535</v>
      </c>
      <c r="U294" s="261" t="s">
        <v>3606</v>
      </c>
      <c r="V294" t="s">
        <v>42</v>
      </c>
    </row>
    <row r="295" spans="1:22" ht="15.75" thickBot="1" x14ac:dyDescent="0.3">
      <c r="A295" s="82" t="s">
        <v>3218</v>
      </c>
      <c r="B295" s="82" t="s">
        <v>1935</v>
      </c>
      <c r="C295" s="82" t="str">
        <f t="shared" si="20"/>
        <v>Beja (APA00066322)</v>
      </c>
      <c r="D295" s="82" t="s">
        <v>42</v>
      </c>
      <c r="E295" s="142" t="s">
        <v>1865</v>
      </c>
      <c r="F295" s="83" t="s">
        <v>1531</v>
      </c>
      <c r="G295" s="125" t="s">
        <v>34</v>
      </c>
      <c r="H295" s="133">
        <v>4.8579999999999997</v>
      </c>
      <c r="I295" s="125" t="s">
        <v>1532</v>
      </c>
      <c r="J295" s="139">
        <f t="shared" si="21"/>
        <v>4858</v>
      </c>
      <c r="K295" s="139" t="s">
        <v>484</v>
      </c>
      <c r="L295" s="238" t="str">
        <f t="shared" si="22"/>
        <v>Reciclagem</v>
      </c>
      <c r="M295" s="238" t="s">
        <v>1921</v>
      </c>
      <c r="N295" s="238" t="s">
        <v>1896</v>
      </c>
      <c r="O295" s="114" t="str">
        <f>IFERROR(INDEX(Tabela3[Tipos de Tratamento],MATCH('A3.9.1 copy'!K295,Tabela3[Código],0)),"")</f>
        <v>Acumulação de resíduos destinados a uma das operações enumeradas de R1 a R12</v>
      </c>
      <c r="P295" s="91" t="s">
        <v>3230</v>
      </c>
      <c r="Q295" s="91" t="s">
        <v>3230</v>
      </c>
      <c r="R295" s="93"/>
      <c r="S295">
        <v>2022</v>
      </c>
      <c r="T295" s="261" t="s">
        <v>3535</v>
      </c>
      <c r="U295" s="261" t="s">
        <v>3606</v>
      </c>
      <c r="V295" t="s">
        <v>42</v>
      </c>
    </row>
    <row r="296" spans="1:22" ht="15.75" thickBot="1" x14ac:dyDescent="0.3">
      <c r="A296" s="82" t="s">
        <v>3218</v>
      </c>
      <c r="B296" s="82" t="s">
        <v>1935</v>
      </c>
      <c r="C296" s="82" t="str">
        <f t="shared" si="20"/>
        <v>Beja (APA00066322)</v>
      </c>
      <c r="D296" s="82" t="s">
        <v>42</v>
      </c>
      <c r="E296" s="142" t="s">
        <v>3225</v>
      </c>
      <c r="F296" s="83" t="s">
        <v>3226</v>
      </c>
      <c r="G296" s="125" t="s">
        <v>34</v>
      </c>
      <c r="H296" s="133">
        <v>6.0810000000000004</v>
      </c>
      <c r="I296" s="125" t="s">
        <v>1532</v>
      </c>
      <c r="J296" s="139">
        <f t="shared" si="21"/>
        <v>6081</v>
      </c>
      <c r="K296" s="139" t="s">
        <v>509</v>
      </c>
      <c r="L296" s="238" t="str">
        <f t="shared" si="22"/>
        <v>Aterro</v>
      </c>
      <c r="M296" s="238" t="s">
        <v>1920</v>
      </c>
      <c r="N296" s="238" t="s">
        <v>1911</v>
      </c>
      <c r="O296" s="114" t="str">
        <f>IFERROR(INDEX(Tabela3[Tipos de Tratamento],MATCH('A3.9.1 copy'!K296,Tabela3[Código],0)),"")</f>
        <v>Armazenagem enquanto se aguarda a execução de uma das operações enumeradas de D1 a D14</v>
      </c>
      <c r="P296" s="91" t="s">
        <v>1536</v>
      </c>
      <c r="Q296" s="91" t="s">
        <v>1536</v>
      </c>
      <c r="R296" s="93"/>
      <c r="S296">
        <v>2022</v>
      </c>
      <c r="T296" s="261" t="s">
        <v>3535</v>
      </c>
      <c r="U296" s="261" t="s">
        <v>3606</v>
      </c>
      <c r="V296" t="s">
        <v>42</v>
      </c>
    </row>
    <row r="297" spans="1:22" ht="15.75" thickBot="1" x14ac:dyDescent="0.3">
      <c r="A297" s="82" t="s">
        <v>3218</v>
      </c>
      <c r="B297" s="82" t="s">
        <v>1935</v>
      </c>
      <c r="C297" s="82" t="str">
        <f t="shared" si="20"/>
        <v>Beja (APA00066322)</v>
      </c>
      <c r="D297" s="82" t="s">
        <v>42</v>
      </c>
      <c r="E297" s="142" t="s">
        <v>1590</v>
      </c>
      <c r="F297" s="83" t="s">
        <v>1591</v>
      </c>
      <c r="G297" s="125" t="s">
        <v>34</v>
      </c>
      <c r="H297" s="133">
        <v>9.8400000000000001E-2</v>
      </c>
      <c r="I297" s="125" t="s">
        <v>1532</v>
      </c>
      <c r="J297" s="139">
        <f t="shared" si="21"/>
        <v>98.4</v>
      </c>
      <c r="K297" s="139" t="s">
        <v>484</v>
      </c>
      <c r="L297" s="238" t="str">
        <f t="shared" si="22"/>
        <v>Reciclagem</v>
      </c>
      <c r="M297" s="238" t="s">
        <v>1920</v>
      </c>
      <c r="N297" s="238" t="s">
        <v>1911</v>
      </c>
      <c r="O297" s="114" t="str">
        <f>IFERROR(INDEX(Tabela3[Tipos de Tratamento],MATCH('A3.9.1 copy'!K297,Tabela3[Código],0)),"")</f>
        <v>Acumulação de resíduos destinados a uma das operações enumeradas de R1 a R12</v>
      </c>
      <c r="P297" s="91" t="s">
        <v>1539</v>
      </c>
      <c r="Q297" s="91" t="s">
        <v>1539</v>
      </c>
      <c r="S297">
        <v>2022</v>
      </c>
      <c r="T297" s="261" t="s">
        <v>3535</v>
      </c>
      <c r="U297" s="261" t="s">
        <v>3606</v>
      </c>
      <c r="V297" t="s">
        <v>42</v>
      </c>
    </row>
    <row r="298" spans="1:22" ht="15.75" thickBot="1" x14ac:dyDescent="0.3">
      <c r="A298" s="82" t="s">
        <v>3218</v>
      </c>
      <c r="B298" s="82" t="s">
        <v>1935</v>
      </c>
      <c r="C298" s="82" t="str">
        <f t="shared" si="20"/>
        <v>Beja (APA00066322)</v>
      </c>
      <c r="D298" s="82" t="s">
        <v>42</v>
      </c>
      <c r="E298" s="142" t="s">
        <v>1870</v>
      </c>
      <c r="F298" s="83" t="s">
        <v>1542</v>
      </c>
      <c r="G298" s="125" t="s">
        <v>34</v>
      </c>
      <c r="H298" s="133">
        <v>8.7999999999999995E-2</v>
      </c>
      <c r="I298" s="125" t="s">
        <v>1532</v>
      </c>
      <c r="J298" s="139">
        <f t="shared" si="21"/>
        <v>88</v>
      </c>
      <c r="K298" s="139" t="s">
        <v>484</v>
      </c>
      <c r="L298" s="238" t="str">
        <f t="shared" si="22"/>
        <v>Reciclagem</v>
      </c>
      <c r="M298" s="238" t="s">
        <v>1920</v>
      </c>
      <c r="N298" s="238" t="s">
        <v>1911</v>
      </c>
      <c r="O298" s="114" t="str">
        <f>IFERROR(INDEX(Tabela3[Tipos de Tratamento],MATCH('A3.9.1 copy'!K298,Tabela3[Código],0)),"")</f>
        <v>Acumulação de resíduos destinados a uma das operações enumeradas de R1 a R12</v>
      </c>
      <c r="P298" s="91" t="s">
        <v>1536</v>
      </c>
      <c r="Q298" s="91" t="s">
        <v>1536</v>
      </c>
      <c r="S298">
        <v>2022</v>
      </c>
      <c r="T298" s="261" t="s">
        <v>3535</v>
      </c>
      <c r="U298" s="261" t="s">
        <v>3606</v>
      </c>
      <c r="V298" t="s">
        <v>42</v>
      </c>
    </row>
    <row r="299" spans="1:22" ht="15.75" thickBot="1" x14ac:dyDescent="0.3">
      <c r="A299" s="82" t="s">
        <v>3218</v>
      </c>
      <c r="B299" s="82" t="s">
        <v>1935</v>
      </c>
      <c r="C299" s="82" t="str">
        <f t="shared" si="20"/>
        <v>Beja (APA00066322)</v>
      </c>
      <c r="D299" s="82" t="s">
        <v>42</v>
      </c>
      <c r="E299" s="142" t="s">
        <v>1583</v>
      </c>
      <c r="F299" s="83" t="s">
        <v>1584</v>
      </c>
      <c r="G299" s="125" t="s">
        <v>34</v>
      </c>
      <c r="H299" s="133">
        <v>77.760000000000005</v>
      </c>
      <c r="I299" s="125" t="s">
        <v>1532</v>
      </c>
      <c r="J299" s="139">
        <f t="shared" si="21"/>
        <v>77760</v>
      </c>
      <c r="K299" s="139" t="s">
        <v>484</v>
      </c>
      <c r="L299" s="238" t="str">
        <f t="shared" si="22"/>
        <v>Reciclagem</v>
      </c>
      <c r="M299" s="238" t="s">
        <v>1926</v>
      </c>
      <c r="N299" s="238" t="s">
        <v>1922</v>
      </c>
      <c r="O299" s="114" t="str">
        <f>IFERROR(INDEX(Tabela3[Tipos de Tratamento],MATCH('A3.9.1 copy'!K299,Tabela3[Código],0)),"")</f>
        <v>Acumulação de resíduos destinados a uma das operações enumeradas de R1 a R12</v>
      </c>
      <c r="P299" s="91" t="s">
        <v>3229</v>
      </c>
      <c r="Q299" s="91" t="s">
        <v>3231</v>
      </c>
      <c r="R299" s="93"/>
      <c r="S299">
        <v>2022</v>
      </c>
      <c r="T299" s="261" t="s">
        <v>3535</v>
      </c>
      <c r="U299" s="261" t="s">
        <v>3606</v>
      </c>
      <c r="V299" t="s">
        <v>42</v>
      </c>
    </row>
    <row r="300" spans="1:22" ht="15.75" thickBot="1" x14ac:dyDescent="0.3">
      <c r="A300" s="82" t="s">
        <v>3218</v>
      </c>
      <c r="B300" s="82" t="s">
        <v>1935</v>
      </c>
      <c r="C300" s="82" t="str">
        <f t="shared" si="20"/>
        <v>Beja (APA00066322)</v>
      </c>
      <c r="D300" s="82" t="s">
        <v>42</v>
      </c>
      <c r="E300" s="142" t="s">
        <v>1874</v>
      </c>
      <c r="F300" s="83" t="s">
        <v>1551</v>
      </c>
      <c r="G300" s="125" t="s">
        <v>34</v>
      </c>
      <c r="H300" s="133">
        <v>0.33500000000000002</v>
      </c>
      <c r="I300" s="125" t="s">
        <v>1532</v>
      </c>
      <c r="J300" s="139">
        <f t="shared" si="21"/>
        <v>335</v>
      </c>
      <c r="K300" s="139" t="s">
        <v>484</v>
      </c>
      <c r="L300" s="238" t="str">
        <f t="shared" si="22"/>
        <v>Reciclagem</v>
      </c>
      <c r="M300" s="238" t="s">
        <v>1920</v>
      </c>
      <c r="N300" s="238" t="s">
        <v>1911</v>
      </c>
      <c r="O300" s="114" t="str">
        <f>IFERROR(INDEX(Tabela3[Tipos de Tratamento],MATCH('A3.9.1 copy'!K300,Tabela3[Código],0)),"")</f>
        <v>Acumulação de resíduos destinados a uma das operações enumeradas de R1 a R12</v>
      </c>
      <c r="P300" s="91" t="s">
        <v>1536</v>
      </c>
      <c r="Q300" s="91" t="s">
        <v>1536</v>
      </c>
      <c r="S300">
        <v>2022</v>
      </c>
      <c r="T300" s="261" t="s">
        <v>3535</v>
      </c>
      <c r="U300" s="261" t="s">
        <v>3606</v>
      </c>
      <c r="V300" t="s">
        <v>42</v>
      </c>
    </row>
    <row r="301" spans="1:22" ht="15.75" thickBot="1" x14ac:dyDescent="0.3">
      <c r="A301" s="82" t="s">
        <v>3218</v>
      </c>
      <c r="B301" s="82" t="s">
        <v>1935</v>
      </c>
      <c r="C301" s="82" t="str">
        <f t="shared" si="20"/>
        <v>Beja (APA00066322)</v>
      </c>
      <c r="D301" s="82" t="s">
        <v>42</v>
      </c>
      <c r="E301" s="142" t="s">
        <v>1875</v>
      </c>
      <c r="F301" s="83" t="s">
        <v>1552</v>
      </c>
      <c r="G301" s="125" t="s">
        <v>34</v>
      </c>
      <c r="H301" s="133">
        <v>0.72599999999999998</v>
      </c>
      <c r="I301" s="125" t="s">
        <v>1532</v>
      </c>
      <c r="J301" s="139">
        <f t="shared" si="21"/>
        <v>726</v>
      </c>
      <c r="K301" s="139" t="s">
        <v>509</v>
      </c>
      <c r="L301" s="238" t="str">
        <f t="shared" si="22"/>
        <v>Aterro</v>
      </c>
      <c r="M301" s="238" t="s">
        <v>1557</v>
      </c>
      <c r="N301" s="238" t="s">
        <v>1922</v>
      </c>
      <c r="O301" s="114" t="str">
        <f>IFERROR(INDEX(Tabela3[Tipos de Tratamento],MATCH('A3.9.1 copy'!K301,Tabela3[Código],0)),"")</f>
        <v>Armazenagem enquanto se aguarda a execução de uma das operações enumeradas de D1 a D14</v>
      </c>
      <c r="P301" s="91" t="s">
        <v>1536</v>
      </c>
      <c r="Q301" s="91" t="s">
        <v>1536</v>
      </c>
      <c r="S301">
        <v>2022</v>
      </c>
      <c r="T301" s="261" t="s">
        <v>3535</v>
      </c>
      <c r="U301" s="261" t="s">
        <v>3606</v>
      </c>
      <c r="V301" t="s">
        <v>42</v>
      </c>
    </row>
    <row r="302" spans="1:22" ht="15.75" thickBot="1" x14ac:dyDescent="0.3">
      <c r="A302" s="82" t="s">
        <v>3218</v>
      </c>
      <c r="B302" s="82" t="s">
        <v>1935</v>
      </c>
      <c r="C302" s="82" t="str">
        <f t="shared" si="20"/>
        <v>Beja (APA00066322)</v>
      </c>
      <c r="D302" s="82" t="s">
        <v>42</v>
      </c>
      <c r="E302" s="142" t="s">
        <v>1876</v>
      </c>
      <c r="F302" s="83" t="s">
        <v>1557</v>
      </c>
      <c r="G302" s="125" t="s">
        <v>42</v>
      </c>
      <c r="H302" s="133">
        <v>4.2</v>
      </c>
      <c r="I302" s="125" t="s">
        <v>1532</v>
      </c>
      <c r="J302" s="139">
        <f t="shared" si="21"/>
        <v>4200</v>
      </c>
      <c r="K302" s="139" t="s">
        <v>484</v>
      </c>
      <c r="L302" s="238" t="str">
        <f t="shared" si="22"/>
        <v>Reciclagem</v>
      </c>
      <c r="M302" s="238" t="s">
        <v>1557</v>
      </c>
      <c r="N302" s="238" t="s">
        <v>1922</v>
      </c>
      <c r="O302" s="114" t="str">
        <f>IFERROR(INDEX(Tabela3[Tipos de Tratamento],MATCH('A3.9.1 copy'!K302,Tabela3[Código],0)),"")</f>
        <v>Acumulação de resíduos destinados a uma das operações enumeradas de R1 a R12</v>
      </c>
      <c r="P302" s="91" t="s">
        <v>3229</v>
      </c>
      <c r="Q302" s="91" t="s">
        <v>3229</v>
      </c>
      <c r="R302" s="93"/>
      <c r="S302">
        <v>2022</v>
      </c>
      <c r="T302" s="261" t="s">
        <v>3535</v>
      </c>
      <c r="U302" s="261" t="s">
        <v>3606</v>
      </c>
      <c r="V302" t="s">
        <v>42</v>
      </c>
    </row>
    <row r="303" spans="1:22" ht="15.75" thickBot="1" x14ac:dyDescent="0.3">
      <c r="A303" s="82" t="s">
        <v>3218</v>
      </c>
      <c r="B303" s="82" t="s">
        <v>1935</v>
      </c>
      <c r="C303" s="82" t="str">
        <f t="shared" si="20"/>
        <v>Beja (APA00066322)</v>
      </c>
      <c r="D303" s="82" t="s">
        <v>42</v>
      </c>
      <c r="E303" s="142" t="s">
        <v>1880</v>
      </c>
      <c r="F303" s="83" t="s">
        <v>1563</v>
      </c>
      <c r="G303" s="125" t="s">
        <v>34</v>
      </c>
      <c r="H303" s="133">
        <v>1.548</v>
      </c>
      <c r="I303" s="125" t="s">
        <v>1532</v>
      </c>
      <c r="J303" s="139">
        <f t="shared" si="21"/>
        <v>1548</v>
      </c>
      <c r="K303" s="139" t="s">
        <v>484</v>
      </c>
      <c r="L303" s="238" t="str">
        <f t="shared" si="22"/>
        <v>Reciclagem</v>
      </c>
      <c r="M303" s="238" t="s">
        <v>1653</v>
      </c>
      <c r="N303" s="238" t="s">
        <v>1896</v>
      </c>
      <c r="O303" s="114" t="str">
        <f>IFERROR(INDEX(Tabela3[Tipos de Tratamento],MATCH('A3.9.1 copy'!K303,Tabela3[Código],0)),"")</f>
        <v>Acumulação de resíduos destinados a uma das operações enumeradas de R1 a R12</v>
      </c>
      <c r="P303" s="91" t="s">
        <v>3229</v>
      </c>
      <c r="Q303" s="91" t="s">
        <v>3229</v>
      </c>
      <c r="S303">
        <v>2022</v>
      </c>
      <c r="T303" s="261" t="s">
        <v>3535</v>
      </c>
      <c r="U303" s="261" t="s">
        <v>3606</v>
      </c>
      <c r="V303" t="s">
        <v>42</v>
      </c>
    </row>
    <row r="304" spans="1:22" ht="15.75" thickBot="1" x14ac:dyDescent="0.3">
      <c r="A304" s="82" t="s">
        <v>3218</v>
      </c>
      <c r="B304" s="82" t="s">
        <v>1935</v>
      </c>
      <c r="C304" s="82" t="str">
        <f t="shared" si="20"/>
        <v>Beja (APA00066322)</v>
      </c>
      <c r="D304" s="82" t="s">
        <v>42</v>
      </c>
      <c r="E304" s="142" t="s">
        <v>1609</v>
      </c>
      <c r="F304" s="83" t="s">
        <v>1610</v>
      </c>
      <c r="G304" s="125" t="s">
        <v>42</v>
      </c>
      <c r="H304" s="133">
        <v>1.53</v>
      </c>
      <c r="I304" s="125" t="s">
        <v>1532</v>
      </c>
      <c r="J304" s="139">
        <f t="shared" si="21"/>
        <v>1530</v>
      </c>
      <c r="K304" s="139" t="s">
        <v>484</v>
      </c>
      <c r="L304" s="238" t="str">
        <f t="shared" si="22"/>
        <v>Reciclagem</v>
      </c>
      <c r="M304" s="238" t="s">
        <v>1927</v>
      </c>
      <c r="N304" s="238" t="s">
        <v>1911</v>
      </c>
      <c r="O304" s="114" t="str">
        <f>IFERROR(INDEX(Tabela3[Tipos de Tratamento],MATCH('A3.9.1 copy'!K304,Tabela3[Código],0)),"")</f>
        <v>Acumulação de resíduos destinados a uma das operações enumeradas de R1 a R12</v>
      </c>
      <c r="P304" s="91" t="s">
        <v>3229</v>
      </c>
      <c r="Q304" s="91" t="s">
        <v>3229</v>
      </c>
      <c r="S304">
        <v>2022</v>
      </c>
      <c r="T304" s="261" t="s">
        <v>3535</v>
      </c>
      <c r="U304" s="261" t="s">
        <v>3606</v>
      </c>
      <c r="V304" t="s">
        <v>42</v>
      </c>
    </row>
    <row r="305" spans="1:22" ht="15.75" thickBot="1" x14ac:dyDescent="0.3">
      <c r="A305" s="82" t="s">
        <v>3219</v>
      </c>
      <c r="B305" s="82" t="s">
        <v>1935</v>
      </c>
      <c r="C305" s="82" t="str">
        <f t="shared" si="20"/>
        <v>Elvas (APA00066615)</v>
      </c>
      <c r="D305" s="82" t="s">
        <v>42</v>
      </c>
      <c r="E305" s="142" t="s">
        <v>3225</v>
      </c>
      <c r="F305" s="83" t="s">
        <v>3226</v>
      </c>
      <c r="G305" s="125" t="s">
        <v>34</v>
      </c>
      <c r="H305" s="133">
        <v>1.8</v>
      </c>
      <c r="I305" s="125" t="s">
        <v>1532</v>
      </c>
      <c r="J305" s="139">
        <f t="shared" si="21"/>
        <v>1800</v>
      </c>
      <c r="K305" s="139" t="s">
        <v>493</v>
      </c>
      <c r="L305" s="238" t="str">
        <f t="shared" si="22"/>
        <v>Aterro</v>
      </c>
      <c r="M305" s="238" t="s">
        <v>1920</v>
      </c>
      <c r="N305" s="238" t="s">
        <v>1911</v>
      </c>
      <c r="O305" s="114" t="str">
        <f>IFERROR(INDEX(Tabela3[Tipos de Tratamento],MATCH('A3.9.1 copy'!K305,Tabela3[Código],0)),"")</f>
        <v>Deposição sobre o solo ou no seu interior (por exemplo, aterro sanitário, etc.).</v>
      </c>
      <c r="P305" s="91" t="s">
        <v>3233</v>
      </c>
      <c r="Q305" s="91" t="s">
        <v>1536</v>
      </c>
      <c r="S305">
        <v>2022</v>
      </c>
      <c r="T305" s="261" t="s">
        <v>3535</v>
      </c>
      <c r="U305" s="261" t="s">
        <v>3606</v>
      </c>
      <c r="V305" t="s">
        <v>42</v>
      </c>
    </row>
    <row r="306" spans="1:22" ht="15.75" thickBot="1" x14ac:dyDescent="0.3">
      <c r="A306" s="82" t="s">
        <v>3220</v>
      </c>
      <c r="B306" s="82" t="s">
        <v>1935</v>
      </c>
      <c r="C306" s="82" t="str">
        <f t="shared" si="20"/>
        <v>Évora (APA00162329)</v>
      </c>
      <c r="D306" s="82" t="s">
        <v>42</v>
      </c>
      <c r="E306" s="142" t="s">
        <v>1579</v>
      </c>
      <c r="F306" s="83" t="s">
        <v>1580</v>
      </c>
      <c r="G306" s="125" t="s">
        <v>34</v>
      </c>
      <c r="H306" s="133">
        <v>1.3325E-2</v>
      </c>
      <c r="I306" s="125" t="s">
        <v>1532</v>
      </c>
      <c r="J306" s="139">
        <f t="shared" si="21"/>
        <v>13.324999999999999</v>
      </c>
      <c r="K306" s="139" t="s">
        <v>509</v>
      </c>
      <c r="L306" s="238" t="str">
        <f t="shared" si="22"/>
        <v>Aterro</v>
      </c>
      <c r="M306" s="238" t="s">
        <v>1920</v>
      </c>
      <c r="N306" s="238" t="s">
        <v>1911</v>
      </c>
      <c r="O306" s="114" t="str">
        <f>IFERROR(INDEX(Tabela3[Tipos de Tratamento],MATCH('A3.9.1 copy'!K306,Tabela3[Código],0)),"")</f>
        <v>Armazenagem enquanto se aguarda a execução de uma das operações enumeradas de D1 a D14</v>
      </c>
      <c r="P306" s="91" t="s">
        <v>1539</v>
      </c>
      <c r="Q306" s="91" t="s">
        <v>1539</v>
      </c>
      <c r="R306" s="93"/>
      <c r="S306">
        <v>2022</v>
      </c>
      <c r="T306" s="261" t="s">
        <v>3535</v>
      </c>
      <c r="U306" s="261" t="s">
        <v>3606</v>
      </c>
      <c r="V306" t="s">
        <v>42</v>
      </c>
    </row>
    <row r="307" spans="1:22" ht="15.75" thickBot="1" x14ac:dyDescent="0.3">
      <c r="A307" s="82" t="s">
        <v>3220</v>
      </c>
      <c r="B307" s="82" t="s">
        <v>1935</v>
      </c>
      <c r="C307" s="82" t="str">
        <f t="shared" si="20"/>
        <v>Évora (APA00162329)</v>
      </c>
      <c r="D307" s="82" t="s">
        <v>42</v>
      </c>
      <c r="E307" s="142" t="s">
        <v>1579</v>
      </c>
      <c r="F307" s="83" t="s">
        <v>1580</v>
      </c>
      <c r="G307" s="125" t="s">
        <v>34</v>
      </c>
      <c r="H307" s="133">
        <v>1.23E-2</v>
      </c>
      <c r="I307" s="125" t="s">
        <v>1532</v>
      </c>
      <c r="J307" s="139">
        <f t="shared" si="21"/>
        <v>12.3</v>
      </c>
      <c r="K307" s="139" t="s">
        <v>483</v>
      </c>
      <c r="L307" s="238" t="str">
        <f t="shared" si="22"/>
        <v>Reciclagem</v>
      </c>
      <c r="M307" s="238" t="s">
        <v>1920</v>
      </c>
      <c r="N307" s="238" t="s">
        <v>1911</v>
      </c>
      <c r="O307" s="114" t="str">
        <f>IFERROR(INDEX(Tabela3[Tipos de Tratamento],MATCH('A3.9.1 copy'!K307,Tabela3[Código],0)),"")</f>
        <v xml:space="preserve">Troca de resíduos com vista a submetê-los a uma das operações enumeradas de R 1 a R 11 </v>
      </c>
      <c r="P307" s="91" t="s">
        <v>1539</v>
      </c>
      <c r="Q307" s="91" t="s">
        <v>1539</v>
      </c>
      <c r="R307" s="93"/>
      <c r="S307">
        <v>2022</v>
      </c>
      <c r="T307" s="261" t="s">
        <v>3535</v>
      </c>
      <c r="U307" s="261" t="s">
        <v>3606</v>
      </c>
      <c r="V307" t="s">
        <v>42</v>
      </c>
    </row>
    <row r="308" spans="1:22" ht="15.75" thickBot="1" x14ac:dyDescent="0.3">
      <c r="A308" s="82" t="s">
        <v>3220</v>
      </c>
      <c r="B308" s="82" t="s">
        <v>1935</v>
      </c>
      <c r="C308" s="82" t="str">
        <f t="shared" si="20"/>
        <v>Évora (APA00162329)</v>
      </c>
      <c r="D308" s="82" t="s">
        <v>42</v>
      </c>
      <c r="E308" s="142" t="s">
        <v>1865</v>
      </c>
      <c r="F308" s="83" t="s">
        <v>1531</v>
      </c>
      <c r="G308" s="125" t="s">
        <v>34</v>
      </c>
      <c r="H308" s="133">
        <v>4.51</v>
      </c>
      <c r="I308" s="125" t="s">
        <v>1532</v>
      </c>
      <c r="J308" s="139">
        <f t="shared" si="21"/>
        <v>4510</v>
      </c>
      <c r="K308" s="139" t="s">
        <v>483</v>
      </c>
      <c r="L308" s="238" t="str">
        <f t="shared" si="22"/>
        <v>Reciclagem</v>
      </c>
      <c r="M308" s="238" t="s">
        <v>1921</v>
      </c>
      <c r="N308" s="238" t="s">
        <v>1896</v>
      </c>
      <c r="O308" s="114" t="str">
        <f>IFERROR(INDEX(Tabela3[Tipos de Tratamento],MATCH('A3.9.1 copy'!K308,Tabela3[Código],0)),"")</f>
        <v xml:space="preserve">Troca de resíduos com vista a submetê-los a uma das operações enumeradas de R 1 a R 11 </v>
      </c>
      <c r="P308" s="91" t="s">
        <v>3230</v>
      </c>
      <c r="Q308" s="91" t="s">
        <v>3230</v>
      </c>
      <c r="R308" s="93"/>
      <c r="S308">
        <v>2022</v>
      </c>
      <c r="T308" s="261" t="s">
        <v>3535</v>
      </c>
      <c r="U308" s="261" t="s">
        <v>3606</v>
      </c>
      <c r="V308" t="s">
        <v>42</v>
      </c>
    </row>
    <row r="309" spans="1:22" ht="15.75" thickBot="1" x14ac:dyDescent="0.3">
      <c r="A309" s="82" t="s">
        <v>3220</v>
      </c>
      <c r="B309" s="82" t="s">
        <v>1935</v>
      </c>
      <c r="C309" s="82" t="str">
        <f t="shared" si="20"/>
        <v>Évora (APA00162329)</v>
      </c>
      <c r="D309" s="82" t="s">
        <v>42</v>
      </c>
      <c r="E309" s="142" t="s">
        <v>3225</v>
      </c>
      <c r="F309" s="83" t="s">
        <v>3226</v>
      </c>
      <c r="G309" s="125" t="s">
        <v>34</v>
      </c>
      <c r="H309" s="133">
        <v>11.625</v>
      </c>
      <c r="I309" s="125" t="s">
        <v>1532</v>
      </c>
      <c r="J309" s="139">
        <f t="shared" si="21"/>
        <v>11625</v>
      </c>
      <c r="K309" s="139" t="s">
        <v>503</v>
      </c>
      <c r="L309" s="238" t="str">
        <f t="shared" si="22"/>
        <v>Aterro</v>
      </c>
      <c r="M309" s="238" t="s">
        <v>1920</v>
      </c>
      <c r="N309" s="238" t="s">
        <v>1911</v>
      </c>
      <c r="O309" s="114" t="str">
        <f>IFERROR(INDEX(Tabela3[Tipos de Tratamento],MATCH('A3.9.1 copy'!K309,Tabela3[Código],0)),"")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309" s="91" t="s">
        <v>3233</v>
      </c>
      <c r="Q309" s="91" t="s">
        <v>1536</v>
      </c>
      <c r="R309" s="93"/>
      <c r="S309">
        <v>2022</v>
      </c>
      <c r="T309" s="261" t="s">
        <v>3535</v>
      </c>
      <c r="U309" s="261" t="s">
        <v>3606</v>
      </c>
      <c r="V309" t="s">
        <v>42</v>
      </c>
    </row>
    <row r="310" spans="1:22" ht="15.75" thickBot="1" x14ac:dyDescent="0.3">
      <c r="A310" s="82" t="s">
        <v>3220</v>
      </c>
      <c r="B310" s="82" t="s">
        <v>1935</v>
      </c>
      <c r="C310" s="82" t="str">
        <f t="shared" si="20"/>
        <v>Évora (APA00162329)</v>
      </c>
      <c r="D310" s="82" t="s">
        <v>42</v>
      </c>
      <c r="E310" s="142" t="s">
        <v>1590</v>
      </c>
      <c r="F310" s="83" t="s">
        <v>1591</v>
      </c>
      <c r="G310" s="125" t="s">
        <v>34</v>
      </c>
      <c r="H310" s="133">
        <v>0.12</v>
      </c>
      <c r="I310" s="125" t="s">
        <v>1532</v>
      </c>
      <c r="J310" s="139">
        <f t="shared" si="21"/>
        <v>120</v>
      </c>
      <c r="K310" s="139" t="s">
        <v>483</v>
      </c>
      <c r="L310" s="238" t="str">
        <f t="shared" si="22"/>
        <v>Reciclagem</v>
      </c>
      <c r="M310" s="238" t="s">
        <v>1920</v>
      </c>
      <c r="N310" s="238" t="s">
        <v>1911</v>
      </c>
      <c r="O310" s="114" t="str">
        <f>IFERROR(INDEX(Tabela3[Tipos de Tratamento],MATCH('A3.9.1 copy'!K310,Tabela3[Código],0)),"")</f>
        <v xml:space="preserve">Troca de resíduos com vista a submetê-los a uma das operações enumeradas de R 1 a R 11 </v>
      </c>
      <c r="P310" s="91" t="s">
        <v>1539</v>
      </c>
      <c r="Q310" s="91" t="s">
        <v>1539</v>
      </c>
      <c r="S310">
        <v>2022</v>
      </c>
      <c r="T310" s="261" t="s">
        <v>3535</v>
      </c>
      <c r="U310" s="261" t="s">
        <v>3606</v>
      </c>
      <c r="V310" t="s">
        <v>42</v>
      </c>
    </row>
    <row r="311" spans="1:22" ht="15.75" thickBot="1" x14ac:dyDescent="0.3">
      <c r="A311" s="82" t="s">
        <v>3220</v>
      </c>
      <c r="B311" s="82" t="s">
        <v>1935</v>
      </c>
      <c r="C311" s="82" t="str">
        <f t="shared" si="20"/>
        <v>Évora (APA00162329)</v>
      </c>
      <c r="D311" s="82" t="s">
        <v>42</v>
      </c>
      <c r="E311" s="142" t="s">
        <v>1590</v>
      </c>
      <c r="F311" s="83" t="s">
        <v>1591</v>
      </c>
      <c r="G311" s="125" t="s">
        <v>34</v>
      </c>
      <c r="H311" s="133">
        <v>0.14000000000000001</v>
      </c>
      <c r="I311" s="125" t="s">
        <v>1532</v>
      </c>
      <c r="J311" s="139">
        <f t="shared" si="21"/>
        <v>140</v>
      </c>
      <c r="K311" s="139" t="s">
        <v>484</v>
      </c>
      <c r="L311" s="238" t="str">
        <f t="shared" si="22"/>
        <v>Reciclagem</v>
      </c>
      <c r="M311" s="238" t="s">
        <v>1920</v>
      </c>
      <c r="N311" s="238" t="s">
        <v>1911</v>
      </c>
      <c r="O311" s="114" t="str">
        <f>IFERROR(INDEX(Tabela3[Tipos de Tratamento],MATCH('A3.9.1 copy'!K311,Tabela3[Código],0)),"")</f>
        <v>Acumulação de resíduos destinados a uma das operações enumeradas de R1 a R12</v>
      </c>
      <c r="P311" s="91" t="s">
        <v>1539</v>
      </c>
      <c r="Q311" s="91" t="s">
        <v>1539</v>
      </c>
      <c r="S311">
        <v>2022</v>
      </c>
      <c r="T311" s="261" t="s">
        <v>3535</v>
      </c>
      <c r="U311" s="261" t="s">
        <v>3606</v>
      </c>
      <c r="V311" t="s">
        <v>42</v>
      </c>
    </row>
    <row r="312" spans="1:22" ht="15.75" thickBot="1" x14ac:dyDescent="0.3">
      <c r="A312" s="82" t="s">
        <v>3220</v>
      </c>
      <c r="B312" s="82" t="s">
        <v>1935</v>
      </c>
      <c r="C312" s="82" t="str">
        <f t="shared" si="20"/>
        <v>Évora (APA00162329)</v>
      </c>
      <c r="D312" s="82" t="s">
        <v>42</v>
      </c>
      <c r="E312" s="142" t="s">
        <v>1590</v>
      </c>
      <c r="F312" s="83" t="s">
        <v>1591</v>
      </c>
      <c r="G312" s="125" t="s">
        <v>34</v>
      </c>
      <c r="H312" s="133">
        <v>0.39300000000000002</v>
      </c>
      <c r="I312" s="125" t="s">
        <v>1532</v>
      </c>
      <c r="J312" s="139">
        <f t="shared" si="21"/>
        <v>393</v>
      </c>
      <c r="K312" s="139" t="s">
        <v>484</v>
      </c>
      <c r="L312" s="238" t="str">
        <f t="shared" si="22"/>
        <v>Reciclagem</v>
      </c>
      <c r="M312" s="238" t="s">
        <v>1920</v>
      </c>
      <c r="N312" s="238" t="s">
        <v>1911</v>
      </c>
      <c r="O312" s="114" t="str">
        <f>IFERROR(INDEX(Tabela3[Tipos de Tratamento],MATCH('A3.9.1 copy'!K312,Tabela3[Código],0)),"")</f>
        <v>Acumulação de resíduos destinados a uma das operações enumeradas de R1 a R12</v>
      </c>
      <c r="P312" s="91" t="s">
        <v>1536</v>
      </c>
      <c r="Q312" s="91" t="s">
        <v>3214</v>
      </c>
      <c r="S312">
        <v>2022</v>
      </c>
      <c r="T312" s="261" t="s">
        <v>3535</v>
      </c>
      <c r="U312" s="261" t="s">
        <v>3606</v>
      </c>
      <c r="V312" t="s">
        <v>42</v>
      </c>
    </row>
    <row r="313" spans="1:22" ht="15.75" thickBot="1" x14ac:dyDescent="0.3">
      <c r="A313" s="82" t="s">
        <v>3220</v>
      </c>
      <c r="B313" s="82" t="s">
        <v>1935</v>
      </c>
      <c r="C313" s="82" t="str">
        <f t="shared" si="20"/>
        <v>Évora (APA00162329)</v>
      </c>
      <c r="D313" s="82" t="s">
        <v>42</v>
      </c>
      <c r="E313" s="142" t="s">
        <v>1872</v>
      </c>
      <c r="F313" s="83" t="s">
        <v>1547</v>
      </c>
      <c r="G313" s="125" t="s">
        <v>34</v>
      </c>
      <c r="H313" s="133">
        <v>0.38200000000000001</v>
      </c>
      <c r="I313" s="125" t="s">
        <v>1532</v>
      </c>
      <c r="J313" s="139">
        <f t="shared" si="21"/>
        <v>382</v>
      </c>
      <c r="K313" s="139" t="s">
        <v>484</v>
      </c>
      <c r="L313" s="238" t="str">
        <f t="shared" si="22"/>
        <v>Reciclagem</v>
      </c>
      <c r="M313" s="238" t="s">
        <v>1920</v>
      </c>
      <c r="N313" s="238" t="s">
        <v>1911</v>
      </c>
      <c r="O313" s="114" t="str">
        <f>IFERROR(INDEX(Tabela3[Tipos de Tratamento],MATCH('A3.9.1 copy'!K313,Tabela3[Código],0)),"")</f>
        <v>Acumulação de resíduos destinados a uma das operações enumeradas de R1 a R12</v>
      </c>
      <c r="P313" s="91" t="s">
        <v>1536</v>
      </c>
      <c r="Q313" s="91" t="s">
        <v>3214</v>
      </c>
      <c r="S313">
        <v>2022</v>
      </c>
      <c r="T313" s="261" t="s">
        <v>3535</v>
      </c>
      <c r="U313" s="261" t="s">
        <v>3606</v>
      </c>
      <c r="V313" t="s">
        <v>42</v>
      </c>
    </row>
    <row r="314" spans="1:22" ht="15.75" thickBot="1" x14ac:dyDescent="0.3">
      <c r="A314" s="82" t="s">
        <v>3220</v>
      </c>
      <c r="B314" s="82" t="s">
        <v>1935</v>
      </c>
      <c r="C314" s="82" t="str">
        <f t="shared" si="20"/>
        <v>Évora (APA00162329)</v>
      </c>
      <c r="D314" s="82" t="s">
        <v>42</v>
      </c>
      <c r="E314" s="142" t="s">
        <v>1583</v>
      </c>
      <c r="F314" s="83" t="s">
        <v>1584</v>
      </c>
      <c r="G314" s="125" t="s">
        <v>34</v>
      </c>
      <c r="H314" s="133">
        <v>13.22</v>
      </c>
      <c r="I314" s="125" t="s">
        <v>1532</v>
      </c>
      <c r="J314" s="139">
        <f t="shared" si="21"/>
        <v>13220</v>
      </c>
      <c r="K314" s="139" t="s">
        <v>484</v>
      </c>
      <c r="L314" s="238" t="str">
        <f t="shared" si="22"/>
        <v>Reciclagem</v>
      </c>
      <c r="M314" s="238" t="s">
        <v>1926</v>
      </c>
      <c r="N314" s="238" t="s">
        <v>1922</v>
      </c>
      <c r="O314" s="114" t="str">
        <f>IFERROR(INDEX(Tabela3[Tipos de Tratamento],MATCH('A3.9.1 copy'!K314,Tabela3[Código],0)),"")</f>
        <v>Acumulação de resíduos destinados a uma das operações enumeradas de R1 a R12</v>
      </c>
      <c r="P314" s="91" t="s">
        <v>3229</v>
      </c>
      <c r="Q314" s="91" t="s">
        <v>3228</v>
      </c>
      <c r="R314" s="93"/>
      <c r="S314">
        <v>2022</v>
      </c>
      <c r="T314" s="261" t="s">
        <v>3535</v>
      </c>
      <c r="U314" s="261" t="s">
        <v>3606</v>
      </c>
      <c r="V314" t="s">
        <v>42</v>
      </c>
    </row>
    <row r="315" spans="1:22" ht="15.75" thickBot="1" x14ac:dyDescent="0.3">
      <c r="A315" s="82" t="s">
        <v>3220</v>
      </c>
      <c r="B315" s="82" t="s">
        <v>1935</v>
      </c>
      <c r="C315" s="82" t="str">
        <f t="shared" si="20"/>
        <v>Évora (APA00162329)</v>
      </c>
      <c r="D315" s="82" t="s">
        <v>42</v>
      </c>
      <c r="E315" s="142" t="s">
        <v>1583</v>
      </c>
      <c r="F315" s="83" t="s">
        <v>1584</v>
      </c>
      <c r="G315" s="125" t="s">
        <v>34</v>
      </c>
      <c r="H315" s="133">
        <v>7.34</v>
      </c>
      <c r="I315" s="125" t="s">
        <v>1532</v>
      </c>
      <c r="J315" s="139">
        <f t="shared" si="21"/>
        <v>7340</v>
      </c>
      <c r="K315" s="139" t="s">
        <v>484</v>
      </c>
      <c r="L315" s="238" t="str">
        <f t="shared" si="22"/>
        <v>Reciclagem</v>
      </c>
      <c r="M315" s="238" t="s">
        <v>1926</v>
      </c>
      <c r="N315" s="238" t="s">
        <v>1922</v>
      </c>
      <c r="O315" s="114" t="str">
        <f>IFERROR(INDEX(Tabela3[Tipos de Tratamento],MATCH('A3.9.1 copy'!K315,Tabela3[Código],0)),"")</f>
        <v>Acumulação de resíduos destinados a uma das operações enumeradas de R1 a R12</v>
      </c>
      <c r="P315" s="91" t="s">
        <v>3234</v>
      </c>
      <c r="Q315" s="91" t="s">
        <v>3228</v>
      </c>
      <c r="R315" s="93"/>
      <c r="S315">
        <v>2022</v>
      </c>
      <c r="T315" s="261" t="s">
        <v>3535</v>
      </c>
      <c r="U315" s="261" t="s">
        <v>3606</v>
      </c>
      <c r="V315" t="s">
        <v>42</v>
      </c>
    </row>
    <row r="316" spans="1:22" ht="15.75" thickBot="1" x14ac:dyDescent="0.3">
      <c r="A316" s="82" t="s">
        <v>3220</v>
      </c>
      <c r="B316" s="82" t="s">
        <v>1935</v>
      </c>
      <c r="C316" s="82" t="str">
        <f t="shared" si="20"/>
        <v>Évora (APA00162329)</v>
      </c>
      <c r="D316" s="82" t="s">
        <v>42</v>
      </c>
      <c r="E316" s="142" t="s">
        <v>1874</v>
      </c>
      <c r="F316" s="83" t="s">
        <v>1551</v>
      </c>
      <c r="G316" s="125" t="s">
        <v>34</v>
      </c>
      <c r="H316" s="133">
        <v>0.53100000000000003</v>
      </c>
      <c r="I316" s="125" t="s">
        <v>1532</v>
      </c>
      <c r="J316" s="139">
        <f t="shared" si="21"/>
        <v>531</v>
      </c>
      <c r="K316" s="139" t="s">
        <v>484</v>
      </c>
      <c r="L316" s="238" t="str">
        <f t="shared" si="22"/>
        <v>Reciclagem</v>
      </c>
      <c r="M316" s="238" t="s">
        <v>1920</v>
      </c>
      <c r="N316" s="238" t="s">
        <v>1911</v>
      </c>
      <c r="O316" s="114" t="str">
        <f>IFERROR(INDEX(Tabela3[Tipos de Tratamento],MATCH('A3.9.1 copy'!K316,Tabela3[Código],0)),"")</f>
        <v>Acumulação de resíduos destinados a uma das operações enumeradas de R1 a R12</v>
      </c>
      <c r="P316" s="91" t="s">
        <v>1536</v>
      </c>
      <c r="Q316" s="91" t="s">
        <v>3214</v>
      </c>
      <c r="S316">
        <v>2022</v>
      </c>
      <c r="T316" s="261" t="s">
        <v>3535</v>
      </c>
      <c r="U316" s="261" t="s">
        <v>3606</v>
      </c>
      <c r="V316" t="s">
        <v>42</v>
      </c>
    </row>
    <row r="317" spans="1:22" ht="15.75" thickBot="1" x14ac:dyDescent="0.3">
      <c r="A317" s="82" t="s">
        <v>3220</v>
      </c>
      <c r="B317" s="82" t="s">
        <v>1935</v>
      </c>
      <c r="C317" s="82" t="str">
        <f t="shared" si="20"/>
        <v>Évora (APA00162329)</v>
      </c>
      <c r="D317" s="82" t="s">
        <v>42</v>
      </c>
      <c r="E317" s="142" t="s">
        <v>1875</v>
      </c>
      <c r="F317" s="83" t="s">
        <v>1552</v>
      </c>
      <c r="G317" s="125" t="s">
        <v>34</v>
      </c>
      <c r="H317" s="133">
        <v>0.76700000000000002</v>
      </c>
      <c r="I317" s="125" t="s">
        <v>1532</v>
      </c>
      <c r="J317" s="139">
        <f t="shared" si="21"/>
        <v>767</v>
      </c>
      <c r="K317" s="139" t="s">
        <v>509</v>
      </c>
      <c r="L317" s="238" t="str">
        <f t="shared" si="22"/>
        <v>Aterro</v>
      </c>
      <c r="M317" s="238" t="s">
        <v>1557</v>
      </c>
      <c r="N317" s="238" t="s">
        <v>1922</v>
      </c>
      <c r="O317" s="114" t="str">
        <f>IFERROR(INDEX(Tabela3[Tipos de Tratamento],MATCH('A3.9.1 copy'!K317,Tabela3[Código],0)),"")</f>
        <v>Armazenagem enquanto se aguarda a execução de uma das operações enumeradas de D1 a D14</v>
      </c>
      <c r="P317" s="91" t="s">
        <v>1536</v>
      </c>
      <c r="Q317" s="91" t="s">
        <v>3214</v>
      </c>
      <c r="S317">
        <v>2022</v>
      </c>
      <c r="T317" s="261" t="s">
        <v>3535</v>
      </c>
      <c r="U317" s="261" t="s">
        <v>3606</v>
      </c>
      <c r="V317" t="s">
        <v>42</v>
      </c>
    </row>
    <row r="318" spans="1:22" ht="15.75" thickBot="1" x14ac:dyDescent="0.3">
      <c r="A318" s="82" t="s">
        <v>3220</v>
      </c>
      <c r="B318" s="82" t="s">
        <v>1935</v>
      </c>
      <c r="C318" s="82" t="str">
        <f t="shared" si="20"/>
        <v>Évora (APA00162329)</v>
      </c>
      <c r="D318" s="82" t="s">
        <v>42</v>
      </c>
      <c r="E318" s="142" t="s">
        <v>3222</v>
      </c>
      <c r="F318" s="83" t="s">
        <v>1557</v>
      </c>
      <c r="G318" s="125" t="s">
        <v>42</v>
      </c>
      <c r="H318" s="133">
        <v>8.68</v>
      </c>
      <c r="I318" s="125" t="s">
        <v>1532</v>
      </c>
      <c r="J318" s="139">
        <f t="shared" si="21"/>
        <v>8680</v>
      </c>
      <c r="K318" s="139" t="s">
        <v>484</v>
      </c>
      <c r="L318" s="238" t="str">
        <f t="shared" si="22"/>
        <v>Reciclagem</v>
      </c>
      <c r="M318" s="238" t="s">
        <v>1557</v>
      </c>
      <c r="N318" s="238" t="s">
        <v>1922</v>
      </c>
      <c r="O318" s="114" t="str">
        <f>IFERROR(INDEX(Tabela3[Tipos de Tratamento],MATCH('A3.9.1 copy'!K318,Tabela3[Código],0)),"")</f>
        <v>Acumulação de resíduos destinados a uma das operações enumeradas de R1 a R12</v>
      </c>
      <c r="P318" s="91" t="s">
        <v>3234</v>
      </c>
      <c r="Q318" s="91" t="s">
        <v>3234</v>
      </c>
      <c r="R318" s="93"/>
      <c r="S318">
        <v>2022</v>
      </c>
      <c r="T318" s="261" t="s">
        <v>3535</v>
      </c>
      <c r="U318" s="261" t="s">
        <v>3606</v>
      </c>
      <c r="V318" t="s">
        <v>42</v>
      </c>
    </row>
    <row r="319" spans="1:22" ht="15.75" thickBot="1" x14ac:dyDescent="0.3">
      <c r="A319" s="82" t="s">
        <v>3221</v>
      </c>
      <c r="B319" s="82" t="s">
        <v>1935</v>
      </c>
      <c r="C319" s="82" t="str">
        <f t="shared" si="20"/>
        <v>Odemira (APA00067277)</v>
      </c>
      <c r="D319" s="82" t="s">
        <v>42</v>
      </c>
      <c r="E319" s="142" t="s">
        <v>1865</v>
      </c>
      <c r="F319" s="83" t="s">
        <v>1531</v>
      </c>
      <c r="G319" s="125" t="s">
        <v>34</v>
      </c>
      <c r="H319" s="133">
        <v>0.219</v>
      </c>
      <c r="I319" s="125" t="s">
        <v>1532</v>
      </c>
      <c r="J319" s="139">
        <f t="shared" si="21"/>
        <v>219</v>
      </c>
      <c r="K319" s="139" t="s">
        <v>484</v>
      </c>
      <c r="L319" s="238" t="str">
        <f t="shared" si="22"/>
        <v>Reciclagem</v>
      </c>
      <c r="M319" s="238" t="s">
        <v>1921</v>
      </c>
      <c r="N319" s="238" t="s">
        <v>1896</v>
      </c>
      <c r="O319" s="114" t="str">
        <f>IFERROR(INDEX(Tabela3[Tipos de Tratamento],MATCH('A3.9.1 copy'!K319,Tabela3[Código],0)),"")</f>
        <v>Acumulação de resíduos destinados a uma das operações enumeradas de R1 a R12</v>
      </c>
      <c r="P319" s="91" t="s">
        <v>3230</v>
      </c>
      <c r="Q319" s="91" t="s">
        <v>3230</v>
      </c>
      <c r="S319">
        <v>2022</v>
      </c>
      <c r="T319" s="261" t="s">
        <v>3535</v>
      </c>
      <c r="U319" s="261" t="s">
        <v>3606</v>
      </c>
      <c r="V319" t="s">
        <v>42</v>
      </c>
    </row>
    <row r="320" spans="1:22" ht="15.75" thickBot="1" x14ac:dyDescent="0.3">
      <c r="A320" s="93" t="s">
        <v>4711</v>
      </c>
      <c r="B320" s="82" t="s">
        <v>4686</v>
      </c>
      <c r="C320" s="82" t="str">
        <f t="shared" si="20"/>
        <v>oficina LOULÉ</v>
      </c>
      <c r="D320" s="82" t="s">
        <v>42</v>
      </c>
      <c r="E320" s="392">
        <v>130208</v>
      </c>
      <c r="F320" s="394" t="s">
        <v>1531</v>
      </c>
      <c r="G320" s="395" t="s">
        <v>34</v>
      </c>
      <c r="H320" s="396">
        <v>0.8</v>
      </c>
      <c r="I320" s="395" t="s">
        <v>1532</v>
      </c>
      <c r="J320" s="139">
        <f t="shared" si="21"/>
        <v>800</v>
      </c>
      <c r="K320" s="395" t="s">
        <v>484</v>
      </c>
      <c r="L320" s="238" t="str">
        <f t="shared" si="22"/>
        <v>Reciclagem</v>
      </c>
      <c r="M320" s="238" t="s">
        <v>1921</v>
      </c>
      <c r="N320" s="238" t="s">
        <v>1896</v>
      </c>
      <c r="O320" s="114" t="str">
        <f>IFERROR(INDEX(Tabela3[Tipos de Tratamento],MATCH('A3.9.1 copy'!K320,Tabela3[Código],0)),"")</f>
        <v>Acumulação de resíduos destinados a uma das operações enumeradas de R1 a R12</v>
      </c>
      <c r="P320" s="91" t="s">
        <v>3236</v>
      </c>
      <c r="Q320" s="91" t="s">
        <v>3236</v>
      </c>
      <c r="S320">
        <v>2022</v>
      </c>
      <c r="T320" s="261" t="s">
        <v>3535</v>
      </c>
      <c r="U320" s="261" t="s">
        <v>3606</v>
      </c>
      <c r="V320" t="s">
        <v>42</v>
      </c>
    </row>
    <row r="321" spans="1:22" ht="15.75" thickBot="1" x14ac:dyDescent="0.3">
      <c r="A321" s="82" t="s">
        <v>4712</v>
      </c>
      <c r="B321" s="82" t="s">
        <v>4686</v>
      </c>
      <c r="C321" s="82" t="str">
        <f t="shared" si="20"/>
        <v>oficina LAGOS</v>
      </c>
      <c r="D321" s="82" t="s">
        <v>42</v>
      </c>
      <c r="E321" s="392">
        <v>130502</v>
      </c>
      <c r="F321" s="394" t="s">
        <v>1569</v>
      </c>
      <c r="G321" s="395" t="s">
        <v>34</v>
      </c>
      <c r="H321" s="396">
        <v>0.42</v>
      </c>
      <c r="I321" s="395" t="s">
        <v>1532</v>
      </c>
      <c r="J321" s="139">
        <f t="shared" si="21"/>
        <v>420</v>
      </c>
      <c r="K321" s="395" t="s">
        <v>503</v>
      </c>
      <c r="L321" s="238" t="str">
        <f t="shared" si="22"/>
        <v>Aterro</v>
      </c>
      <c r="M321" s="238" t="s">
        <v>1920</v>
      </c>
      <c r="N321" s="238" t="s">
        <v>1911</v>
      </c>
      <c r="O321" s="114" t="str">
        <f>IFERROR(INDEX(Tabela3[Tipos de Tratamento],MATCH('A3.9.1 copy'!K321,Tabela3[Código],0)),"")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321" s="91" t="s">
        <v>3236</v>
      </c>
      <c r="Q321" s="91" t="s">
        <v>3236</v>
      </c>
      <c r="S321">
        <v>2022</v>
      </c>
      <c r="T321" s="261" t="s">
        <v>3535</v>
      </c>
      <c r="U321" s="261" t="s">
        <v>3606</v>
      </c>
      <c r="V321" t="s">
        <v>42</v>
      </c>
    </row>
    <row r="322" spans="1:22" ht="15.75" thickBot="1" x14ac:dyDescent="0.3">
      <c r="A322" s="82" t="s">
        <v>4712</v>
      </c>
      <c r="B322" s="82" t="s">
        <v>4686</v>
      </c>
      <c r="C322" s="82" t="str">
        <f t="shared" si="20"/>
        <v>oficina LAGOS</v>
      </c>
      <c r="D322" s="82" t="s">
        <v>42</v>
      </c>
      <c r="E322" s="392">
        <v>130507</v>
      </c>
      <c r="F322" s="146" t="s">
        <v>1572</v>
      </c>
      <c r="G322" s="395" t="s">
        <v>34</v>
      </c>
      <c r="H322" s="396">
        <v>1.4</v>
      </c>
      <c r="I322" s="395" t="s">
        <v>1532</v>
      </c>
      <c r="J322" s="139">
        <f t="shared" si="21"/>
        <v>1400</v>
      </c>
      <c r="K322" s="395" t="s">
        <v>503</v>
      </c>
      <c r="L322" s="238" t="str">
        <f t="shared" si="22"/>
        <v>Aterro</v>
      </c>
      <c r="M322" s="238" t="s">
        <v>1920</v>
      </c>
      <c r="N322" s="238" t="s">
        <v>1911</v>
      </c>
      <c r="O322" s="114" t="str">
        <f>IFERROR(INDEX(Tabela3[Tipos de Tratamento],MATCH('A3.9.1 copy'!K322,Tabela3[Código],0)),"")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322" s="91" t="s">
        <v>3236</v>
      </c>
      <c r="Q322" s="91" t="s">
        <v>3236</v>
      </c>
      <c r="S322">
        <v>2022</v>
      </c>
      <c r="T322" s="261" t="s">
        <v>3535</v>
      </c>
      <c r="U322" s="261" t="s">
        <v>3606</v>
      </c>
      <c r="V322" t="s">
        <v>42</v>
      </c>
    </row>
    <row r="323" spans="1:22" ht="15.75" thickBot="1" x14ac:dyDescent="0.3">
      <c r="A323" s="82" t="s">
        <v>4713</v>
      </c>
      <c r="B323" s="82" t="s">
        <v>4686</v>
      </c>
      <c r="C323" s="82" t="str">
        <f t="shared" ref="C323:C386" si="23">IF(A323=B323,"X",RIGHT(A323,LEN(A323)-LEN(B323)-3))</f>
        <v>oficina GAMBELAS</v>
      </c>
      <c r="D323" s="82" t="s">
        <v>42</v>
      </c>
      <c r="E323" s="123">
        <v>130208</v>
      </c>
      <c r="F323" s="91" t="s">
        <v>1531</v>
      </c>
      <c r="G323" s="125" t="s">
        <v>34</v>
      </c>
      <c r="H323" s="133">
        <v>7.0679999999999996</v>
      </c>
      <c r="I323" s="125" t="s">
        <v>1532</v>
      </c>
      <c r="J323" s="139">
        <f t="shared" ref="J323:J386" si="24">IF(LEFT(I323,3)="ton",1000*H323,H323)</f>
        <v>7068</v>
      </c>
      <c r="K323" s="139" t="s">
        <v>484</v>
      </c>
      <c r="L323" s="238" t="str">
        <f t="shared" ref="L323:L386" si="25">IF(LEFT(K323,1)="R","Reciclagem",IF(OR(K323="D10",K323="D11"),"Iceneração","Aterro"))</f>
        <v>Reciclagem</v>
      </c>
      <c r="M323" s="238" t="s">
        <v>1921</v>
      </c>
      <c r="N323" s="238" t="s">
        <v>1896</v>
      </c>
      <c r="O323" s="114" t="str">
        <f>IFERROR(INDEX(Tabela3[Tipos de Tratamento],MATCH('A3.9.1 copy'!K323,Tabela3[Código],0)),"")</f>
        <v>Acumulação de resíduos destinados a uma das operações enumeradas de R1 a R12</v>
      </c>
      <c r="P323" s="91" t="s">
        <v>3236</v>
      </c>
      <c r="Q323" s="91" t="s">
        <v>3236</v>
      </c>
      <c r="R323" s="93"/>
      <c r="S323">
        <v>2022</v>
      </c>
      <c r="T323" s="261" t="s">
        <v>3535</v>
      </c>
      <c r="U323" s="261" t="s">
        <v>3606</v>
      </c>
      <c r="V323" t="s">
        <v>42</v>
      </c>
    </row>
    <row r="324" spans="1:22" ht="15.75" thickBot="1" x14ac:dyDescent="0.3">
      <c r="A324" s="82" t="s">
        <v>4713</v>
      </c>
      <c r="B324" s="82" t="s">
        <v>4686</v>
      </c>
      <c r="C324" s="82" t="str">
        <f t="shared" si="23"/>
        <v>oficina GAMBELAS</v>
      </c>
      <c r="D324" s="82" t="s">
        <v>42</v>
      </c>
      <c r="E324" s="123">
        <v>150101</v>
      </c>
      <c r="F324" s="91" t="s">
        <v>1537</v>
      </c>
      <c r="G324" s="125" t="s">
        <v>34</v>
      </c>
      <c r="H324" s="133">
        <v>0.38</v>
      </c>
      <c r="I324" s="125" t="s">
        <v>1532</v>
      </c>
      <c r="J324" s="139">
        <f t="shared" si="24"/>
        <v>380</v>
      </c>
      <c r="K324" s="139" t="s">
        <v>483</v>
      </c>
      <c r="L324" s="238" t="str">
        <f t="shared" si="25"/>
        <v>Reciclagem</v>
      </c>
      <c r="M324" s="238" t="s">
        <v>1923</v>
      </c>
      <c r="N324" s="238" t="s">
        <v>1922</v>
      </c>
      <c r="O324" s="114" t="str">
        <f>IFERROR(INDEX(Tabela3[Tipos de Tratamento],MATCH('A3.9.1 copy'!K324,Tabela3[Código],0)),"")</f>
        <v xml:space="preserve">Troca de resíduos com vista a submetê-los a uma das operações enumeradas de R 1 a R 11 </v>
      </c>
      <c r="P324" s="91" t="s">
        <v>3281</v>
      </c>
      <c r="Q324" s="91" t="s">
        <v>3281</v>
      </c>
      <c r="S324">
        <v>2022</v>
      </c>
      <c r="T324" s="261" t="s">
        <v>3535</v>
      </c>
      <c r="U324" s="261" t="s">
        <v>3606</v>
      </c>
      <c r="V324" t="s">
        <v>42</v>
      </c>
    </row>
    <row r="325" spans="1:22" ht="15.75" thickBot="1" x14ac:dyDescent="0.3">
      <c r="A325" s="82" t="s">
        <v>4713</v>
      </c>
      <c r="B325" s="82" t="s">
        <v>4686</v>
      </c>
      <c r="C325" s="82" t="str">
        <f t="shared" si="23"/>
        <v>oficina GAMBELAS</v>
      </c>
      <c r="D325" s="82" t="s">
        <v>42</v>
      </c>
      <c r="E325" s="123">
        <v>150110</v>
      </c>
      <c r="F325" s="91" t="s">
        <v>1542</v>
      </c>
      <c r="G325" s="125" t="s">
        <v>34</v>
      </c>
      <c r="H325" s="133">
        <v>0.09</v>
      </c>
      <c r="I325" s="125" t="s">
        <v>1532</v>
      </c>
      <c r="J325" s="139">
        <f t="shared" si="24"/>
        <v>90</v>
      </c>
      <c r="K325" s="139" t="s">
        <v>484</v>
      </c>
      <c r="L325" s="238" t="str">
        <f t="shared" si="25"/>
        <v>Reciclagem</v>
      </c>
      <c r="M325" s="238" t="s">
        <v>1920</v>
      </c>
      <c r="N325" s="238" t="s">
        <v>1911</v>
      </c>
      <c r="O325" s="114" t="str">
        <f>IFERROR(INDEX(Tabela3[Tipos de Tratamento],MATCH('A3.9.1 copy'!K325,Tabela3[Código],0)),"")</f>
        <v>Acumulação de resíduos destinados a uma das operações enumeradas de R1 a R12</v>
      </c>
      <c r="P325" s="91" t="s">
        <v>1539</v>
      </c>
      <c r="Q325" s="91" t="s">
        <v>1574</v>
      </c>
      <c r="S325">
        <v>2022</v>
      </c>
      <c r="T325" s="261" t="s">
        <v>3535</v>
      </c>
      <c r="U325" s="261" t="s">
        <v>3606</v>
      </c>
      <c r="V325" t="s">
        <v>42</v>
      </c>
    </row>
    <row r="326" spans="1:22" ht="15.75" thickBot="1" x14ac:dyDescent="0.3">
      <c r="A326" s="82" t="s">
        <v>4713</v>
      </c>
      <c r="B326" s="82" t="s">
        <v>4686</v>
      </c>
      <c r="C326" s="82" t="str">
        <f t="shared" si="23"/>
        <v>oficina GAMBELAS</v>
      </c>
      <c r="D326" s="82" t="s">
        <v>42</v>
      </c>
      <c r="E326" s="123">
        <v>150111</v>
      </c>
      <c r="F326" s="91" t="s">
        <v>1548</v>
      </c>
      <c r="G326" s="125" t="s">
        <v>34</v>
      </c>
      <c r="H326" s="133">
        <v>1.7999999999999999E-2</v>
      </c>
      <c r="I326" s="125" t="s">
        <v>1532</v>
      </c>
      <c r="J326" s="139">
        <f t="shared" si="24"/>
        <v>18</v>
      </c>
      <c r="K326" s="139" t="s">
        <v>509</v>
      </c>
      <c r="L326" s="238" t="str">
        <f t="shared" si="25"/>
        <v>Aterro</v>
      </c>
      <c r="M326" s="238" t="s">
        <v>1925</v>
      </c>
      <c r="N326" s="238" t="s">
        <v>1922</v>
      </c>
      <c r="O326" s="114" t="str">
        <f>IFERROR(INDEX(Tabela3[Tipos de Tratamento],MATCH('A3.9.1 copy'!K326,Tabela3[Código],0)),"")</f>
        <v>Armazenagem enquanto se aguarda a execução de uma das operações enumeradas de D1 a D14</v>
      </c>
      <c r="P326" s="91" t="s">
        <v>1539</v>
      </c>
      <c r="Q326" s="91" t="s">
        <v>1574</v>
      </c>
      <c r="R326" s="93"/>
      <c r="S326">
        <v>2022</v>
      </c>
      <c r="T326" s="261" t="s">
        <v>3535</v>
      </c>
      <c r="U326" s="261" t="s">
        <v>3606</v>
      </c>
      <c r="V326" t="s">
        <v>42</v>
      </c>
    </row>
    <row r="327" spans="1:22" ht="15.75" thickBot="1" x14ac:dyDescent="0.3">
      <c r="A327" s="82" t="s">
        <v>4713</v>
      </c>
      <c r="B327" s="82" t="s">
        <v>4686</v>
      </c>
      <c r="C327" s="82" t="str">
        <f t="shared" si="23"/>
        <v>oficina GAMBELAS</v>
      </c>
      <c r="D327" s="82" t="s">
        <v>42</v>
      </c>
      <c r="E327" s="123">
        <v>150111</v>
      </c>
      <c r="F327" s="91" t="s">
        <v>1548</v>
      </c>
      <c r="G327" s="125" t="s">
        <v>34</v>
      </c>
      <c r="H327" s="133">
        <v>1.7999999999999999E-2</v>
      </c>
      <c r="I327" s="125" t="s">
        <v>1532</v>
      </c>
      <c r="J327" s="139">
        <f t="shared" si="24"/>
        <v>18</v>
      </c>
      <c r="K327" s="139" t="s">
        <v>484</v>
      </c>
      <c r="L327" s="238" t="str">
        <f t="shared" si="25"/>
        <v>Reciclagem</v>
      </c>
      <c r="M327" s="238" t="s">
        <v>1925</v>
      </c>
      <c r="N327" s="238" t="s">
        <v>1922</v>
      </c>
      <c r="O327" s="114" t="str">
        <f>IFERROR(INDEX(Tabela3[Tipos de Tratamento],MATCH('A3.9.1 copy'!K327,Tabela3[Código],0)),"")</f>
        <v>Acumulação de resíduos destinados a uma das operações enumeradas de R1 a R12</v>
      </c>
      <c r="P327" s="91" t="s">
        <v>1539</v>
      </c>
      <c r="Q327" s="91" t="s">
        <v>1574</v>
      </c>
      <c r="R327" s="93"/>
      <c r="S327">
        <v>2022</v>
      </c>
      <c r="T327" s="261" t="s">
        <v>3535</v>
      </c>
      <c r="U327" s="261" t="s">
        <v>3606</v>
      </c>
      <c r="V327" t="s">
        <v>42</v>
      </c>
    </row>
    <row r="328" spans="1:22" ht="15.75" thickBot="1" x14ac:dyDescent="0.3">
      <c r="A328" s="82" t="s">
        <v>4713</v>
      </c>
      <c r="B328" s="82" t="s">
        <v>4686</v>
      </c>
      <c r="C328" s="82" t="str">
        <f t="shared" si="23"/>
        <v>oficina GAMBELAS</v>
      </c>
      <c r="D328" s="82" t="s">
        <v>42</v>
      </c>
      <c r="E328" s="123">
        <v>150202</v>
      </c>
      <c r="F328" s="91" t="s">
        <v>1547</v>
      </c>
      <c r="G328" s="125" t="s">
        <v>34</v>
      </c>
      <c r="H328" s="133">
        <v>0.56000000000000005</v>
      </c>
      <c r="I328" s="125" t="s">
        <v>1532</v>
      </c>
      <c r="J328" s="139">
        <f t="shared" si="24"/>
        <v>560</v>
      </c>
      <c r="K328" s="139" t="s">
        <v>483</v>
      </c>
      <c r="L328" s="238" t="str">
        <f t="shared" si="25"/>
        <v>Reciclagem</v>
      </c>
      <c r="M328" s="238" t="s">
        <v>1920</v>
      </c>
      <c r="N328" s="238" t="s">
        <v>1911</v>
      </c>
      <c r="O328" s="114" t="str">
        <f>IFERROR(INDEX(Tabela3[Tipos de Tratamento],MATCH('A3.9.1 copy'!K328,Tabela3[Código],0)),"")</f>
        <v xml:space="preserve">Troca de resíduos com vista a submetê-los a uma das operações enumeradas de R 1 a R 11 </v>
      </c>
      <c r="P328" s="91" t="s">
        <v>1539</v>
      </c>
      <c r="Q328" s="91" t="s">
        <v>1574</v>
      </c>
      <c r="S328">
        <v>2022</v>
      </c>
      <c r="T328" s="261" t="s">
        <v>3535</v>
      </c>
      <c r="U328" s="261" t="s">
        <v>3606</v>
      </c>
      <c r="V328" t="s">
        <v>42</v>
      </c>
    </row>
    <row r="329" spans="1:22" ht="15.75" thickBot="1" x14ac:dyDescent="0.3">
      <c r="A329" s="82" t="s">
        <v>4713</v>
      </c>
      <c r="B329" s="82" t="s">
        <v>4686</v>
      </c>
      <c r="C329" s="82" t="str">
        <f t="shared" si="23"/>
        <v>oficina GAMBELAS</v>
      </c>
      <c r="D329" s="82" t="s">
        <v>42</v>
      </c>
      <c r="E329" s="123">
        <v>150203</v>
      </c>
      <c r="F329" s="91" t="s">
        <v>1550</v>
      </c>
      <c r="G329" s="125" t="s">
        <v>42</v>
      </c>
      <c r="H329" s="133">
        <v>1</v>
      </c>
      <c r="I329" s="125" t="s">
        <v>1532</v>
      </c>
      <c r="J329" s="139">
        <f t="shared" si="24"/>
        <v>1000</v>
      </c>
      <c r="K329" s="139" t="s">
        <v>484</v>
      </c>
      <c r="L329" s="238" t="str">
        <f t="shared" si="25"/>
        <v>Reciclagem</v>
      </c>
      <c r="M329" s="238" t="s">
        <v>1920</v>
      </c>
      <c r="N329" s="238" t="s">
        <v>1911</v>
      </c>
      <c r="O329" s="114" t="str">
        <f>IFERROR(INDEX(Tabela3[Tipos de Tratamento],MATCH('A3.9.1 copy'!K329,Tabela3[Código],0)),"")</f>
        <v>Acumulação de resíduos destinados a uma das operações enumeradas de R1 a R12</v>
      </c>
      <c r="P329" s="91" t="s">
        <v>1539</v>
      </c>
      <c r="Q329" s="91" t="s">
        <v>1574</v>
      </c>
      <c r="S329">
        <v>2022</v>
      </c>
      <c r="T329" s="261" t="s">
        <v>3535</v>
      </c>
      <c r="U329" s="261" t="s">
        <v>3606</v>
      </c>
      <c r="V329" t="s">
        <v>42</v>
      </c>
    </row>
    <row r="330" spans="1:22" ht="15.75" thickBot="1" x14ac:dyDescent="0.3">
      <c r="A330" s="82" t="s">
        <v>4713</v>
      </c>
      <c r="B330" s="82" t="s">
        <v>4686</v>
      </c>
      <c r="C330" s="82" t="str">
        <f t="shared" si="23"/>
        <v>oficina GAMBELAS</v>
      </c>
      <c r="D330" s="82" t="s">
        <v>42</v>
      </c>
      <c r="E330" s="123">
        <v>160107</v>
      </c>
      <c r="F330" s="91" t="s">
        <v>1551</v>
      </c>
      <c r="G330" s="125" t="s">
        <v>34</v>
      </c>
      <c r="H330" s="133">
        <v>0.52</v>
      </c>
      <c r="I330" s="125" t="s">
        <v>1532</v>
      </c>
      <c r="J330" s="139">
        <f t="shared" si="24"/>
        <v>520</v>
      </c>
      <c r="K330" s="139" t="s">
        <v>483</v>
      </c>
      <c r="L330" s="238" t="str">
        <f t="shared" si="25"/>
        <v>Reciclagem</v>
      </c>
      <c r="M330" s="238" t="s">
        <v>1920</v>
      </c>
      <c r="N330" s="238" t="s">
        <v>1911</v>
      </c>
      <c r="O330" s="114" t="str">
        <f>IFERROR(INDEX(Tabela3[Tipos de Tratamento],MATCH('A3.9.1 copy'!K330,Tabela3[Código],0)),"")</f>
        <v xml:space="preserve">Troca de resíduos com vista a submetê-los a uma das operações enumeradas de R 1 a R 11 </v>
      </c>
      <c r="P330" s="91" t="s">
        <v>1539</v>
      </c>
      <c r="Q330" s="91" t="s">
        <v>1574</v>
      </c>
      <c r="S330">
        <v>2022</v>
      </c>
      <c r="T330" s="261" t="s">
        <v>3535</v>
      </c>
      <c r="U330" s="261" t="s">
        <v>3606</v>
      </c>
      <c r="V330" t="s">
        <v>42</v>
      </c>
    </row>
    <row r="331" spans="1:22" ht="15.75" thickBot="1" x14ac:dyDescent="0.3">
      <c r="A331" s="82" t="s">
        <v>4713</v>
      </c>
      <c r="B331" s="82" t="s">
        <v>4686</v>
      </c>
      <c r="C331" s="82" t="str">
        <f t="shared" si="23"/>
        <v>oficina GAMBELAS</v>
      </c>
      <c r="D331" s="82" t="s">
        <v>42</v>
      </c>
      <c r="E331" s="123">
        <v>160112</v>
      </c>
      <c r="F331" s="91" t="s">
        <v>1552</v>
      </c>
      <c r="G331" s="125" t="s">
        <v>34</v>
      </c>
      <c r="H331" s="133">
        <v>0.54</v>
      </c>
      <c r="I331" s="125" t="s">
        <v>1532</v>
      </c>
      <c r="J331" s="139">
        <f t="shared" si="24"/>
        <v>540</v>
      </c>
      <c r="K331" s="139" t="s">
        <v>484</v>
      </c>
      <c r="L331" s="238" t="str">
        <f t="shared" si="25"/>
        <v>Reciclagem</v>
      </c>
      <c r="M331" s="238" t="s">
        <v>1557</v>
      </c>
      <c r="N331" s="238" t="s">
        <v>1922</v>
      </c>
      <c r="O331" s="114" t="str">
        <f>IFERROR(INDEX(Tabela3[Tipos de Tratamento],MATCH('A3.9.1 copy'!K331,Tabela3[Código],0)),"")</f>
        <v>Acumulação de resíduos destinados a uma das operações enumeradas de R1 a R12</v>
      </c>
      <c r="P331" s="91" t="s">
        <v>1539</v>
      </c>
      <c r="Q331" s="91" t="s">
        <v>1574</v>
      </c>
      <c r="S331">
        <v>2022</v>
      </c>
      <c r="T331" s="261" t="s">
        <v>3535</v>
      </c>
      <c r="U331" s="261" t="s">
        <v>3606</v>
      </c>
      <c r="V331" t="s">
        <v>42</v>
      </c>
    </row>
    <row r="332" spans="1:22" ht="15.75" thickBot="1" x14ac:dyDescent="0.3">
      <c r="A332" s="82" t="s">
        <v>4713</v>
      </c>
      <c r="B332" s="82" t="s">
        <v>4686</v>
      </c>
      <c r="C332" s="82" t="str">
        <f t="shared" si="23"/>
        <v>oficina GAMBELAS</v>
      </c>
      <c r="D332" s="82" t="s">
        <v>42</v>
      </c>
      <c r="E332" s="123">
        <v>160117</v>
      </c>
      <c r="F332" s="91" t="s">
        <v>1557</v>
      </c>
      <c r="G332" s="125" t="s">
        <v>42</v>
      </c>
      <c r="H332" s="133">
        <v>3.5939999999999999</v>
      </c>
      <c r="I332" s="125" t="s">
        <v>1532</v>
      </c>
      <c r="J332" s="139">
        <f t="shared" si="24"/>
        <v>3594</v>
      </c>
      <c r="K332" s="139" t="s">
        <v>483</v>
      </c>
      <c r="L332" s="238" t="str">
        <f t="shared" si="25"/>
        <v>Reciclagem</v>
      </c>
      <c r="M332" s="238" t="s">
        <v>1557</v>
      </c>
      <c r="N332" s="238" t="s">
        <v>1922</v>
      </c>
      <c r="O332" s="114" t="str">
        <f>IFERROR(INDEX(Tabela3[Tipos de Tratamento],MATCH('A3.9.1 copy'!K332,Tabela3[Código],0)),"")</f>
        <v xml:space="preserve">Troca de resíduos com vista a submetê-los a uma das operações enumeradas de R 1 a R 11 </v>
      </c>
      <c r="P332" s="91" t="s">
        <v>3281</v>
      </c>
      <c r="Q332" s="91" t="s">
        <v>3282</v>
      </c>
      <c r="R332" s="93"/>
      <c r="S332">
        <v>2022</v>
      </c>
      <c r="T332" s="261" t="s">
        <v>3535</v>
      </c>
      <c r="U332" s="261" t="s">
        <v>3606</v>
      </c>
      <c r="V332" t="s">
        <v>42</v>
      </c>
    </row>
    <row r="333" spans="1:22" ht="15.75" thickBot="1" x14ac:dyDescent="0.3">
      <c r="A333" s="82" t="s">
        <v>4713</v>
      </c>
      <c r="B333" s="82" t="s">
        <v>4686</v>
      </c>
      <c r="C333" s="82" t="str">
        <f t="shared" si="23"/>
        <v>oficina GAMBELAS</v>
      </c>
      <c r="D333" s="82" t="s">
        <v>42</v>
      </c>
      <c r="E333" s="123">
        <v>160118</v>
      </c>
      <c r="F333" s="91" t="s">
        <v>3269</v>
      </c>
      <c r="G333" s="125" t="s">
        <v>42</v>
      </c>
      <c r="H333" s="133">
        <v>4.3999999999999997E-2</v>
      </c>
      <c r="I333" s="125" t="s">
        <v>1532</v>
      </c>
      <c r="J333" s="139">
        <f t="shared" si="24"/>
        <v>44</v>
      </c>
      <c r="K333" s="139" t="s">
        <v>483</v>
      </c>
      <c r="L333" s="238" t="str">
        <f t="shared" si="25"/>
        <v>Reciclagem</v>
      </c>
      <c r="M333" s="238" t="s">
        <v>1925</v>
      </c>
      <c r="N333" s="238" t="s">
        <v>1922</v>
      </c>
      <c r="O333" s="114" t="str">
        <f>IFERROR(INDEX(Tabela3[Tipos de Tratamento],MATCH('A3.9.1 copy'!K333,Tabela3[Código],0)),"")</f>
        <v xml:space="preserve">Troca de resíduos com vista a submetê-los a uma das operações enumeradas de R 1 a R 11 </v>
      </c>
      <c r="P333" s="91" t="s">
        <v>3281</v>
      </c>
      <c r="Q333" s="91" t="s">
        <v>3283</v>
      </c>
      <c r="R333" s="93"/>
      <c r="S333">
        <v>2022</v>
      </c>
      <c r="T333" s="261" t="s">
        <v>3535</v>
      </c>
      <c r="U333" s="261" t="s">
        <v>3606</v>
      </c>
      <c r="V333" t="s">
        <v>42</v>
      </c>
    </row>
    <row r="334" spans="1:22" ht="15.75" thickBot="1" x14ac:dyDescent="0.3">
      <c r="A334" s="82" t="s">
        <v>4713</v>
      </c>
      <c r="B334" s="82" t="s">
        <v>4686</v>
      </c>
      <c r="C334" s="82" t="str">
        <f t="shared" si="23"/>
        <v>oficina GAMBELAS</v>
      </c>
      <c r="D334" s="82" t="s">
        <v>42</v>
      </c>
      <c r="E334" s="123">
        <v>160119</v>
      </c>
      <c r="F334" s="91" t="s">
        <v>1560</v>
      </c>
      <c r="G334" s="125" t="s">
        <v>42</v>
      </c>
      <c r="H334" s="133">
        <v>0.38100000000000001</v>
      </c>
      <c r="I334" s="125" t="s">
        <v>1532</v>
      </c>
      <c r="J334" s="139">
        <f t="shared" si="24"/>
        <v>381</v>
      </c>
      <c r="K334" s="139" t="s">
        <v>484</v>
      </c>
      <c r="L334" s="238" t="str">
        <f t="shared" si="25"/>
        <v>Reciclagem</v>
      </c>
      <c r="M334" s="238" t="s">
        <v>1560</v>
      </c>
      <c r="N334" s="238" t="s">
        <v>1922</v>
      </c>
      <c r="O334" s="114" t="str">
        <f>IFERROR(INDEX(Tabela3[Tipos de Tratamento],MATCH('A3.9.1 copy'!K334,Tabela3[Código],0)),"")</f>
        <v>Acumulação de resíduos destinados a uma das operações enumeradas de R1 a R12</v>
      </c>
      <c r="P334" s="91" t="s">
        <v>1539</v>
      </c>
      <c r="Q334" s="91" t="s">
        <v>1574</v>
      </c>
      <c r="S334">
        <v>2022</v>
      </c>
      <c r="T334" s="261" t="s">
        <v>3535</v>
      </c>
      <c r="U334" s="261" t="s">
        <v>3606</v>
      </c>
      <c r="V334" t="s">
        <v>42</v>
      </c>
    </row>
    <row r="335" spans="1:22" ht="15.75" thickBot="1" x14ac:dyDescent="0.3">
      <c r="A335" s="82" t="s">
        <v>4713</v>
      </c>
      <c r="B335" s="82" t="s">
        <v>4686</v>
      </c>
      <c r="C335" s="82" t="str">
        <f t="shared" si="23"/>
        <v>oficina GAMBELAS</v>
      </c>
      <c r="D335" s="82" t="s">
        <v>42</v>
      </c>
      <c r="E335" s="123">
        <v>160199</v>
      </c>
      <c r="F335" s="91" t="s">
        <v>1562</v>
      </c>
      <c r="G335" s="125" t="s">
        <v>42</v>
      </c>
      <c r="H335" s="133">
        <v>0.17</v>
      </c>
      <c r="I335" s="125" t="s">
        <v>1532</v>
      </c>
      <c r="J335" s="139">
        <f t="shared" si="24"/>
        <v>170</v>
      </c>
      <c r="K335" s="139" t="s">
        <v>483</v>
      </c>
      <c r="L335" s="238" t="str">
        <f t="shared" si="25"/>
        <v>Reciclagem</v>
      </c>
      <c r="M335" s="238" t="s">
        <v>1920</v>
      </c>
      <c r="N335" s="238" t="s">
        <v>1911</v>
      </c>
      <c r="O335" s="114" t="str">
        <f>IFERROR(INDEX(Tabela3[Tipos de Tratamento],MATCH('A3.9.1 copy'!K335,Tabela3[Código],0)),"")</f>
        <v xml:space="preserve">Troca de resíduos com vista a submetê-los a uma das operações enumeradas de R 1 a R 11 </v>
      </c>
      <c r="P335" s="91" t="s">
        <v>1539</v>
      </c>
      <c r="Q335" s="91" t="s">
        <v>1574</v>
      </c>
      <c r="S335">
        <v>2022</v>
      </c>
      <c r="T335" s="261" t="s">
        <v>3535</v>
      </c>
      <c r="U335" s="261" t="s">
        <v>3606</v>
      </c>
      <c r="V335" t="s">
        <v>42</v>
      </c>
    </row>
    <row r="336" spans="1:22" ht="15.75" thickBot="1" x14ac:dyDescent="0.3">
      <c r="A336" s="82" t="s">
        <v>4713</v>
      </c>
      <c r="B336" s="82" t="s">
        <v>4686</v>
      </c>
      <c r="C336" s="82" t="str">
        <f t="shared" si="23"/>
        <v>oficina GAMBELAS</v>
      </c>
      <c r="D336" s="82" t="s">
        <v>42</v>
      </c>
      <c r="E336" s="123">
        <v>160199</v>
      </c>
      <c r="F336" s="91" t="s">
        <v>1562</v>
      </c>
      <c r="G336" s="125" t="s">
        <v>42</v>
      </c>
      <c r="H336" s="133">
        <v>0.11799999999999999</v>
      </c>
      <c r="I336" s="125" t="s">
        <v>1532</v>
      </c>
      <c r="J336" s="139">
        <f t="shared" si="24"/>
        <v>118</v>
      </c>
      <c r="K336" s="139" t="s">
        <v>484</v>
      </c>
      <c r="L336" s="238" t="str">
        <f t="shared" si="25"/>
        <v>Reciclagem</v>
      </c>
      <c r="M336" s="238" t="s">
        <v>1920</v>
      </c>
      <c r="N336" s="238" t="s">
        <v>1911</v>
      </c>
      <c r="O336" s="114" t="str">
        <f>IFERROR(INDEX(Tabela3[Tipos de Tratamento],MATCH('A3.9.1 copy'!K336,Tabela3[Código],0)),"")</f>
        <v>Acumulação de resíduos destinados a uma das operações enumeradas de R1 a R12</v>
      </c>
      <c r="P336" s="91" t="s">
        <v>1539</v>
      </c>
      <c r="Q336" s="91" t="s">
        <v>1574</v>
      </c>
      <c r="S336">
        <v>2022</v>
      </c>
      <c r="T336" s="261" t="s">
        <v>3535</v>
      </c>
      <c r="U336" s="261" t="s">
        <v>3606</v>
      </c>
      <c r="V336" t="s">
        <v>42</v>
      </c>
    </row>
    <row r="337" spans="1:22" ht="15.75" thickBot="1" x14ac:dyDescent="0.3">
      <c r="A337" s="82" t="s">
        <v>4713</v>
      </c>
      <c r="B337" s="82" t="s">
        <v>4686</v>
      </c>
      <c r="C337" s="82" t="str">
        <f t="shared" si="23"/>
        <v>oficina GAMBELAS</v>
      </c>
      <c r="D337" s="82" t="s">
        <v>42</v>
      </c>
      <c r="E337" s="123">
        <v>160601</v>
      </c>
      <c r="F337" s="91" t="s">
        <v>1563</v>
      </c>
      <c r="G337" s="125" t="s">
        <v>34</v>
      </c>
      <c r="H337" s="133">
        <v>4.4530000000000003</v>
      </c>
      <c r="I337" s="125" t="s">
        <v>1532</v>
      </c>
      <c r="J337" s="139">
        <f t="shared" si="24"/>
        <v>4453</v>
      </c>
      <c r="K337" s="139" t="s">
        <v>484</v>
      </c>
      <c r="L337" s="238" t="str">
        <f t="shared" si="25"/>
        <v>Reciclagem</v>
      </c>
      <c r="M337" s="238" t="s">
        <v>1653</v>
      </c>
      <c r="N337" s="238" t="s">
        <v>1896</v>
      </c>
      <c r="O337" s="114" t="str">
        <f>IFERROR(INDEX(Tabela3[Tipos de Tratamento],MATCH('A3.9.1 copy'!K337,Tabela3[Código],0)),"")</f>
        <v>Acumulação de resíduos destinados a uma das operações enumeradas de R1 a R12</v>
      </c>
      <c r="P337" s="91" t="s">
        <v>3281</v>
      </c>
      <c r="Q337" s="91" t="s">
        <v>3281</v>
      </c>
      <c r="R337" s="93"/>
      <c r="S337">
        <v>2022</v>
      </c>
      <c r="T337" s="261" t="s">
        <v>3535</v>
      </c>
      <c r="U337" s="261" t="s">
        <v>3606</v>
      </c>
      <c r="V337" t="s">
        <v>42</v>
      </c>
    </row>
    <row r="338" spans="1:22" ht="15.75" thickBot="1" x14ac:dyDescent="0.3">
      <c r="A338" s="82" t="s">
        <v>4713</v>
      </c>
      <c r="B338" s="82" t="s">
        <v>4686</v>
      </c>
      <c r="C338" s="82" t="str">
        <f t="shared" si="23"/>
        <v>oficina GAMBELAS</v>
      </c>
      <c r="D338" s="82" t="s">
        <v>42</v>
      </c>
      <c r="E338" s="123">
        <v>200301</v>
      </c>
      <c r="F338" s="91" t="s">
        <v>1610</v>
      </c>
      <c r="G338" s="125" t="s">
        <v>42</v>
      </c>
      <c r="H338" s="133">
        <v>0.57999999999999996</v>
      </c>
      <c r="I338" s="125" t="s">
        <v>1532</v>
      </c>
      <c r="J338" s="139">
        <f t="shared" si="24"/>
        <v>580</v>
      </c>
      <c r="K338" s="139" t="s">
        <v>483</v>
      </c>
      <c r="L338" s="238" t="str">
        <f t="shared" si="25"/>
        <v>Reciclagem</v>
      </c>
      <c r="M338" s="238" t="s">
        <v>1927</v>
      </c>
      <c r="N338" s="238" t="s">
        <v>1911</v>
      </c>
      <c r="O338" s="114" t="str">
        <f>IFERROR(INDEX(Tabela3[Tipos de Tratamento],MATCH('A3.9.1 copy'!K338,Tabela3[Código],0)),"")</f>
        <v xml:space="preserve">Troca de resíduos com vista a submetê-los a uma das operações enumeradas de R 1 a R 11 </v>
      </c>
      <c r="P338" s="91" t="s">
        <v>3281</v>
      </c>
      <c r="Q338" s="91" t="s">
        <v>3282</v>
      </c>
      <c r="S338">
        <v>2022</v>
      </c>
      <c r="T338" s="261" t="s">
        <v>3535</v>
      </c>
      <c r="U338" s="261" t="s">
        <v>3606</v>
      </c>
      <c r="V338" t="s">
        <v>42</v>
      </c>
    </row>
    <row r="339" spans="1:22" ht="15.75" thickBot="1" x14ac:dyDescent="0.3">
      <c r="A339" s="82" t="s">
        <v>4714</v>
      </c>
      <c r="B339" s="82" t="s">
        <v>4686</v>
      </c>
      <c r="C339" s="82" t="str">
        <f t="shared" si="23"/>
        <v>oficina FERREIRAS</v>
      </c>
      <c r="D339" s="82" t="s">
        <v>42</v>
      </c>
      <c r="E339" s="123">
        <v>130208</v>
      </c>
      <c r="F339" s="91" t="s">
        <v>1531</v>
      </c>
      <c r="G339" s="125" t="s">
        <v>34</v>
      </c>
      <c r="H339" s="133">
        <v>4.4489999999999998</v>
      </c>
      <c r="I339" s="125" t="s">
        <v>1532</v>
      </c>
      <c r="J339" s="139">
        <f t="shared" si="24"/>
        <v>4449</v>
      </c>
      <c r="K339" s="139" t="s">
        <v>484</v>
      </c>
      <c r="L339" s="238" t="str">
        <f t="shared" si="25"/>
        <v>Reciclagem</v>
      </c>
      <c r="M339" s="238" t="s">
        <v>1921</v>
      </c>
      <c r="N339" s="238" t="s">
        <v>1896</v>
      </c>
      <c r="O339" s="114" t="str">
        <f>IFERROR(INDEX(Tabela3[Tipos de Tratamento],MATCH('A3.9.1 copy'!K339,Tabela3[Código],0)),"")</f>
        <v>Acumulação de resíduos destinados a uma das operações enumeradas de R1 a R12</v>
      </c>
      <c r="P339" s="91" t="s">
        <v>3236</v>
      </c>
      <c r="Q339" s="91" t="s">
        <v>3236</v>
      </c>
      <c r="R339" s="93"/>
      <c r="S339">
        <v>2022</v>
      </c>
      <c r="T339" s="261" t="s">
        <v>3535</v>
      </c>
      <c r="U339" s="261" t="s">
        <v>3606</v>
      </c>
      <c r="V339" t="s">
        <v>42</v>
      </c>
    </row>
    <row r="340" spans="1:22" ht="15.75" thickBot="1" x14ac:dyDescent="0.3">
      <c r="A340" s="82" t="s">
        <v>4714</v>
      </c>
      <c r="B340" s="82" t="s">
        <v>4686</v>
      </c>
      <c r="C340" s="82" t="str">
        <f t="shared" si="23"/>
        <v>oficina FERREIRAS</v>
      </c>
      <c r="D340" s="82" t="s">
        <v>42</v>
      </c>
      <c r="E340" s="123">
        <v>130502</v>
      </c>
      <c r="F340" s="91" t="s">
        <v>1569</v>
      </c>
      <c r="G340" s="125" t="s">
        <v>34</v>
      </c>
      <c r="H340" s="133">
        <v>2.82</v>
      </c>
      <c r="I340" s="125" t="s">
        <v>1532</v>
      </c>
      <c r="J340" s="139">
        <f t="shared" si="24"/>
        <v>2820</v>
      </c>
      <c r="K340" s="139" t="s">
        <v>503</v>
      </c>
      <c r="L340" s="238" t="str">
        <f t="shared" si="25"/>
        <v>Aterro</v>
      </c>
      <c r="M340" s="238" t="s">
        <v>1920</v>
      </c>
      <c r="N340" s="238" t="s">
        <v>1911</v>
      </c>
      <c r="O340" s="114" t="str">
        <f>IFERROR(INDEX(Tabela3[Tipos de Tratamento],MATCH('A3.9.1 copy'!K340,Tabela3[Código],0)),"")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340" s="91" t="s">
        <v>3236</v>
      </c>
      <c r="Q340" s="91" t="s">
        <v>3284</v>
      </c>
      <c r="R340" s="93"/>
      <c r="S340">
        <v>2022</v>
      </c>
      <c r="T340" s="261" t="s">
        <v>3535</v>
      </c>
      <c r="U340" s="261" t="s">
        <v>3606</v>
      </c>
      <c r="V340" t="s">
        <v>42</v>
      </c>
    </row>
    <row r="341" spans="1:22" ht="15.75" thickBot="1" x14ac:dyDescent="0.3">
      <c r="A341" s="82" t="s">
        <v>4714</v>
      </c>
      <c r="B341" s="82" t="s">
        <v>4686</v>
      </c>
      <c r="C341" s="82" t="str">
        <f t="shared" si="23"/>
        <v>oficina FERREIRAS</v>
      </c>
      <c r="D341" s="82" t="s">
        <v>42</v>
      </c>
      <c r="E341" s="123">
        <v>130507</v>
      </c>
      <c r="F341" s="91" t="s">
        <v>1572</v>
      </c>
      <c r="G341" s="125" t="s">
        <v>34</v>
      </c>
      <c r="H341" s="133">
        <v>9.64</v>
      </c>
      <c r="I341" s="125" t="s">
        <v>1532</v>
      </c>
      <c r="J341" s="139">
        <f t="shared" si="24"/>
        <v>9640</v>
      </c>
      <c r="K341" s="139" t="s">
        <v>503</v>
      </c>
      <c r="L341" s="238" t="str">
        <f t="shared" si="25"/>
        <v>Aterro</v>
      </c>
      <c r="M341" s="238" t="s">
        <v>1920</v>
      </c>
      <c r="N341" s="238" t="s">
        <v>1911</v>
      </c>
      <c r="O341" s="114" t="str">
        <f>IFERROR(INDEX(Tabela3[Tipos de Tratamento],MATCH('A3.9.1 copy'!K341,Tabela3[Código],0)),"")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341" s="91" t="s">
        <v>3236</v>
      </c>
      <c r="Q341" s="91" t="s">
        <v>3284</v>
      </c>
      <c r="R341" s="93"/>
      <c r="S341">
        <v>2022</v>
      </c>
      <c r="T341" s="261" t="s">
        <v>3535</v>
      </c>
      <c r="U341" s="261" t="s">
        <v>3606</v>
      </c>
      <c r="V341" t="s">
        <v>42</v>
      </c>
    </row>
    <row r="342" spans="1:22" ht="15.75" thickBot="1" x14ac:dyDescent="0.3">
      <c r="A342" s="82" t="s">
        <v>4714</v>
      </c>
      <c r="B342" s="82" t="s">
        <v>4686</v>
      </c>
      <c r="C342" s="82" t="str">
        <f t="shared" si="23"/>
        <v>oficina FERREIRAS</v>
      </c>
      <c r="D342" s="82" t="s">
        <v>42</v>
      </c>
      <c r="E342" s="123">
        <v>140603</v>
      </c>
      <c r="F342" s="91" t="s">
        <v>1591</v>
      </c>
      <c r="G342" s="125" t="s">
        <v>34</v>
      </c>
      <c r="H342" s="133">
        <v>0.16400000000000001</v>
      </c>
      <c r="I342" s="125" t="s">
        <v>1532</v>
      </c>
      <c r="J342" s="139">
        <f t="shared" si="24"/>
        <v>164</v>
      </c>
      <c r="K342" s="139" t="s">
        <v>484</v>
      </c>
      <c r="L342" s="238" t="str">
        <f t="shared" si="25"/>
        <v>Reciclagem</v>
      </c>
      <c r="M342" s="238" t="s">
        <v>1920</v>
      </c>
      <c r="N342" s="238" t="s">
        <v>1911</v>
      </c>
      <c r="O342" s="114" t="str">
        <f>IFERROR(INDEX(Tabela3[Tipos de Tratamento],MATCH('A3.9.1 copy'!K342,Tabela3[Código],0)),"")</f>
        <v>Acumulação de resíduos destinados a uma das operações enumeradas de R1 a R12</v>
      </c>
      <c r="P342" s="91" t="s">
        <v>1539</v>
      </c>
      <c r="Q342" s="91" t="s">
        <v>1574</v>
      </c>
      <c r="S342">
        <v>2022</v>
      </c>
      <c r="T342" s="261" t="s">
        <v>3535</v>
      </c>
      <c r="U342" s="261" t="s">
        <v>3606</v>
      </c>
      <c r="V342" t="s">
        <v>42</v>
      </c>
    </row>
    <row r="343" spans="1:22" ht="15.75" thickBot="1" x14ac:dyDescent="0.3">
      <c r="A343" s="82" t="s">
        <v>4714</v>
      </c>
      <c r="B343" s="82" t="s">
        <v>4686</v>
      </c>
      <c r="C343" s="82" t="str">
        <f t="shared" si="23"/>
        <v>oficina FERREIRAS</v>
      </c>
      <c r="D343" s="82" t="s">
        <v>42</v>
      </c>
      <c r="E343" s="123">
        <v>150101</v>
      </c>
      <c r="F343" s="91" t="s">
        <v>1537</v>
      </c>
      <c r="G343" s="125" t="s">
        <v>34</v>
      </c>
      <c r="H343" s="133">
        <v>0.28799999999999998</v>
      </c>
      <c r="I343" s="125" t="s">
        <v>1532</v>
      </c>
      <c r="J343" s="139">
        <f t="shared" si="24"/>
        <v>288</v>
      </c>
      <c r="K343" s="139" t="s">
        <v>483</v>
      </c>
      <c r="L343" s="238" t="str">
        <f t="shared" si="25"/>
        <v>Reciclagem</v>
      </c>
      <c r="M343" s="238" t="s">
        <v>1923</v>
      </c>
      <c r="N343" s="238" t="s">
        <v>1922</v>
      </c>
      <c r="O343" s="114" t="str">
        <f>IFERROR(INDEX(Tabela3[Tipos de Tratamento],MATCH('A3.9.1 copy'!K343,Tabela3[Código],0)),"")</f>
        <v xml:space="preserve">Troca de resíduos com vista a submetê-los a uma das operações enumeradas de R 1 a R 11 </v>
      </c>
      <c r="P343" s="91" t="s">
        <v>3281</v>
      </c>
      <c r="Q343" s="91" t="s">
        <v>3281</v>
      </c>
      <c r="S343">
        <v>2022</v>
      </c>
      <c r="T343" s="261" t="s">
        <v>3535</v>
      </c>
      <c r="U343" s="261" t="s">
        <v>3606</v>
      </c>
      <c r="V343" t="s">
        <v>42</v>
      </c>
    </row>
    <row r="344" spans="1:22" ht="15.75" thickBot="1" x14ac:dyDescent="0.3">
      <c r="A344" s="82" t="s">
        <v>4714</v>
      </c>
      <c r="B344" s="82" t="s">
        <v>4686</v>
      </c>
      <c r="C344" s="82" t="str">
        <f t="shared" si="23"/>
        <v>oficina FERREIRAS</v>
      </c>
      <c r="D344" s="82" t="s">
        <v>42</v>
      </c>
      <c r="E344" s="123">
        <v>150110</v>
      </c>
      <c r="F344" s="91" t="s">
        <v>1542</v>
      </c>
      <c r="G344" s="125" t="s">
        <v>34</v>
      </c>
      <c r="H344" s="133">
        <v>0.18</v>
      </c>
      <c r="I344" s="125" t="s">
        <v>1532</v>
      </c>
      <c r="J344" s="139">
        <f t="shared" si="24"/>
        <v>180</v>
      </c>
      <c r="K344" s="139" t="s">
        <v>484</v>
      </c>
      <c r="L344" s="238" t="str">
        <f t="shared" si="25"/>
        <v>Reciclagem</v>
      </c>
      <c r="M344" s="238" t="s">
        <v>1920</v>
      </c>
      <c r="N344" s="238" t="s">
        <v>1911</v>
      </c>
      <c r="O344" s="114" t="str">
        <f>IFERROR(INDEX(Tabela3[Tipos de Tratamento],MATCH('A3.9.1 copy'!K344,Tabela3[Código],0)),"")</f>
        <v>Acumulação de resíduos destinados a uma das operações enumeradas de R1 a R12</v>
      </c>
      <c r="P344" s="91" t="s">
        <v>1539</v>
      </c>
      <c r="Q344" s="91" t="s">
        <v>1574</v>
      </c>
      <c r="S344">
        <v>2022</v>
      </c>
      <c r="T344" s="261" t="s">
        <v>3535</v>
      </c>
      <c r="U344" s="261" t="s">
        <v>3606</v>
      </c>
      <c r="V344" t="s">
        <v>42</v>
      </c>
    </row>
    <row r="345" spans="1:22" ht="15.75" thickBot="1" x14ac:dyDescent="0.3">
      <c r="A345" s="82" t="s">
        <v>4714</v>
      </c>
      <c r="B345" s="82" t="s">
        <v>4686</v>
      </c>
      <c r="C345" s="82" t="str">
        <f t="shared" si="23"/>
        <v>oficina FERREIRAS</v>
      </c>
      <c r="D345" s="82" t="s">
        <v>42</v>
      </c>
      <c r="E345" s="123">
        <v>150111</v>
      </c>
      <c r="F345" s="91" t="s">
        <v>1548</v>
      </c>
      <c r="G345" s="125" t="s">
        <v>34</v>
      </c>
      <c r="H345" s="133">
        <v>7.1999999999999995E-2</v>
      </c>
      <c r="I345" s="125" t="s">
        <v>1532</v>
      </c>
      <c r="J345" s="139">
        <f t="shared" si="24"/>
        <v>72</v>
      </c>
      <c r="K345" s="139" t="s">
        <v>484</v>
      </c>
      <c r="L345" s="238" t="str">
        <f t="shared" si="25"/>
        <v>Reciclagem</v>
      </c>
      <c r="M345" s="238" t="s">
        <v>1925</v>
      </c>
      <c r="N345" s="238" t="s">
        <v>1922</v>
      </c>
      <c r="O345" s="114" t="str">
        <f>IFERROR(INDEX(Tabela3[Tipos de Tratamento],MATCH('A3.9.1 copy'!K345,Tabela3[Código],0)),"")</f>
        <v>Acumulação de resíduos destinados a uma das operações enumeradas de R1 a R12</v>
      </c>
      <c r="P345" s="91" t="s">
        <v>1539</v>
      </c>
      <c r="Q345" s="91" t="s">
        <v>1574</v>
      </c>
      <c r="S345">
        <v>2022</v>
      </c>
      <c r="T345" s="261" t="s">
        <v>3535</v>
      </c>
      <c r="U345" s="261" t="s">
        <v>3606</v>
      </c>
      <c r="V345" t="s">
        <v>42</v>
      </c>
    </row>
    <row r="346" spans="1:22" ht="15.75" thickBot="1" x14ac:dyDescent="0.3">
      <c r="A346" s="82" t="s">
        <v>4714</v>
      </c>
      <c r="B346" s="82" t="s">
        <v>4686</v>
      </c>
      <c r="C346" s="82" t="str">
        <f t="shared" si="23"/>
        <v>oficina FERREIRAS</v>
      </c>
      <c r="D346" s="82" t="s">
        <v>42</v>
      </c>
      <c r="E346" s="123">
        <v>150202</v>
      </c>
      <c r="F346" s="91" t="s">
        <v>1547</v>
      </c>
      <c r="G346" s="125" t="s">
        <v>34</v>
      </c>
      <c r="H346" s="133">
        <v>0.16</v>
      </c>
      <c r="I346" s="125" t="s">
        <v>1532</v>
      </c>
      <c r="J346" s="139">
        <f t="shared" si="24"/>
        <v>160</v>
      </c>
      <c r="K346" s="139" t="s">
        <v>509</v>
      </c>
      <c r="L346" s="238" t="str">
        <f t="shared" si="25"/>
        <v>Aterro</v>
      </c>
      <c r="M346" s="238" t="s">
        <v>1920</v>
      </c>
      <c r="N346" s="238" t="s">
        <v>1911</v>
      </c>
      <c r="O346" s="114" t="str">
        <f>IFERROR(INDEX(Tabela3[Tipos de Tratamento],MATCH('A3.9.1 copy'!K346,Tabela3[Código],0)),"")</f>
        <v>Armazenagem enquanto se aguarda a execução de uma das operações enumeradas de D1 a D14</v>
      </c>
      <c r="P346" s="91" t="s">
        <v>3281</v>
      </c>
      <c r="Q346" s="91" t="s">
        <v>3283</v>
      </c>
      <c r="S346">
        <v>2022</v>
      </c>
      <c r="T346" s="261" t="s">
        <v>3535</v>
      </c>
      <c r="U346" s="261" t="s">
        <v>3606</v>
      </c>
      <c r="V346" t="s">
        <v>42</v>
      </c>
    </row>
    <row r="347" spans="1:22" ht="15.75" thickBot="1" x14ac:dyDescent="0.3">
      <c r="A347" s="82" t="s">
        <v>4714</v>
      </c>
      <c r="B347" s="82" t="s">
        <v>4686</v>
      </c>
      <c r="C347" s="82" t="str">
        <f t="shared" si="23"/>
        <v>oficina FERREIRAS</v>
      </c>
      <c r="D347" s="82" t="s">
        <v>42</v>
      </c>
      <c r="E347" s="123">
        <v>150202</v>
      </c>
      <c r="F347" s="91" t="s">
        <v>1547</v>
      </c>
      <c r="G347" s="125" t="s">
        <v>34</v>
      </c>
      <c r="H347" s="133">
        <v>3.32</v>
      </c>
      <c r="I347" s="125" t="s">
        <v>1532</v>
      </c>
      <c r="J347" s="139">
        <f t="shared" si="24"/>
        <v>3320</v>
      </c>
      <c r="K347" s="139" t="s">
        <v>483</v>
      </c>
      <c r="L347" s="238" t="str">
        <f t="shared" si="25"/>
        <v>Reciclagem</v>
      </c>
      <c r="M347" s="238" t="s">
        <v>1920</v>
      </c>
      <c r="N347" s="238" t="s">
        <v>1911</v>
      </c>
      <c r="O347" s="114" t="str">
        <f>IFERROR(INDEX(Tabela3[Tipos de Tratamento],MATCH('A3.9.1 copy'!K347,Tabela3[Código],0)),"")</f>
        <v xml:space="preserve">Troca de resíduos com vista a submetê-los a uma das operações enumeradas de R 1 a R 11 </v>
      </c>
      <c r="P347" s="91" t="s">
        <v>1539</v>
      </c>
      <c r="Q347" s="91" t="s">
        <v>1574</v>
      </c>
      <c r="R347" s="93"/>
      <c r="S347">
        <v>2022</v>
      </c>
      <c r="T347" s="261" t="s">
        <v>3535</v>
      </c>
      <c r="U347" s="261" t="s">
        <v>3606</v>
      </c>
      <c r="V347" t="s">
        <v>42</v>
      </c>
    </row>
    <row r="348" spans="1:22" ht="15.75" thickBot="1" x14ac:dyDescent="0.3">
      <c r="A348" s="82" t="s">
        <v>4714</v>
      </c>
      <c r="B348" s="82" t="s">
        <v>4686</v>
      </c>
      <c r="C348" s="82" t="str">
        <f t="shared" si="23"/>
        <v>oficina FERREIRAS</v>
      </c>
      <c r="D348" s="82" t="s">
        <v>42</v>
      </c>
      <c r="E348" s="123">
        <v>150203</v>
      </c>
      <c r="F348" s="91" t="s">
        <v>1550</v>
      </c>
      <c r="G348" s="125" t="s">
        <v>42</v>
      </c>
      <c r="H348" s="133">
        <v>0.8</v>
      </c>
      <c r="I348" s="125" t="s">
        <v>1532</v>
      </c>
      <c r="J348" s="139">
        <f t="shared" si="24"/>
        <v>800</v>
      </c>
      <c r="K348" s="139" t="s">
        <v>484</v>
      </c>
      <c r="L348" s="238" t="str">
        <f t="shared" si="25"/>
        <v>Reciclagem</v>
      </c>
      <c r="M348" s="238" t="s">
        <v>1920</v>
      </c>
      <c r="N348" s="238" t="s">
        <v>1911</v>
      </c>
      <c r="O348" s="114" t="str">
        <f>IFERROR(INDEX(Tabela3[Tipos de Tratamento],MATCH('A3.9.1 copy'!K348,Tabela3[Código],0)),"")</f>
        <v>Acumulação de resíduos destinados a uma das operações enumeradas de R1 a R12</v>
      </c>
      <c r="P348" s="91" t="s">
        <v>1539</v>
      </c>
      <c r="Q348" s="91" t="s">
        <v>1574</v>
      </c>
      <c r="S348">
        <v>2022</v>
      </c>
      <c r="T348" s="261" t="s">
        <v>3535</v>
      </c>
      <c r="U348" s="261" t="s">
        <v>3606</v>
      </c>
      <c r="V348" t="s">
        <v>42</v>
      </c>
    </row>
    <row r="349" spans="1:22" ht="15.75" thickBot="1" x14ac:dyDescent="0.3">
      <c r="A349" s="82" t="s">
        <v>4714</v>
      </c>
      <c r="B349" s="82" t="s">
        <v>4686</v>
      </c>
      <c r="C349" s="82" t="str">
        <f t="shared" si="23"/>
        <v>oficina FERREIRAS</v>
      </c>
      <c r="D349" s="82" t="s">
        <v>42</v>
      </c>
      <c r="E349" s="123">
        <v>160104</v>
      </c>
      <c r="F349" s="91" t="s">
        <v>1584</v>
      </c>
      <c r="G349" s="125" t="s">
        <v>34</v>
      </c>
      <c r="H349" s="133">
        <v>70.5</v>
      </c>
      <c r="I349" s="125" t="s">
        <v>1532</v>
      </c>
      <c r="J349" s="139">
        <f t="shared" si="24"/>
        <v>70500</v>
      </c>
      <c r="K349" s="139" t="s">
        <v>483</v>
      </c>
      <c r="L349" s="238" t="str">
        <f t="shared" si="25"/>
        <v>Reciclagem</v>
      </c>
      <c r="M349" s="238" t="s">
        <v>1926</v>
      </c>
      <c r="N349" s="238" t="s">
        <v>1922</v>
      </c>
      <c r="O349" s="114" t="str">
        <f>IFERROR(INDEX(Tabela3[Tipos de Tratamento],MATCH('A3.9.1 copy'!K349,Tabela3[Código],0)),"")</f>
        <v xml:space="preserve">Troca de resíduos com vista a submetê-los a uma das operações enumeradas de R 1 a R 11 </v>
      </c>
      <c r="P349" s="91" t="s">
        <v>3281</v>
      </c>
      <c r="Q349" s="91" t="s">
        <v>3282</v>
      </c>
      <c r="R349" s="93"/>
      <c r="S349">
        <v>2022</v>
      </c>
      <c r="T349" s="261" t="s">
        <v>3535</v>
      </c>
      <c r="U349" s="261" t="s">
        <v>3606</v>
      </c>
      <c r="V349" t="s">
        <v>42</v>
      </c>
    </row>
    <row r="350" spans="1:22" ht="15.75" thickBot="1" x14ac:dyDescent="0.3">
      <c r="A350" s="82" t="s">
        <v>4714</v>
      </c>
      <c r="B350" s="82" t="s">
        <v>4686</v>
      </c>
      <c r="C350" s="82" t="str">
        <f t="shared" si="23"/>
        <v>oficina FERREIRAS</v>
      </c>
      <c r="D350" s="82" t="s">
        <v>42</v>
      </c>
      <c r="E350" s="123">
        <v>160112</v>
      </c>
      <c r="F350" s="91" t="str">
        <f>INDEX(Tabela4[Tipo de resíduo (descrição)],MATCH(E350,Tabela4[Tipo de resíduo (Código LER)],0))</f>
        <v>Pastilhas de travões não abrangidas em 16 01 11</v>
      </c>
      <c r="G350" s="125" t="s">
        <v>34</v>
      </c>
      <c r="H350" s="133">
        <v>0.81</v>
      </c>
      <c r="I350" s="125" t="s">
        <v>1532</v>
      </c>
      <c r="J350" s="139">
        <f t="shared" si="24"/>
        <v>810</v>
      </c>
      <c r="K350" s="139" t="s">
        <v>484</v>
      </c>
      <c r="L350" s="238" t="str">
        <f t="shared" si="25"/>
        <v>Reciclagem</v>
      </c>
      <c r="M350" s="238" t="s">
        <v>1557</v>
      </c>
      <c r="N350" s="238" t="s">
        <v>1922</v>
      </c>
      <c r="O350" s="114" t="str">
        <f>IFERROR(INDEX(Tabela3[Tipos de Tratamento],MATCH('A3.9.1 copy'!K350,Tabela3[Código],0)),"")</f>
        <v>Acumulação de resíduos destinados a uma das operações enumeradas de R1 a R12</v>
      </c>
      <c r="P350" s="91" t="s">
        <v>1539</v>
      </c>
      <c r="Q350" s="91" t="s">
        <v>1574</v>
      </c>
      <c r="S350">
        <v>2022</v>
      </c>
      <c r="T350" s="261" t="s">
        <v>3535</v>
      </c>
      <c r="U350" s="261" t="s">
        <v>3606</v>
      </c>
      <c r="V350" t="s">
        <v>42</v>
      </c>
    </row>
    <row r="351" spans="1:22" ht="15.75" thickBot="1" x14ac:dyDescent="0.3">
      <c r="A351" s="82" t="s">
        <v>4714</v>
      </c>
      <c r="B351" s="82" t="s">
        <v>4686</v>
      </c>
      <c r="C351" s="82" t="str">
        <f t="shared" si="23"/>
        <v>oficina FERREIRAS</v>
      </c>
      <c r="D351" s="82" t="s">
        <v>42</v>
      </c>
      <c r="E351" s="123">
        <v>160117</v>
      </c>
      <c r="F351" s="91" t="s">
        <v>1557</v>
      </c>
      <c r="G351" s="125" t="s">
        <v>42</v>
      </c>
      <c r="H351" s="133">
        <v>2.25</v>
      </c>
      <c r="I351" s="125" t="s">
        <v>1532</v>
      </c>
      <c r="J351" s="139">
        <f t="shared" si="24"/>
        <v>2250</v>
      </c>
      <c r="K351" s="139" t="s">
        <v>483</v>
      </c>
      <c r="L351" s="238" t="str">
        <f t="shared" si="25"/>
        <v>Reciclagem</v>
      </c>
      <c r="M351" s="238" t="s">
        <v>1557</v>
      </c>
      <c r="N351" s="238" t="s">
        <v>1922</v>
      </c>
      <c r="O351" s="114" t="str">
        <f>IFERROR(INDEX(Tabela3[Tipos de Tratamento],MATCH('A3.9.1 copy'!K351,Tabela3[Código],0)),"")</f>
        <v xml:space="preserve">Troca de resíduos com vista a submetê-los a uma das operações enumeradas de R 1 a R 11 </v>
      </c>
      <c r="P351" s="91" t="s">
        <v>3281</v>
      </c>
      <c r="Q351" s="91" t="s">
        <v>3281</v>
      </c>
      <c r="S351">
        <v>2022</v>
      </c>
      <c r="T351" s="261" t="s">
        <v>3535</v>
      </c>
      <c r="U351" s="261" t="s">
        <v>3606</v>
      </c>
      <c r="V351" t="s">
        <v>42</v>
      </c>
    </row>
    <row r="352" spans="1:22" ht="15.75" thickBot="1" x14ac:dyDescent="0.3">
      <c r="A352" s="82" t="s">
        <v>4714</v>
      </c>
      <c r="B352" s="82" t="s">
        <v>4686</v>
      </c>
      <c r="C352" s="82" t="str">
        <f t="shared" si="23"/>
        <v>oficina FERREIRAS</v>
      </c>
      <c r="D352" s="82" t="s">
        <v>42</v>
      </c>
      <c r="E352" s="123">
        <v>160119</v>
      </c>
      <c r="F352" s="91" t="s">
        <v>1560</v>
      </c>
      <c r="G352" s="125" t="s">
        <v>42</v>
      </c>
      <c r="H352" s="133">
        <v>0.22</v>
      </c>
      <c r="I352" s="125" t="s">
        <v>1532</v>
      </c>
      <c r="J352" s="139">
        <f t="shared" si="24"/>
        <v>220</v>
      </c>
      <c r="K352" s="139" t="s">
        <v>483</v>
      </c>
      <c r="L352" s="238" t="str">
        <f t="shared" si="25"/>
        <v>Reciclagem</v>
      </c>
      <c r="M352" s="238" t="s">
        <v>1560</v>
      </c>
      <c r="N352" s="238" t="s">
        <v>1922</v>
      </c>
      <c r="O352" s="114" t="str">
        <f>IFERROR(INDEX(Tabela3[Tipos de Tratamento],MATCH('A3.9.1 copy'!K352,Tabela3[Código],0)),"")</f>
        <v xml:space="preserve">Troca de resíduos com vista a submetê-los a uma das operações enumeradas de R 1 a R 11 </v>
      </c>
      <c r="P352" s="91" t="s">
        <v>3281</v>
      </c>
      <c r="Q352" s="91" t="s">
        <v>3281</v>
      </c>
      <c r="S352">
        <v>2022</v>
      </c>
      <c r="T352" s="261" t="s">
        <v>3535</v>
      </c>
      <c r="U352" s="261" t="s">
        <v>3606</v>
      </c>
      <c r="V352" t="s">
        <v>42</v>
      </c>
    </row>
    <row r="353" spans="1:22" ht="15.75" thickBot="1" x14ac:dyDescent="0.3">
      <c r="A353" s="82" t="s">
        <v>4714</v>
      </c>
      <c r="B353" s="82" t="s">
        <v>4686</v>
      </c>
      <c r="C353" s="82" t="str">
        <f t="shared" si="23"/>
        <v>oficina FERREIRAS</v>
      </c>
      <c r="D353" s="82" t="s">
        <v>42</v>
      </c>
      <c r="E353" s="123">
        <v>160120</v>
      </c>
      <c r="F353" s="91" t="s">
        <v>1561</v>
      </c>
      <c r="G353" s="125" t="s">
        <v>34</v>
      </c>
      <c r="H353" s="133">
        <v>4.32</v>
      </c>
      <c r="I353" s="125" t="s">
        <v>1532</v>
      </c>
      <c r="J353" s="139">
        <f t="shared" si="24"/>
        <v>4320</v>
      </c>
      <c r="K353" s="139" t="s">
        <v>484</v>
      </c>
      <c r="L353" s="238" t="str">
        <f t="shared" si="25"/>
        <v>Reciclagem</v>
      </c>
      <c r="M353" s="238" t="s">
        <v>1561</v>
      </c>
      <c r="N353" s="238" t="s">
        <v>1922</v>
      </c>
      <c r="O353" s="114" t="str">
        <f>IFERROR(INDEX(Tabela3[Tipos de Tratamento],MATCH('A3.9.1 copy'!K353,Tabela3[Código],0)),"")</f>
        <v>Acumulação de resíduos destinados a uma das operações enumeradas de R1 a R12</v>
      </c>
      <c r="P353" s="91" t="s">
        <v>3281</v>
      </c>
      <c r="Q353" s="91" t="s">
        <v>3281</v>
      </c>
      <c r="R353" s="93"/>
      <c r="S353">
        <v>2022</v>
      </c>
      <c r="T353" s="261" t="s">
        <v>3535</v>
      </c>
      <c r="U353" s="261" t="s">
        <v>3606</v>
      </c>
      <c r="V353" t="s">
        <v>42</v>
      </c>
    </row>
    <row r="354" spans="1:22" ht="15.75" thickBot="1" x14ac:dyDescent="0.3">
      <c r="A354" s="82" t="s">
        <v>4714</v>
      </c>
      <c r="B354" s="82" t="s">
        <v>4686</v>
      </c>
      <c r="C354" s="82" t="str">
        <f t="shared" si="23"/>
        <v>oficina FERREIRAS</v>
      </c>
      <c r="D354" s="82" t="s">
        <v>42</v>
      </c>
      <c r="E354" s="123">
        <v>160199</v>
      </c>
      <c r="F354" s="91" t="s">
        <v>1562</v>
      </c>
      <c r="G354" s="125" t="s">
        <v>42</v>
      </c>
      <c r="H354" s="133">
        <v>0.34</v>
      </c>
      <c r="I354" s="125" t="s">
        <v>1532</v>
      </c>
      <c r="J354" s="139">
        <f t="shared" si="24"/>
        <v>340</v>
      </c>
      <c r="K354" s="139" t="s">
        <v>483</v>
      </c>
      <c r="L354" s="238" t="str">
        <f t="shared" si="25"/>
        <v>Reciclagem</v>
      </c>
      <c r="M354" s="238" t="s">
        <v>1920</v>
      </c>
      <c r="N354" s="238" t="s">
        <v>1911</v>
      </c>
      <c r="O354" s="114" t="str">
        <f>IFERROR(INDEX(Tabela3[Tipos de Tratamento],MATCH('A3.9.1 copy'!K354,Tabela3[Código],0)),"")</f>
        <v xml:space="preserve">Troca de resíduos com vista a submetê-los a uma das operações enumeradas de R 1 a R 11 </v>
      </c>
      <c r="P354" s="91" t="s">
        <v>1539</v>
      </c>
      <c r="Q354" s="91" t="s">
        <v>1574</v>
      </c>
      <c r="S354">
        <v>2022</v>
      </c>
      <c r="T354" s="261" t="s">
        <v>3535</v>
      </c>
      <c r="U354" s="261" t="s">
        <v>3606</v>
      </c>
      <c r="V354" t="s">
        <v>42</v>
      </c>
    </row>
    <row r="355" spans="1:22" ht="15.75" thickBot="1" x14ac:dyDescent="0.3">
      <c r="A355" s="82" t="s">
        <v>4714</v>
      </c>
      <c r="B355" s="82" t="s">
        <v>4686</v>
      </c>
      <c r="C355" s="82" t="str">
        <f t="shared" si="23"/>
        <v>oficina FERREIRAS</v>
      </c>
      <c r="D355" s="82" t="s">
        <v>42</v>
      </c>
      <c r="E355" s="123">
        <v>170302</v>
      </c>
      <c r="F355" s="91" t="s">
        <v>3270</v>
      </c>
      <c r="G355" s="125" t="s">
        <v>34</v>
      </c>
      <c r="H355" s="133">
        <v>2.98</v>
      </c>
      <c r="I355" s="125" t="s">
        <v>1532</v>
      </c>
      <c r="J355" s="139">
        <f t="shared" si="24"/>
        <v>2980</v>
      </c>
      <c r="K355" s="139" t="s">
        <v>476</v>
      </c>
      <c r="L355" s="238" t="str">
        <f t="shared" si="25"/>
        <v>Reciclagem</v>
      </c>
      <c r="M355" s="238" t="s">
        <v>1920</v>
      </c>
      <c r="N355" s="238" t="s">
        <v>1911</v>
      </c>
      <c r="O355" s="114" t="str">
        <f>IFERROR(INDEX(Tabela3[Tipos de Tratamento],MATCH('A3.9.1 copy'!K355,Tabela3[Código],0)),"")</f>
        <v xml:space="preserve">Reciclagem/recuperação de outras matérias inorgânicas </v>
      </c>
      <c r="P355" s="91" t="s">
        <v>3285</v>
      </c>
      <c r="Q355" s="91" t="s">
        <v>3286</v>
      </c>
      <c r="R355" s="93"/>
      <c r="S355">
        <v>2022</v>
      </c>
      <c r="T355" s="261" t="s">
        <v>3535</v>
      </c>
      <c r="U355" s="261" t="s">
        <v>3606</v>
      </c>
      <c r="V355" t="s">
        <v>42</v>
      </c>
    </row>
    <row r="356" spans="1:22" ht="15.75" thickBot="1" x14ac:dyDescent="0.3">
      <c r="A356" s="82" t="s">
        <v>4714</v>
      </c>
      <c r="B356" s="82" t="s">
        <v>4686</v>
      </c>
      <c r="C356" s="82" t="str">
        <f t="shared" si="23"/>
        <v>oficina FERREIRAS</v>
      </c>
      <c r="D356" s="82" t="s">
        <v>42</v>
      </c>
      <c r="E356" s="123">
        <v>200202</v>
      </c>
      <c r="F356" s="91" t="s">
        <v>3271</v>
      </c>
      <c r="G356" s="125" t="s">
        <v>34</v>
      </c>
      <c r="H356" s="133">
        <v>5.38</v>
      </c>
      <c r="I356" s="125" t="s">
        <v>1532</v>
      </c>
      <c r="J356" s="139">
        <f t="shared" si="24"/>
        <v>5380</v>
      </c>
      <c r="K356" s="139" t="s">
        <v>484</v>
      </c>
      <c r="L356" s="238" t="str">
        <f t="shared" si="25"/>
        <v>Reciclagem</v>
      </c>
      <c r="M356" s="238" t="s">
        <v>1920</v>
      </c>
      <c r="N356" s="238" t="s">
        <v>1911</v>
      </c>
      <c r="O356" s="114" t="str">
        <f>IFERROR(INDEX(Tabela3[Tipos de Tratamento],MATCH('A3.9.1 copy'!K356,Tabela3[Código],0)),"")</f>
        <v>Acumulação de resíduos destinados a uma das operações enumeradas de R1 a R12</v>
      </c>
      <c r="P356" s="91" t="s">
        <v>3287</v>
      </c>
      <c r="Q356" s="91" t="s">
        <v>3286</v>
      </c>
      <c r="R356" s="93"/>
      <c r="S356">
        <v>2022</v>
      </c>
      <c r="T356" s="261" t="s">
        <v>3535</v>
      </c>
      <c r="U356" s="261" t="s">
        <v>3606</v>
      </c>
      <c r="V356" t="s">
        <v>42</v>
      </c>
    </row>
    <row r="357" spans="1:22" ht="15.75" thickBot="1" x14ac:dyDescent="0.3">
      <c r="A357" s="82" t="s">
        <v>4714</v>
      </c>
      <c r="B357" s="82" t="s">
        <v>4686</v>
      </c>
      <c r="C357" s="82" t="str">
        <f t="shared" si="23"/>
        <v>oficina FERREIRAS</v>
      </c>
      <c r="D357" s="82" t="s">
        <v>42</v>
      </c>
      <c r="E357" s="123">
        <v>160107</v>
      </c>
      <c r="F357" s="91" t="s">
        <v>1551</v>
      </c>
      <c r="G357" s="125" t="s">
        <v>34</v>
      </c>
      <c r="H357" s="133">
        <v>0.52</v>
      </c>
      <c r="I357" s="125" t="s">
        <v>1532</v>
      </c>
      <c r="J357" s="139">
        <f t="shared" si="24"/>
        <v>520</v>
      </c>
      <c r="K357" s="139" t="s">
        <v>483</v>
      </c>
      <c r="L357" s="238" t="str">
        <f t="shared" si="25"/>
        <v>Reciclagem</v>
      </c>
      <c r="M357" s="238" t="s">
        <v>1920</v>
      </c>
      <c r="N357" s="238" t="s">
        <v>1911</v>
      </c>
      <c r="O357" s="114" t="str">
        <f>IFERROR(INDEX(Tabela3[Tipos de Tratamento],MATCH('A3.9.1 copy'!K357,Tabela3[Código],0)),"")</f>
        <v xml:space="preserve">Troca de resíduos com vista a submetê-los a uma das operações enumeradas de R 1 a R 11 </v>
      </c>
      <c r="P357" s="91" t="s">
        <v>1539</v>
      </c>
      <c r="Q357" s="91" t="s">
        <v>1574</v>
      </c>
      <c r="S357">
        <v>2022</v>
      </c>
      <c r="T357" s="261" t="s">
        <v>3535</v>
      </c>
      <c r="U357" s="261" t="s">
        <v>3606</v>
      </c>
      <c r="V357" t="s">
        <v>42</v>
      </c>
    </row>
    <row r="358" spans="1:22" ht="15.75" thickBot="1" x14ac:dyDescent="0.3">
      <c r="A358" s="82" t="s">
        <v>4715</v>
      </c>
      <c r="B358" s="82" t="s">
        <v>4686</v>
      </c>
      <c r="C358" s="82" t="str">
        <f t="shared" si="23"/>
        <v>oficina PORTIMAO</v>
      </c>
      <c r="D358" s="82" t="s">
        <v>42</v>
      </c>
      <c r="E358" s="123">
        <v>130208</v>
      </c>
      <c r="F358" s="91" t="s">
        <v>1531</v>
      </c>
      <c r="G358" s="125" t="s">
        <v>34</v>
      </c>
      <c r="H358" s="133">
        <v>5.1520000000000001</v>
      </c>
      <c r="I358" s="125" t="s">
        <v>1532</v>
      </c>
      <c r="J358" s="139">
        <f t="shared" si="24"/>
        <v>5152</v>
      </c>
      <c r="K358" s="139" t="s">
        <v>484</v>
      </c>
      <c r="L358" s="238" t="str">
        <f t="shared" si="25"/>
        <v>Reciclagem</v>
      </c>
      <c r="M358" s="238" t="s">
        <v>1921</v>
      </c>
      <c r="N358" s="238" t="s">
        <v>1896</v>
      </c>
      <c r="O358" s="114" t="str">
        <f>IFERROR(INDEX(Tabela3[Tipos de Tratamento],MATCH('A3.9.1 copy'!K358,Tabela3[Código],0)),"")</f>
        <v>Acumulação de resíduos destinados a uma das operações enumeradas de R1 a R12</v>
      </c>
      <c r="P358" s="91" t="s">
        <v>3236</v>
      </c>
      <c r="Q358" s="91" t="s">
        <v>3236</v>
      </c>
      <c r="R358" s="93"/>
      <c r="S358">
        <v>2022</v>
      </c>
      <c r="T358" s="261" t="s">
        <v>3535</v>
      </c>
      <c r="U358" s="261" t="s">
        <v>3606</v>
      </c>
      <c r="V358" t="s">
        <v>42</v>
      </c>
    </row>
    <row r="359" spans="1:22" ht="15.75" thickBot="1" x14ac:dyDescent="0.3">
      <c r="A359" s="82" t="s">
        <v>4715</v>
      </c>
      <c r="B359" s="82" t="s">
        <v>4686</v>
      </c>
      <c r="C359" s="82" t="str">
        <f t="shared" si="23"/>
        <v>oficina PORTIMAO</v>
      </c>
      <c r="D359" s="82" t="s">
        <v>42</v>
      </c>
      <c r="E359" s="123">
        <v>130502</v>
      </c>
      <c r="F359" s="91" t="s">
        <v>1569</v>
      </c>
      <c r="G359" s="125" t="s">
        <v>34</v>
      </c>
      <c r="H359" s="133">
        <v>12.46</v>
      </c>
      <c r="I359" s="125" t="s">
        <v>1532</v>
      </c>
      <c r="J359" s="139">
        <f t="shared" si="24"/>
        <v>12460</v>
      </c>
      <c r="K359" s="139" t="s">
        <v>503</v>
      </c>
      <c r="L359" s="238" t="str">
        <f t="shared" si="25"/>
        <v>Aterro</v>
      </c>
      <c r="M359" s="238" t="s">
        <v>1920</v>
      </c>
      <c r="N359" s="238" t="s">
        <v>1911</v>
      </c>
      <c r="O359" s="114" t="str">
        <f>IFERROR(INDEX(Tabela3[Tipos de Tratamento],MATCH('A3.9.1 copy'!K359,Tabela3[Código],0)),"")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359" s="91" t="s">
        <v>3236</v>
      </c>
      <c r="Q359" s="91" t="s">
        <v>3284</v>
      </c>
      <c r="R359" s="93"/>
      <c r="S359">
        <v>2022</v>
      </c>
      <c r="T359" s="261" t="s">
        <v>3535</v>
      </c>
      <c r="U359" s="261" t="s">
        <v>3606</v>
      </c>
      <c r="V359" t="s">
        <v>42</v>
      </c>
    </row>
    <row r="360" spans="1:22" ht="15.75" thickBot="1" x14ac:dyDescent="0.3">
      <c r="A360" s="82" t="s">
        <v>4715</v>
      </c>
      <c r="B360" s="82" t="s">
        <v>4686</v>
      </c>
      <c r="C360" s="82" t="str">
        <f t="shared" si="23"/>
        <v>oficina PORTIMAO</v>
      </c>
      <c r="D360" s="82" t="s">
        <v>42</v>
      </c>
      <c r="E360" s="123">
        <v>130507</v>
      </c>
      <c r="F360" s="91" t="s">
        <v>1572</v>
      </c>
      <c r="G360" s="125" t="s">
        <v>34</v>
      </c>
      <c r="H360" s="133">
        <v>13.74</v>
      </c>
      <c r="I360" s="125" t="s">
        <v>1532</v>
      </c>
      <c r="J360" s="139">
        <f t="shared" si="24"/>
        <v>13740</v>
      </c>
      <c r="K360" s="139" t="s">
        <v>503</v>
      </c>
      <c r="L360" s="238" t="str">
        <f t="shared" si="25"/>
        <v>Aterro</v>
      </c>
      <c r="M360" s="238" t="s">
        <v>1920</v>
      </c>
      <c r="N360" s="238" t="s">
        <v>1911</v>
      </c>
      <c r="O360" s="114" t="str">
        <f>IFERROR(INDEX(Tabela3[Tipos de Tratamento],MATCH('A3.9.1 copy'!K360,Tabela3[Código],0)),"")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360" s="91" t="s">
        <v>3236</v>
      </c>
      <c r="Q360" s="91" t="s">
        <v>3284</v>
      </c>
      <c r="R360" s="93"/>
      <c r="S360">
        <v>2022</v>
      </c>
      <c r="T360" s="261" t="s">
        <v>3535</v>
      </c>
      <c r="U360" s="261" t="s">
        <v>3606</v>
      </c>
      <c r="V360" t="s">
        <v>42</v>
      </c>
    </row>
    <row r="361" spans="1:22" ht="15.75" thickBot="1" x14ac:dyDescent="0.3">
      <c r="A361" s="82" t="s">
        <v>4715</v>
      </c>
      <c r="B361" s="82" t="s">
        <v>4686</v>
      </c>
      <c r="C361" s="82" t="str">
        <f t="shared" si="23"/>
        <v>oficina PORTIMAO</v>
      </c>
      <c r="D361" s="82" t="s">
        <v>42</v>
      </c>
      <c r="E361" s="123">
        <v>130508</v>
      </c>
      <c r="F361" s="91" t="s">
        <v>3272</v>
      </c>
      <c r="G361" s="125" t="s">
        <v>34</v>
      </c>
      <c r="H361" s="133">
        <v>5.04</v>
      </c>
      <c r="I361" s="125" t="s">
        <v>1532</v>
      </c>
      <c r="J361" s="139">
        <f t="shared" si="24"/>
        <v>5040</v>
      </c>
      <c r="K361" s="139" t="s">
        <v>503</v>
      </c>
      <c r="L361" s="238" t="str">
        <f t="shared" si="25"/>
        <v>Aterro</v>
      </c>
      <c r="M361" s="238" t="s">
        <v>1920</v>
      </c>
      <c r="N361" s="238" t="s">
        <v>1911</v>
      </c>
      <c r="O361" s="114" t="str">
        <f>IFERROR(INDEX(Tabela3[Tipos de Tratamento],MATCH('A3.9.1 copy'!K361,Tabela3[Código],0)),"")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361" s="91" t="s">
        <v>3236</v>
      </c>
      <c r="Q361" s="91" t="s">
        <v>3236</v>
      </c>
      <c r="R361" s="93"/>
      <c r="S361">
        <v>2022</v>
      </c>
      <c r="T361" s="261" t="s">
        <v>3535</v>
      </c>
      <c r="U361" s="261" t="s">
        <v>3606</v>
      </c>
      <c r="V361" t="s">
        <v>42</v>
      </c>
    </row>
    <row r="362" spans="1:22" ht="15.75" thickBot="1" x14ac:dyDescent="0.3">
      <c r="A362" s="82" t="s">
        <v>4715</v>
      </c>
      <c r="B362" s="82" t="s">
        <v>4686</v>
      </c>
      <c r="C362" s="82" t="str">
        <f t="shared" si="23"/>
        <v>oficina PORTIMAO</v>
      </c>
      <c r="D362" s="82" t="s">
        <v>42</v>
      </c>
      <c r="E362" s="123">
        <v>150101</v>
      </c>
      <c r="F362" s="91" t="s">
        <v>1537</v>
      </c>
      <c r="G362" s="125" t="s">
        <v>34</v>
      </c>
      <c r="H362" s="133">
        <v>1.4</v>
      </c>
      <c r="I362" s="125" t="s">
        <v>1532</v>
      </c>
      <c r="J362" s="139">
        <f t="shared" si="24"/>
        <v>1400</v>
      </c>
      <c r="K362" s="139" t="s">
        <v>483</v>
      </c>
      <c r="L362" s="238" t="str">
        <f t="shared" si="25"/>
        <v>Reciclagem</v>
      </c>
      <c r="M362" s="238" t="s">
        <v>1923</v>
      </c>
      <c r="N362" s="238" t="s">
        <v>1922</v>
      </c>
      <c r="O362" s="114" t="str">
        <f>IFERROR(INDEX(Tabela3[Tipos de Tratamento],MATCH('A3.9.1 copy'!K362,Tabela3[Código],0)),"")</f>
        <v xml:space="preserve">Troca de resíduos com vista a submetê-los a uma das operações enumeradas de R 1 a R 11 </v>
      </c>
      <c r="P362" s="91" t="s">
        <v>3288</v>
      </c>
      <c r="Q362" s="91" t="s">
        <v>3289</v>
      </c>
      <c r="S362">
        <v>2022</v>
      </c>
      <c r="T362" s="261" t="s">
        <v>3535</v>
      </c>
      <c r="U362" s="261" t="s">
        <v>3606</v>
      </c>
      <c r="V362" t="s">
        <v>42</v>
      </c>
    </row>
    <row r="363" spans="1:22" ht="15.75" thickBot="1" x14ac:dyDescent="0.3">
      <c r="A363" s="82" t="s">
        <v>4715</v>
      </c>
      <c r="B363" s="82" t="s">
        <v>4686</v>
      </c>
      <c r="C363" s="82" t="str">
        <f t="shared" si="23"/>
        <v>oficina PORTIMAO</v>
      </c>
      <c r="D363" s="82" t="s">
        <v>42</v>
      </c>
      <c r="E363" s="123">
        <v>150110</v>
      </c>
      <c r="F363" s="91" t="s">
        <v>1542</v>
      </c>
      <c r="G363" s="125" t="s">
        <v>34</v>
      </c>
      <c r="H363" s="133">
        <v>3.5999999999999997E-2</v>
      </c>
      <c r="I363" s="125" t="s">
        <v>1532</v>
      </c>
      <c r="J363" s="139">
        <f t="shared" si="24"/>
        <v>36</v>
      </c>
      <c r="K363" s="139" t="s">
        <v>483</v>
      </c>
      <c r="L363" s="238" t="str">
        <f t="shared" si="25"/>
        <v>Reciclagem</v>
      </c>
      <c r="M363" s="238" t="s">
        <v>1920</v>
      </c>
      <c r="N363" s="238" t="s">
        <v>1911</v>
      </c>
      <c r="O363" s="114" t="str">
        <f>IFERROR(INDEX(Tabela3[Tipos de Tratamento],MATCH('A3.9.1 copy'!K363,Tabela3[Código],0)),"")</f>
        <v xml:space="preserve">Troca de resíduos com vista a submetê-los a uma das operações enumeradas de R 1 a R 11 </v>
      </c>
      <c r="P363" s="91" t="s">
        <v>1539</v>
      </c>
      <c r="Q363" s="91" t="s">
        <v>1574</v>
      </c>
      <c r="R363" s="93"/>
      <c r="S363">
        <v>2022</v>
      </c>
      <c r="T363" s="261" t="s">
        <v>3535</v>
      </c>
      <c r="U363" s="261" t="s">
        <v>3606</v>
      </c>
      <c r="V363" t="s">
        <v>42</v>
      </c>
    </row>
    <row r="364" spans="1:22" ht="15.75" thickBot="1" x14ac:dyDescent="0.3">
      <c r="A364" s="82" t="s">
        <v>4715</v>
      </c>
      <c r="B364" s="82" t="s">
        <v>4686</v>
      </c>
      <c r="C364" s="82" t="str">
        <f t="shared" si="23"/>
        <v>oficina PORTIMAO</v>
      </c>
      <c r="D364" s="82" t="s">
        <v>42</v>
      </c>
      <c r="E364" s="123">
        <v>150110</v>
      </c>
      <c r="F364" s="91" t="s">
        <v>1542</v>
      </c>
      <c r="G364" s="125" t="s">
        <v>34</v>
      </c>
      <c r="H364" s="133">
        <v>0.14399999999999999</v>
      </c>
      <c r="I364" s="125" t="s">
        <v>1532</v>
      </c>
      <c r="J364" s="139">
        <f t="shared" si="24"/>
        <v>144</v>
      </c>
      <c r="K364" s="139" t="s">
        <v>484</v>
      </c>
      <c r="L364" s="238" t="str">
        <f t="shared" si="25"/>
        <v>Reciclagem</v>
      </c>
      <c r="M364" s="238" t="s">
        <v>1920</v>
      </c>
      <c r="N364" s="238" t="s">
        <v>1911</v>
      </c>
      <c r="O364" s="114" t="str">
        <f>IFERROR(INDEX(Tabela3[Tipos de Tratamento],MATCH('A3.9.1 copy'!K364,Tabela3[Código],0)),"")</f>
        <v>Acumulação de resíduos destinados a uma das operações enumeradas de R1 a R12</v>
      </c>
      <c r="P364" s="91" t="s">
        <v>1539</v>
      </c>
      <c r="Q364" s="91" t="s">
        <v>1574</v>
      </c>
      <c r="S364">
        <v>2022</v>
      </c>
      <c r="T364" s="261" t="s">
        <v>3535</v>
      </c>
      <c r="U364" s="261" t="s">
        <v>3606</v>
      </c>
      <c r="V364" t="s">
        <v>42</v>
      </c>
    </row>
    <row r="365" spans="1:22" ht="15.75" thickBot="1" x14ac:dyDescent="0.3">
      <c r="A365" s="82" t="s">
        <v>4715</v>
      </c>
      <c r="B365" s="82" t="s">
        <v>4686</v>
      </c>
      <c r="C365" s="82" t="str">
        <f t="shared" si="23"/>
        <v>oficina PORTIMAO</v>
      </c>
      <c r="D365" s="82" t="s">
        <v>42</v>
      </c>
      <c r="E365" s="123">
        <v>150111</v>
      </c>
      <c r="F365" s="91" t="s">
        <v>1548</v>
      </c>
      <c r="G365" s="125" t="s">
        <v>34</v>
      </c>
      <c r="H365" s="133">
        <v>0.09</v>
      </c>
      <c r="I365" s="125" t="s">
        <v>1532</v>
      </c>
      <c r="J365" s="139">
        <f t="shared" si="24"/>
        <v>90</v>
      </c>
      <c r="K365" s="139" t="s">
        <v>484</v>
      </c>
      <c r="L365" s="238" t="str">
        <f t="shared" si="25"/>
        <v>Reciclagem</v>
      </c>
      <c r="M365" s="238" t="s">
        <v>1925</v>
      </c>
      <c r="N365" s="238" t="s">
        <v>1922</v>
      </c>
      <c r="O365" s="114" t="str">
        <f>IFERROR(INDEX(Tabela3[Tipos de Tratamento],MATCH('A3.9.1 copy'!K365,Tabela3[Código],0)),"")</f>
        <v>Acumulação de resíduos destinados a uma das operações enumeradas de R1 a R12</v>
      </c>
      <c r="P365" s="91" t="s">
        <v>1539</v>
      </c>
      <c r="Q365" s="91" t="s">
        <v>1574</v>
      </c>
      <c r="S365">
        <v>2022</v>
      </c>
      <c r="T365" s="261" t="s">
        <v>3535</v>
      </c>
      <c r="U365" s="261" t="s">
        <v>3606</v>
      </c>
      <c r="V365" t="s">
        <v>42</v>
      </c>
    </row>
    <row r="366" spans="1:22" ht="15.75" thickBot="1" x14ac:dyDescent="0.3">
      <c r="A366" s="82" t="s">
        <v>4715</v>
      </c>
      <c r="B366" s="82" t="s">
        <v>4686</v>
      </c>
      <c r="C366" s="82" t="str">
        <f t="shared" si="23"/>
        <v>oficina PORTIMAO</v>
      </c>
      <c r="D366" s="82" t="s">
        <v>42</v>
      </c>
      <c r="E366" s="123">
        <v>150202</v>
      </c>
      <c r="F366" s="91" t="s">
        <v>1547</v>
      </c>
      <c r="G366" s="125" t="s">
        <v>34</v>
      </c>
      <c r="H366" s="133">
        <v>1.28</v>
      </c>
      <c r="I366" s="125" t="s">
        <v>1532</v>
      </c>
      <c r="J366" s="139">
        <f t="shared" si="24"/>
        <v>1280</v>
      </c>
      <c r="K366" s="139" t="s">
        <v>483</v>
      </c>
      <c r="L366" s="238" t="str">
        <f t="shared" si="25"/>
        <v>Reciclagem</v>
      </c>
      <c r="M366" s="238" t="s">
        <v>1920</v>
      </c>
      <c r="N366" s="238" t="s">
        <v>1911</v>
      </c>
      <c r="O366" s="114" t="str">
        <f>IFERROR(INDEX(Tabela3[Tipos de Tratamento],MATCH('A3.9.1 copy'!K366,Tabela3[Código],0)),"")</f>
        <v xml:space="preserve">Troca de resíduos com vista a submetê-los a uma das operações enumeradas de R 1 a R 11 </v>
      </c>
      <c r="P366" s="91" t="s">
        <v>1539</v>
      </c>
      <c r="Q366" s="91" t="s">
        <v>1574</v>
      </c>
      <c r="S366">
        <v>2022</v>
      </c>
      <c r="T366" s="261" t="s">
        <v>3535</v>
      </c>
      <c r="U366" s="261" t="s">
        <v>3606</v>
      </c>
      <c r="V366" t="s">
        <v>42</v>
      </c>
    </row>
    <row r="367" spans="1:22" ht="15.75" thickBot="1" x14ac:dyDescent="0.3">
      <c r="A367" s="82" t="s">
        <v>4715</v>
      </c>
      <c r="B367" s="82" t="s">
        <v>4686</v>
      </c>
      <c r="C367" s="82" t="str">
        <f t="shared" si="23"/>
        <v>oficina PORTIMAO</v>
      </c>
      <c r="D367" s="82" t="s">
        <v>42</v>
      </c>
      <c r="E367" s="123">
        <v>150203</v>
      </c>
      <c r="F367" s="91" t="s">
        <v>1550</v>
      </c>
      <c r="G367" s="125" t="s">
        <v>42</v>
      </c>
      <c r="H367" s="133">
        <v>1</v>
      </c>
      <c r="I367" s="125" t="s">
        <v>1532</v>
      </c>
      <c r="J367" s="139">
        <f t="shared" si="24"/>
        <v>1000</v>
      </c>
      <c r="K367" s="139" t="s">
        <v>509</v>
      </c>
      <c r="L367" s="238" t="str">
        <f t="shared" si="25"/>
        <v>Aterro</v>
      </c>
      <c r="M367" s="238" t="s">
        <v>1920</v>
      </c>
      <c r="N367" s="238" t="s">
        <v>1911</v>
      </c>
      <c r="O367" s="114" t="str">
        <f>IFERROR(INDEX(Tabela3[Tipos de Tratamento],MATCH('A3.9.1 copy'!K367,Tabela3[Código],0)),"")</f>
        <v>Armazenagem enquanto se aguarda a execução de uma das operações enumeradas de D1 a D14</v>
      </c>
      <c r="P367" s="91" t="s">
        <v>1539</v>
      </c>
      <c r="Q367" s="91" t="s">
        <v>1574</v>
      </c>
      <c r="S367">
        <v>2022</v>
      </c>
      <c r="T367" s="261" t="s">
        <v>3535</v>
      </c>
      <c r="U367" s="261" t="s">
        <v>3606</v>
      </c>
      <c r="V367" t="s">
        <v>42</v>
      </c>
    </row>
    <row r="368" spans="1:22" ht="15.75" thickBot="1" x14ac:dyDescent="0.3">
      <c r="A368" s="82" t="s">
        <v>4715</v>
      </c>
      <c r="B368" s="82" t="s">
        <v>4686</v>
      </c>
      <c r="C368" s="82" t="str">
        <f t="shared" si="23"/>
        <v>oficina PORTIMAO</v>
      </c>
      <c r="D368" s="82" t="s">
        <v>42</v>
      </c>
      <c r="E368" s="123">
        <v>160107</v>
      </c>
      <c r="F368" s="91" t="s">
        <v>1551</v>
      </c>
      <c r="G368" s="125" t="s">
        <v>34</v>
      </c>
      <c r="H368" s="133">
        <v>1.04</v>
      </c>
      <c r="I368" s="125" t="s">
        <v>1532</v>
      </c>
      <c r="J368" s="139">
        <f t="shared" si="24"/>
        <v>1040</v>
      </c>
      <c r="K368" s="139" t="s">
        <v>483</v>
      </c>
      <c r="L368" s="238" t="str">
        <f t="shared" si="25"/>
        <v>Reciclagem</v>
      </c>
      <c r="M368" s="238" t="s">
        <v>1920</v>
      </c>
      <c r="N368" s="238" t="s">
        <v>1911</v>
      </c>
      <c r="O368" s="114" t="str">
        <f>IFERROR(INDEX(Tabela3[Tipos de Tratamento],MATCH('A3.9.1 copy'!K368,Tabela3[Código],0)),"")</f>
        <v xml:space="preserve">Troca de resíduos com vista a submetê-los a uma das operações enumeradas de R 1 a R 11 </v>
      </c>
      <c r="P368" s="91" t="s">
        <v>1539</v>
      </c>
      <c r="Q368" s="91" t="s">
        <v>1574</v>
      </c>
      <c r="S368">
        <v>2022</v>
      </c>
      <c r="T368" s="261" t="s">
        <v>3535</v>
      </c>
      <c r="U368" s="261" t="s">
        <v>3606</v>
      </c>
      <c r="V368" t="s">
        <v>42</v>
      </c>
    </row>
    <row r="369" spans="1:22" ht="15.75" thickBot="1" x14ac:dyDescent="0.3">
      <c r="A369" s="82" t="s">
        <v>4715</v>
      </c>
      <c r="B369" s="82" t="s">
        <v>4686</v>
      </c>
      <c r="C369" s="82" t="str">
        <f t="shared" si="23"/>
        <v>oficina PORTIMAO</v>
      </c>
      <c r="D369" s="82" t="s">
        <v>42</v>
      </c>
      <c r="E369" s="123">
        <v>160117</v>
      </c>
      <c r="F369" s="91" t="s">
        <v>1557</v>
      </c>
      <c r="G369" s="125" t="s">
        <v>42</v>
      </c>
      <c r="H369" s="133">
        <v>6.17</v>
      </c>
      <c r="I369" s="125" t="s">
        <v>1532</v>
      </c>
      <c r="J369" s="139">
        <f t="shared" si="24"/>
        <v>6170</v>
      </c>
      <c r="K369" s="139" t="s">
        <v>483</v>
      </c>
      <c r="L369" s="238" t="str">
        <f t="shared" si="25"/>
        <v>Reciclagem</v>
      </c>
      <c r="M369" s="238" t="s">
        <v>1557</v>
      </c>
      <c r="N369" s="238" t="s">
        <v>1922</v>
      </c>
      <c r="O369" s="114" t="str">
        <f>IFERROR(INDEX(Tabela3[Tipos de Tratamento],MATCH('A3.9.1 copy'!K369,Tabela3[Código],0)),"")</f>
        <v xml:space="preserve">Troca de resíduos com vista a submetê-los a uma das operações enumeradas de R 1 a R 11 </v>
      </c>
      <c r="P369" s="91" t="s">
        <v>3281</v>
      </c>
      <c r="Q369" s="91" t="s">
        <v>3281</v>
      </c>
      <c r="R369" s="93"/>
      <c r="S369">
        <v>2022</v>
      </c>
      <c r="T369" s="261" t="s">
        <v>3535</v>
      </c>
      <c r="U369" s="261" t="s">
        <v>3606</v>
      </c>
      <c r="V369" t="s">
        <v>42</v>
      </c>
    </row>
    <row r="370" spans="1:22" ht="15.75" thickBot="1" x14ac:dyDescent="0.3">
      <c r="A370" s="82" t="s">
        <v>4715</v>
      </c>
      <c r="B370" s="82" t="s">
        <v>4686</v>
      </c>
      <c r="C370" s="82" t="str">
        <f t="shared" si="23"/>
        <v>oficina PORTIMAO</v>
      </c>
      <c r="D370" s="82" t="s">
        <v>42</v>
      </c>
      <c r="E370" s="123">
        <v>160121</v>
      </c>
      <c r="F370" s="91" t="s">
        <v>1576</v>
      </c>
      <c r="G370" s="125" t="s">
        <v>34</v>
      </c>
      <c r="H370" s="133">
        <v>1.68</v>
      </c>
      <c r="I370" s="125" t="s">
        <v>1532</v>
      </c>
      <c r="J370" s="139">
        <f t="shared" si="24"/>
        <v>1680</v>
      </c>
      <c r="K370" s="139" t="s">
        <v>509</v>
      </c>
      <c r="L370" s="238" t="str">
        <f t="shared" si="25"/>
        <v>Aterro</v>
      </c>
      <c r="M370" s="238" t="s">
        <v>1920</v>
      </c>
      <c r="N370" s="238" t="s">
        <v>1911</v>
      </c>
      <c r="O370" s="114" t="str">
        <f>IFERROR(INDEX(Tabela3[Tipos de Tratamento],MATCH('A3.9.1 copy'!K370,Tabela3[Código],0)),"")</f>
        <v>Armazenagem enquanto se aguarda a execução de uma das operações enumeradas de D1 a D14</v>
      </c>
      <c r="P370" s="91" t="s">
        <v>1539</v>
      </c>
      <c r="Q370" s="91" t="s">
        <v>1574</v>
      </c>
      <c r="S370">
        <v>2022</v>
      </c>
      <c r="T370" s="261" t="s">
        <v>3535</v>
      </c>
      <c r="U370" s="261" t="s">
        <v>3606</v>
      </c>
      <c r="V370" t="s">
        <v>42</v>
      </c>
    </row>
    <row r="371" spans="1:22" ht="15.75" thickBot="1" x14ac:dyDescent="0.3">
      <c r="A371" s="82" t="s">
        <v>4715</v>
      </c>
      <c r="B371" s="82" t="s">
        <v>4686</v>
      </c>
      <c r="C371" s="82" t="str">
        <f t="shared" si="23"/>
        <v>oficina PORTIMAO</v>
      </c>
      <c r="D371" s="82" t="s">
        <v>42</v>
      </c>
      <c r="E371" s="123">
        <v>160601</v>
      </c>
      <c r="F371" s="91" t="s">
        <v>1563</v>
      </c>
      <c r="G371" s="125" t="s">
        <v>34</v>
      </c>
      <c r="H371" s="133">
        <v>4.5250000000000004</v>
      </c>
      <c r="I371" s="125" t="s">
        <v>1532</v>
      </c>
      <c r="J371" s="139">
        <f t="shared" si="24"/>
        <v>4525</v>
      </c>
      <c r="K371" s="139" t="s">
        <v>484</v>
      </c>
      <c r="L371" s="238" t="str">
        <f t="shared" si="25"/>
        <v>Reciclagem</v>
      </c>
      <c r="M371" s="238" t="s">
        <v>1653</v>
      </c>
      <c r="N371" s="238" t="s">
        <v>1896</v>
      </c>
      <c r="O371" s="114" t="str">
        <f>IFERROR(INDEX(Tabela3[Tipos de Tratamento],MATCH('A3.9.1 copy'!K371,Tabela3[Código],0)),"")</f>
        <v>Acumulação de resíduos destinados a uma das operações enumeradas de R1 a R12</v>
      </c>
      <c r="P371" s="91" t="s">
        <v>3281</v>
      </c>
      <c r="Q371" s="91" t="s">
        <v>3281</v>
      </c>
      <c r="R371" s="93"/>
      <c r="S371">
        <v>2022</v>
      </c>
      <c r="T371" s="261" t="s">
        <v>3535</v>
      </c>
      <c r="U371" s="261" t="s">
        <v>3606</v>
      </c>
      <c r="V371" t="s">
        <v>42</v>
      </c>
    </row>
    <row r="372" spans="1:22" ht="15.75" thickBot="1" x14ac:dyDescent="0.3">
      <c r="A372" s="82" t="s">
        <v>4715</v>
      </c>
      <c r="B372" s="82" t="s">
        <v>4686</v>
      </c>
      <c r="C372" s="82" t="str">
        <f t="shared" si="23"/>
        <v>oficina PORTIMAO</v>
      </c>
      <c r="D372" s="82" t="s">
        <v>42</v>
      </c>
      <c r="E372" s="123">
        <v>200101</v>
      </c>
      <c r="F372" s="91" t="s">
        <v>1597</v>
      </c>
      <c r="G372" s="125" t="s">
        <v>34</v>
      </c>
      <c r="H372" s="133">
        <v>0.12</v>
      </c>
      <c r="I372" s="125" t="s">
        <v>1532</v>
      </c>
      <c r="J372" s="139">
        <f t="shared" si="24"/>
        <v>120</v>
      </c>
      <c r="K372" s="139" t="s">
        <v>483</v>
      </c>
      <c r="L372" s="238" t="str">
        <f t="shared" si="25"/>
        <v>Reciclagem</v>
      </c>
      <c r="M372" s="238" t="s">
        <v>1923</v>
      </c>
      <c r="N372" s="238" t="s">
        <v>1922</v>
      </c>
      <c r="O372" s="114" t="str">
        <f>IFERROR(INDEX(Tabela3[Tipos de Tratamento],MATCH('A3.9.1 copy'!K372,Tabela3[Código],0)),"")</f>
        <v xml:space="preserve">Troca de resíduos com vista a submetê-los a uma das operações enumeradas de R 1 a R 11 </v>
      </c>
      <c r="P372" s="91" t="s">
        <v>3288</v>
      </c>
      <c r="Q372" s="91" t="s">
        <v>3289</v>
      </c>
      <c r="S372">
        <v>2022</v>
      </c>
      <c r="T372" s="261" t="s">
        <v>3535</v>
      </c>
      <c r="U372" s="261" t="s">
        <v>3606</v>
      </c>
      <c r="V372" t="s">
        <v>42</v>
      </c>
    </row>
    <row r="373" spans="1:22" ht="15.75" thickBot="1" x14ac:dyDescent="0.3">
      <c r="A373" s="82" t="s">
        <v>4715</v>
      </c>
      <c r="B373" s="82" t="s">
        <v>4686</v>
      </c>
      <c r="C373" s="82" t="str">
        <f t="shared" si="23"/>
        <v>oficina PORTIMAO</v>
      </c>
      <c r="D373" s="82" t="s">
        <v>42</v>
      </c>
      <c r="E373" s="123">
        <v>200121</v>
      </c>
      <c r="F373" s="91" t="s">
        <v>1564</v>
      </c>
      <c r="G373" s="125" t="s">
        <v>34</v>
      </c>
      <c r="H373" s="133">
        <v>7.0999999999999994E-2</v>
      </c>
      <c r="I373" s="125" t="s">
        <v>1532</v>
      </c>
      <c r="J373" s="139">
        <f t="shared" si="24"/>
        <v>71</v>
      </c>
      <c r="K373" s="139" t="s">
        <v>484</v>
      </c>
      <c r="L373" s="238" t="str">
        <f t="shared" si="25"/>
        <v>Reciclagem</v>
      </c>
      <c r="M373" s="238" t="s">
        <v>1920</v>
      </c>
      <c r="N373" s="238" t="s">
        <v>1911</v>
      </c>
      <c r="O373" s="114" t="str">
        <f>IFERROR(INDEX(Tabela3[Tipos de Tratamento],MATCH('A3.9.1 copy'!K373,Tabela3[Código],0)),"")</f>
        <v>Acumulação de resíduos destinados a uma das operações enumeradas de R1 a R12</v>
      </c>
      <c r="P373" s="91" t="s">
        <v>1539</v>
      </c>
      <c r="Q373" s="91" t="s">
        <v>1574</v>
      </c>
      <c r="S373">
        <v>2022</v>
      </c>
      <c r="T373" s="261" t="s">
        <v>3535</v>
      </c>
      <c r="U373" s="261" t="s">
        <v>3606</v>
      </c>
      <c r="V373" t="s">
        <v>42</v>
      </c>
    </row>
    <row r="374" spans="1:22" ht="15.75" thickBot="1" x14ac:dyDescent="0.3">
      <c r="A374" s="82" t="s">
        <v>4715</v>
      </c>
      <c r="B374" s="82" t="s">
        <v>4686</v>
      </c>
      <c r="C374" s="82" t="str">
        <f t="shared" si="23"/>
        <v>oficina PORTIMAO</v>
      </c>
      <c r="D374" s="82" t="s">
        <v>42</v>
      </c>
      <c r="E374" s="123">
        <v>200301</v>
      </c>
      <c r="F374" s="91" t="s">
        <v>1610</v>
      </c>
      <c r="G374" s="125" t="s">
        <v>34</v>
      </c>
      <c r="H374" s="133">
        <v>2.82</v>
      </c>
      <c r="I374" s="125" t="s">
        <v>1532</v>
      </c>
      <c r="J374" s="139">
        <f t="shared" si="24"/>
        <v>2820</v>
      </c>
      <c r="K374" s="139" t="s">
        <v>483</v>
      </c>
      <c r="L374" s="238" t="str">
        <f t="shared" si="25"/>
        <v>Reciclagem</v>
      </c>
      <c r="M374" s="238" t="s">
        <v>1927</v>
      </c>
      <c r="N374" s="238" t="s">
        <v>1911</v>
      </c>
      <c r="O374" s="114" t="str">
        <f>IFERROR(INDEX(Tabela3[Tipos de Tratamento],MATCH('A3.9.1 copy'!K374,Tabela3[Código],0)),"")</f>
        <v xml:space="preserve">Troca de resíduos com vista a submetê-los a uma das operações enumeradas de R 1 a R 11 </v>
      </c>
      <c r="P374" s="91" t="s">
        <v>3281</v>
      </c>
      <c r="Q374" s="91" t="s">
        <v>3281</v>
      </c>
      <c r="R374" s="93"/>
      <c r="S374">
        <v>2022</v>
      </c>
      <c r="T374" s="261" t="s">
        <v>3535</v>
      </c>
      <c r="U374" s="261" t="s">
        <v>3606</v>
      </c>
      <c r="V374" t="s">
        <v>42</v>
      </c>
    </row>
    <row r="375" spans="1:22" ht="15.75" thickBot="1" x14ac:dyDescent="0.3">
      <c r="A375" s="82" t="s">
        <v>4715</v>
      </c>
      <c r="B375" s="82" t="s">
        <v>4686</v>
      </c>
      <c r="C375" s="82" t="str">
        <f t="shared" si="23"/>
        <v>oficina PORTIMAO</v>
      </c>
      <c r="D375" s="82" t="s">
        <v>42</v>
      </c>
      <c r="E375" s="123">
        <v>200307</v>
      </c>
      <c r="F375" s="91" t="s">
        <v>3273</v>
      </c>
      <c r="G375" s="125" t="s">
        <v>34</v>
      </c>
      <c r="H375" s="133">
        <v>1.02</v>
      </c>
      <c r="I375" s="125" t="s">
        <v>1532</v>
      </c>
      <c r="J375" s="139">
        <f t="shared" si="24"/>
        <v>1020</v>
      </c>
      <c r="K375" s="139" t="s">
        <v>493</v>
      </c>
      <c r="L375" s="238" t="str">
        <f t="shared" si="25"/>
        <v>Aterro</v>
      </c>
      <c r="M375" s="238" t="s">
        <v>1920</v>
      </c>
      <c r="N375" s="238" t="s">
        <v>1911</v>
      </c>
      <c r="O375" s="114" t="str">
        <f>IFERROR(INDEX(Tabela3[Tipos de Tratamento],MATCH('A3.9.1 copy'!K375,Tabela3[Código],0)),"")</f>
        <v>Deposição sobre o solo ou no seu interior (por exemplo, aterro sanitário, etc.).</v>
      </c>
      <c r="P375" s="91" t="s">
        <v>3288</v>
      </c>
      <c r="Q375" s="91" t="s">
        <v>3289</v>
      </c>
      <c r="S375">
        <v>2022</v>
      </c>
      <c r="T375" s="261" t="s">
        <v>3535</v>
      </c>
      <c r="U375" s="261" t="s">
        <v>3606</v>
      </c>
      <c r="V375" t="s">
        <v>42</v>
      </c>
    </row>
    <row r="376" spans="1:22" ht="15.75" thickBot="1" x14ac:dyDescent="0.3">
      <c r="A376" s="82" t="s">
        <v>4715</v>
      </c>
      <c r="B376" s="82" t="s">
        <v>4686</v>
      </c>
      <c r="C376" s="82" t="str">
        <f t="shared" si="23"/>
        <v>oficina PORTIMAO</v>
      </c>
      <c r="D376" s="82" t="s">
        <v>42</v>
      </c>
      <c r="E376" s="123">
        <v>200307</v>
      </c>
      <c r="F376" s="91" t="s">
        <v>3273</v>
      </c>
      <c r="G376" s="125" t="s">
        <v>34</v>
      </c>
      <c r="H376" s="133">
        <v>0.94</v>
      </c>
      <c r="I376" s="125" t="s">
        <v>1532</v>
      </c>
      <c r="J376" s="139">
        <f t="shared" si="24"/>
        <v>940</v>
      </c>
      <c r="K376" s="139" t="s">
        <v>509</v>
      </c>
      <c r="L376" s="238" t="str">
        <f t="shared" si="25"/>
        <v>Aterro</v>
      </c>
      <c r="M376" s="238" t="s">
        <v>1920</v>
      </c>
      <c r="N376" s="238" t="s">
        <v>1911</v>
      </c>
      <c r="O376" s="114" t="str">
        <f>IFERROR(INDEX(Tabela3[Tipos de Tratamento],MATCH('A3.9.1 copy'!K376,Tabela3[Código],0)),"")</f>
        <v>Armazenagem enquanto se aguarda a execução de uma das operações enumeradas de D1 a D14</v>
      </c>
      <c r="P376" s="91" t="s">
        <v>3288</v>
      </c>
      <c r="Q376" s="91" t="s">
        <v>3289</v>
      </c>
      <c r="S376">
        <v>2022</v>
      </c>
      <c r="T376" s="261" t="s">
        <v>3535</v>
      </c>
      <c r="U376" s="261" t="s">
        <v>3606</v>
      </c>
      <c r="V376" t="s">
        <v>42</v>
      </c>
    </row>
    <row r="377" spans="1:22" ht="15.75" thickBot="1" x14ac:dyDescent="0.3">
      <c r="A377" s="82" t="s">
        <v>4715</v>
      </c>
      <c r="B377" s="82" t="s">
        <v>4686</v>
      </c>
      <c r="C377" s="82" t="str">
        <f t="shared" si="23"/>
        <v>oficina PORTIMAO</v>
      </c>
      <c r="D377" s="82" t="s">
        <v>42</v>
      </c>
      <c r="E377" s="123">
        <v>200399</v>
      </c>
      <c r="F377" s="91" t="s">
        <v>3274</v>
      </c>
      <c r="G377" s="125" t="s">
        <v>42</v>
      </c>
      <c r="H377" s="133">
        <v>10.16</v>
      </c>
      <c r="I377" s="125" t="s">
        <v>1532</v>
      </c>
      <c r="J377" s="139">
        <f t="shared" si="24"/>
        <v>10160</v>
      </c>
      <c r="K377" s="139" t="s">
        <v>493</v>
      </c>
      <c r="L377" s="238" t="str">
        <f t="shared" si="25"/>
        <v>Aterro</v>
      </c>
      <c r="M377" s="238" t="s">
        <v>1927</v>
      </c>
      <c r="N377" s="238" t="s">
        <v>1911</v>
      </c>
      <c r="O377" s="114" t="str">
        <f>IFERROR(INDEX(Tabela3[Tipos de Tratamento],MATCH('A3.9.1 copy'!K377,Tabela3[Código],0)),"")</f>
        <v>Deposição sobre o solo ou no seu interior (por exemplo, aterro sanitário, etc.).</v>
      </c>
      <c r="P377" s="91" t="s">
        <v>3288</v>
      </c>
      <c r="Q377" s="91" t="s">
        <v>3289</v>
      </c>
      <c r="R377" s="93"/>
      <c r="S377">
        <v>2022</v>
      </c>
      <c r="T377" s="261" t="s">
        <v>3535</v>
      </c>
      <c r="U377" s="261" t="s">
        <v>3606</v>
      </c>
      <c r="V377" t="s">
        <v>42</v>
      </c>
    </row>
    <row r="378" spans="1:22" ht="15.75" thickBot="1" x14ac:dyDescent="0.3">
      <c r="A378" s="82" t="s">
        <v>4716</v>
      </c>
      <c r="B378" s="82" t="s">
        <v>4686</v>
      </c>
      <c r="C378" s="82" t="str">
        <f t="shared" si="23"/>
        <v>oficina VRSA</v>
      </c>
      <c r="D378" s="82" t="s">
        <v>42</v>
      </c>
      <c r="E378" s="123">
        <v>130208</v>
      </c>
      <c r="F378" s="91" t="s">
        <v>1531</v>
      </c>
      <c r="G378" s="125" t="s">
        <v>34</v>
      </c>
      <c r="H378" s="133">
        <v>2.2490000000000001</v>
      </c>
      <c r="I378" s="125" t="s">
        <v>1532</v>
      </c>
      <c r="J378" s="139">
        <f t="shared" si="24"/>
        <v>2249</v>
      </c>
      <c r="K378" s="139" t="s">
        <v>484</v>
      </c>
      <c r="L378" s="238" t="str">
        <f t="shared" si="25"/>
        <v>Reciclagem</v>
      </c>
      <c r="M378" s="238" t="s">
        <v>1921</v>
      </c>
      <c r="N378" s="238" t="s">
        <v>1896</v>
      </c>
      <c r="O378" s="114" t="str">
        <f>IFERROR(INDEX(Tabela3[Tipos de Tratamento],MATCH('A3.9.1 copy'!K378,Tabela3[Código],0)),"")</f>
        <v>Acumulação de resíduos destinados a uma das operações enumeradas de R1 a R12</v>
      </c>
      <c r="P378" s="91" t="s">
        <v>3236</v>
      </c>
      <c r="Q378" s="91" t="s">
        <v>3236</v>
      </c>
      <c r="S378">
        <v>2022</v>
      </c>
      <c r="T378" s="261" t="s">
        <v>3535</v>
      </c>
      <c r="U378" s="261" t="s">
        <v>3606</v>
      </c>
      <c r="V378" t="s">
        <v>42</v>
      </c>
    </row>
    <row r="379" spans="1:22" ht="15.75" thickBot="1" x14ac:dyDescent="0.3">
      <c r="A379" s="82" t="s">
        <v>4716</v>
      </c>
      <c r="B379" s="82" t="s">
        <v>4686</v>
      </c>
      <c r="C379" s="82" t="str">
        <f t="shared" si="23"/>
        <v>oficina VRSA</v>
      </c>
      <c r="D379" s="82" t="s">
        <v>42</v>
      </c>
      <c r="E379" s="123">
        <v>150110</v>
      </c>
      <c r="F379" s="91" t="s">
        <v>1542</v>
      </c>
      <c r="G379" s="125" t="s">
        <v>34</v>
      </c>
      <c r="H379" s="133">
        <v>1.7999999999999999E-2</v>
      </c>
      <c r="I379" s="125" t="s">
        <v>1532</v>
      </c>
      <c r="J379" s="139">
        <f t="shared" si="24"/>
        <v>18</v>
      </c>
      <c r="K379" s="139" t="s">
        <v>484</v>
      </c>
      <c r="L379" s="238" t="str">
        <f t="shared" si="25"/>
        <v>Reciclagem</v>
      </c>
      <c r="M379" s="238" t="s">
        <v>1920</v>
      </c>
      <c r="N379" s="238" t="s">
        <v>1911</v>
      </c>
      <c r="O379" s="114" t="str">
        <f>IFERROR(INDEX(Tabela3[Tipos de Tratamento],MATCH('A3.9.1 copy'!K379,Tabela3[Código],0)),"")</f>
        <v>Acumulação de resíduos destinados a uma das operações enumeradas de R1 a R12</v>
      </c>
      <c r="P379" s="91" t="s">
        <v>1539</v>
      </c>
      <c r="Q379" s="91" t="s">
        <v>1574</v>
      </c>
      <c r="R379" s="93"/>
      <c r="S379">
        <v>2022</v>
      </c>
      <c r="T379" s="261" t="s">
        <v>3535</v>
      </c>
      <c r="U379" s="261" t="s">
        <v>3606</v>
      </c>
      <c r="V379" t="s">
        <v>42</v>
      </c>
    </row>
    <row r="380" spans="1:22" ht="15.75" thickBot="1" x14ac:dyDescent="0.3">
      <c r="A380" s="82" t="s">
        <v>4716</v>
      </c>
      <c r="B380" s="82" t="s">
        <v>4686</v>
      </c>
      <c r="C380" s="82" t="str">
        <f t="shared" si="23"/>
        <v>oficina VRSA</v>
      </c>
      <c r="D380" s="82" t="s">
        <v>42</v>
      </c>
      <c r="E380" s="123">
        <v>150111</v>
      </c>
      <c r="F380" s="91" t="s">
        <v>1548</v>
      </c>
      <c r="G380" s="125" t="s">
        <v>34</v>
      </c>
      <c r="H380" s="133">
        <v>1.7999999999999999E-2</v>
      </c>
      <c r="I380" s="125" t="s">
        <v>1532</v>
      </c>
      <c r="J380" s="139">
        <f t="shared" si="24"/>
        <v>18</v>
      </c>
      <c r="K380" s="139" t="s">
        <v>484</v>
      </c>
      <c r="L380" s="238" t="str">
        <f t="shared" si="25"/>
        <v>Reciclagem</v>
      </c>
      <c r="M380" s="238" t="s">
        <v>1925</v>
      </c>
      <c r="N380" s="238" t="s">
        <v>1922</v>
      </c>
      <c r="O380" s="114" t="str">
        <f>IFERROR(INDEX(Tabela3[Tipos de Tratamento],MATCH('A3.9.1 copy'!K380,Tabela3[Código],0)),"")</f>
        <v>Acumulação de resíduos destinados a uma das operações enumeradas de R1 a R12</v>
      </c>
      <c r="P380" s="91" t="s">
        <v>1539</v>
      </c>
      <c r="Q380" s="91" t="s">
        <v>1574</v>
      </c>
      <c r="R380" s="93"/>
      <c r="S380">
        <v>2022</v>
      </c>
      <c r="T380" s="261" t="s">
        <v>3535</v>
      </c>
      <c r="U380" s="261" t="s">
        <v>3606</v>
      </c>
      <c r="V380" t="s">
        <v>42</v>
      </c>
    </row>
    <row r="381" spans="1:22" ht="15.75" thickBot="1" x14ac:dyDescent="0.3">
      <c r="A381" s="82" t="s">
        <v>4716</v>
      </c>
      <c r="B381" s="82" t="s">
        <v>4686</v>
      </c>
      <c r="C381" s="82" t="str">
        <f t="shared" si="23"/>
        <v>oficina VRSA</v>
      </c>
      <c r="D381" s="82" t="s">
        <v>42</v>
      </c>
      <c r="E381" s="123">
        <v>150202</v>
      </c>
      <c r="F381" s="91" t="s">
        <v>1547</v>
      </c>
      <c r="G381" s="125" t="s">
        <v>34</v>
      </c>
      <c r="H381" s="133">
        <v>0.2</v>
      </c>
      <c r="I381" s="125" t="s">
        <v>1532</v>
      </c>
      <c r="J381" s="139">
        <f t="shared" si="24"/>
        <v>200</v>
      </c>
      <c r="K381" s="139" t="s">
        <v>483</v>
      </c>
      <c r="L381" s="238" t="str">
        <f t="shared" si="25"/>
        <v>Reciclagem</v>
      </c>
      <c r="M381" s="238" t="s">
        <v>1920</v>
      </c>
      <c r="N381" s="238" t="s">
        <v>1911</v>
      </c>
      <c r="O381" s="114" t="str">
        <f>IFERROR(INDEX(Tabela3[Tipos de Tratamento],MATCH('A3.9.1 copy'!K381,Tabela3[Código],0)),"")</f>
        <v xml:space="preserve">Troca de resíduos com vista a submetê-los a uma das operações enumeradas de R 1 a R 11 </v>
      </c>
      <c r="P381" s="91" t="s">
        <v>1539</v>
      </c>
      <c r="Q381" s="91" t="s">
        <v>1574</v>
      </c>
      <c r="S381">
        <v>2022</v>
      </c>
      <c r="T381" s="261" t="s">
        <v>3535</v>
      </c>
      <c r="U381" s="261" t="s">
        <v>3606</v>
      </c>
      <c r="V381" t="s">
        <v>42</v>
      </c>
    </row>
    <row r="382" spans="1:22" ht="15.75" thickBot="1" x14ac:dyDescent="0.3">
      <c r="A382" s="82" t="s">
        <v>4716</v>
      </c>
      <c r="B382" s="82" t="s">
        <v>4686</v>
      </c>
      <c r="C382" s="82" t="str">
        <f t="shared" si="23"/>
        <v>oficina VRSA</v>
      </c>
      <c r="D382" s="82" t="s">
        <v>42</v>
      </c>
      <c r="E382" s="123">
        <v>150203</v>
      </c>
      <c r="F382" s="91" t="s">
        <v>1550</v>
      </c>
      <c r="G382" s="125" t="s">
        <v>42</v>
      </c>
      <c r="H382" s="133">
        <v>0.2</v>
      </c>
      <c r="I382" s="125" t="s">
        <v>1532</v>
      </c>
      <c r="J382" s="139">
        <f t="shared" si="24"/>
        <v>200</v>
      </c>
      <c r="K382" s="139" t="s">
        <v>509</v>
      </c>
      <c r="L382" s="238" t="str">
        <f t="shared" si="25"/>
        <v>Aterro</v>
      </c>
      <c r="M382" s="238" t="s">
        <v>1920</v>
      </c>
      <c r="N382" s="238" t="s">
        <v>1911</v>
      </c>
      <c r="O382" s="114" t="str">
        <f>IFERROR(INDEX(Tabela3[Tipos de Tratamento],MATCH('A3.9.1 copy'!K382,Tabela3[Código],0)),"")</f>
        <v>Armazenagem enquanto se aguarda a execução de uma das operações enumeradas de D1 a D14</v>
      </c>
      <c r="P382" s="91" t="s">
        <v>1539</v>
      </c>
      <c r="Q382" s="91" t="s">
        <v>1574</v>
      </c>
      <c r="S382">
        <v>2022</v>
      </c>
      <c r="T382" s="261" t="s">
        <v>3535</v>
      </c>
      <c r="U382" s="261" t="s">
        <v>3606</v>
      </c>
      <c r="V382" t="s">
        <v>42</v>
      </c>
    </row>
    <row r="383" spans="1:22" ht="15.75" thickBot="1" x14ac:dyDescent="0.3">
      <c r="A383" s="82" t="s">
        <v>4716</v>
      </c>
      <c r="B383" s="82" t="s">
        <v>4686</v>
      </c>
      <c r="C383" s="82" t="str">
        <f t="shared" si="23"/>
        <v>oficina VRSA</v>
      </c>
      <c r="D383" s="82" t="s">
        <v>42</v>
      </c>
      <c r="E383" s="123">
        <v>150203</v>
      </c>
      <c r="F383" s="91" t="s">
        <v>1550</v>
      </c>
      <c r="G383" s="125" t="s">
        <v>42</v>
      </c>
      <c r="H383" s="133">
        <v>0.2</v>
      </c>
      <c r="I383" s="125" t="s">
        <v>1532</v>
      </c>
      <c r="J383" s="139">
        <f t="shared" si="24"/>
        <v>200</v>
      </c>
      <c r="K383" s="139" t="s">
        <v>484</v>
      </c>
      <c r="L383" s="238" t="str">
        <f t="shared" si="25"/>
        <v>Reciclagem</v>
      </c>
      <c r="M383" s="238" t="s">
        <v>1920</v>
      </c>
      <c r="N383" s="238" t="s">
        <v>1911</v>
      </c>
      <c r="O383" s="114" t="str">
        <f>IFERROR(INDEX(Tabela3[Tipos de Tratamento],MATCH('A3.9.1 copy'!K383,Tabela3[Código],0)),"")</f>
        <v>Acumulação de resíduos destinados a uma das operações enumeradas de R1 a R12</v>
      </c>
      <c r="P383" s="91" t="s">
        <v>1539</v>
      </c>
      <c r="Q383" s="91" t="s">
        <v>1574</v>
      </c>
      <c r="S383">
        <v>2022</v>
      </c>
      <c r="T383" s="261" t="s">
        <v>3535</v>
      </c>
      <c r="U383" s="261" t="s">
        <v>3606</v>
      </c>
      <c r="V383" t="s">
        <v>42</v>
      </c>
    </row>
    <row r="384" spans="1:22" ht="15.75" thickBot="1" x14ac:dyDescent="0.3">
      <c r="A384" s="82" t="s">
        <v>4716</v>
      </c>
      <c r="B384" s="82" t="s">
        <v>4686</v>
      </c>
      <c r="C384" s="82" t="str">
        <f t="shared" si="23"/>
        <v>oficina VRSA</v>
      </c>
      <c r="D384" s="82" t="s">
        <v>42</v>
      </c>
      <c r="E384" s="123">
        <v>160107</v>
      </c>
      <c r="F384" s="91" t="s">
        <v>1551</v>
      </c>
      <c r="G384" s="125" t="s">
        <v>34</v>
      </c>
      <c r="H384" s="133">
        <v>0.20799999999999999</v>
      </c>
      <c r="I384" s="125" t="s">
        <v>1532</v>
      </c>
      <c r="J384" s="139">
        <f t="shared" si="24"/>
        <v>208</v>
      </c>
      <c r="K384" s="139" t="s">
        <v>483</v>
      </c>
      <c r="L384" s="238" t="str">
        <f t="shared" si="25"/>
        <v>Reciclagem</v>
      </c>
      <c r="M384" s="238" t="s">
        <v>1920</v>
      </c>
      <c r="N384" s="238" t="s">
        <v>1911</v>
      </c>
      <c r="O384" s="114" t="str">
        <f>IFERROR(INDEX(Tabela3[Tipos de Tratamento],MATCH('A3.9.1 copy'!K384,Tabela3[Código],0)),"")</f>
        <v xml:space="preserve">Troca de resíduos com vista a submetê-los a uma das operações enumeradas de R 1 a R 11 </v>
      </c>
      <c r="P384" s="91" t="s">
        <v>1539</v>
      </c>
      <c r="Q384" s="91" t="s">
        <v>1574</v>
      </c>
      <c r="S384">
        <v>2022</v>
      </c>
      <c r="T384" s="261" t="s">
        <v>3535</v>
      </c>
      <c r="U384" s="261" t="s">
        <v>3606</v>
      </c>
      <c r="V384" t="s">
        <v>42</v>
      </c>
    </row>
    <row r="385" spans="1:22" ht="15.75" thickBot="1" x14ac:dyDescent="0.3">
      <c r="A385" s="82" t="s">
        <v>4716</v>
      </c>
      <c r="B385" s="82" t="s">
        <v>4686</v>
      </c>
      <c r="C385" s="82" t="str">
        <f t="shared" si="23"/>
        <v>oficina VRSA</v>
      </c>
      <c r="D385" s="82" t="s">
        <v>42</v>
      </c>
      <c r="E385" s="123">
        <v>160117</v>
      </c>
      <c r="F385" s="91" t="s">
        <v>1557</v>
      </c>
      <c r="G385" s="125" t="s">
        <v>42</v>
      </c>
      <c r="H385" s="133">
        <v>6.5000000000000002E-2</v>
      </c>
      <c r="I385" s="125" t="s">
        <v>1532</v>
      </c>
      <c r="J385" s="139">
        <f t="shared" si="24"/>
        <v>65</v>
      </c>
      <c r="K385" s="139" t="s">
        <v>484</v>
      </c>
      <c r="L385" s="238" t="str">
        <f t="shared" si="25"/>
        <v>Reciclagem</v>
      </c>
      <c r="M385" s="238" t="s">
        <v>1557</v>
      </c>
      <c r="N385" s="238" t="s">
        <v>1922</v>
      </c>
      <c r="O385" s="114" t="str">
        <f>IFERROR(INDEX(Tabela3[Tipos de Tratamento],MATCH('A3.9.1 copy'!K385,Tabela3[Código],0)),"")</f>
        <v>Acumulação de resíduos destinados a uma das operações enumeradas de R1 a R12</v>
      </c>
      <c r="P385" s="91" t="s">
        <v>1539</v>
      </c>
      <c r="Q385" s="91" t="s">
        <v>1574</v>
      </c>
      <c r="S385">
        <v>2022</v>
      </c>
      <c r="T385" s="261" t="s">
        <v>3535</v>
      </c>
      <c r="U385" s="261" t="s">
        <v>3606</v>
      </c>
      <c r="V385" t="s">
        <v>42</v>
      </c>
    </row>
    <row r="386" spans="1:22" ht="15.75" thickBot="1" x14ac:dyDescent="0.3">
      <c r="A386" s="82" t="s">
        <v>4716</v>
      </c>
      <c r="B386" s="82" t="s">
        <v>4686</v>
      </c>
      <c r="C386" s="82" t="str">
        <f t="shared" si="23"/>
        <v>oficina VRSA</v>
      </c>
      <c r="D386" s="82" t="s">
        <v>42</v>
      </c>
      <c r="E386" s="123">
        <v>160121</v>
      </c>
      <c r="F386" s="91" t="s">
        <v>1576</v>
      </c>
      <c r="G386" s="125" t="s">
        <v>34</v>
      </c>
      <c r="H386" s="133">
        <v>0.84</v>
      </c>
      <c r="I386" s="125" t="s">
        <v>1532</v>
      </c>
      <c r="J386" s="139">
        <f t="shared" si="24"/>
        <v>840</v>
      </c>
      <c r="K386" s="139" t="s">
        <v>509</v>
      </c>
      <c r="L386" s="238" t="str">
        <f t="shared" si="25"/>
        <v>Aterro</v>
      </c>
      <c r="M386" s="238" t="s">
        <v>1920</v>
      </c>
      <c r="N386" s="238" t="s">
        <v>1911</v>
      </c>
      <c r="O386" s="114" t="str">
        <f>IFERROR(INDEX(Tabela3[Tipos de Tratamento],MATCH('A3.9.1 copy'!K386,Tabela3[Código],0)),"")</f>
        <v>Armazenagem enquanto se aguarda a execução de uma das operações enumeradas de D1 a D14</v>
      </c>
      <c r="P386" s="91" t="s">
        <v>1539</v>
      </c>
      <c r="Q386" s="91" t="s">
        <v>1574</v>
      </c>
      <c r="S386">
        <v>2022</v>
      </c>
      <c r="T386" s="261" t="s">
        <v>3535</v>
      </c>
      <c r="U386" s="261" t="s">
        <v>3606</v>
      </c>
      <c r="V386" t="s">
        <v>42</v>
      </c>
    </row>
    <row r="387" spans="1:22" ht="15.75" thickBot="1" x14ac:dyDescent="0.3">
      <c r="A387" s="82" t="s">
        <v>4716</v>
      </c>
      <c r="B387" s="82" t="s">
        <v>4686</v>
      </c>
      <c r="C387" s="82" t="str">
        <f t="shared" ref="C387:C450" si="26">IF(A387=B387,"X",RIGHT(A387,LEN(A387)-LEN(B387)-3))</f>
        <v>oficina VRSA</v>
      </c>
      <c r="D387" s="82" t="s">
        <v>42</v>
      </c>
      <c r="E387" s="123">
        <v>160199</v>
      </c>
      <c r="F387" s="91" t="s">
        <v>1562</v>
      </c>
      <c r="G387" s="125" t="s">
        <v>42</v>
      </c>
      <c r="H387" s="133">
        <v>0.34</v>
      </c>
      <c r="I387" s="125" t="s">
        <v>1532</v>
      </c>
      <c r="J387" s="139">
        <f t="shared" ref="J387:J450" si="27">IF(LEFT(I387,3)="ton",1000*H387,H387)</f>
        <v>340</v>
      </c>
      <c r="K387" s="139" t="s">
        <v>507</v>
      </c>
      <c r="L387" s="238" t="str">
        <f t="shared" ref="L387:L450" si="28">IF(LEFT(K387,1)="R","Reciclagem",IF(OR(K387="D10",K387="D11"),"Iceneração","Aterro"))</f>
        <v>Aterro</v>
      </c>
      <c r="M387" s="238" t="s">
        <v>1920</v>
      </c>
      <c r="N387" s="238" t="s">
        <v>1911</v>
      </c>
      <c r="O387" s="114" t="str">
        <f>IFERROR(INDEX(Tabela3[Tipos de Tratamento],MATCH('A3.9.1 copy'!K387,Tabela3[Código],0)),"")</f>
        <v>Mistura anterior à execução de uma das operações enumeradas de D1 a D12</v>
      </c>
      <c r="P387" s="91" t="s">
        <v>1539</v>
      </c>
      <c r="Q387" s="91" t="s">
        <v>1574</v>
      </c>
      <c r="S387">
        <v>2022</v>
      </c>
      <c r="T387" s="261" t="s">
        <v>3535</v>
      </c>
      <c r="U387" s="261" t="s">
        <v>3606</v>
      </c>
      <c r="V387" t="s">
        <v>42</v>
      </c>
    </row>
    <row r="388" spans="1:22" ht="15.75" thickBot="1" x14ac:dyDescent="0.3">
      <c r="A388" s="82" t="s">
        <v>4716</v>
      </c>
      <c r="B388" s="82" t="s">
        <v>4686</v>
      </c>
      <c r="C388" s="82" t="str">
        <f t="shared" si="26"/>
        <v>oficina VRSA</v>
      </c>
      <c r="D388" s="82" t="s">
        <v>42</v>
      </c>
      <c r="E388" s="123">
        <v>160601</v>
      </c>
      <c r="F388" s="91" t="s">
        <v>1563</v>
      </c>
      <c r="G388" s="125" t="s">
        <v>34</v>
      </c>
      <c r="H388" s="133">
        <v>0.85699999999999998</v>
      </c>
      <c r="I388" s="125" t="s">
        <v>1532</v>
      </c>
      <c r="J388" s="139">
        <f t="shared" si="27"/>
        <v>857</v>
      </c>
      <c r="K388" s="139" t="s">
        <v>484</v>
      </c>
      <c r="L388" s="238" t="str">
        <f t="shared" si="28"/>
        <v>Reciclagem</v>
      </c>
      <c r="M388" s="238" t="s">
        <v>1653</v>
      </c>
      <c r="N388" s="238" t="s">
        <v>1896</v>
      </c>
      <c r="O388" s="114" t="str">
        <f>IFERROR(INDEX(Tabela3[Tipos de Tratamento],MATCH('A3.9.1 copy'!K388,Tabela3[Código],0)),"")</f>
        <v>Acumulação de resíduos destinados a uma das operações enumeradas de R1 a R12</v>
      </c>
      <c r="P388" s="91" t="s">
        <v>3281</v>
      </c>
      <c r="Q388" s="91" t="s">
        <v>3281</v>
      </c>
      <c r="S388">
        <v>2022</v>
      </c>
      <c r="T388" s="261" t="s">
        <v>3535</v>
      </c>
      <c r="U388" s="261" t="s">
        <v>3606</v>
      </c>
      <c r="V388" t="s">
        <v>42</v>
      </c>
    </row>
    <row r="389" spans="1:22" ht="15.75" thickBot="1" x14ac:dyDescent="0.3">
      <c r="A389" s="82" t="s">
        <v>4694</v>
      </c>
      <c r="B389" s="82" t="s">
        <v>4694</v>
      </c>
      <c r="C389" s="82" t="str">
        <f t="shared" si="26"/>
        <v>X</v>
      </c>
      <c r="D389" s="82" t="s">
        <v>42</v>
      </c>
      <c r="E389" s="142" t="s">
        <v>3225</v>
      </c>
      <c r="F389" s="83" t="s">
        <v>3237</v>
      </c>
      <c r="G389" s="125" t="s">
        <v>34</v>
      </c>
      <c r="H389" s="133">
        <v>12540</v>
      </c>
      <c r="I389" s="125" t="s">
        <v>557</v>
      </c>
      <c r="J389" s="139">
        <f t="shared" si="27"/>
        <v>12540</v>
      </c>
      <c r="K389" s="139" t="s">
        <v>503</v>
      </c>
      <c r="L389" s="238" t="str">
        <f t="shared" si="28"/>
        <v>Aterro</v>
      </c>
      <c r="M389" s="238" t="s">
        <v>1920</v>
      </c>
      <c r="N389" s="238" t="s">
        <v>1911</v>
      </c>
      <c r="O389" s="114" t="str">
        <f>IFERROR(INDEX(Tabela3[Tipos de Tratamento],MATCH('A3.9.1 copy'!K389,Tabela3[Código],0)),"")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389" s="91"/>
      <c r="Q389" s="91"/>
      <c r="R389" s="93"/>
      <c r="S389">
        <v>2022</v>
      </c>
      <c r="T389" s="261" t="s">
        <v>3535</v>
      </c>
      <c r="U389" s="261" t="s">
        <v>3606</v>
      </c>
      <c r="V389" t="s">
        <v>42</v>
      </c>
    </row>
    <row r="390" spans="1:22" ht="15.75" thickBot="1" x14ac:dyDescent="0.3">
      <c r="A390" s="82" t="s">
        <v>4694</v>
      </c>
      <c r="B390" s="82" t="s">
        <v>4694</v>
      </c>
      <c r="C390" s="82" t="str">
        <f t="shared" si="26"/>
        <v>X</v>
      </c>
      <c r="D390" s="82" t="s">
        <v>42</v>
      </c>
      <c r="E390" s="142" t="s">
        <v>3225</v>
      </c>
      <c r="F390" s="83" t="s">
        <v>3237</v>
      </c>
      <c r="G390" s="125" t="s">
        <v>34</v>
      </c>
      <c r="H390" s="133">
        <v>11680</v>
      </c>
      <c r="I390" s="125" t="s">
        <v>557</v>
      </c>
      <c r="J390" s="139">
        <f t="shared" si="27"/>
        <v>11680</v>
      </c>
      <c r="K390" s="139" t="s">
        <v>503</v>
      </c>
      <c r="L390" s="238" t="str">
        <f t="shared" si="28"/>
        <v>Aterro</v>
      </c>
      <c r="M390" s="238" t="s">
        <v>1920</v>
      </c>
      <c r="N390" s="238" t="s">
        <v>1911</v>
      </c>
      <c r="O390" s="114" t="str">
        <f>IFERROR(INDEX(Tabela3[Tipos de Tratamento],MATCH('A3.9.1 copy'!K390,Tabela3[Código],0)),"")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390" s="91"/>
      <c r="Q390" s="91"/>
      <c r="R390" s="93"/>
      <c r="S390">
        <v>2022</v>
      </c>
      <c r="T390" s="261" t="s">
        <v>3535</v>
      </c>
      <c r="U390" s="261" t="s">
        <v>3606</v>
      </c>
      <c r="V390" t="s">
        <v>42</v>
      </c>
    </row>
    <row r="391" spans="1:22" ht="15.75" thickBot="1" x14ac:dyDescent="0.3">
      <c r="A391" s="82" t="s">
        <v>4694</v>
      </c>
      <c r="B391" s="82" t="s">
        <v>4694</v>
      </c>
      <c r="C391" s="82" t="str">
        <f t="shared" si="26"/>
        <v>X</v>
      </c>
      <c r="D391" s="82" t="s">
        <v>42</v>
      </c>
      <c r="E391" s="142" t="s">
        <v>1609</v>
      </c>
      <c r="F391" s="83" t="s">
        <v>3238</v>
      </c>
      <c r="G391" s="125" t="s">
        <v>42</v>
      </c>
      <c r="H391" s="133">
        <v>3340</v>
      </c>
      <c r="I391" s="125" t="s">
        <v>557</v>
      </c>
      <c r="J391" s="139">
        <f t="shared" si="27"/>
        <v>3340</v>
      </c>
      <c r="K391" s="139" t="s">
        <v>483</v>
      </c>
      <c r="L391" s="238" t="str">
        <f t="shared" si="28"/>
        <v>Reciclagem</v>
      </c>
      <c r="M391" s="238" t="s">
        <v>1927</v>
      </c>
      <c r="N391" s="238" t="s">
        <v>1911</v>
      </c>
      <c r="O391" s="114" t="str">
        <f>IFERROR(INDEX(Tabela3[Tipos de Tratamento],MATCH('A3.9.1 copy'!K391,Tabela3[Código],0)),"")</f>
        <v xml:space="preserve">Troca de resíduos com vista a submetê-los a uma das operações enumeradas de R 1 a R 11 </v>
      </c>
      <c r="P391" s="91"/>
      <c r="Q391" s="91"/>
      <c r="R391" s="93"/>
      <c r="S391">
        <v>2022</v>
      </c>
      <c r="T391" s="261" t="s">
        <v>3535</v>
      </c>
      <c r="U391" s="261" t="s">
        <v>3606</v>
      </c>
      <c r="V391" t="s">
        <v>42</v>
      </c>
    </row>
    <row r="392" spans="1:22" ht="15.75" thickBot="1" x14ac:dyDescent="0.3">
      <c r="A392" s="82" t="s">
        <v>4694</v>
      </c>
      <c r="B392" s="82" t="s">
        <v>4694</v>
      </c>
      <c r="C392" s="82" t="str">
        <f t="shared" si="26"/>
        <v>X</v>
      </c>
      <c r="D392" s="82" t="s">
        <v>42</v>
      </c>
      <c r="E392" s="142" t="s">
        <v>3239</v>
      </c>
      <c r="F392" s="83" t="s">
        <v>1658</v>
      </c>
      <c r="G392" s="125" t="s">
        <v>42</v>
      </c>
      <c r="H392" s="133">
        <v>7820</v>
      </c>
      <c r="I392" s="125" t="s">
        <v>557</v>
      </c>
      <c r="J392" s="139">
        <f t="shared" si="27"/>
        <v>7820</v>
      </c>
      <c r="K392" s="139" t="s">
        <v>483</v>
      </c>
      <c r="L392" s="238" t="str">
        <f t="shared" si="28"/>
        <v>Reciclagem</v>
      </c>
      <c r="M392" s="238" t="s">
        <v>1925</v>
      </c>
      <c r="N392" s="238" t="s">
        <v>1922</v>
      </c>
      <c r="O392" s="114" t="str">
        <f>IFERROR(INDEX(Tabela3[Tipos de Tratamento],MATCH('A3.9.1 copy'!K392,Tabela3[Código],0)),"")</f>
        <v xml:space="preserve">Troca de resíduos com vista a submetê-los a uma das operações enumeradas de R 1 a R 11 </v>
      </c>
      <c r="P392" s="91"/>
      <c r="Q392" s="91"/>
      <c r="R392" s="93"/>
      <c r="S392">
        <v>2022</v>
      </c>
      <c r="T392" s="261" t="s">
        <v>3535</v>
      </c>
      <c r="U392" s="261" t="s">
        <v>3606</v>
      </c>
      <c r="V392" t="s">
        <v>42</v>
      </c>
    </row>
    <row r="393" spans="1:22" ht="15.75" thickBot="1" x14ac:dyDescent="0.3">
      <c r="A393" s="82" t="s">
        <v>4694</v>
      </c>
      <c r="B393" s="82" t="s">
        <v>4694</v>
      </c>
      <c r="C393" s="82" t="str">
        <f t="shared" si="26"/>
        <v>X</v>
      </c>
      <c r="D393" s="82" t="s">
        <v>42</v>
      </c>
      <c r="E393" s="142" t="s">
        <v>1882</v>
      </c>
      <c r="F393" s="83" t="s">
        <v>1597</v>
      </c>
      <c r="G393" s="125" t="s">
        <v>42</v>
      </c>
      <c r="H393" s="133">
        <v>5080</v>
      </c>
      <c r="I393" s="125" t="s">
        <v>557</v>
      </c>
      <c r="J393" s="139">
        <f t="shared" si="27"/>
        <v>5080</v>
      </c>
      <c r="K393" s="139" t="s">
        <v>509</v>
      </c>
      <c r="L393" s="238" t="str">
        <f t="shared" si="28"/>
        <v>Aterro</v>
      </c>
      <c r="M393" s="238" t="s">
        <v>1923</v>
      </c>
      <c r="N393" s="238" t="s">
        <v>1922</v>
      </c>
      <c r="O393" s="114" t="str">
        <f>IFERROR(INDEX(Tabela3[Tipos de Tratamento],MATCH('A3.9.1 copy'!K393,Tabela3[Código],0)),"")</f>
        <v>Armazenagem enquanto se aguarda a execução de uma das operações enumeradas de D1 a D14</v>
      </c>
      <c r="P393" s="91"/>
      <c r="Q393" s="91"/>
      <c r="R393" s="93"/>
      <c r="S393">
        <v>2022</v>
      </c>
      <c r="T393" s="261" t="s">
        <v>3535</v>
      </c>
      <c r="U393" s="261" t="s">
        <v>3606</v>
      </c>
      <c r="V393" t="s">
        <v>42</v>
      </c>
    </row>
    <row r="394" spans="1:22" ht="15.75" thickBot="1" x14ac:dyDescent="0.3">
      <c r="A394" s="82" t="s">
        <v>4694</v>
      </c>
      <c r="B394" s="82" t="s">
        <v>4694</v>
      </c>
      <c r="C394" s="82" t="str">
        <f t="shared" si="26"/>
        <v>X</v>
      </c>
      <c r="D394" s="82" t="s">
        <v>42</v>
      </c>
      <c r="E394" s="142" t="s">
        <v>1876</v>
      </c>
      <c r="F394" s="83" t="s">
        <v>1557</v>
      </c>
      <c r="G394" s="125" t="s">
        <v>42</v>
      </c>
      <c r="H394" s="133">
        <v>3820</v>
      </c>
      <c r="I394" s="125" t="s">
        <v>557</v>
      </c>
      <c r="J394" s="139">
        <f t="shared" si="27"/>
        <v>3820</v>
      </c>
      <c r="K394" s="139" t="s">
        <v>483</v>
      </c>
      <c r="L394" s="238" t="str">
        <f t="shared" si="28"/>
        <v>Reciclagem</v>
      </c>
      <c r="M394" s="238" t="s">
        <v>1557</v>
      </c>
      <c r="N394" s="238" t="s">
        <v>1922</v>
      </c>
      <c r="O394" s="114" t="str">
        <f>IFERROR(INDEX(Tabela3[Tipos de Tratamento],MATCH('A3.9.1 copy'!K394,Tabela3[Código],0)),"")</f>
        <v xml:space="preserve">Troca de resíduos com vista a submetê-los a uma das operações enumeradas de R 1 a R 11 </v>
      </c>
      <c r="P394" s="91"/>
      <c r="Q394" s="91"/>
      <c r="R394" s="93"/>
      <c r="S394">
        <v>2022</v>
      </c>
      <c r="T394" s="261" t="s">
        <v>3535</v>
      </c>
      <c r="U394" s="261" t="s">
        <v>3606</v>
      </c>
      <c r="V394" t="s">
        <v>42</v>
      </c>
    </row>
    <row r="395" spans="1:22" ht="15.75" thickBot="1" x14ac:dyDescent="0.3">
      <c r="A395" s="82" t="s">
        <v>4694</v>
      </c>
      <c r="B395" s="82" t="s">
        <v>4694</v>
      </c>
      <c r="C395" s="82" t="str">
        <f t="shared" si="26"/>
        <v>X</v>
      </c>
      <c r="D395" s="82" t="s">
        <v>42</v>
      </c>
      <c r="E395" s="142" t="s">
        <v>3222</v>
      </c>
      <c r="F395" s="83" t="s">
        <v>1557</v>
      </c>
      <c r="G395" s="125" t="s">
        <v>42</v>
      </c>
      <c r="H395" s="133">
        <v>1960</v>
      </c>
      <c r="I395" s="125" t="s">
        <v>557</v>
      </c>
      <c r="J395" s="139">
        <f t="shared" si="27"/>
        <v>1960</v>
      </c>
      <c r="K395" s="139" t="s">
        <v>484</v>
      </c>
      <c r="L395" s="238" t="str">
        <f t="shared" si="28"/>
        <v>Reciclagem</v>
      </c>
      <c r="M395" s="238" t="s">
        <v>1557</v>
      </c>
      <c r="N395" s="238" t="s">
        <v>1922</v>
      </c>
      <c r="O395" s="114" t="str">
        <f>IFERROR(INDEX(Tabela3[Tipos de Tratamento],MATCH('A3.9.1 copy'!K395,Tabela3[Código],0)),"")</f>
        <v>Acumulação de resíduos destinados a uma das operações enumeradas de R1 a R12</v>
      </c>
      <c r="P395" s="91"/>
      <c r="Q395" s="91"/>
      <c r="S395">
        <v>2022</v>
      </c>
      <c r="T395" s="261" t="s">
        <v>3535</v>
      </c>
      <c r="U395" s="261" t="s">
        <v>3606</v>
      </c>
      <c r="V395" t="s">
        <v>42</v>
      </c>
    </row>
    <row r="396" spans="1:22" ht="15.75" thickBot="1" x14ac:dyDescent="0.3">
      <c r="A396" s="82" t="s">
        <v>4694</v>
      </c>
      <c r="B396" s="82" t="s">
        <v>4694</v>
      </c>
      <c r="C396" s="82" t="str">
        <f t="shared" si="26"/>
        <v>X</v>
      </c>
      <c r="D396" s="82" t="s">
        <v>42</v>
      </c>
      <c r="E396" s="142" t="s">
        <v>3222</v>
      </c>
      <c r="F396" s="83" t="s">
        <v>1557</v>
      </c>
      <c r="G396" s="125" t="s">
        <v>42</v>
      </c>
      <c r="H396" s="133">
        <v>7440</v>
      </c>
      <c r="I396" s="125" t="s">
        <v>557</v>
      </c>
      <c r="J396" s="139">
        <f t="shared" si="27"/>
        <v>7440</v>
      </c>
      <c r="K396" s="139" t="s">
        <v>484</v>
      </c>
      <c r="L396" s="238" t="str">
        <f t="shared" si="28"/>
        <v>Reciclagem</v>
      </c>
      <c r="M396" s="238" t="s">
        <v>1557</v>
      </c>
      <c r="N396" s="238" t="s">
        <v>1922</v>
      </c>
      <c r="O396" s="114" t="str">
        <f>IFERROR(INDEX(Tabela3[Tipos de Tratamento],MATCH('A3.9.1 copy'!K396,Tabela3[Código],0)),"")</f>
        <v>Acumulação de resíduos destinados a uma das operações enumeradas de R1 a R12</v>
      </c>
      <c r="P396" s="91"/>
      <c r="Q396" s="91"/>
      <c r="R396" s="93"/>
      <c r="S396">
        <v>2022</v>
      </c>
      <c r="T396" s="261" t="s">
        <v>3535</v>
      </c>
      <c r="U396" s="261" t="s">
        <v>3606</v>
      </c>
      <c r="V396" t="s">
        <v>42</v>
      </c>
    </row>
    <row r="397" spans="1:22" ht="15.75" thickBot="1" x14ac:dyDescent="0.3">
      <c r="A397" s="82" t="s">
        <v>4694</v>
      </c>
      <c r="B397" s="82" t="s">
        <v>4694</v>
      </c>
      <c r="C397" s="82" t="str">
        <f t="shared" si="26"/>
        <v>X</v>
      </c>
      <c r="D397" s="82" t="s">
        <v>42</v>
      </c>
      <c r="E397" s="142" t="s">
        <v>3225</v>
      </c>
      <c r="F397" s="83" t="s">
        <v>3237</v>
      </c>
      <c r="G397" s="125" t="s">
        <v>34</v>
      </c>
      <c r="H397" s="133">
        <v>16720</v>
      </c>
      <c r="I397" s="125" t="s">
        <v>557</v>
      </c>
      <c r="J397" s="139">
        <f t="shared" si="27"/>
        <v>16720</v>
      </c>
      <c r="K397" s="139" t="s">
        <v>503</v>
      </c>
      <c r="L397" s="238" t="str">
        <f t="shared" si="28"/>
        <v>Aterro</v>
      </c>
      <c r="M397" s="238" t="s">
        <v>1920</v>
      </c>
      <c r="N397" s="238" t="s">
        <v>1911</v>
      </c>
      <c r="O397" s="114" t="str">
        <f>IFERROR(INDEX(Tabela3[Tipos de Tratamento],MATCH('A3.9.1 copy'!K397,Tabela3[Código],0)),"")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397" s="91"/>
      <c r="Q397" s="91"/>
      <c r="R397" s="93"/>
      <c r="S397">
        <v>2022</v>
      </c>
      <c r="T397" s="261" t="s">
        <v>3535</v>
      </c>
      <c r="U397" s="261" t="s">
        <v>3606</v>
      </c>
      <c r="V397" t="s">
        <v>42</v>
      </c>
    </row>
    <row r="398" spans="1:22" ht="15.75" thickBot="1" x14ac:dyDescent="0.3">
      <c r="A398" s="82" t="s">
        <v>4694</v>
      </c>
      <c r="B398" s="82" t="s">
        <v>4694</v>
      </c>
      <c r="C398" s="82" t="str">
        <f t="shared" si="26"/>
        <v>X</v>
      </c>
      <c r="D398" s="82" t="s">
        <v>42</v>
      </c>
      <c r="E398" s="142" t="s">
        <v>3240</v>
      </c>
      <c r="F398" s="83" t="s">
        <v>3241</v>
      </c>
      <c r="G398" s="125" t="s">
        <v>34</v>
      </c>
      <c r="H398" s="133">
        <v>120</v>
      </c>
      <c r="I398" s="125" t="s">
        <v>557</v>
      </c>
      <c r="J398" s="139">
        <f t="shared" si="27"/>
        <v>120</v>
      </c>
      <c r="K398" s="139" t="s">
        <v>503</v>
      </c>
      <c r="L398" s="238" t="str">
        <f t="shared" si="28"/>
        <v>Aterro</v>
      </c>
      <c r="M398" s="238" t="s">
        <v>1920</v>
      </c>
      <c r="N398" s="238" t="s">
        <v>1911</v>
      </c>
      <c r="O398" s="114" t="str">
        <f>IFERROR(INDEX(Tabela3[Tipos de Tratamento],MATCH('A3.9.1 copy'!K398,Tabela3[Código],0)),"")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398" s="91"/>
      <c r="Q398" s="91"/>
      <c r="S398">
        <v>2022</v>
      </c>
      <c r="T398" s="261" t="s">
        <v>3535</v>
      </c>
      <c r="U398" s="261" t="s">
        <v>3606</v>
      </c>
      <c r="V398" t="s">
        <v>42</v>
      </c>
    </row>
    <row r="399" spans="1:22" ht="15.75" thickBot="1" x14ac:dyDescent="0.3">
      <c r="A399" s="82" t="s">
        <v>4694</v>
      </c>
      <c r="B399" s="82" t="s">
        <v>4694</v>
      </c>
      <c r="C399" s="82" t="str">
        <f t="shared" si="26"/>
        <v>X</v>
      </c>
      <c r="D399" s="82" t="s">
        <v>42</v>
      </c>
      <c r="E399" s="142" t="s">
        <v>1872</v>
      </c>
      <c r="F399" s="83" t="s">
        <v>3242</v>
      </c>
      <c r="G399" s="125" t="s">
        <v>34</v>
      </c>
      <c r="H399" s="133">
        <v>300</v>
      </c>
      <c r="I399" s="125" t="s">
        <v>557</v>
      </c>
      <c r="J399" s="139">
        <f t="shared" si="27"/>
        <v>300</v>
      </c>
      <c r="K399" s="139" t="s">
        <v>483</v>
      </c>
      <c r="L399" s="238" t="str">
        <f t="shared" si="28"/>
        <v>Reciclagem</v>
      </c>
      <c r="M399" s="238" t="s">
        <v>1920</v>
      </c>
      <c r="N399" s="238" t="s">
        <v>1911</v>
      </c>
      <c r="O399" s="114" t="str">
        <f>IFERROR(INDEX(Tabela3[Tipos de Tratamento],MATCH('A3.9.1 copy'!K399,Tabela3[Código],0)),"")</f>
        <v xml:space="preserve">Troca de resíduos com vista a submetê-los a uma das operações enumeradas de R 1 a R 11 </v>
      </c>
      <c r="P399" s="91"/>
      <c r="Q399" s="91"/>
      <c r="S399">
        <v>2022</v>
      </c>
      <c r="T399" s="261" t="s">
        <v>3535</v>
      </c>
      <c r="U399" s="261" t="s">
        <v>3606</v>
      </c>
      <c r="V399" t="s">
        <v>42</v>
      </c>
    </row>
    <row r="400" spans="1:22" ht="15.75" thickBot="1" x14ac:dyDescent="0.3">
      <c r="A400" s="82" t="s">
        <v>4694</v>
      </c>
      <c r="B400" s="82" t="s">
        <v>4694</v>
      </c>
      <c r="C400" s="82" t="str">
        <f t="shared" si="26"/>
        <v>X</v>
      </c>
      <c r="D400" s="82" t="s">
        <v>42</v>
      </c>
      <c r="E400" s="142" t="s">
        <v>3240</v>
      </c>
      <c r="F400" s="83" t="s">
        <v>3241</v>
      </c>
      <c r="G400" s="125" t="s">
        <v>34</v>
      </c>
      <c r="H400" s="133">
        <v>1240</v>
      </c>
      <c r="I400" s="125" t="s">
        <v>557</v>
      </c>
      <c r="J400" s="139">
        <f t="shared" si="27"/>
        <v>1240</v>
      </c>
      <c r="K400" s="139" t="s">
        <v>503</v>
      </c>
      <c r="L400" s="238" t="str">
        <f t="shared" si="28"/>
        <v>Aterro</v>
      </c>
      <c r="M400" s="238" t="s">
        <v>1920</v>
      </c>
      <c r="N400" s="238" t="s">
        <v>1911</v>
      </c>
      <c r="O400" s="114" t="str">
        <f>IFERROR(INDEX(Tabela3[Tipos de Tratamento],MATCH('A3.9.1 copy'!K400,Tabela3[Código],0)),"")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400" s="91"/>
      <c r="Q400" s="91"/>
      <c r="S400">
        <v>2022</v>
      </c>
      <c r="T400" s="261" t="s">
        <v>3535</v>
      </c>
      <c r="U400" s="261" t="s">
        <v>3606</v>
      </c>
      <c r="V400" t="s">
        <v>42</v>
      </c>
    </row>
    <row r="401" spans="1:22" ht="15.75" thickBot="1" x14ac:dyDescent="0.3">
      <c r="A401" s="82" t="s">
        <v>4694</v>
      </c>
      <c r="B401" s="82" t="s">
        <v>4694</v>
      </c>
      <c r="C401" s="82" t="str">
        <f t="shared" si="26"/>
        <v>X</v>
      </c>
      <c r="D401" s="82" t="s">
        <v>42</v>
      </c>
      <c r="E401" s="142" t="s">
        <v>1609</v>
      </c>
      <c r="F401" s="83" t="s">
        <v>3238</v>
      </c>
      <c r="G401" s="125" t="s">
        <v>42</v>
      </c>
      <c r="H401" s="133">
        <v>3220</v>
      </c>
      <c r="I401" s="125" t="s">
        <v>557</v>
      </c>
      <c r="J401" s="139">
        <f t="shared" si="27"/>
        <v>3220</v>
      </c>
      <c r="K401" s="139" t="s">
        <v>483</v>
      </c>
      <c r="L401" s="238" t="str">
        <f t="shared" si="28"/>
        <v>Reciclagem</v>
      </c>
      <c r="M401" s="238" t="s">
        <v>1927</v>
      </c>
      <c r="N401" s="238" t="s">
        <v>1911</v>
      </c>
      <c r="O401" s="114" t="str">
        <f>IFERROR(INDEX(Tabela3[Tipos de Tratamento],MATCH('A3.9.1 copy'!K401,Tabela3[Código],0)),"")</f>
        <v xml:space="preserve">Troca de resíduos com vista a submetê-los a uma das operações enumeradas de R 1 a R 11 </v>
      </c>
      <c r="P401" s="91"/>
      <c r="Q401" s="91"/>
      <c r="R401" s="93"/>
      <c r="S401">
        <v>2022</v>
      </c>
      <c r="T401" s="261" t="s">
        <v>3535</v>
      </c>
      <c r="U401" s="261" t="s">
        <v>3606</v>
      </c>
      <c r="V401" t="s">
        <v>42</v>
      </c>
    </row>
    <row r="402" spans="1:22" ht="15.75" thickBot="1" x14ac:dyDescent="0.3">
      <c r="A402" s="82" t="s">
        <v>4694</v>
      </c>
      <c r="B402" s="82" t="s">
        <v>4694</v>
      </c>
      <c r="C402" s="82" t="str">
        <f t="shared" si="26"/>
        <v>X</v>
      </c>
      <c r="D402" s="82" t="s">
        <v>42</v>
      </c>
      <c r="E402" s="142" t="s">
        <v>1882</v>
      </c>
      <c r="F402" s="83" t="s">
        <v>1597</v>
      </c>
      <c r="G402" s="125" t="s">
        <v>42</v>
      </c>
      <c r="H402" s="133">
        <v>6340</v>
      </c>
      <c r="I402" s="125" t="s">
        <v>557</v>
      </c>
      <c r="J402" s="139">
        <f t="shared" si="27"/>
        <v>6340</v>
      </c>
      <c r="K402" s="139" t="s">
        <v>509</v>
      </c>
      <c r="L402" s="238" t="str">
        <f t="shared" si="28"/>
        <v>Aterro</v>
      </c>
      <c r="M402" s="238" t="s">
        <v>1923</v>
      </c>
      <c r="N402" s="238" t="s">
        <v>1922</v>
      </c>
      <c r="O402" s="114" t="str">
        <f>IFERROR(INDEX(Tabela3[Tipos de Tratamento],MATCH('A3.9.1 copy'!K402,Tabela3[Código],0)),"")</f>
        <v>Armazenagem enquanto se aguarda a execução de uma das operações enumeradas de D1 a D14</v>
      </c>
      <c r="P402" s="91"/>
      <c r="Q402" s="91"/>
      <c r="R402" s="93"/>
      <c r="S402">
        <v>2022</v>
      </c>
      <c r="T402" s="261" t="s">
        <v>3535</v>
      </c>
      <c r="U402" s="261" t="s">
        <v>3606</v>
      </c>
      <c r="V402" t="s">
        <v>42</v>
      </c>
    </row>
    <row r="403" spans="1:22" ht="15.75" thickBot="1" x14ac:dyDescent="0.3">
      <c r="A403" s="82" t="s">
        <v>4693</v>
      </c>
      <c r="B403" s="82" t="s">
        <v>4693</v>
      </c>
      <c r="C403" s="82" t="str">
        <f t="shared" si="26"/>
        <v>X</v>
      </c>
      <c r="D403" s="82" t="s">
        <v>42</v>
      </c>
      <c r="E403" s="278">
        <v>130208</v>
      </c>
      <c r="F403" s="83" t="s">
        <v>3243</v>
      </c>
      <c r="G403" s="125" t="s">
        <v>34</v>
      </c>
      <c r="H403" s="133">
        <v>16.899999999999999</v>
      </c>
      <c r="I403" s="125" t="s">
        <v>1532</v>
      </c>
      <c r="J403" s="139">
        <f t="shared" si="27"/>
        <v>16900</v>
      </c>
      <c r="K403" s="139" t="s">
        <v>483</v>
      </c>
      <c r="L403" s="238" t="str">
        <f t="shared" si="28"/>
        <v>Reciclagem</v>
      </c>
      <c r="M403" s="238" t="s">
        <v>1921</v>
      </c>
      <c r="N403" s="238" t="s">
        <v>1896</v>
      </c>
      <c r="O403" s="114" t="str">
        <f>IFERROR(INDEX(Tabela3[Tipos de Tratamento],MATCH('A3.9.1 copy'!K403,Tabela3[Código],0)),"")</f>
        <v xml:space="preserve">Troca de resíduos com vista a submetê-los a uma das operações enumeradas de R 1 a R 11 </v>
      </c>
      <c r="P403" s="91" t="s">
        <v>1599</v>
      </c>
      <c r="Q403" s="91" t="s">
        <v>1599</v>
      </c>
      <c r="R403" s="93"/>
      <c r="S403">
        <v>2022</v>
      </c>
      <c r="T403" s="261" t="s">
        <v>3535</v>
      </c>
      <c r="U403" s="261" t="s">
        <v>3606</v>
      </c>
      <c r="V403" t="s">
        <v>42</v>
      </c>
    </row>
    <row r="404" spans="1:22" ht="15.75" thickBot="1" x14ac:dyDescent="0.3">
      <c r="A404" s="82" t="s">
        <v>4693</v>
      </c>
      <c r="B404" s="82" t="s">
        <v>4693</v>
      </c>
      <c r="C404" s="82" t="str">
        <f t="shared" si="26"/>
        <v>X</v>
      </c>
      <c r="D404" s="82" t="s">
        <v>42</v>
      </c>
      <c r="E404" s="278">
        <v>130508</v>
      </c>
      <c r="F404" s="83" t="s">
        <v>3244</v>
      </c>
      <c r="G404" s="125" t="s">
        <v>34</v>
      </c>
      <c r="H404" s="133">
        <v>34.82</v>
      </c>
      <c r="I404" s="125" t="s">
        <v>1532</v>
      </c>
      <c r="J404" s="139">
        <f t="shared" si="27"/>
        <v>34820</v>
      </c>
      <c r="K404" s="139" t="s">
        <v>483</v>
      </c>
      <c r="L404" s="238" t="str">
        <f t="shared" si="28"/>
        <v>Reciclagem</v>
      </c>
      <c r="M404" s="238" t="s">
        <v>1920</v>
      </c>
      <c r="N404" s="238" t="s">
        <v>1911</v>
      </c>
      <c r="O404" s="114" t="str">
        <f>IFERROR(INDEX(Tabela3[Tipos de Tratamento],MATCH('A3.9.1 copy'!K404,Tabela3[Código],0)),"")</f>
        <v xml:space="preserve">Troca de resíduos com vista a submetê-los a uma das operações enumeradas de R 1 a R 11 </v>
      </c>
      <c r="P404" s="91" t="s">
        <v>1599</v>
      </c>
      <c r="Q404" s="91" t="s">
        <v>1599</v>
      </c>
      <c r="R404" s="93"/>
      <c r="S404">
        <v>2022</v>
      </c>
      <c r="T404" s="261" t="s">
        <v>3535</v>
      </c>
      <c r="U404" s="261" t="s">
        <v>3606</v>
      </c>
      <c r="V404" t="s">
        <v>42</v>
      </c>
    </row>
    <row r="405" spans="1:22" ht="15.75" thickBot="1" x14ac:dyDescent="0.3">
      <c r="A405" s="82" t="s">
        <v>4693</v>
      </c>
      <c r="B405" s="82" t="s">
        <v>4693</v>
      </c>
      <c r="C405" s="82" t="str">
        <f t="shared" si="26"/>
        <v>X</v>
      </c>
      <c r="D405" s="82" t="s">
        <v>42</v>
      </c>
      <c r="E405" s="278">
        <v>130508</v>
      </c>
      <c r="F405" s="83" t="s">
        <v>3244</v>
      </c>
      <c r="G405" s="125" t="s">
        <v>34</v>
      </c>
      <c r="H405" s="133">
        <v>13.44</v>
      </c>
      <c r="I405" s="125" t="s">
        <v>1532</v>
      </c>
      <c r="J405" s="139">
        <f t="shared" si="27"/>
        <v>13440</v>
      </c>
      <c r="K405" s="139" t="s">
        <v>493</v>
      </c>
      <c r="L405" s="238" t="str">
        <f t="shared" si="28"/>
        <v>Aterro</v>
      </c>
      <c r="M405" s="238" t="s">
        <v>1920</v>
      </c>
      <c r="N405" s="238" t="s">
        <v>1911</v>
      </c>
      <c r="O405" s="114" t="str">
        <f>IFERROR(INDEX(Tabela3[Tipos de Tratamento],MATCH('A3.9.1 copy'!K405,Tabela3[Código],0)),"")</f>
        <v>Deposição sobre o solo ou no seu interior (por exemplo, aterro sanitário, etc.).</v>
      </c>
      <c r="P405" s="91" t="s">
        <v>3290</v>
      </c>
      <c r="Q405" s="91" t="s">
        <v>1536</v>
      </c>
      <c r="R405" s="93"/>
      <c r="S405">
        <v>2022</v>
      </c>
      <c r="T405" s="261" t="s">
        <v>3535</v>
      </c>
      <c r="U405" s="261" t="s">
        <v>3606</v>
      </c>
      <c r="V405" t="s">
        <v>42</v>
      </c>
    </row>
    <row r="406" spans="1:22" ht="15.75" thickBot="1" x14ac:dyDescent="0.3">
      <c r="A406" s="82" t="s">
        <v>4693</v>
      </c>
      <c r="B406" s="82" t="s">
        <v>4693</v>
      </c>
      <c r="C406" s="82" t="str">
        <f t="shared" si="26"/>
        <v>X</v>
      </c>
      <c r="D406" s="82" t="s">
        <v>42</v>
      </c>
      <c r="E406" s="278">
        <v>130508</v>
      </c>
      <c r="F406" s="83" t="s">
        <v>3244</v>
      </c>
      <c r="G406" s="125" t="s">
        <v>34</v>
      </c>
      <c r="H406" s="133">
        <v>13.5</v>
      </c>
      <c r="I406" s="125" t="s">
        <v>1532</v>
      </c>
      <c r="J406" s="139">
        <f t="shared" si="27"/>
        <v>13500</v>
      </c>
      <c r="K406" s="139" t="s">
        <v>503</v>
      </c>
      <c r="L406" s="238" t="str">
        <f t="shared" si="28"/>
        <v>Aterro</v>
      </c>
      <c r="M406" s="238" t="s">
        <v>1920</v>
      </c>
      <c r="N406" s="238" t="s">
        <v>1911</v>
      </c>
      <c r="O406" s="114" t="str">
        <f>IFERROR(INDEX(Tabela3[Tipos de Tratamento],MATCH('A3.9.1 copy'!K406,Tabela3[Código],0)),"")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406" s="91" t="s">
        <v>3290</v>
      </c>
      <c r="Q406" s="91" t="s">
        <v>1536</v>
      </c>
      <c r="R406" s="93"/>
      <c r="S406">
        <v>2022</v>
      </c>
      <c r="T406" s="261" t="s">
        <v>3535</v>
      </c>
      <c r="U406" s="261" t="s">
        <v>3606</v>
      </c>
      <c r="V406" t="s">
        <v>42</v>
      </c>
    </row>
    <row r="407" spans="1:22" ht="15.75" thickBot="1" x14ac:dyDescent="0.3">
      <c r="A407" s="82" t="s">
        <v>4693</v>
      </c>
      <c r="B407" s="82" t="s">
        <v>4693</v>
      </c>
      <c r="C407" s="82" t="str">
        <f t="shared" si="26"/>
        <v>X</v>
      </c>
      <c r="D407" s="82" t="s">
        <v>42</v>
      </c>
      <c r="E407" s="278">
        <v>140603</v>
      </c>
      <c r="F407" s="83" t="s">
        <v>1591</v>
      </c>
      <c r="G407" s="125" t="s">
        <v>34</v>
      </c>
      <c r="H407" s="133">
        <v>0.4</v>
      </c>
      <c r="I407" s="125" t="s">
        <v>1532</v>
      </c>
      <c r="J407" s="139">
        <f t="shared" si="27"/>
        <v>400</v>
      </c>
      <c r="K407" s="139" t="s">
        <v>483</v>
      </c>
      <c r="L407" s="238" t="str">
        <f t="shared" si="28"/>
        <v>Reciclagem</v>
      </c>
      <c r="M407" s="238" t="s">
        <v>1920</v>
      </c>
      <c r="N407" s="238" t="s">
        <v>1911</v>
      </c>
      <c r="O407" s="114" t="str">
        <f>IFERROR(INDEX(Tabela3[Tipos de Tratamento],MATCH('A3.9.1 copy'!K407,Tabela3[Código],0)),"")</f>
        <v xml:space="preserve">Troca de resíduos com vista a submetê-los a uma das operações enumeradas de R 1 a R 11 </v>
      </c>
      <c r="P407" s="91" t="s">
        <v>3291</v>
      </c>
      <c r="Q407" s="91" t="s">
        <v>3291</v>
      </c>
      <c r="S407">
        <v>2022</v>
      </c>
      <c r="T407" s="261" t="s">
        <v>3535</v>
      </c>
      <c r="U407" s="261" t="s">
        <v>3606</v>
      </c>
      <c r="V407" t="s">
        <v>42</v>
      </c>
    </row>
    <row r="408" spans="1:22" ht="15.75" thickBot="1" x14ac:dyDescent="0.3">
      <c r="A408" s="82" t="s">
        <v>4693</v>
      </c>
      <c r="B408" s="82" t="s">
        <v>4693</v>
      </c>
      <c r="C408" s="82" t="str">
        <f t="shared" si="26"/>
        <v>X</v>
      </c>
      <c r="D408" s="82" t="s">
        <v>42</v>
      </c>
      <c r="E408" s="278">
        <v>150101</v>
      </c>
      <c r="F408" s="83" t="s">
        <v>1537</v>
      </c>
      <c r="G408" s="125" t="s">
        <v>42</v>
      </c>
      <c r="H408" s="133">
        <v>1.55</v>
      </c>
      <c r="I408" s="125" t="s">
        <v>1532</v>
      </c>
      <c r="J408" s="139">
        <f t="shared" si="27"/>
        <v>1550</v>
      </c>
      <c r="K408" s="139" t="s">
        <v>483</v>
      </c>
      <c r="L408" s="238" t="str">
        <f t="shared" si="28"/>
        <v>Reciclagem</v>
      </c>
      <c r="M408" s="238" t="s">
        <v>1923</v>
      </c>
      <c r="N408" s="238" t="s">
        <v>1922</v>
      </c>
      <c r="O408" s="114" t="str">
        <f>IFERROR(INDEX(Tabela3[Tipos de Tratamento],MATCH('A3.9.1 copy'!K408,Tabela3[Código],0)),"")</f>
        <v xml:space="preserve">Troca de resíduos com vista a submetê-los a uma das operações enumeradas de R 1 a R 11 </v>
      </c>
      <c r="P408" s="91" t="s">
        <v>3281</v>
      </c>
      <c r="Q408" s="91" t="s">
        <v>3281</v>
      </c>
      <c r="S408">
        <v>2022</v>
      </c>
      <c r="T408" s="261" t="s">
        <v>3535</v>
      </c>
      <c r="U408" s="261" t="s">
        <v>3606</v>
      </c>
      <c r="V408" t="s">
        <v>42</v>
      </c>
    </row>
    <row r="409" spans="1:22" ht="15.75" thickBot="1" x14ac:dyDescent="0.3">
      <c r="A409" s="82" t="s">
        <v>4693</v>
      </c>
      <c r="B409" s="82" t="s">
        <v>4693</v>
      </c>
      <c r="C409" s="82" t="str">
        <f t="shared" si="26"/>
        <v>X</v>
      </c>
      <c r="D409" s="82" t="s">
        <v>42</v>
      </c>
      <c r="E409" s="278">
        <v>150110</v>
      </c>
      <c r="F409" s="83" t="s">
        <v>3245</v>
      </c>
      <c r="G409" s="125" t="s">
        <v>34</v>
      </c>
      <c r="H409" s="133">
        <v>5.6000000000000001E-2</v>
      </c>
      <c r="I409" s="125" t="s">
        <v>1532</v>
      </c>
      <c r="J409" s="139">
        <f t="shared" si="27"/>
        <v>56</v>
      </c>
      <c r="K409" s="139" t="s">
        <v>483</v>
      </c>
      <c r="L409" s="238" t="str">
        <f t="shared" si="28"/>
        <v>Reciclagem</v>
      </c>
      <c r="M409" s="238" t="s">
        <v>1920</v>
      </c>
      <c r="N409" s="238" t="s">
        <v>1911</v>
      </c>
      <c r="O409" s="114" t="str">
        <f>IFERROR(INDEX(Tabela3[Tipos de Tratamento],MATCH('A3.9.1 copy'!K409,Tabela3[Código],0)),"")</f>
        <v xml:space="preserve">Troca de resíduos com vista a submetê-los a uma das operações enumeradas de R 1 a R 11 </v>
      </c>
      <c r="P409" s="91" t="s">
        <v>3281</v>
      </c>
      <c r="Q409" s="91" t="s">
        <v>3281</v>
      </c>
      <c r="S409">
        <v>2022</v>
      </c>
      <c r="T409" s="261" t="s">
        <v>3535</v>
      </c>
      <c r="U409" s="261" t="s">
        <v>3606</v>
      </c>
      <c r="V409" t="s">
        <v>42</v>
      </c>
    </row>
    <row r="410" spans="1:22" ht="15.75" thickBot="1" x14ac:dyDescent="0.3">
      <c r="A410" s="82" t="s">
        <v>4693</v>
      </c>
      <c r="B410" s="82" t="s">
        <v>4693</v>
      </c>
      <c r="C410" s="82" t="str">
        <f t="shared" si="26"/>
        <v>X</v>
      </c>
      <c r="D410" s="82" t="s">
        <v>42</v>
      </c>
      <c r="E410" s="278">
        <v>150111</v>
      </c>
      <c r="F410" s="83" t="s">
        <v>3246</v>
      </c>
      <c r="G410" s="125" t="s">
        <v>34</v>
      </c>
      <c r="H410" s="133">
        <v>5.1999999999999998E-2</v>
      </c>
      <c r="I410" s="125" t="s">
        <v>1532</v>
      </c>
      <c r="J410" s="139">
        <f t="shared" si="27"/>
        <v>52</v>
      </c>
      <c r="K410" s="139" t="s">
        <v>483</v>
      </c>
      <c r="L410" s="238" t="str">
        <f t="shared" si="28"/>
        <v>Reciclagem</v>
      </c>
      <c r="M410" s="238" t="s">
        <v>1925</v>
      </c>
      <c r="N410" s="238" t="s">
        <v>1922</v>
      </c>
      <c r="O410" s="114" t="str">
        <f>IFERROR(INDEX(Tabela3[Tipos de Tratamento],MATCH('A3.9.1 copy'!K410,Tabela3[Código],0)),"")</f>
        <v xml:space="preserve">Troca de resíduos com vista a submetê-los a uma das operações enumeradas de R 1 a R 11 </v>
      </c>
      <c r="P410" s="91" t="s">
        <v>3281</v>
      </c>
      <c r="Q410" s="91" t="s">
        <v>3281</v>
      </c>
      <c r="R410" s="93"/>
      <c r="S410">
        <v>2022</v>
      </c>
      <c r="T410" s="261" t="s">
        <v>3535</v>
      </c>
      <c r="U410" s="261" t="s">
        <v>3606</v>
      </c>
      <c r="V410" t="s">
        <v>42</v>
      </c>
    </row>
    <row r="411" spans="1:22" ht="15.75" thickBot="1" x14ac:dyDescent="0.3">
      <c r="A411" s="82" t="s">
        <v>4693</v>
      </c>
      <c r="B411" s="82" t="s">
        <v>4693</v>
      </c>
      <c r="C411" s="82" t="str">
        <f t="shared" si="26"/>
        <v>X</v>
      </c>
      <c r="D411" s="82" t="s">
        <v>42</v>
      </c>
      <c r="E411" s="278">
        <v>150202</v>
      </c>
      <c r="F411" s="83" t="s">
        <v>3247</v>
      </c>
      <c r="G411" s="125" t="s">
        <v>34</v>
      </c>
      <c r="H411" s="133">
        <v>2.1920000000000002</v>
      </c>
      <c r="I411" s="125" t="s">
        <v>1532</v>
      </c>
      <c r="J411" s="139">
        <f t="shared" si="27"/>
        <v>2192</v>
      </c>
      <c r="K411" s="139" t="s">
        <v>483</v>
      </c>
      <c r="L411" s="238" t="str">
        <f t="shared" si="28"/>
        <v>Reciclagem</v>
      </c>
      <c r="M411" s="238" t="s">
        <v>1920</v>
      </c>
      <c r="N411" s="238" t="s">
        <v>1911</v>
      </c>
      <c r="O411" s="114" t="str">
        <f>IFERROR(INDEX(Tabela3[Tipos de Tratamento],MATCH('A3.9.1 copy'!K411,Tabela3[Código],0)),"")</f>
        <v xml:space="preserve">Troca de resíduos com vista a submetê-los a uma das operações enumeradas de R 1 a R 11 </v>
      </c>
      <c r="P411" s="91" t="s">
        <v>3281</v>
      </c>
      <c r="Q411" s="91" t="s">
        <v>3281</v>
      </c>
      <c r="S411">
        <v>2022</v>
      </c>
      <c r="T411" s="261" t="s">
        <v>3535</v>
      </c>
      <c r="U411" s="261" t="s">
        <v>3606</v>
      </c>
      <c r="V411" t="s">
        <v>42</v>
      </c>
    </row>
    <row r="412" spans="1:22" ht="15.75" thickBot="1" x14ac:dyDescent="0.3">
      <c r="A412" s="82" t="s">
        <v>4693</v>
      </c>
      <c r="B412" s="82" t="s">
        <v>4693</v>
      </c>
      <c r="C412" s="82" t="str">
        <f t="shared" si="26"/>
        <v>X</v>
      </c>
      <c r="D412" s="82" t="s">
        <v>42</v>
      </c>
      <c r="E412" s="278">
        <v>150203</v>
      </c>
      <c r="F412" s="83" t="s">
        <v>3248</v>
      </c>
      <c r="G412" s="125" t="s">
        <v>42</v>
      </c>
      <c r="H412" s="133">
        <v>0.224</v>
      </c>
      <c r="I412" s="125" t="s">
        <v>1532</v>
      </c>
      <c r="J412" s="139">
        <f t="shared" si="27"/>
        <v>224</v>
      </c>
      <c r="K412" s="139" t="s">
        <v>483</v>
      </c>
      <c r="L412" s="238" t="str">
        <f t="shared" si="28"/>
        <v>Reciclagem</v>
      </c>
      <c r="M412" s="238" t="s">
        <v>1920</v>
      </c>
      <c r="N412" s="238" t="s">
        <v>1911</v>
      </c>
      <c r="O412" s="114" t="str">
        <f>IFERROR(INDEX(Tabela3[Tipos de Tratamento],MATCH('A3.9.1 copy'!K412,Tabela3[Código],0)),"")</f>
        <v xml:space="preserve">Troca de resíduos com vista a submetê-los a uma das operações enumeradas de R 1 a R 11 </v>
      </c>
      <c r="P412" s="91" t="s">
        <v>3281</v>
      </c>
      <c r="Q412" s="91" t="s">
        <v>3281</v>
      </c>
      <c r="S412">
        <v>2022</v>
      </c>
      <c r="T412" s="261" t="s">
        <v>3535</v>
      </c>
      <c r="U412" s="261" t="s">
        <v>3606</v>
      </c>
      <c r="V412" t="s">
        <v>42</v>
      </c>
    </row>
    <row r="413" spans="1:22" ht="15.75" thickBot="1" x14ac:dyDescent="0.3">
      <c r="A413" s="82" t="s">
        <v>4693</v>
      </c>
      <c r="B413" s="82" t="s">
        <v>4693</v>
      </c>
      <c r="C413" s="82" t="str">
        <f t="shared" si="26"/>
        <v>X</v>
      </c>
      <c r="D413" s="82" t="s">
        <v>42</v>
      </c>
      <c r="E413" s="278">
        <v>160103</v>
      </c>
      <c r="F413" s="83" t="s">
        <v>1582</v>
      </c>
      <c r="G413" s="125" t="s">
        <v>42</v>
      </c>
      <c r="H413" s="133">
        <v>17.78</v>
      </c>
      <c r="I413" s="125" t="s">
        <v>1532</v>
      </c>
      <c r="J413" s="139">
        <f t="shared" si="27"/>
        <v>17780</v>
      </c>
      <c r="K413" s="139" t="s">
        <v>483</v>
      </c>
      <c r="L413" s="238" t="str">
        <f t="shared" si="28"/>
        <v>Reciclagem</v>
      </c>
      <c r="M413" s="238" t="s">
        <v>1681</v>
      </c>
      <c r="N413" s="238" t="s">
        <v>1922</v>
      </c>
      <c r="O413" s="114" t="str">
        <f>IFERROR(INDEX(Tabela3[Tipos de Tratamento],MATCH('A3.9.1 copy'!K413,Tabela3[Código],0)),"")</f>
        <v xml:space="preserve">Troca de resíduos com vista a submetê-los a uma das operações enumeradas de R 1 a R 11 </v>
      </c>
      <c r="P413" s="91" t="s">
        <v>3292</v>
      </c>
      <c r="Q413" s="91" t="s">
        <v>3292</v>
      </c>
      <c r="R413" s="93"/>
      <c r="S413">
        <v>2022</v>
      </c>
      <c r="T413" s="261" t="s">
        <v>3535</v>
      </c>
      <c r="U413" s="261" t="s">
        <v>3606</v>
      </c>
      <c r="V413" t="s">
        <v>42</v>
      </c>
    </row>
    <row r="414" spans="1:22" ht="15.75" thickBot="1" x14ac:dyDescent="0.3">
      <c r="A414" s="82" t="s">
        <v>4693</v>
      </c>
      <c r="B414" s="82" t="s">
        <v>4693</v>
      </c>
      <c r="C414" s="82" t="str">
        <f t="shared" si="26"/>
        <v>X</v>
      </c>
      <c r="D414" s="82" t="s">
        <v>42</v>
      </c>
      <c r="E414" s="278">
        <v>160104</v>
      </c>
      <c r="F414" s="83" t="s">
        <v>1584</v>
      </c>
      <c r="G414" s="125" t="s">
        <v>34</v>
      </c>
      <c r="H414" s="133">
        <v>362.9</v>
      </c>
      <c r="I414" s="125" t="s">
        <v>1532</v>
      </c>
      <c r="J414" s="139">
        <f t="shared" si="27"/>
        <v>362900</v>
      </c>
      <c r="K414" s="139" t="s">
        <v>483</v>
      </c>
      <c r="L414" s="238" t="str">
        <f t="shared" si="28"/>
        <v>Reciclagem</v>
      </c>
      <c r="M414" s="238" t="s">
        <v>1926</v>
      </c>
      <c r="N414" s="238" t="s">
        <v>1922</v>
      </c>
      <c r="O414" s="114" t="str">
        <f>IFERROR(INDEX(Tabela3[Tipos de Tratamento],MATCH('A3.9.1 copy'!K414,Tabela3[Código],0)),"")</f>
        <v xml:space="preserve">Troca de resíduos com vista a submetê-los a uma das operações enumeradas de R 1 a R 11 </v>
      </c>
      <c r="P414" s="91" t="s">
        <v>1559</v>
      </c>
      <c r="Q414" s="91" t="s">
        <v>3293</v>
      </c>
      <c r="R414" s="93"/>
      <c r="S414">
        <v>2022</v>
      </c>
      <c r="T414" s="261" t="s">
        <v>3535</v>
      </c>
      <c r="U414" s="261" t="s">
        <v>3606</v>
      </c>
      <c r="V414" t="s">
        <v>42</v>
      </c>
    </row>
    <row r="415" spans="1:22" ht="15.75" thickBot="1" x14ac:dyDescent="0.3">
      <c r="A415" s="82" t="s">
        <v>4693</v>
      </c>
      <c r="B415" s="82" t="s">
        <v>4693</v>
      </c>
      <c r="C415" s="82" t="str">
        <f t="shared" si="26"/>
        <v>X</v>
      </c>
      <c r="D415" s="82" t="s">
        <v>42</v>
      </c>
      <c r="E415" s="278">
        <v>160107</v>
      </c>
      <c r="F415" s="83" t="s">
        <v>1551</v>
      </c>
      <c r="G415" s="125" t="s">
        <v>34</v>
      </c>
      <c r="H415" s="133">
        <v>0.66400000000000003</v>
      </c>
      <c r="I415" s="125" t="s">
        <v>1532</v>
      </c>
      <c r="J415" s="139">
        <f t="shared" si="27"/>
        <v>664</v>
      </c>
      <c r="K415" s="139" t="s">
        <v>483</v>
      </c>
      <c r="L415" s="238" t="str">
        <f t="shared" si="28"/>
        <v>Reciclagem</v>
      </c>
      <c r="M415" s="238" t="s">
        <v>1920</v>
      </c>
      <c r="N415" s="238" t="s">
        <v>1911</v>
      </c>
      <c r="O415" s="114" t="str">
        <f>IFERROR(INDEX(Tabela3[Tipos de Tratamento],MATCH('A3.9.1 copy'!K415,Tabela3[Código],0)),"")</f>
        <v xml:space="preserve">Troca de resíduos com vista a submetê-los a uma das operações enumeradas de R 1 a R 11 </v>
      </c>
      <c r="P415" s="91" t="s">
        <v>3281</v>
      </c>
      <c r="Q415" s="91" t="s">
        <v>3281</v>
      </c>
      <c r="S415">
        <v>2022</v>
      </c>
      <c r="T415" s="261" t="s">
        <v>3535</v>
      </c>
      <c r="U415" s="261" t="s">
        <v>3606</v>
      </c>
      <c r="V415" t="s">
        <v>42</v>
      </c>
    </row>
    <row r="416" spans="1:22" ht="15.75" thickBot="1" x14ac:dyDescent="0.3">
      <c r="A416" s="82" t="s">
        <v>4693</v>
      </c>
      <c r="B416" s="82" t="s">
        <v>4693</v>
      </c>
      <c r="C416" s="82" t="str">
        <f t="shared" si="26"/>
        <v>X</v>
      </c>
      <c r="D416" s="82" t="s">
        <v>42</v>
      </c>
      <c r="E416" s="278">
        <v>160119</v>
      </c>
      <c r="F416" s="83" t="s">
        <v>1560</v>
      </c>
      <c r="G416" s="125" t="s">
        <v>42</v>
      </c>
      <c r="H416" s="133">
        <v>350</v>
      </c>
      <c r="I416" s="125" t="s">
        <v>1532</v>
      </c>
      <c r="J416" s="139">
        <f t="shared" si="27"/>
        <v>350000</v>
      </c>
      <c r="K416" s="139" t="s">
        <v>483</v>
      </c>
      <c r="L416" s="238" t="str">
        <f t="shared" si="28"/>
        <v>Reciclagem</v>
      </c>
      <c r="M416" s="238" t="s">
        <v>1560</v>
      </c>
      <c r="N416" s="238" t="s">
        <v>1922</v>
      </c>
      <c r="O416" s="114" t="str">
        <f>IFERROR(INDEX(Tabela3[Tipos de Tratamento],MATCH('A3.9.1 copy'!K416,Tabela3[Código],0)),"")</f>
        <v xml:space="preserve">Troca de resíduos com vista a submetê-los a uma das operações enumeradas de R 1 a R 11 </v>
      </c>
      <c r="P416" s="91" t="s">
        <v>3281</v>
      </c>
      <c r="Q416" s="91" t="s">
        <v>3281</v>
      </c>
      <c r="R416" s="93"/>
      <c r="S416">
        <v>2022</v>
      </c>
      <c r="T416" s="261" t="s">
        <v>3535</v>
      </c>
      <c r="U416" s="261" t="s">
        <v>3606</v>
      </c>
      <c r="V416" t="s">
        <v>42</v>
      </c>
    </row>
    <row r="417" spans="1:22" ht="15.75" thickBot="1" x14ac:dyDescent="0.3">
      <c r="A417" s="82" t="s">
        <v>4693</v>
      </c>
      <c r="B417" s="82" t="s">
        <v>4693</v>
      </c>
      <c r="C417" s="82" t="str">
        <f t="shared" si="26"/>
        <v>X</v>
      </c>
      <c r="D417" s="82" t="s">
        <v>42</v>
      </c>
      <c r="E417" s="278">
        <v>160120</v>
      </c>
      <c r="F417" s="83" t="s">
        <v>1561</v>
      </c>
      <c r="G417" s="125" t="s">
        <v>42</v>
      </c>
      <c r="H417" s="133">
        <v>6.66</v>
      </c>
      <c r="I417" s="125" t="s">
        <v>1532</v>
      </c>
      <c r="J417" s="139">
        <f t="shared" si="27"/>
        <v>6660</v>
      </c>
      <c r="K417" s="139" t="s">
        <v>483</v>
      </c>
      <c r="L417" s="238" t="str">
        <f t="shared" si="28"/>
        <v>Reciclagem</v>
      </c>
      <c r="M417" s="238" t="s">
        <v>1561</v>
      </c>
      <c r="N417" s="238" t="s">
        <v>1922</v>
      </c>
      <c r="O417" s="114" t="str">
        <f>IFERROR(INDEX(Tabela3[Tipos de Tratamento],MATCH('A3.9.1 copy'!K417,Tabela3[Código],0)),"")</f>
        <v xml:space="preserve">Troca de resíduos com vista a submetê-los a uma das operações enumeradas de R 1 a R 11 </v>
      </c>
      <c r="P417" s="91" t="s">
        <v>3236</v>
      </c>
      <c r="Q417" s="91" t="s">
        <v>3236</v>
      </c>
      <c r="R417" s="93"/>
      <c r="S417">
        <v>2022</v>
      </c>
      <c r="T417" s="261" t="s">
        <v>3535</v>
      </c>
      <c r="U417" s="261" t="s">
        <v>3606</v>
      </c>
      <c r="V417" t="s">
        <v>42</v>
      </c>
    </row>
    <row r="418" spans="1:22" ht="15.75" thickBot="1" x14ac:dyDescent="0.3">
      <c r="A418" s="82" t="s">
        <v>4693</v>
      </c>
      <c r="B418" s="82" t="s">
        <v>4693</v>
      </c>
      <c r="C418" s="82" t="str">
        <f t="shared" si="26"/>
        <v>X</v>
      </c>
      <c r="D418" s="82" t="s">
        <v>42</v>
      </c>
      <c r="E418" s="278">
        <v>160121</v>
      </c>
      <c r="F418" s="83" t="s">
        <v>3249</v>
      </c>
      <c r="G418" s="125" t="s">
        <v>34</v>
      </c>
      <c r="H418" s="133">
        <v>0.63800000000000001</v>
      </c>
      <c r="I418" s="125" t="s">
        <v>1532</v>
      </c>
      <c r="J418" s="139">
        <f t="shared" si="27"/>
        <v>638</v>
      </c>
      <c r="K418" s="139" t="s">
        <v>509</v>
      </c>
      <c r="L418" s="238" t="str">
        <f t="shared" si="28"/>
        <v>Aterro</v>
      </c>
      <c r="M418" s="238" t="s">
        <v>1920</v>
      </c>
      <c r="N418" s="238" t="s">
        <v>1911</v>
      </c>
      <c r="O418" s="114" t="str">
        <f>IFERROR(INDEX(Tabela3[Tipos de Tratamento],MATCH('A3.9.1 copy'!K418,Tabela3[Código],0)),"")</f>
        <v>Armazenagem enquanto se aguarda a execução de uma das operações enumeradas de D1 a D14</v>
      </c>
      <c r="P418" s="91" t="s">
        <v>3281</v>
      </c>
      <c r="Q418" s="91" t="s">
        <v>3281</v>
      </c>
      <c r="S418">
        <v>2022</v>
      </c>
      <c r="T418" s="261" t="s">
        <v>3535</v>
      </c>
      <c r="U418" s="261" t="s">
        <v>3606</v>
      </c>
      <c r="V418" t="s">
        <v>42</v>
      </c>
    </row>
    <row r="419" spans="1:22" ht="15.75" thickBot="1" x14ac:dyDescent="0.3">
      <c r="A419" s="82" t="s">
        <v>4693</v>
      </c>
      <c r="B419" s="82" t="s">
        <v>4693</v>
      </c>
      <c r="C419" s="82" t="str">
        <f t="shared" si="26"/>
        <v>X</v>
      </c>
      <c r="D419" s="82" t="s">
        <v>42</v>
      </c>
      <c r="E419" s="278">
        <v>160122</v>
      </c>
      <c r="F419" s="83" t="s">
        <v>3250</v>
      </c>
      <c r="G419" s="125" t="s">
        <v>34</v>
      </c>
      <c r="H419" s="133">
        <v>0.49</v>
      </c>
      <c r="I419" s="125" t="s">
        <v>1532</v>
      </c>
      <c r="J419" s="139">
        <f t="shared" si="27"/>
        <v>490</v>
      </c>
      <c r="K419" s="139" t="s">
        <v>483</v>
      </c>
      <c r="L419" s="238" t="str">
        <f t="shared" si="28"/>
        <v>Reciclagem</v>
      </c>
      <c r="M419" s="238" t="s">
        <v>1557</v>
      </c>
      <c r="N419" s="238" t="s">
        <v>1922</v>
      </c>
      <c r="O419" s="114" t="str">
        <f>IFERROR(INDEX(Tabela3[Tipos de Tratamento],MATCH('A3.9.1 copy'!K419,Tabela3[Código],0)),"")</f>
        <v xml:space="preserve">Troca de resíduos com vista a submetê-los a uma das operações enumeradas de R 1 a R 11 </v>
      </c>
      <c r="P419" s="91" t="s">
        <v>3281</v>
      </c>
      <c r="Q419" s="91" t="s">
        <v>3281</v>
      </c>
      <c r="S419">
        <v>2022</v>
      </c>
      <c r="T419" s="261" t="s">
        <v>3535</v>
      </c>
      <c r="U419" s="261" t="s">
        <v>3606</v>
      </c>
      <c r="V419" t="s">
        <v>42</v>
      </c>
    </row>
    <row r="420" spans="1:22" ht="15.75" thickBot="1" x14ac:dyDescent="0.3">
      <c r="A420" s="82" t="s">
        <v>4693</v>
      </c>
      <c r="B420" s="82" t="s">
        <v>4693</v>
      </c>
      <c r="C420" s="82" t="str">
        <f t="shared" si="26"/>
        <v>X</v>
      </c>
      <c r="D420" s="82" t="s">
        <v>42</v>
      </c>
      <c r="E420" s="278">
        <v>160199</v>
      </c>
      <c r="F420" s="83" t="s">
        <v>3251</v>
      </c>
      <c r="G420" s="125" t="s">
        <v>34</v>
      </c>
      <c r="H420" s="133">
        <v>0.38</v>
      </c>
      <c r="I420" s="125" t="s">
        <v>1532</v>
      </c>
      <c r="J420" s="139">
        <f t="shared" si="27"/>
        <v>380</v>
      </c>
      <c r="K420" s="139" t="s">
        <v>484</v>
      </c>
      <c r="L420" s="238" t="str">
        <f t="shared" si="28"/>
        <v>Reciclagem</v>
      </c>
      <c r="M420" s="238" t="s">
        <v>1920</v>
      </c>
      <c r="N420" s="238" t="s">
        <v>1911</v>
      </c>
      <c r="O420" s="114" t="str">
        <f>IFERROR(INDEX(Tabela3[Tipos de Tratamento],MATCH('A3.9.1 copy'!K420,Tabela3[Código],0)),"")</f>
        <v>Acumulação de resíduos destinados a uma das operações enumeradas de R1 a R12</v>
      </c>
      <c r="P420" s="91" t="s">
        <v>3281</v>
      </c>
      <c r="Q420" s="91" t="s">
        <v>3281</v>
      </c>
      <c r="S420">
        <v>2022</v>
      </c>
      <c r="T420" s="261" t="s">
        <v>3535</v>
      </c>
      <c r="U420" s="261" t="s">
        <v>3606</v>
      </c>
      <c r="V420" t="s">
        <v>42</v>
      </c>
    </row>
    <row r="421" spans="1:22" ht="15.75" thickBot="1" x14ac:dyDescent="0.3">
      <c r="A421" s="82" t="s">
        <v>4693</v>
      </c>
      <c r="B421" s="82" t="s">
        <v>4693</v>
      </c>
      <c r="C421" s="82" t="str">
        <f t="shared" si="26"/>
        <v>X</v>
      </c>
      <c r="D421" s="82" t="s">
        <v>42</v>
      </c>
      <c r="E421" s="278">
        <v>160214</v>
      </c>
      <c r="F421" s="83" t="s">
        <v>3252</v>
      </c>
      <c r="G421" s="125" t="s">
        <v>34</v>
      </c>
      <c r="H421" s="133">
        <v>7.1999999999999995E-2</v>
      </c>
      <c r="I421" s="125" t="s">
        <v>1532</v>
      </c>
      <c r="J421" s="139">
        <f t="shared" si="27"/>
        <v>72</v>
      </c>
      <c r="K421" s="139" t="s">
        <v>483</v>
      </c>
      <c r="L421" s="238" t="str">
        <f t="shared" si="28"/>
        <v>Reciclagem</v>
      </c>
      <c r="M421" s="238" t="s">
        <v>1920</v>
      </c>
      <c r="N421" s="238" t="s">
        <v>1911</v>
      </c>
      <c r="O421" s="114" t="str">
        <f>IFERROR(INDEX(Tabela3[Tipos de Tratamento],MATCH('A3.9.1 copy'!K421,Tabela3[Código],0)),"")</f>
        <v xml:space="preserve">Troca de resíduos com vista a submetê-los a uma das operações enumeradas de R 1 a R 11 </v>
      </c>
      <c r="P421" s="91" t="s">
        <v>3281</v>
      </c>
      <c r="Q421" s="91" t="s">
        <v>3281</v>
      </c>
      <c r="S421">
        <v>2022</v>
      </c>
      <c r="T421" s="261" t="s">
        <v>3535</v>
      </c>
      <c r="U421" s="261" t="s">
        <v>3606</v>
      </c>
      <c r="V421" t="s">
        <v>42</v>
      </c>
    </row>
    <row r="422" spans="1:22" ht="15.75" thickBot="1" x14ac:dyDescent="0.3">
      <c r="A422" s="82" t="s">
        <v>4693</v>
      </c>
      <c r="B422" s="82" t="s">
        <v>4693</v>
      </c>
      <c r="C422" s="82" t="str">
        <f t="shared" si="26"/>
        <v>X</v>
      </c>
      <c r="D422" s="82" t="s">
        <v>42</v>
      </c>
      <c r="E422" s="278">
        <v>160216</v>
      </c>
      <c r="F422" s="83" t="s">
        <v>3253</v>
      </c>
      <c r="G422" s="125" t="s">
        <v>34</v>
      </c>
      <c r="H422" s="133">
        <v>0.13445799999999999</v>
      </c>
      <c r="I422" s="125" t="s">
        <v>1532</v>
      </c>
      <c r="J422" s="139">
        <f t="shared" si="27"/>
        <v>134.458</v>
      </c>
      <c r="K422" s="139" t="s">
        <v>483</v>
      </c>
      <c r="L422" s="238" t="str">
        <f t="shared" si="28"/>
        <v>Reciclagem</v>
      </c>
      <c r="M422" s="238" t="s">
        <v>1920</v>
      </c>
      <c r="N422" s="238" t="s">
        <v>1911</v>
      </c>
      <c r="O422" s="114" t="str">
        <f>IFERROR(INDEX(Tabela3[Tipos de Tratamento],MATCH('A3.9.1 copy'!K422,Tabela3[Código],0)),"")</f>
        <v xml:space="preserve">Troca de resíduos com vista a submetê-los a uma das operações enumeradas de R 1 a R 11 </v>
      </c>
      <c r="P422" s="91" t="s">
        <v>3294</v>
      </c>
      <c r="Q422" s="91" t="s">
        <v>3294</v>
      </c>
      <c r="S422">
        <v>2022</v>
      </c>
      <c r="T422" s="261" t="s">
        <v>3535</v>
      </c>
      <c r="U422" s="261" t="s">
        <v>3606</v>
      </c>
      <c r="V422" t="s">
        <v>42</v>
      </c>
    </row>
    <row r="423" spans="1:22" ht="15.75" thickBot="1" x14ac:dyDescent="0.3">
      <c r="A423" s="82" t="s">
        <v>4693</v>
      </c>
      <c r="B423" s="82" t="s">
        <v>4693</v>
      </c>
      <c r="C423" s="82" t="str">
        <f t="shared" si="26"/>
        <v>X</v>
      </c>
      <c r="D423" s="82" t="s">
        <v>42</v>
      </c>
      <c r="E423" s="278">
        <v>160601</v>
      </c>
      <c r="F423" s="83" t="s">
        <v>3254</v>
      </c>
      <c r="G423" s="125" t="s">
        <v>34</v>
      </c>
      <c r="H423" s="133">
        <v>5.7329999999999997</v>
      </c>
      <c r="I423" s="125" t="s">
        <v>1532</v>
      </c>
      <c r="J423" s="139">
        <f t="shared" si="27"/>
        <v>5733</v>
      </c>
      <c r="K423" s="139" t="s">
        <v>483</v>
      </c>
      <c r="L423" s="238" t="str">
        <f t="shared" si="28"/>
        <v>Reciclagem</v>
      </c>
      <c r="M423" s="238" t="s">
        <v>1653</v>
      </c>
      <c r="N423" s="238" t="s">
        <v>1896</v>
      </c>
      <c r="O423" s="114" t="str">
        <f>IFERROR(INDEX(Tabela3[Tipos de Tratamento],MATCH('A3.9.1 copy'!K423,Tabela3[Código],0)),"")</f>
        <v xml:space="preserve">Troca de resíduos com vista a submetê-los a uma das operações enumeradas de R 1 a R 11 </v>
      </c>
      <c r="P423" s="91" t="s">
        <v>3295</v>
      </c>
      <c r="Q423" s="91" t="s">
        <v>3295</v>
      </c>
      <c r="R423" s="93"/>
      <c r="S423">
        <v>2022</v>
      </c>
      <c r="T423" s="261" t="s">
        <v>3535</v>
      </c>
      <c r="U423" s="261" t="s">
        <v>3606</v>
      </c>
      <c r="V423" t="s">
        <v>42</v>
      </c>
    </row>
    <row r="424" spans="1:22" ht="15.75" thickBot="1" x14ac:dyDescent="0.3">
      <c r="A424" s="82" t="s">
        <v>4693</v>
      </c>
      <c r="B424" s="82" t="s">
        <v>4693</v>
      </c>
      <c r="C424" s="82" t="str">
        <f t="shared" si="26"/>
        <v>X</v>
      </c>
      <c r="D424" s="82" t="s">
        <v>42</v>
      </c>
      <c r="E424" s="278">
        <v>180101</v>
      </c>
      <c r="F424" s="83" t="s">
        <v>3255</v>
      </c>
      <c r="G424" s="125" t="s">
        <v>34</v>
      </c>
      <c r="H424" s="133">
        <v>3.6749999999999999E-3</v>
      </c>
      <c r="I424" s="125" t="s">
        <v>1532</v>
      </c>
      <c r="J424" s="139">
        <f t="shared" si="27"/>
        <v>3.6749999999999998</v>
      </c>
      <c r="K424" s="139" t="s">
        <v>509</v>
      </c>
      <c r="L424" s="238" t="str">
        <f t="shared" si="28"/>
        <v>Aterro</v>
      </c>
      <c r="M424" s="238" t="s">
        <v>1920</v>
      </c>
      <c r="N424" s="238" t="s">
        <v>1911</v>
      </c>
      <c r="O424" s="114" t="str">
        <f>IFERROR(INDEX(Tabela3[Tipos de Tratamento],MATCH('A3.9.1 copy'!K424,Tabela3[Código],0)),"")</f>
        <v>Armazenagem enquanto se aguarda a execução de uma das operações enumeradas de D1 a D14</v>
      </c>
      <c r="P424" s="91" t="s">
        <v>3296</v>
      </c>
      <c r="Q424" s="91" t="s">
        <v>3296</v>
      </c>
      <c r="R424" s="93"/>
      <c r="S424">
        <v>2022</v>
      </c>
      <c r="T424" s="261" t="s">
        <v>3535</v>
      </c>
      <c r="U424" s="261" t="s">
        <v>3606</v>
      </c>
      <c r="V424" t="s">
        <v>42</v>
      </c>
    </row>
    <row r="425" spans="1:22" ht="15.75" thickBot="1" x14ac:dyDescent="0.3">
      <c r="A425" s="82" t="s">
        <v>4693</v>
      </c>
      <c r="B425" s="82" t="s">
        <v>4693</v>
      </c>
      <c r="C425" s="82" t="str">
        <f t="shared" si="26"/>
        <v>X</v>
      </c>
      <c r="D425" s="82" t="s">
        <v>42</v>
      </c>
      <c r="E425" s="278">
        <v>180103</v>
      </c>
      <c r="F425" s="83" t="s">
        <v>3256</v>
      </c>
      <c r="G425" s="125" t="s">
        <v>34</v>
      </c>
      <c r="H425" s="133">
        <v>2.1000000000000001E-2</v>
      </c>
      <c r="I425" s="125" t="s">
        <v>1532</v>
      </c>
      <c r="J425" s="139">
        <f t="shared" si="27"/>
        <v>21</v>
      </c>
      <c r="K425" s="139" t="s">
        <v>503</v>
      </c>
      <c r="L425" s="238" t="str">
        <f t="shared" si="28"/>
        <v>Aterro</v>
      </c>
      <c r="M425" s="238" t="s">
        <v>1920</v>
      </c>
      <c r="N425" s="238" t="s">
        <v>1911</v>
      </c>
      <c r="O425" s="114" t="str">
        <f>IFERROR(INDEX(Tabela3[Tipos de Tratamento],MATCH('A3.9.1 copy'!K425,Tabela3[Código],0)),"")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425" s="91" t="s">
        <v>3296</v>
      </c>
      <c r="Q425" s="91" t="s">
        <v>3296</v>
      </c>
      <c r="R425" s="93"/>
      <c r="S425">
        <v>2022</v>
      </c>
      <c r="T425" s="261" t="s">
        <v>3535</v>
      </c>
      <c r="U425" s="261" t="s">
        <v>3606</v>
      </c>
      <c r="V425" t="s">
        <v>42</v>
      </c>
    </row>
    <row r="426" spans="1:22" ht="15.75" thickBot="1" x14ac:dyDescent="0.3">
      <c r="A426" s="82" t="s">
        <v>4693</v>
      </c>
      <c r="B426" s="82" t="s">
        <v>4693</v>
      </c>
      <c r="C426" s="82" t="str">
        <f t="shared" si="26"/>
        <v>X</v>
      </c>
      <c r="D426" s="82" t="s">
        <v>42</v>
      </c>
      <c r="E426" s="278">
        <v>200140</v>
      </c>
      <c r="F426" s="83" t="s">
        <v>1658</v>
      </c>
      <c r="G426" s="125" t="s">
        <v>42</v>
      </c>
      <c r="H426" s="133">
        <v>24.7</v>
      </c>
      <c r="I426" s="125" t="s">
        <v>1532</v>
      </c>
      <c r="J426" s="139">
        <f t="shared" si="27"/>
        <v>24700</v>
      </c>
      <c r="K426" s="139" t="s">
        <v>483</v>
      </c>
      <c r="L426" s="238" t="str">
        <f t="shared" si="28"/>
        <v>Reciclagem</v>
      </c>
      <c r="M426" s="238" t="s">
        <v>1925</v>
      </c>
      <c r="N426" s="238" t="s">
        <v>1922</v>
      </c>
      <c r="O426" s="114" t="str">
        <f>IFERROR(INDEX(Tabela3[Tipos de Tratamento],MATCH('A3.9.1 copy'!K426,Tabela3[Código],0)),"")</f>
        <v xml:space="preserve">Troca de resíduos com vista a submetê-los a uma das operações enumeradas de R 1 a R 11 </v>
      </c>
      <c r="P426" s="91" t="s">
        <v>3281</v>
      </c>
      <c r="Q426" s="91" t="s">
        <v>3281</v>
      </c>
      <c r="R426" s="93"/>
      <c r="S426">
        <v>2022</v>
      </c>
      <c r="T426" s="261" t="s">
        <v>3535</v>
      </c>
      <c r="U426" s="261" t="s">
        <v>3606</v>
      </c>
      <c r="V426" t="s">
        <v>42</v>
      </c>
    </row>
    <row r="427" spans="1:22" ht="15.75" thickBot="1" x14ac:dyDescent="0.3">
      <c r="A427" s="82" t="s">
        <v>4693</v>
      </c>
      <c r="B427" s="82" t="s">
        <v>4693</v>
      </c>
      <c r="C427" s="82" t="str">
        <f t="shared" si="26"/>
        <v>X</v>
      </c>
      <c r="D427" s="82" t="s">
        <v>42</v>
      </c>
      <c r="E427" s="278">
        <v>200301</v>
      </c>
      <c r="F427" s="83" t="s">
        <v>3257</v>
      </c>
      <c r="G427" s="125" t="s">
        <v>42</v>
      </c>
      <c r="H427" s="133">
        <v>18.25</v>
      </c>
      <c r="I427" s="125" t="s">
        <v>1532</v>
      </c>
      <c r="J427" s="139">
        <f t="shared" si="27"/>
        <v>18250</v>
      </c>
      <c r="K427" s="139" t="s">
        <v>483</v>
      </c>
      <c r="L427" s="238" t="str">
        <f t="shared" si="28"/>
        <v>Reciclagem</v>
      </c>
      <c r="M427" s="238" t="s">
        <v>1927</v>
      </c>
      <c r="N427" s="238" t="s">
        <v>1911</v>
      </c>
      <c r="O427" s="114" t="str">
        <f>IFERROR(INDEX(Tabela3[Tipos de Tratamento],MATCH('A3.9.1 copy'!K427,Tabela3[Código],0)),"")</f>
        <v xml:space="preserve">Troca de resíduos com vista a submetê-los a uma das operações enumeradas de R 1 a R 11 </v>
      </c>
      <c r="P427" s="91" t="s">
        <v>3281</v>
      </c>
      <c r="Q427" s="91" t="s">
        <v>3281</v>
      </c>
      <c r="R427" s="93"/>
      <c r="S427">
        <v>2022</v>
      </c>
      <c r="T427" s="261" t="s">
        <v>3535</v>
      </c>
      <c r="U427" s="261" t="s">
        <v>3606</v>
      </c>
      <c r="V427" t="s">
        <v>42</v>
      </c>
    </row>
    <row r="428" spans="1:22" ht="15.75" thickBot="1" x14ac:dyDescent="0.3">
      <c r="A428" s="82" t="s">
        <v>4693</v>
      </c>
      <c r="B428" s="82" t="s">
        <v>4693</v>
      </c>
      <c r="C428" s="82" t="str">
        <f t="shared" si="26"/>
        <v>X</v>
      </c>
      <c r="D428" s="82" t="s">
        <v>42</v>
      </c>
      <c r="E428" s="278">
        <v>202121</v>
      </c>
      <c r="F428" s="83" t="s">
        <v>3258</v>
      </c>
      <c r="G428" s="125" t="s">
        <v>34</v>
      </c>
      <c r="H428" s="133">
        <v>4.2000000000000003E-2</v>
      </c>
      <c r="I428" s="125" t="s">
        <v>1532</v>
      </c>
      <c r="J428" s="139">
        <f t="shared" si="27"/>
        <v>42</v>
      </c>
      <c r="K428" s="139" t="s">
        <v>483</v>
      </c>
      <c r="L428" s="238" t="str">
        <f t="shared" si="28"/>
        <v>Reciclagem</v>
      </c>
      <c r="M428" s="238" t="s">
        <v>1920</v>
      </c>
      <c r="N428" s="238" t="s">
        <v>1911</v>
      </c>
      <c r="O428" s="114" t="str">
        <f>IFERROR(INDEX(Tabela3[Tipos de Tratamento],MATCH('A3.9.1 copy'!K428,Tabela3[Código],0)),"")</f>
        <v xml:space="preserve">Troca de resíduos com vista a submetê-los a uma das operações enumeradas de R 1 a R 11 </v>
      </c>
      <c r="P428" s="91" t="s">
        <v>3281</v>
      </c>
      <c r="Q428" s="91" t="s">
        <v>3281</v>
      </c>
      <c r="R428" s="93"/>
      <c r="S428">
        <v>2022</v>
      </c>
      <c r="T428" s="261" t="s">
        <v>3535</v>
      </c>
      <c r="U428" s="261" t="s">
        <v>3606</v>
      </c>
      <c r="V428" t="s">
        <v>42</v>
      </c>
    </row>
    <row r="429" spans="1:22" ht="15.75" thickBot="1" x14ac:dyDescent="0.3">
      <c r="A429" s="82" t="s">
        <v>4709</v>
      </c>
      <c r="B429" s="82" t="s">
        <v>4709</v>
      </c>
      <c r="C429" s="82" t="str">
        <f t="shared" si="26"/>
        <v>X</v>
      </c>
      <c r="D429" s="82" t="s">
        <v>42</v>
      </c>
      <c r="E429" s="142" t="s">
        <v>1588</v>
      </c>
      <c r="F429" s="83" t="s">
        <v>1589</v>
      </c>
      <c r="G429" s="125" t="s">
        <v>42</v>
      </c>
      <c r="H429" s="327">
        <v>0</v>
      </c>
      <c r="I429" s="125" t="s">
        <v>557</v>
      </c>
      <c r="J429" s="139">
        <f t="shared" si="27"/>
        <v>0</v>
      </c>
      <c r="K429" s="139" t="s">
        <v>484</v>
      </c>
      <c r="L429" s="238" t="str">
        <f t="shared" si="28"/>
        <v>Reciclagem</v>
      </c>
      <c r="M429" s="238" t="s">
        <v>1920</v>
      </c>
      <c r="N429" s="238" t="s">
        <v>1911</v>
      </c>
      <c r="O429" s="114" t="str">
        <f>IFERROR(INDEX(Tabela3[Tipos de Tratamento],MATCH('A3.9.1 copy'!K429,Tabela3[Código],0)),"")</f>
        <v>Acumulação de resíduos destinados a uma das operações enumeradas de R1 a R12</v>
      </c>
      <c r="P429" s="91"/>
      <c r="Q429" s="91"/>
      <c r="S429">
        <v>2022</v>
      </c>
      <c r="T429" s="261" t="s">
        <v>3535</v>
      </c>
      <c r="U429" s="261" t="s">
        <v>3606</v>
      </c>
      <c r="V429" t="s">
        <v>42</v>
      </c>
    </row>
    <row r="430" spans="1:22" ht="15.75" thickBot="1" x14ac:dyDescent="0.3">
      <c r="A430" s="82" t="s">
        <v>4709</v>
      </c>
      <c r="B430" s="82" t="s">
        <v>4709</v>
      </c>
      <c r="C430" s="82" t="str">
        <f t="shared" si="26"/>
        <v>X</v>
      </c>
      <c r="D430" s="82" t="s">
        <v>42</v>
      </c>
      <c r="E430" s="142">
        <v>200101</v>
      </c>
      <c r="F430" s="83" t="s">
        <v>1597</v>
      </c>
      <c r="G430" s="125" t="s">
        <v>42</v>
      </c>
      <c r="H430" s="327">
        <v>0</v>
      </c>
      <c r="I430" s="125" t="s">
        <v>557</v>
      </c>
      <c r="J430" s="139">
        <f t="shared" si="27"/>
        <v>0</v>
      </c>
      <c r="K430" s="139" t="s">
        <v>484</v>
      </c>
      <c r="L430" s="238" t="str">
        <f t="shared" si="28"/>
        <v>Reciclagem</v>
      </c>
      <c r="M430" s="238" t="s">
        <v>1923</v>
      </c>
      <c r="N430" s="238" t="s">
        <v>1922</v>
      </c>
      <c r="O430" s="114" t="str">
        <f>IFERROR(INDEX(Tabela3[Tipos de Tratamento],MATCH('A3.9.1 copy'!K430,Tabela3[Código],0)),"")</f>
        <v>Acumulação de resíduos destinados a uma das operações enumeradas de R1 a R12</v>
      </c>
      <c r="P430" s="91"/>
      <c r="Q430" s="91"/>
      <c r="S430">
        <v>2022</v>
      </c>
      <c r="T430" s="261" t="s">
        <v>3535</v>
      </c>
      <c r="U430" s="261" t="s">
        <v>3606</v>
      </c>
      <c r="V430" t="s">
        <v>42</v>
      </c>
    </row>
    <row r="431" spans="1:22" ht="15.75" thickBot="1" x14ac:dyDescent="0.3">
      <c r="A431" s="82" t="s">
        <v>4709</v>
      </c>
      <c r="B431" s="82" t="s">
        <v>4709</v>
      </c>
      <c r="C431" s="82" t="str">
        <f t="shared" si="26"/>
        <v>X</v>
      </c>
      <c r="D431" s="82" t="s">
        <v>42</v>
      </c>
      <c r="E431" s="142">
        <v>200136</v>
      </c>
      <c r="F431" s="83" t="s">
        <v>1568</v>
      </c>
      <c r="G431" s="125" t="s">
        <v>42</v>
      </c>
      <c r="H431" s="327">
        <v>0</v>
      </c>
      <c r="I431" s="125" t="s">
        <v>557</v>
      </c>
      <c r="J431" s="139">
        <f t="shared" si="27"/>
        <v>0</v>
      </c>
      <c r="K431" s="139" t="s">
        <v>484</v>
      </c>
      <c r="L431" s="238" t="str">
        <f t="shared" si="28"/>
        <v>Reciclagem</v>
      </c>
      <c r="M431" s="238" t="s">
        <v>1928</v>
      </c>
      <c r="N431" s="238" t="s">
        <v>1896</v>
      </c>
      <c r="O431" s="114" t="str">
        <f>IFERROR(INDEX(Tabela3[Tipos de Tratamento],MATCH('A3.9.1 copy'!K431,Tabela3[Código],0)),"")</f>
        <v>Acumulação de resíduos destinados a uma das operações enumeradas de R1 a R12</v>
      </c>
      <c r="P431" s="91"/>
      <c r="Q431" s="91"/>
      <c r="S431">
        <v>2022</v>
      </c>
      <c r="T431" s="261" t="s">
        <v>3535</v>
      </c>
      <c r="U431" s="261" t="s">
        <v>3606</v>
      </c>
      <c r="V431" t="s">
        <v>42</v>
      </c>
    </row>
    <row r="432" spans="1:22" ht="15.75" thickBot="1" x14ac:dyDescent="0.3">
      <c r="A432" s="82" t="s">
        <v>4709</v>
      </c>
      <c r="B432" s="82" t="s">
        <v>4709</v>
      </c>
      <c r="C432" s="82" t="str">
        <f t="shared" si="26"/>
        <v>X</v>
      </c>
      <c r="D432" s="82" t="s">
        <v>42</v>
      </c>
      <c r="E432" s="142">
        <v>200301</v>
      </c>
      <c r="F432" s="83" t="s">
        <v>1610</v>
      </c>
      <c r="G432" s="125" t="s">
        <v>42</v>
      </c>
      <c r="H432" s="327">
        <v>0</v>
      </c>
      <c r="I432" s="125" t="s">
        <v>557</v>
      </c>
      <c r="J432" s="139">
        <f t="shared" si="27"/>
        <v>0</v>
      </c>
      <c r="K432" s="139" t="s">
        <v>509</v>
      </c>
      <c r="L432" s="238" t="str">
        <f t="shared" si="28"/>
        <v>Aterro</v>
      </c>
      <c r="M432" s="238" t="s">
        <v>1927</v>
      </c>
      <c r="N432" s="238" t="s">
        <v>1911</v>
      </c>
      <c r="O432" s="114" t="str">
        <f>IFERROR(INDEX(Tabela3[Tipos de Tratamento],MATCH('A3.9.1 copy'!K432,Tabela3[Código],0)),"")</f>
        <v>Armazenagem enquanto se aguarda a execução de uma das operações enumeradas de D1 a D14</v>
      </c>
      <c r="P432" s="91"/>
      <c r="Q432" s="91"/>
      <c r="S432">
        <v>2022</v>
      </c>
      <c r="T432" s="261" t="s">
        <v>3535</v>
      </c>
      <c r="U432" s="261" t="s">
        <v>3606</v>
      </c>
      <c r="V432" t="s">
        <v>42</v>
      </c>
    </row>
    <row r="433" spans="1:22" ht="15.75" thickBot="1" x14ac:dyDescent="0.3">
      <c r="A433" s="82" t="s">
        <v>2836</v>
      </c>
      <c r="B433" s="82" t="s">
        <v>2836</v>
      </c>
      <c r="C433" s="82" t="str">
        <f t="shared" si="26"/>
        <v>X</v>
      </c>
      <c r="D433" s="82" t="s">
        <v>42</v>
      </c>
      <c r="E433" s="142">
        <v>130208</v>
      </c>
      <c r="F433" s="83" t="s">
        <v>1531</v>
      </c>
      <c r="G433" s="125" t="s">
        <v>34</v>
      </c>
      <c r="H433" s="133">
        <v>1.7689999999999999</v>
      </c>
      <c r="I433" s="125" t="s">
        <v>1532</v>
      </c>
      <c r="J433" s="139">
        <f t="shared" si="27"/>
        <v>1769</v>
      </c>
      <c r="K433" s="139" t="s">
        <v>480</v>
      </c>
      <c r="L433" s="238" t="str">
        <f t="shared" si="28"/>
        <v>Reciclagem</v>
      </c>
      <c r="M433" s="238" t="s">
        <v>1921</v>
      </c>
      <c r="N433" s="238" t="s">
        <v>1896</v>
      </c>
      <c r="O433" s="114" t="str">
        <f>IFERROR(INDEX(Tabela3[Tipos de Tratamento],MATCH('A3.9.1 copy'!K433,Tabela3[Código],0)),"")</f>
        <v xml:space="preserve">Regeneração de óleos e outras reutilizações de óleos </v>
      </c>
      <c r="P433" s="91" t="s">
        <v>3297</v>
      </c>
      <c r="Q433" s="114" t="s">
        <v>1536</v>
      </c>
      <c r="S433">
        <v>2022</v>
      </c>
      <c r="T433" s="261" t="s">
        <v>3535</v>
      </c>
      <c r="U433" s="261" t="s">
        <v>3606</v>
      </c>
      <c r="V433" t="s">
        <v>42</v>
      </c>
    </row>
    <row r="434" spans="1:22" ht="15.75" thickBot="1" x14ac:dyDescent="0.3">
      <c r="A434" s="82" t="s">
        <v>2836</v>
      </c>
      <c r="B434" s="82" t="s">
        <v>2836</v>
      </c>
      <c r="C434" s="82" t="str">
        <f t="shared" si="26"/>
        <v>X</v>
      </c>
      <c r="D434" s="82" t="s">
        <v>42</v>
      </c>
      <c r="E434" s="142" t="s">
        <v>1868</v>
      </c>
      <c r="F434" s="83" t="s">
        <v>3259</v>
      </c>
      <c r="G434" s="125" t="s">
        <v>42</v>
      </c>
      <c r="H434" s="133">
        <v>8.1000000000000003E-2</v>
      </c>
      <c r="I434" s="125" t="s">
        <v>1532</v>
      </c>
      <c r="J434" s="139">
        <f t="shared" si="27"/>
        <v>81</v>
      </c>
      <c r="K434" s="139" t="s">
        <v>483</v>
      </c>
      <c r="L434" s="238" t="str">
        <f t="shared" si="28"/>
        <v>Reciclagem</v>
      </c>
      <c r="M434" s="238" t="s">
        <v>1923</v>
      </c>
      <c r="N434" s="238" t="s">
        <v>1922</v>
      </c>
      <c r="O434" s="114" t="str">
        <f>IFERROR(INDEX(Tabela3[Tipos de Tratamento],MATCH('A3.9.1 copy'!K434,Tabela3[Código],0)),"")</f>
        <v xml:space="preserve">Troca de resíduos com vista a submetê-los a uma das operações enumeradas de R 1 a R 11 </v>
      </c>
      <c r="P434" s="91" t="s">
        <v>3298</v>
      </c>
      <c r="Q434" s="91" t="s">
        <v>3298</v>
      </c>
      <c r="S434">
        <v>2022</v>
      </c>
      <c r="T434" s="261" t="s">
        <v>3535</v>
      </c>
      <c r="U434" s="261" t="s">
        <v>3606</v>
      </c>
      <c r="V434" t="s">
        <v>42</v>
      </c>
    </row>
    <row r="435" spans="1:22" ht="15.75" thickBot="1" x14ac:dyDescent="0.3">
      <c r="A435" s="82" t="s">
        <v>2836</v>
      </c>
      <c r="B435" s="82" t="s">
        <v>2836</v>
      </c>
      <c r="C435" s="82" t="str">
        <f t="shared" si="26"/>
        <v>X</v>
      </c>
      <c r="D435" s="82" t="s">
        <v>42</v>
      </c>
      <c r="E435" s="142" t="s">
        <v>1873</v>
      </c>
      <c r="F435" s="83" t="s">
        <v>3260</v>
      </c>
      <c r="G435" s="125" t="s">
        <v>42</v>
      </c>
      <c r="H435" s="133">
        <v>0.2</v>
      </c>
      <c r="I435" s="125" t="s">
        <v>1532</v>
      </c>
      <c r="J435" s="139">
        <f t="shared" si="27"/>
        <v>200</v>
      </c>
      <c r="K435" s="139" t="s">
        <v>483</v>
      </c>
      <c r="L435" s="238" t="str">
        <f t="shared" si="28"/>
        <v>Reciclagem</v>
      </c>
      <c r="M435" s="238" t="s">
        <v>1920</v>
      </c>
      <c r="N435" s="238" t="s">
        <v>1911</v>
      </c>
      <c r="O435" s="114" t="str">
        <f>IFERROR(INDEX(Tabela3[Tipos de Tratamento],MATCH('A3.9.1 copy'!K435,Tabela3[Código],0)),"")</f>
        <v xml:space="preserve">Troca de resíduos com vista a submetê-los a uma das operações enumeradas de R 1 a R 11 </v>
      </c>
      <c r="P435" s="91" t="s">
        <v>3298</v>
      </c>
      <c r="Q435" s="91" t="s">
        <v>3298</v>
      </c>
      <c r="S435">
        <v>2022</v>
      </c>
      <c r="T435" s="261" t="s">
        <v>3535</v>
      </c>
      <c r="U435" s="261" t="s">
        <v>3606</v>
      </c>
      <c r="V435" t="s">
        <v>42</v>
      </c>
    </row>
    <row r="436" spans="1:22" ht="15.75" thickBot="1" x14ac:dyDescent="0.3">
      <c r="A436" s="82" t="s">
        <v>2836</v>
      </c>
      <c r="B436" s="82" t="s">
        <v>2836</v>
      </c>
      <c r="C436" s="82" t="str">
        <f t="shared" si="26"/>
        <v>X</v>
      </c>
      <c r="D436" s="82" t="s">
        <v>42</v>
      </c>
      <c r="E436" s="142" t="s">
        <v>1874</v>
      </c>
      <c r="F436" s="83" t="s">
        <v>1551</v>
      </c>
      <c r="G436" s="125" t="s">
        <v>34</v>
      </c>
      <c r="H436" s="133">
        <v>1.04</v>
      </c>
      <c r="I436" s="125" t="s">
        <v>1532</v>
      </c>
      <c r="J436" s="139">
        <f t="shared" si="27"/>
        <v>1040</v>
      </c>
      <c r="K436" s="139" t="s">
        <v>484</v>
      </c>
      <c r="L436" s="238" t="str">
        <f t="shared" si="28"/>
        <v>Reciclagem</v>
      </c>
      <c r="M436" s="238" t="s">
        <v>1920</v>
      </c>
      <c r="N436" s="238" t="s">
        <v>1911</v>
      </c>
      <c r="O436" s="114" t="str">
        <f>IFERROR(INDEX(Tabela3[Tipos de Tratamento],MATCH('A3.9.1 copy'!K436,Tabela3[Código],0)),"")</f>
        <v>Acumulação de resíduos destinados a uma das operações enumeradas de R1 a R12</v>
      </c>
      <c r="P436" s="91" t="s">
        <v>3298</v>
      </c>
      <c r="Q436" s="91" t="s">
        <v>3298</v>
      </c>
      <c r="S436">
        <v>2022</v>
      </c>
      <c r="T436" s="261" t="s">
        <v>3535</v>
      </c>
      <c r="U436" s="261" t="s">
        <v>3606</v>
      </c>
      <c r="V436" t="s">
        <v>42</v>
      </c>
    </row>
    <row r="437" spans="1:22" ht="15.75" thickBot="1" x14ac:dyDescent="0.3">
      <c r="A437" s="82" t="s">
        <v>2836</v>
      </c>
      <c r="B437" s="82" t="s">
        <v>2836</v>
      </c>
      <c r="C437" s="82" t="str">
        <f t="shared" si="26"/>
        <v>X</v>
      </c>
      <c r="D437" s="82" t="s">
        <v>42</v>
      </c>
      <c r="E437" s="142" t="s">
        <v>1877</v>
      </c>
      <c r="F437" s="83" t="s">
        <v>1560</v>
      </c>
      <c r="G437" s="125" t="s">
        <v>42</v>
      </c>
      <c r="H437" s="133">
        <v>8.5999999999999993E-2</v>
      </c>
      <c r="I437" s="125" t="s">
        <v>1532</v>
      </c>
      <c r="J437" s="139">
        <f t="shared" si="27"/>
        <v>86</v>
      </c>
      <c r="K437" s="139" t="s">
        <v>483</v>
      </c>
      <c r="L437" s="238" t="str">
        <f t="shared" si="28"/>
        <v>Reciclagem</v>
      </c>
      <c r="M437" s="238" t="s">
        <v>1560</v>
      </c>
      <c r="N437" s="238" t="s">
        <v>1922</v>
      </c>
      <c r="O437" s="114" t="str">
        <f>IFERROR(INDEX(Tabela3[Tipos de Tratamento],MATCH('A3.9.1 copy'!K437,Tabela3[Código],0)),"")</f>
        <v xml:space="preserve">Troca de resíduos com vista a submetê-los a uma das operações enumeradas de R 1 a R 11 </v>
      </c>
      <c r="P437" s="91" t="s">
        <v>3298</v>
      </c>
      <c r="Q437" s="91" t="s">
        <v>3298</v>
      </c>
      <c r="S437">
        <v>2022</v>
      </c>
      <c r="T437" s="261" t="s">
        <v>3535</v>
      </c>
      <c r="U437" s="261" t="s">
        <v>3606</v>
      </c>
      <c r="V437" t="s">
        <v>42</v>
      </c>
    </row>
    <row r="438" spans="1:22" ht="15.75" thickBot="1" x14ac:dyDescent="0.3">
      <c r="A438" s="82" t="s">
        <v>2836</v>
      </c>
      <c r="B438" s="82" t="s">
        <v>2836</v>
      </c>
      <c r="C438" s="82" t="str">
        <f t="shared" si="26"/>
        <v>X</v>
      </c>
      <c r="D438" s="82" t="s">
        <v>42</v>
      </c>
      <c r="E438" s="142" t="s">
        <v>1878</v>
      </c>
      <c r="F438" s="115" t="s">
        <v>1576</v>
      </c>
      <c r="G438" s="125" t="s">
        <v>34</v>
      </c>
      <c r="H438" s="133">
        <v>0.14499999999999999</v>
      </c>
      <c r="I438" s="125" t="s">
        <v>1532</v>
      </c>
      <c r="J438" s="139">
        <f t="shared" si="27"/>
        <v>145</v>
      </c>
      <c r="K438" s="139" t="s">
        <v>484</v>
      </c>
      <c r="L438" s="238" t="str">
        <f t="shared" si="28"/>
        <v>Reciclagem</v>
      </c>
      <c r="M438" s="238" t="s">
        <v>1920</v>
      </c>
      <c r="N438" s="238" t="s">
        <v>1911</v>
      </c>
      <c r="O438" s="114" t="str">
        <f>IFERROR(INDEX(Tabela3[Tipos de Tratamento],MATCH('A3.9.1 copy'!K438,Tabela3[Código],0)),"")</f>
        <v>Acumulação de resíduos destinados a uma das operações enumeradas de R1 a R12</v>
      </c>
      <c r="P438" s="91" t="s">
        <v>3298</v>
      </c>
      <c r="Q438" s="91" t="s">
        <v>3298</v>
      </c>
      <c r="S438">
        <v>2022</v>
      </c>
      <c r="T438" s="261" t="s">
        <v>3535</v>
      </c>
      <c r="U438" s="261" t="s">
        <v>3606</v>
      </c>
      <c r="V438" t="s">
        <v>42</v>
      </c>
    </row>
    <row r="439" spans="1:22" ht="15.75" thickBot="1" x14ac:dyDescent="0.3">
      <c r="A439" s="82" t="s">
        <v>2836</v>
      </c>
      <c r="B439" s="82" t="s">
        <v>2836</v>
      </c>
      <c r="C439" s="82" t="str">
        <f t="shared" si="26"/>
        <v>X</v>
      </c>
      <c r="D439" s="82" t="s">
        <v>42</v>
      </c>
      <c r="E439" s="142" t="s">
        <v>1886</v>
      </c>
      <c r="F439" s="115" t="s">
        <v>1568</v>
      </c>
      <c r="G439" s="125" t="s">
        <v>42</v>
      </c>
      <c r="H439" s="133">
        <v>0.33300000000000002</v>
      </c>
      <c r="I439" s="125" t="s">
        <v>1532</v>
      </c>
      <c r="J439" s="139">
        <f t="shared" si="27"/>
        <v>333</v>
      </c>
      <c r="K439" s="139" t="s">
        <v>483</v>
      </c>
      <c r="L439" s="238" t="str">
        <f t="shared" si="28"/>
        <v>Reciclagem</v>
      </c>
      <c r="M439" s="238" t="s">
        <v>1928</v>
      </c>
      <c r="N439" s="238" t="s">
        <v>1896</v>
      </c>
      <c r="O439" s="114" t="str">
        <f>IFERROR(INDEX(Tabela3[Tipos de Tratamento],MATCH('A3.9.1 copy'!K439,Tabela3[Código],0)),"")</f>
        <v xml:space="preserve">Troca de resíduos com vista a submetê-los a uma das operações enumeradas de R 1 a R 11 </v>
      </c>
      <c r="P439" s="91" t="s">
        <v>3298</v>
      </c>
      <c r="Q439" s="91" t="s">
        <v>3298</v>
      </c>
      <c r="S439">
        <v>2022</v>
      </c>
      <c r="T439" s="261" t="s">
        <v>3535</v>
      </c>
      <c r="U439" s="261" t="s">
        <v>3606</v>
      </c>
      <c r="V439" t="s">
        <v>42</v>
      </c>
    </row>
    <row r="440" spans="1:22" ht="15.75" thickBot="1" x14ac:dyDescent="0.3">
      <c r="A440" s="82" t="s">
        <v>4692</v>
      </c>
      <c r="B440" s="82" t="s">
        <v>4692</v>
      </c>
      <c r="C440" s="82" t="str">
        <f t="shared" si="26"/>
        <v>X</v>
      </c>
      <c r="D440" s="82" t="s">
        <v>42</v>
      </c>
      <c r="E440" s="142">
        <v>130502</v>
      </c>
      <c r="F440" s="83" t="s">
        <v>3261</v>
      </c>
      <c r="G440" s="125" t="s">
        <v>42</v>
      </c>
      <c r="H440" s="328">
        <f>16*0.9</f>
        <v>14.4</v>
      </c>
      <c r="I440" s="253" t="s">
        <v>1532</v>
      </c>
      <c r="J440" s="139">
        <f t="shared" si="27"/>
        <v>14400</v>
      </c>
      <c r="K440" s="139" t="s">
        <v>503</v>
      </c>
      <c r="L440" s="238" t="str">
        <f t="shared" si="28"/>
        <v>Aterro</v>
      </c>
      <c r="M440" s="238" t="s">
        <v>1920</v>
      </c>
      <c r="N440" s="238" t="s">
        <v>1911</v>
      </c>
      <c r="O440" s="114" t="str">
        <f>IFERROR(INDEX(Tabela3[Tipos de Tratamento],MATCH('A3.9.1 copy'!K440,Tabela3[Código],0)),"")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440" s="93"/>
      <c r="Q440" s="93"/>
      <c r="R440" s="397" t="s">
        <v>3313</v>
      </c>
      <c r="S440">
        <v>2022</v>
      </c>
      <c r="T440" s="261" t="s">
        <v>3535</v>
      </c>
      <c r="U440" s="261" t="s">
        <v>3606</v>
      </c>
      <c r="V440" t="s">
        <v>42</v>
      </c>
    </row>
    <row r="441" spans="1:22" ht="15.75" thickBot="1" x14ac:dyDescent="0.3">
      <c r="A441" s="82" t="s">
        <v>4692</v>
      </c>
      <c r="B441" s="82" t="s">
        <v>4692</v>
      </c>
      <c r="C441" s="82" t="str">
        <f t="shared" si="26"/>
        <v>X</v>
      </c>
      <c r="D441" s="82" t="s">
        <v>42</v>
      </c>
      <c r="E441" s="142">
        <v>130208</v>
      </c>
      <c r="F441" s="83" t="s">
        <v>3262</v>
      </c>
      <c r="G441" s="125" t="s">
        <v>34</v>
      </c>
      <c r="H441" s="329">
        <f>208*0.9</f>
        <v>187.20000000000002</v>
      </c>
      <c r="I441" s="253" t="s">
        <v>557</v>
      </c>
      <c r="J441" s="139">
        <f t="shared" si="27"/>
        <v>187.20000000000002</v>
      </c>
      <c r="K441" s="139" t="s">
        <v>484</v>
      </c>
      <c r="L441" s="238" t="str">
        <f t="shared" si="28"/>
        <v>Reciclagem</v>
      </c>
      <c r="M441" s="238" t="s">
        <v>1921</v>
      </c>
      <c r="N441" s="238" t="s">
        <v>1896</v>
      </c>
      <c r="O441" s="114" t="str">
        <f>IFERROR(INDEX(Tabela3[Tipos de Tratamento],MATCH('A3.9.1 copy'!K441,Tabela3[Código],0)),"")</f>
        <v>Acumulação de resíduos destinados a uma das operações enumeradas de R1 a R12</v>
      </c>
      <c r="P441" s="93"/>
      <c r="Q441" s="93"/>
      <c r="R441" s="299" t="s">
        <v>3312</v>
      </c>
      <c r="S441">
        <v>2022</v>
      </c>
      <c r="T441" s="261" t="s">
        <v>3535</v>
      </c>
      <c r="U441" s="261" t="s">
        <v>3606</v>
      </c>
      <c r="V441" t="s">
        <v>42</v>
      </c>
    </row>
    <row r="442" spans="1:22" ht="15.75" thickBot="1" x14ac:dyDescent="0.3">
      <c r="A442" s="82" t="s">
        <v>4698</v>
      </c>
      <c r="B442" s="82" t="s">
        <v>4698</v>
      </c>
      <c r="C442" s="82" t="str">
        <f t="shared" si="26"/>
        <v>X</v>
      </c>
      <c r="D442" s="82" t="s">
        <v>42</v>
      </c>
      <c r="E442" s="142">
        <v>130502</v>
      </c>
      <c r="F442" s="83" t="s">
        <v>1569</v>
      </c>
      <c r="G442" s="125" t="s">
        <v>34</v>
      </c>
      <c r="H442" s="133">
        <v>4.28</v>
      </c>
      <c r="I442" s="125" t="s">
        <v>1532</v>
      </c>
      <c r="J442" s="139">
        <f t="shared" si="27"/>
        <v>4280</v>
      </c>
      <c r="K442" s="139" t="s">
        <v>503</v>
      </c>
      <c r="L442" s="238" t="str">
        <f t="shared" si="28"/>
        <v>Aterro</v>
      </c>
      <c r="M442" s="238" t="s">
        <v>1920</v>
      </c>
      <c r="N442" s="238" t="s">
        <v>1911</v>
      </c>
      <c r="O442" s="114" t="str">
        <f>IFERROR(INDEX(Tabela3[Tipos de Tratamento],MATCH('A3.9.1 copy'!K442,Tabela3[Código],0)),"")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442" s="91" t="s">
        <v>3299</v>
      </c>
      <c r="Q442" s="91" t="s">
        <v>3300</v>
      </c>
      <c r="R442" s="93"/>
      <c r="S442">
        <v>2022</v>
      </c>
      <c r="T442" s="261" t="s">
        <v>3535</v>
      </c>
      <c r="U442" s="261" t="s">
        <v>3606</v>
      </c>
      <c r="V442" t="s">
        <v>42</v>
      </c>
    </row>
    <row r="443" spans="1:22" ht="15.75" thickBot="1" x14ac:dyDescent="0.3">
      <c r="A443" s="82" t="s">
        <v>4698</v>
      </c>
      <c r="B443" s="82" t="s">
        <v>4698</v>
      </c>
      <c r="C443" s="82" t="str">
        <f t="shared" si="26"/>
        <v>X</v>
      </c>
      <c r="D443" s="82" t="s">
        <v>42</v>
      </c>
      <c r="E443" s="142">
        <v>130208</v>
      </c>
      <c r="F443" s="83" t="s">
        <v>1531</v>
      </c>
      <c r="G443" s="125" t="s">
        <v>34</v>
      </c>
      <c r="H443" s="133">
        <v>6.1790000000000003</v>
      </c>
      <c r="I443" s="125" t="s">
        <v>1532</v>
      </c>
      <c r="J443" s="139">
        <f t="shared" si="27"/>
        <v>6179</v>
      </c>
      <c r="K443" s="139" t="s">
        <v>483</v>
      </c>
      <c r="L443" s="238" t="str">
        <f t="shared" si="28"/>
        <v>Reciclagem</v>
      </c>
      <c r="M443" s="238" t="s">
        <v>1921</v>
      </c>
      <c r="N443" s="238" t="s">
        <v>1896</v>
      </c>
      <c r="O443" s="114" t="str">
        <f>IFERROR(INDEX(Tabela3[Tipos de Tratamento],MATCH('A3.9.1 copy'!K443,Tabela3[Código],0)),"")</f>
        <v xml:space="preserve">Troca de resíduos com vista a submetê-los a uma das operações enumeradas de R 1 a R 11 </v>
      </c>
      <c r="P443" s="91" t="s">
        <v>3301</v>
      </c>
      <c r="Q443" s="91" t="s">
        <v>3301</v>
      </c>
      <c r="R443" s="93"/>
      <c r="S443">
        <v>2022</v>
      </c>
      <c r="T443" s="261" t="s">
        <v>3535</v>
      </c>
      <c r="U443" s="261" t="s">
        <v>3606</v>
      </c>
      <c r="V443" t="s">
        <v>42</v>
      </c>
    </row>
    <row r="444" spans="1:22" ht="15.75" thickBot="1" x14ac:dyDescent="0.3">
      <c r="A444" s="82" t="s">
        <v>4698</v>
      </c>
      <c r="B444" s="82" t="s">
        <v>4698</v>
      </c>
      <c r="C444" s="82" t="str">
        <f t="shared" si="26"/>
        <v>X</v>
      </c>
      <c r="D444" s="82" t="s">
        <v>42</v>
      </c>
      <c r="E444" s="142">
        <v>130507</v>
      </c>
      <c r="F444" s="83" t="s">
        <v>1572</v>
      </c>
      <c r="G444" s="125" t="s">
        <v>34</v>
      </c>
      <c r="H444" s="133">
        <v>3.82</v>
      </c>
      <c r="I444" s="125" t="s">
        <v>1532</v>
      </c>
      <c r="J444" s="139">
        <f t="shared" si="27"/>
        <v>3820</v>
      </c>
      <c r="K444" s="139" t="s">
        <v>503</v>
      </c>
      <c r="L444" s="238" t="str">
        <f t="shared" si="28"/>
        <v>Aterro</v>
      </c>
      <c r="M444" s="238" t="s">
        <v>1920</v>
      </c>
      <c r="N444" s="238" t="s">
        <v>1911</v>
      </c>
      <c r="O444" s="114" t="str">
        <f>IFERROR(INDEX(Tabela3[Tipos de Tratamento],MATCH('A3.9.1 copy'!K444,Tabela3[Código],0)),"")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444" s="91" t="s">
        <v>3299</v>
      </c>
      <c r="Q444" s="91" t="s">
        <v>3300</v>
      </c>
      <c r="R444" s="93"/>
      <c r="S444">
        <v>2022</v>
      </c>
      <c r="T444" s="261" t="s">
        <v>3535</v>
      </c>
      <c r="U444" s="261" t="s">
        <v>3606</v>
      </c>
      <c r="V444" t="s">
        <v>42</v>
      </c>
    </row>
    <row r="445" spans="1:22" ht="15.75" thickBot="1" x14ac:dyDescent="0.3">
      <c r="A445" s="82" t="s">
        <v>4698</v>
      </c>
      <c r="B445" s="82" t="s">
        <v>4698</v>
      </c>
      <c r="C445" s="82" t="str">
        <f t="shared" si="26"/>
        <v>X</v>
      </c>
      <c r="D445" s="82" t="s">
        <v>42</v>
      </c>
      <c r="E445" s="142">
        <v>150110</v>
      </c>
      <c r="F445" s="83" t="s">
        <v>1542</v>
      </c>
      <c r="G445" s="125" t="s">
        <v>34</v>
      </c>
      <c r="H445" s="133">
        <v>57</v>
      </c>
      <c r="I445" s="125" t="s">
        <v>557</v>
      </c>
      <c r="J445" s="139">
        <f t="shared" si="27"/>
        <v>57</v>
      </c>
      <c r="K445" s="139" t="s">
        <v>509</v>
      </c>
      <c r="L445" s="238" t="str">
        <f t="shared" si="28"/>
        <v>Aterro</v>
      </c>
      <c r="M445" s="238" t="s">
        <v>1920</v>
      </c>
      <c r="N445" s="238" t="s">
        <v>1911</v>
      </c>
      <c r="O445" s="114" t="str">
        <f>IFERROR(INDEX(Tabela3[Tipos de Tratamento],MATCH('A3.9.1 copy'!K445,Tabela3[Código],0)),"")</f>
        <v>Armazenagem enquanto se aguarda a execução de uma das operações enumeradas de D1 a D14</v>
      </c>
      <c r="P445" s="91" t="s">
        <v>3299</v>
      </c>
      <c r="Q445" s="91" t="s">
        <v>3302</v>
      </c>
      <c r="S445">
        <v>2022</v>
      </c>
      <c r="T445" s="261" t="s">
        <v>3535</v>
      </c>
      <c r="U445" s="261" t="s">
        <v>3606</v>
      </c>
      <c r="V445" t="s">
        <v>42</v>
      </c>
    </row>
    <row r="446" spans="1:22" ht="15.75" thickBot="1" x14ac:dyDescent="0.3">
      <c r="A446" s="82" t="s">
        <v>4698</v>
      </c>
      <c r="B446" s="82" t="s">
        <v>4698</v>
      </c>
      <c r="C446" s="82" t="str">
        <f t="shared" si="26"/>
        <v>X</v>
      </c>
      <c r="D446" s="82" t="s">
        <v>42</v>
      </c>
      <c r="E446" s="142">
        <v>150202</v>
      </c>
      <c r="F446" s="83" t="s">
        <v>1547</v>
      </c>
      <c r="G446" s="125" t="s">
        <v>34</v>
      </c>
      <c r="H446" s="133">
        <v>400</v>
      </c>
      <c r="I446" s="125" t="s">
        <v>557</v>
      </c>
      <c r="J446" s="139">
        <f t="shared" si="27"/>
        <v>400</v>
      </c>
      <c r="K446" s="139" t="s">
        <v>509</v>
      </c>
      <c r="L446" s="238" t="str">
        <f t="shared" si="28"/>
        <v>Aterro</v>
      </c>
      <c r="M446" s="238" t="s">
        <v>1920</v>
      </c>
      <c r="N446" s="238" t="s">
        <v>1911</v>
      </c>
      <c r="O446" s="114" t="str">
        <f>IFERROR(INDEX(Tabela3[Tipos de Tratamento],MATCH('A3.9.1 copy'!K446,Tabela3[Código],0)),"")</f>
        <v>Armazenagem enquanto se aguarda a execução de uma das operações enumeradas de D1 a D14</v>
      </c>
      <c r="P446" s="91" t="s">
        <v>3299</v>
      </c>
      <c r="Q446" s="91" t="s">
        <v>3302</v>
      </c>
      <c r="S446">
        <v>2022</v>
      </c>
      <c r="T446" s="261" t="s">
        <v>3535</v>
      </c>
      <c r="U446" s="261" t="s">
        <v>3606</v>
      </c>
      <c r="V446" t="s">
        <v>42</v>
      </c>
    </row>
    <row r="447" spans="1:22" ht="15.75" thickBot="1" x14ac:dyDescent="0.3">
      <c r="A447" s="82" t="s">
        <v>4698</v>
      </c>
      <c r="B447" s="82" t="s">
        <v>4698</v>
      </c>
      <c r="C447" s="82" t="str">
        <f t="shared" si="26"/>
        <v>X</v>
      </c>
      <c r="D447" s="82" t="s">
        <v>42</v>
      </c>
      <c r="E447" s="142">
        <v>150203</v>
      </c>
      <c r="F447" s="83" t="s">
        <v>1550</v>
      </c>
      <c r="G447" s="125" t="s">
        <v>42</v>
      </c>
      <c r="H447" s="133">
        <v>129</v>
      </c>
      <c r="I447" s="125" t="s">
        <v>557</v>
      </c>
      <c r="J447" s="139">
        <f t="shared" si="27"/>
        <v>129</v>
      </c>
      <c r="K447" s="139" t="s">
        <v>509</v>
      </c>
      <c r="L447" s="238" t="str">
        <f t="shared" si="28"/>
        <v>Aterro</v>
      </c>
      <c r="M447" s="238" t="s">
        <v>1920</v>
      </c>
      <c r="N447" s="238" t="s">
        <v>1911</v>
      </c>
      <c r="O447" s="114" t="str">
        <f>IFERROR(INDEX(Tabela3[Tipos de Tratamento],MATCH('A3.9.1 copy'!K447,Tabela3[Código],0)),"")</f>
        <v>Armazenagem enquanto se aguarda a execução de uma das operações enumeradas de D1 a D14</v>
      </c>
      <c r="P447" s="91" t="s">
        <v>3299</v>
      </c>
      <c r="Q447" s="91" t="s">
        <v>3302</v>
      </c>
      <c r="S447">
        <v>2022</v>
      </c>
      <c r="T447" s="261" t="s">
        <v>3535</v>
      </c>
      <c r="U447" s="261" t="s">
        <v>3606</v>
      </c>
      <c r="V447" t="s">
        <v>42</v>
      </c>
    </row>
    <row r="448" spans="1:22" ht="15.75" thickBot="1" x14ac:dyDescent="0.3">
      <c r="A448" s="82" t="s">
        <v>4698</v>
      </c>
      <c r="B448" s="82" t="s">
        <v>4698</v>
      </c>
      <c r="C448" s="82" t="str">
        <f t="shared" si="26"/>
        <v>X</v>
      </c>
      <c r="D448" s="82" t="s">
        <v>42</v>
      </c>
      <c r="E448" s="142">
        <v>160104</v>
      </c>
      <c r="F448" s="83" t="s">
        <v>1584</v>
      </c>
      <c r="G448" s="125" t="s">
        <v>42</v>
      </c>
      <c r="H448" s="133">
        <v>19.32</v>
      </c>
      <c r="I448" s="125" t="s">
        <v>1532</v>
      </c>
      <c r="J448" s="139">
        <f t="shared" si="27"/>
        <v>19320</v>
      </c>
      <c r="K448" s="139" t="s">
        <v>483</v>
      </c>
      <c r="L448" s="238" t="str">
        <f t="shared" si="28"/>
        <v>Reciclagem</v>
      </c>
      <c r="M448" s="238" t="s">
        <v>1926</v>
      </c>
      <c r="N448" s="238" t="s">
        <v>1922</v>
      </c>
      <c r="O448" s="114" t="str">
        <f>IFERROR(INDEX(Tabela3[Tipos de Tratamento],MATCH('A3.9.1 copy'!K448,Tabela3[Código],0)),"")</f>
        <v xml:space="preserve">Troca de resíduos com vista a submetê-los a uma das operações enumeradas de R 1 a R 11 </v>
      </c>
      <c r="P448" s="91" t="s">
        <v>3303</v>
      </c>
      <c r="Q448" s="91" t="s">
        <v>3304</v>
      </c>
      <c r="R448" s="93"/>
      <c r="S448">
        <v>2022</v>
      </c>
      <c r="T448" s="261" t="s">
        <v>3535</v>
      </c>
      <c r="U448" s="261" t="s">
        <v>3606</v>
      </c>
      <c r="V448" t="s">
        <v>42</v>
      </c>
    </row>
    <row r="449" spans="1:22" ht="15.75" thickBot="1" x14ac:dyDescent="0.3">
      <c r="A449" s="82" t="s">
        <v>4698</v>
      </c>
      <c r="B449" s="82" t="s">
        <v>4698</v>
      </c>
      <c r="C449" s="82" t="str">
        <f t="shared" si="26"/>
        <v>X</v>
      </c>
      <c r="D449" s="82" t="s">
        <v>42</v>
      </c>
      <c r="E449" s="142">
        <v>160104</v>
      </c>
      <c r="F449" s="83" t="s">
        <v>1584</v>
      </c>
      <c r="G449" s="125" t="s">
        <v>42</v>
      </c>
      <c r="H449" s="133">
        <v>10</v>
      </c>
      <c r="I449" s="125" t="s">
        <v>1532</v>
      </c>
      <c r="J449" s="139">
        <f t="shared" si="27"/>
        <v>10000</v>
      </c>
      <c r="K449" s="139" t="s">
        <v>483</v>
      </c>
      <c r="L449" s="238" t="str">
        <f t="shared" si="28"/>
        <v>Reciclagem</v>
      </c>
      <c r="M449" s="238" t="s">
        <v>1926</v>
      </c>
      <c r="N449" s="238" t="s">
        <v>1922</v>
      </c>
      <c r="O449" s="114" t="str">
        <f>IFERROR(INDEX(Tabela3[Tipos de Tratamento],MATCH('A3.9.1 copy'!K449,Tabela3[Código],0)),"")</f>
        <v xml:space="preserve">Troca de resíduos com vista a submetê-los a uma das operações enumeradas de R 1 a R 11 </v>
      </c>
      <c r="P449" s="91" t="s">
        <v>3305</v>
      </c>
      <c r="Q449" s="91" t="s">
        <v>3306</v>
      </c>
      <c r="R449" s="93"/>
      <c r="S449">
        <v>2022</v>
      </c>
      <c r="T449" s="261" t="s">
        <v>3535</v>
      </c>
      <c r="U449" s="261" t="s">
        <v>3606</v>
      </c>
      <c r="V449" t="s">
        <v>42</v>
      </c>
    </row>
    <row r="450" spans="1:22" ht="15.75" thickBot="1" x14ac:dyDescent="0.3">
      <c r="A450" s="82" t="s">
        <v>4698</v>
      </c>
      <c r="B450" s="82" t="s">
        <v>4698</v>
      </c>
      <c r="C450" s="82" t="str">
        <f t="shared" si="26"/>
        <v>X</v>
      </c>
      <c r="D450" s="82" t="s">
        <v>42</v>
      </c>
      <c r="E450" s="142">
        <v>160107</v>
      </c>
      <c r="F450" s="83" t="s">
        <v>1551</v>
      </c>
      <c r="G450" s="125" t="s">
        <v>34</v>
      </c>
      <c r="H450" s="133">
        <v>701</v>
      </c>
      <c r="I450" s="125" t="s">
        <v>557</v>
      </c>
      <c r="J450" s="139">
        <f t="shared" si="27"/>
        <v>701</v>
      </c>
      <c r="K450" s="139" t="s">
        <v>484</v>
      </c>
      <c r="L450" s="238" t="str">
        <f t="shared" si="28"/>
        <v>Reciclagem</v>
      </c>
      <c r="M450" s="238" t="s">
        <v>1920</v>
      </c>
      <c r="N450" s="238" t="s">
        <v>1911</v>
      </c>
      <c r="O450" s="114" t="str">
        <f>IFERROR(INDEX(Tabela3[Tipos de Tratamento],MATCH('A3.9.1 copy'!K450,Tabela3[Código],0)),"")</f>
        <v>Acumulação de resíduos destinados a uma das operações enumeradas de R1 a R12</v>
      </c>
      <c r="P450" s="91" t="s">
        <v>3299</v>
      </c>
      <c r="Q450" s="91" t="s">
        <v>3302</v>
      </c>
      <c r="S450">
        <v>2022</v>
      </c>
      <c r="T450" s="261" t="s">
        <v>3535</v>
      </c>
      <c r="U450" s="261" t="s">
        <v>3606</v>
      </c>
      <c r="V450" t="s">
        <v>42</v>
      </c>
    </row>
    <row r="451" spans="1:22" ht="15.75" thickBot="1" x14ac:dyDescent="0.3">
      <c r="A451" s="82" t="s">
        <v>4698</v>
      </c>
      <c r="B451" s="82" t="s">
        <v>4698</v>
      </c>
      <c r="C451" s="82" t="str">
        <f t="shared" ref="C451:C514" si="29">IF(A451=B451,"X",RIGHT(A451,LEN(A451)-LEN(B451)-3))</f>
        <v>X</v>
      </c>
      <c r="D451" s="82" t="s">
        <v>42</v>
      </c>
      <c r="E451" s="142">
        <v>160112</v>
      </c>
      <c r="F451" s="83" t="s">
        <v>1552</v>
      </c>
      <c r="G451" s="125" t="s">
        <v>34</v>
      </c>
      <c r="H451" s="133">
        <v>2093</v>
      </c>
      <c r="I451" s="125" t="s">
        <v>557</v>
      </c>
      <c r="J451" s="139">
        <f t="shared" ref="J451:J514" si="30">IF(LEFT(I451,3)="ton",1000*H451,H451)</f>
        <v>2093</v>
      </c>
      <c r="K451" s="139" t="s">
        <v>509</v>
      </c>
      <c r="L451" s="238" t="str">
        <f t="shared" ref="L451:L514" si="31">IF(LEFT(K451,1)="R","Reciclagem",IF(OR(K451="D10",K451="D11"),"Iceneração","Aterro"))</f>
        <v>Aterro</v>
      </c>
      <c r="M451" s="238" t="s">
        <v>1557</v>
      </c>
      <c r="N451" s="238" t="s">
        <v>1922</v>
      </c>
      <c r="O451" s="114" t="str">
        <f>IFERROR(INDEX(Tabela3[Tipos de Tratamento],MATCH('A3.9.1 copy'!K451,Tabela3[Código],0)),"")</f>
        <v>Armazenagem enquanto se aguarda a execução de uma das operações enumeradas de D1 a D14</v>
      </c>
      <c r="P451" s="91" t="s">
        <v>3299</v>
      </c>
      <c r="Q451" s="91" t="s">
        <v>3302</v>
      </c>
      <c r="S451">
        <v>2022</v>
      </c>
      <c r="T451" s="261" t="s">
        <v>3535</v>
      </c>
      <c r="U451" s="261" t="s">
        <v>3606</v>
      </c>
      <c r="V451" t="s">
        <v>42</v>
      </c>
    </row>
    <row r="452" spans="1:22" ht="15.75" thickBot="1" x14ac:dyDescent="0.3">
      <c r="A452" s="82" t="s">
        <v>4698</v>
      </c>
      <c r="B452" s="82" t="s">
        <v>4698</v>
      </c>
      <c r="C452" s="82" t="str">
        <f t="shared" si="29"/>
        <v>X</v>
      </c>
      <c r="D452" s="82" t="s">
        <v>42</v>
      </c>
      <c r="E452" s="142">
        <v>160117</v>
      </c>
      <c r="F452" s="83" t="s">
        <v>1557</v>
      </c>
      <c r="G452" s="125" t="s">
        <v>42</v>
      </c>
      <c r="H452" s="133">
        <v>7600</v>
      </c>
      <c r="I452" s="125" t="s">
        <v>557</v>
      </c>
      <c r="J452" s="139">
        <f t="shared" si="30"/>
        <v>7600</v>
      </c>
      <c r="K452" s="139" t="s">
        <v>483</v>
      </c>
      <c r="L452" s="238" t="str">
        <f t="shared" si="31"/>
        <v>Reciclagem</v>
      </c>
      <c r="M452" s="238" t="s">
        <v>1557</v>
      </c>
      <c r="N452" s="238" t="s">
        <v>1922</v>
      </c>
      <c r="O452" s="114" t="str">
        <f>IFERROR(INDEX(Tabela3[Tipos de Tratamento],MATCH('A3.9.1 copy'!K452,Tabela3[Código],0)),"")</f>
        <v xml:space="preserve">Troca de resíduos com vista a submetê-los a uma das operações enumeradas de R 1 a R 11 </v>
      </c>
      <c r="P452" s="91" t="s">
        <v>3303</v>
      </c>
      <c r="Q452" s="91" t="s">
        <v>3307</v>
      </c>
      <c r="R452" s="93"/>
      <c r="S452">
        <v>2022</v>
      </c>
      <c r="T452" s="261" t="s">
        <v>3535</v>
      </c>
      <c r="U452" s="261" t="s">
        <v>3606</v>
      </c>
      <c r="V452" t="s">
        <v>42</v>
      </c>
    </row>
    <row r="453" spans="1:22" ht="15.75" thickBot="1" x14ac:dyDescent="0.3">
      <c r="A453" s="82" t="s">
        <v>4698</v>
      </c>
      <c r="B453" s="82" t="s">
        <v>4698</v>
      </c>
      <c r="C453" s="82" t="str">
        <f t="shared" si="29"/>
        <v>X</v>
      </c>
      <c r="D453" s="82" t="s">
        <v>42</v>
      </c>
      <c r="E453" s="142">
        <v>160120</v>
      </c>
      <c r="F453" s="83" t="s">
        <v>1561</v>
      </c>
      <c r="G453" s="125" t="s">
        <v>42</v>
      </c>
      <c r="H453" s="133">
        <v>559</v>
      </c>
      <c r="I453" s="125" t="s">
        <v>557</v>
      </c>
      <c r="J453" s="139">
        <f t="shared" si="30"/>
        <v>559</v>
      </c>
      <c r="K453" s="139" t="s">
        <v>509</v>
      </c>
      <c r="L453" s="238" t="str">
        <f t="shared" si="31"/>
        <v>Aterro</v>
      </c>
      <c r="M453" s="238" t="s">
        <v>1561</v>
      </c>
      <c r="N453" s="238" t="s">
        <v>1922</v>
      </c>
      <c r="O453" s="114" t="str">
        <f>IFERROR(INDEX(Tabela3[Tipos de Tratamento],MATCH('A3.9.1 copy'!K453,Tabela3[Código],0)),"")</f>
        <v>Armazenagem enquanto se aguarda a execução de uma das operações enumeradas de D1 a D14</v>
      </c>
      <c r="P453" s="91" t="s">
        <v>3299</v>
      </c>
      <c r="Q453" s="91" t="s">
        <v>3302</v>
      </c>
      <c r="S453">
        <v>2022</v>
      </c>
      <c r="T453" s="261" t="s">
        <v>3535</v>
      </c>
      <c r="U453" s="261" t="s">
        <v>3606</v>
      </c>
      <c r="V453" t="s">
        <v>42</v>
      </c>
    </row>
    <row r="454" spans="1:22" ht="15.75" thickBot="1" x14ac:dyDescent="0.3">
      <c r="A454" s="82" t="s">
        <v>4698</v>
      </c>
      <c r="B454" s="82" t="s">
        <v>4698</v>
      </c>
      <c r="C454" s="82" t="str">
        <f t="shared" si="29"/>
        <v>X</v>
      </c>
      <c r="D454" s="82" t="s">
        <v>42</v>
      </c>
      <c r="E454" s="142">
        <v>160199</v>
      </c>
      <c r="F454" s="83" t="s">
        <v>1562</v>
      </c>
      <c r="G454" s="125" t="s">
        <v>42</v>
      </c>
      <c r="H454" s="133">
        <v>4019</v>
      </c>
      <c r="I454" s="125" t="s">
        <v>557</v>
      </c>
      <c r="J454" s="139">
        <f t="shared" si="30"/>
        <v>4019</v>
      </c>
      <c r="K454" s="139" t="s">
        <v>509</v>
      </c>
      <c r="L454" s="238" t="str">
        <f t="shared" si="31"/>
        <v>Aterro</v>
      </c>
      <c r="M454" s="238" t="s">
        <v>1920</v>
      </c>
      <c r="N454" s="238" t="s">
        <v>1911</v>
      </c>
      <c r="O454" s="114" t="str">
        <f>IFERROR(INDEX(Tabela3[Tipos de Tratamento],MATCH('A3.9.1 copy'!K454,Tabela3[Código],0)),"")</f>
        <v>Armazenagem enquanto se aguarda a execução de uma das operações enumeradas de D1 a D14</v>
      </c>
      <c r="P454" s="91" t="s">
        <v>3299</v>
      </c>
      <c r="Q454" s="91" t="s">
        <v>3308</v>
      </c>
      <c r="R454" s="93"/>
      <c r="S454">
        <v>2022</v>
      </c>
      <c r="T454" s="261" t="s">
        <v>3535</v>
      </c>
      <c r="U454" s="261" t="s">
        <v>3606</v>
      </c>
      <c r="V454" t="s">
        <v>42</v>
      </c>
    </row>
    <row r="455" spans="1:22" ht="15.75" thickBot="1" x14ac:dyDescent="0.3">
      <c r="A455" s="82" t="s">
        <v>4698</v>
      </c>
      <c r="B455" s="82" t="s">
        <v>4698</v>
      </c>
      <c r="C455" s="82" t="str">
        <f t="shared" si="29"/>
        <v>X</v>
      </c>
      <c r="D455" s="82" t="s">
        <v>42</v>
      </c>
      <c r="E455" s="142">
        <v>160504</v>
      </c>
      <c r="F455" s="83" t="s">
        <v>3266</v>
      </c>
      <c r="G455" s="125" t="s">
        <v>34</v>
      </c>
      <c r="H455" s="133">
        <v>69</v>
      </c>
      <c r="I455" s="125" t="s">
        <v>557</v>
      </c>
      <c r="J455" s="139">
        <f t="shared" si="30"/>
        <v>69</v>
      </c>
      <c r="K455" s="139" t="s">
        <v>509</v>
      </c>
      <c r="L455" s="238" t="str">
        <f t="shared" si="31"/>
        <v>Aterro</v>
      </c>
      <c r="M455" s="238" t="s">
        <v>1920</v>
      </c>
      <c r="N455" s="238" t="s">
        <v>1911</v>
      </c>
      <c r="O455" s="114" t="str">
        <f>IFERROR(INDEX(Tabela3[Tipos de Tratamento],MATCH('A3.9.1 copy'!K455,Tabela3[Código],0)),"")</f>
        <v>Armazenagem enquanto se aguarda a execução de uma das operações enumeradas de D1 a D14</v>
      </c>
      <c r="P455" s="91" t="s">
        <v>3299</v>
      </c>
      <c r="Q455" s="91" t="s">
        <v>3302</v>
      </c>
      <c r="S455">
        <v>2022</v>
      </c>
      <c r="T455" s="261" t="s">
        <v>3535</v>
      </c>
      <c r="U455" s="261" t="s">
        <v>3606</v>
      </c>
      <c r="V455" t="s">
        <v>42</v>
      </c>
    </row>
    <row r="456" spans="1:22" ht="15.75" thickBot="1" x14ac:dyDescent="0.3">
      <c r="A456" s="82" t="s">
        <v>4698</v>
      </c>
      <c r="B456" s="82" t="s">
        <v>4698</v>
      </c>
      <c r="C456" s="82" t="str">
        <f t="shared" si="29"/>
        <v>X</v>
      </c>
      <c r="D456" s="82" t="s">
        <v>42</v>
      </c>
      <c r="E456" s="142">
        <v>160601</v>
      </c>
      <c r="F456" s="83" t="s">
        <v>1563</v>
      </c>
      <c r="G456" s="125" t="s">
        <v>34</v>
      </c>
      <c r="H456" s="133">
        <v>4411</v>
      </c>
      <c r="I456" s="125" t="s">
        <v>557</v>
      </c>
      <c r="J456" s="139">
        <f t="shared" si="30"/>
        <v>4411</v>
      </c>
      <c r="K456" s="139" t="s">
        <v>484</v>
      </c>
      <c r="L456" s="238" t="str">
        <f t="shared" si="31"/>
        <v>Reciclagem</v>
      </c>
      <c r="M456" s="238" t="s">
        <v>1653</v>
      </c>
      <c r="N456" s="238" t="s">
        <v>1896</v>
      </c>
      <c r="O456" s="114" t="str">
        <f>IFERROR(INDEX(Tabela3[Tipos de Tratamento],MATCH('A3.9.1 copy'!K456,Tabela3[Código],0)),"")</f>
        <v>Acumulação de resíduos destinados a uma das operações enumeradas de R1 a R12</v>
      </c>
      <c r="P456" s="91" t="s">
        <v>3305</v>
      </c>
      <c r="Q456" s="91" t="s">
        <v>3305</v>
      </c>
      <c r="R456" s="93"/>
      <c r="S456">
        <v>2022</v>
      </c>
      <c r="T456" s="261" t="s">
        <v>3535</v>
      </c>
      <c r="U456" s="261" t="s">
        <v>3606</v>
      </c>
      <c r="V456" t="s">
        <v>42</v>
      </c>
    </row>
    <row r="457" spans="1:22" ht="15.75" thickBot="1" x14ac:dyDescent="0.3">
      <c r="A457" s="82" t="s">
        <v>4698</v>
      </c>
      <c r="B457" s="82" t="s">
        <v>4698</v>
      </c>
      <c r="C457" s="82" t="str">
        <f t="shared" si="29"/>
        <v>X</v>
      </c>
      <c r="D457" s="82" t="s">
        <v>42</v>
      </c>
      <c r="E457" s="142">
        <v>200101</v>
      </c>
      <c r="F457" s="83" t="s">
        <v>1597</v>
      </c>
      <c r="G457" s="125" t="s">
        <v>42</v>
      </c>
      <c r="H457" s="133">
        <v>120</v>
      </c>
      <c r="I457" s="125" t="s">
        <v>557</v>
      </c>
      <c r="J457" s="139">
        <f t="shared" si="30"/>
        <v>120</v>
      </c>
      <c r="K457" s="139" t="s">
        <v>484</v>
      </c>
      <c r="L457" s="238" t="str">
        <f t="shared" si="31"/>
        <v>Reciclagem</v>
      </c>
      <c r="M457" s="238" t="s">
        <v>1923</v>
      </c>
      <c r="N457" s="238" t="s">
        <v>1922</v>
      </c>
      <c r="O457" s="114" t="str">
        <f>IFERROR(INDEX(Tabela3[Tipos de Tratamento],MATCH('A3.9.1 copy'!K457,Tabela3[Código],0)),"")</f>
        <v>Acumulação de resíduos destinados a uma das operações enumeradas de R1 a R12</v>
      </c>
      <c r="P457" s="91" t="s">
        <v>3299</v>
      </c>
      <c r="Q457" s="91" t="s">
        <v>3302</v>
      </c>
      <c r="S457">
        <v>2022</v>
      </c>
      <c r="T457" s="261" t="s">
        <v>3535</v>
      </c>
      <c r="U457" s="261" t="s">
        <v>3606</v>
      </c>
      <c r="V457" t="s">
        <v>42</v>
      </c>
    </row>
    <row r="458" spans="1:22" ht="15.75" thickBot="1" x14ac:dyDescent="0.3">
      <c r="A458" s="82" t="s">
        <v>4698</v>
      </c>
      <c r="B458" s="82" t="s">
        <v>4698</v>
      </c>
      <c r="C458" s="82" t="str">
        <f t="shared" si="29"/>
        <v>X</v>
      </c>
      <c r="D458" s="82" t="s">
        <v>42</v>
      </c>
      <c r="E458" s="142">
        <v>200127</v>
      </c>
      <c r="F458" s="83" t="s">
        <v>3263</v>
      </c>
      <c r="G458" s="125" t="s">
        <v>34</v>
      </c>
      <c r="H458" s="133">
        <v>78</v>
      </c>
      <c r="I458" s="125" t="s">
        <v>557</v>
      </c>
      <c r="J458" s="139">
        <f t="shared" si="30"/>
        <v>78</v>
      </c>
      <c r="K458" s="139" t="s">
        <v>473</v>
      </c>
      <c r="L458" s="238" t="str">
        <f t="shared" si="31"/>
        <v>Reciclagem</v>
      </c>
      <c r="M458" s="238" t="s">
        <v>1920</v>
      </c>
      <c r="N458" s="238" t="s">
        <v>1911</v>
      </c>
      <c r="O458" s="114" t="str">
        <f>IFERROR(INDEX(Tabela3[Tipos de Tratamento],MATCH('A3.9.1 copy'!K458,Tabela3[Código],0)),"")</f>
        <v xml:space="preserve">Recuperação/regeneração de solventes </v>
      </c>
      <c r="P458" s="91" t="s">
        <v>3299</v>
      </c>
      <c r="Q458" s="91" t="s">
        <v>3302</v>
      </c>
      <c r="S458">
        <v>2022</v>
      </c>
      <c r="T458" s="261" t="s">
        <v>3535</v>
      </c>
      <c r="U458" s="261" t="s">
        <v>3606</v>
      </c>
      <c r="V458" t="s">
        <v>42</v>
      </c>
    </row>
    <row r="459" spans="1:22" ht="15.75" thickBot="1" x14ac:dyDescent="0.3">
      <c r="A459" s="82" t="s">
        <v>4698</v>
      </c>
      <c r="B459" s="82" t="s">
        <v>4698</v>
      </c>
      <c r="C459" s="82" t="str">
        <f t="shared" si="29"/>
        <v>X</v>
      </c>
      <c r="D459" s="82" t="s">
        <v>42</v>
      </c>
      <c r="E459" s="142">
        <v>200136</v>
      </c>
      <c r="F459" s="83" t="s">
        <v>1568</v>
      </c>
      <c r="G459" s="125" t="s">
        <v>42</v>
      </c>
      <c r="H459" s="133">
        <v>216</v>
      </c>
      <c r="I459" s="125" t="s">
        <v>557</v>
      </c>
      <c r="J459" s="139">
        <f t="shared" si="30"/>
        <v>216</v>
      </c>
      <c r="K459" s="139" t="s">
        <v>484</v>
      </c>
      <c r="L459" s="238" t="str">
        <f t="shared" si="31"/>
        <v>Reciclagem</v>
      </c>
      <c r="M459" s="238" t="s">
        <v>1928</v>
      </c>
      <c r="N459" s="238" t="s">
        <v>1896</v>
      </c>
      <c r="O459" s="114" t="str">
        <f>IFERROR(INDEX(Tabela3[Tipos de Tratamento],MATCH('A3.9.1 copy'!K459,Tabela3[Código],0)),"")</f>
        <v>Acumulação de resíduos destinados a uma das operações enumeradas de R1 a R12</v>
      </c>
      <c r="P459" s="91" t="s">
        <v>3299</v>
      </c>
      <c r="Q459" s="91" t="s">
        <v>3302</v>
      </c>
      <c r="S459">
        <v>2022</v>
      </c>
      <c r="T459" s="261" t="s">
        <v>3535</v>
      </c>
      <c r="U459" s="261" t="s">
        <v>3606</v>
      </c>
      <c r="V459" t="s">
        <v>42</v>
      </c>
    </row>
    <row r="460" spans="1:22" ht="15.75" thickBot="1" x14ac:dyDescent="0.3">
      <c r="A460" s="82" t="s">
        <v>4698</v>
      </c>
      <c r="B460" s="82" t="s">
        <v>4698</v>
      </c>
      <c r="C460" s="82" t="str">
        <f t="shared" si="29"/>
        <v>X</v>
      </c>
      <c r="D460" s="82" t="s">
        <v>42</v>
      </c>
      <c r="E460" s="142">
        <v>200139</v>
      </c>
      <c r="F460" s="83" t="s">
        <v>3264</v>
      </c>
      <c r="G460" s="125" t="s">
        <v>42</v>
      </c>
      <c r="H460" s="133">
        <v>42</v>
      </c>
      <c r="I460" s="125" t="s">
        <v>557</v>
      </c>
      <c r="J460" s="139">
        <f t="shared" si="30"/>
        <v>42</v>
      </c>
      <c r="K460" s="139" t="s">
        <v>484</v>
      </c>
      <c r="L460" s="238" t="str">
        <f t="shared" si="31"/>
        <v>Reciclagem</v>
      </c>
      <c r="M460" s="238" t="s">
        <v>1560</v>
      </c>
      <c r="N460" s="238" t="s">
        <v>1922</v>
      </c>
      <c r="O460" s="114" t="str">
        <f>IFERROR(INDEX(Tabela3[Tipos de Tratamento],MATCH('A3.9.1 copy'!K460,Tabela3[Código],0)),"")</f>
        <v>Acumulação de resíduos destinados a uma das operações enumeradas de R1 a R12</v>
      </c>
      <c r="P460" s="91" t="s">
        <v>3299</v>
      </c>
      <c r="Q460" s="91" t="s">
        <v>3302</v>
      </c>
      <c r="R460" s="93"/>
      <c r="S460">
        <v>2022</v>
      </c>
      <c r="T460" s="261" t="s">
        <v>3535</v>
      </c>
      <c r="U460" s="261" t="s">
        <v>3606</v>
      </c>
      <c r="V460" t="s">
        <v>42</v>
      </c>
    </row>
    <row r="461" spans="1:22" ht="15.75" thickBot="1" x14ac:dyDescent="0.3">
      <c r="A461" s="82" t="s">
        <v>4698</v>
      </c>
      <c r="B461" s="82" t="s">
        <v>4698</v>
      </c>
      <c r="C461" s="82" t="str">
        <f t="shared" si="29"/>
        <v>X</v>
      </c>
      <c r="D461" s="82" t="s">
        <v>42</v>
      </c>
      <c r="E461" s="142">
        <v>200140</v>
      </c>
      <c r="F461" s="83" t="s">
        <v>3265</v>
      </c>
      <c r="G461" s="125" t="s">
        <v>42</v>
      </c>
      <c r="H461" s="133">
        <v>5340</v>
      </c>
      <c r="I461" s="125" t="s">
        <v>557</v>
      </c>
      <c r="J461" s="139">
        <f t="shared" si="30"/>
        <v>5340</v>
      </c>
      <c r="K461" s="139" t="s">
        <v>483</v>
      </c>
      <c r="L461" s="238" t="str">
        <f t="shared" si="31"/>
        <v>Reciclagem</v>
      </c>
      <c r="M461" s="238" t="s">
        <v>1925</v>
      </c>
      <c r="N461" s="238" t="s">
        <v>1922</v>
      </c>
      <c r="O461" s="114" t="str">
        <f>IFERROR(INDEX(Tabela3[Tipos de Tratamento],MATCH('A3.9.1 copy'!K461,Tabela3[Código],0)),"")</f>
        <v xml:space="preserve">Troca de resíduos com vista a submetê-los a uma das operações enumeradas de R 1 a R 11 </v>
      </c>
      <c r="P461" s="91" t="s">
        <v>3303</v>
      </c>
      <c r="Q461" s="91" t="s">
        <v>3307</v>
      </c>
      <c r="R461" s="93"/>
      <c r="S461">
        <v>2022</v>
      </c>
      <c r="T461" s="261" t="s">
        <v>3535</v>
      </c>
      <c r="U461" s="261" t="s">
        <v>3606</v>
      </c>
      <c r="V461" t="s">
        <v>42</v>
      </c>
    </row>
    <row r="462" spans="1:22" ht="15.75" thickBot="1" x14ac:dyDescent="0.3">
      <c r="A462" s="82" t="s">
        <v>4696</v>
      </c>
      <c r="B462" s="82" t="s">
        <v>4696</v>
      </c>
      <c r="C462" s="82" t="str">
        <f t="shared" si="29"/>
        <v>X</v>
      </c>
      <c r="D462" s="82" t="s">
        <v>42</v>
      </c>
      <c r="E462" s="142">
        <v>130208</v>
      </c>
      <c r="F462" s="83" t="s">
        <v>1531</v>
      </c>
      <c r="G462" s="125" t="s">
        <v>34</v>
      </c>
      <c r="H462" s="133">
        <v>7289</v>
      </c>
      <c r="I462" s="125" t="s">
        <v>557</v>
      </c>
      <c r="J462" s="139">
        <f t="shared" si="30"/>
        <v>7289</v>
      </c>
      <c r="K462" s="139" t="s">
        <v>480</v>
      </c>
      <c r="L462" s="238" t="str">
        <f t="shared" si="31"/>
        <v>Reciclagem</v>
      </c>
      <c r="M462" s="238" t="s">
        <v>1921</v>
      </c>
      <c r="N462" s="238" t="s">
        <v>1896</v>
      </c>
      <c r="O462" s="114" t="str">
        <f>IFERROR(INDEX(Tabela3[Tipos de Tratamento],MATCH('A3.9.1 copy'!K462,Tabela3[Código],0)),"")</f>
        <v xml:space="preserve">Regeneração de óleos e outras reutilizações de óleos </v>
      </c>
      <c r="P462" s="91" t="s">
        <v>3309</v>
      </c>
      <c r="Q462" s="91" t="s">
        <v>3310</v>
      </c>
      <c r="R462" s="93"/>
      <c r="S462">
        <v>2022</v>
      </c>
      <c r="T462" s="261" t="s">
        <v>3535</v>
      </c>
      <c r="U462" s="261" t="s">
        <v>3606</v>
      </c>
      <c r="V462" t="s">
        <v>42</v>
      </c>
    </row>
    <row r="463" spans="1:22" ht="15.75" thickBot="1" x14ac:dyDescent="0.3">
      <c r="A463" s="82" t="s">
        <v>4696</v>
      </c>
      <c r="B463" s="82" t="s">
        <v>4696</v>
      </c>
      <c r="C463" s="82" t="str">
        <f t="shared" si="29"/>
        <v>X</v>
      </c>
      <c r="D463" s="82" t="s">
        <v>42</v>
      </c>
      <c r="E463" s="142">
        <v>130502</v>
      </c>
      <c r="F463" s="83" t="s">
        <v>1569</v>
      </c>
      <c r="G463" s="125" t="s">
        <v>34</v>
      </c>
      <c r="H463" s="133">
        <v>600</v>
      </c>
      <c r="I463" s="125" t="s">
        <v>557</v>
      </c>
      <c r="J463" s="139">
        <f t="shared" si="30"/>
        <v>600</v>
      </c>
      <c r="K463" s="139" t="s">
        <v>503</v>
      </c>
      <c r="L463" s="238" t="str">
        <f t="shared" si="31"/>
        <v>Aterro</v>
      </c>
      <c r="M463" s="238" t="s">
        <v>1920</v>
      </c>
      <c r="N463" s="238" t="s">
        <v>1911</v>
      </c>
      <c r="O463" s="114" t="str">
        <f>IFERROR(INDEX(Tabela3[Tipos de Tratamento],MATCH('A3.9.1 copy'!K463,Tabela3[Código],0)),"")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463" s="91" t="s">
        <v>3299</v>
      </c>
      <c r="Q463" s="91" t="s">
        <v>3300</v>
      </c>
      <c r="S463">
        <v>2022</v>
      </c>
      <c r="T463" s="261" t="s">
        <v>3535</v>
      </c>
      <c r="U463" s="261" t="s">
        <v>3606</v>
      </c>
      <c r="V463" t="s">
        <v>42</v>
      </c>
    </row>
    <row r="464" spans="1:22" ht="15.75" thickBot="1" x14ac:dyDescent="0.3">
      <c r="A464" s="82" t="s">
        <v>4696</v>
      </c>
      <c r="B464" s="82" t="s">
        <v>4696</v>
      </c>
      <c r="C464" s="82" t="str">
        <f t="shared" si="29"/>
        <v>X</v>
      </c>
      <c r="D464" s="82" t="s">
        <v>42</v>
      </c>
      <c r="E464" s="142">
        <v>130507</v>
      </c>
      <c r="F464" s="83" t="s">
        <v>1572</v>
      </c>
      <c r="G464" s="125" t="s">
        <v>34</v>
      </c>
      <c r="H464" s="133">
        <v>5400</v>
      </c>
      <c r="I464" s="125" t="s">
        <v>557</v>
      </c>
      <c r="J464" s="139">
        <f t="shared" si="30"/>
        <v>5400</v>
      </c>
      <c r="K464" s="139" t="s">
        <v>503</v>
      </c>
      <c r="L464" s="238" t="str">
        <f t="shared" si="31"/>
        <v>Aterro</v>
      </c>
      <c r="M464" s="238" t="s">
        <v>1920</v>
      </c>
      <c r="N464" s="238" t="s">
        <v>1911</v>
      </c>
      <c r="O464" s="114" t="str">
        <f>IFERROR(INDEX(Tabela3[Tipos de Tratamento],MATCH('A3.9.1 copy'!K464,Tabela3[Código],0)),"")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464" s="91" t="s">
        <v>3299</v>
      </c>
      <c r="Q464" s="91" t="s">
        <v>3300</v>
      </c>
      <c r="R464" s="93"/>
      <c r="S464">
        <v>2022</v>
      </c>
      <c r="T464" s="261" t="s">
        <v>3535</v>
      </c>
      <c r="U464" s="261" t="s">
        <v>3606</v>
      </c>
      <c r="V464" t="s">
        <v>42</v>
      </c>
    </row>
    <row r="465" spans="1:22" ht="15.75" thickBot="1" x14ac:dyDescent="0.3">
      <c r="A465" s="82" t="s">
        <v>4696</v>
      </c>
      <c r="B465" s="82" t="s">
        <v>4696</v>
      </c>
      <c r="C465" s="82" t="str">
        <f t="shared" si="29"/>
        <v>X</v>
      </c>
      <c r="D465" s="82" t="s">
        <v>42</v>
      </c>
      <c r="E465" s="142">
        <v>150110</v>
      </c>
      <c r="F465" s="83" t="s">
        <v>1542</v>
      </c>
      <c r="G465" s="125" t="s">
        <v>34</v>
      </c>
      <c r="H465" s="133">
        <v>249</v>
      </c>
      <c r="I465" s="125" t="s">
        <v>557</v>
      </c>
      <c r="J465" s="139">
        <f t="shared" si="30"/>
        <v>249</v>
      </c>
      <c r="K465" s="139" t="s">
        <v>509</v>
      </c>
      <c r="L465" s="238" t="str">
        <f t="shared" si="31"/>
        <v>Aterro</v>
      </c>
      <c r="M465" s="238" t="s">
        <v>1920</v>
      </c>
      <c r="N465" s="238" t="s">
        <v>1911</v>
      </c>
      <c r="O465" s="114" t="str">
        <f>IFERROR(INDEX(Tabela3[Tipos de Tratamento],MATCH('A3.9.1 copy'!K465,Tabela3[Código],0)),"")</f>
        <v>Armazenagem enquanto se aguarda a execução de uma das operações enumeradas de D1 a D14</v>
      </c>
      <c r="P465" s="91" t="s">
        <v>3299</v>
      </c>
      <c r="Q465" s="91" t="s">
        <v>3302</v>
      </c>
      <c r="S465">
        <v>2022</v>
      </c>
      <c r="T465" s="261" t="s">
        <v>3535</v>
      </c>
      <c r="U465" s="261" t="s">
        <v>3606</v>
      </c>
      <c r="V465" t="s">
        <v>42</v>
      </c>
    </row>
    <row r="466" spans="1:22" ht="15.75" thickBot="1" x14ac:dyDescent="0.3">
      <c r="A466" s="82" t="s">
        <v>4696</v>
      </c>
      <c r="B466" s="82" t="s">
        <v>4696</v>
      </c>
      <c r="C466" s="82" t="str">
        <f t="shared" si="29"/>
        <v>X</v>
      </c>
      <c r="D466" s="82" t="s">
        <v>42</v>
      </c>
      <c r="E466" s="142">
        <v>150202</v>
      </c>
      <c r="F466" s="83" t="s">
        <v>1547</v>
      </c>
      <c r="G466" s="125" t="s">
        <v>34</v>
      </c>
      <c r="H466" s="133">
        <v>1050</v>
      </c>
      <c r="I466" s="125" t="s">
        <v>557</v>
      </c>
      <c r="J466" s="139">
        <f t="shared" si="30"/>
        <v>1050</v>
      </c>
      <c r="K466" s="139" t="s">
        <v>509</v>
      </c>
      <c r="L466" s="238" t="str">
        <f t="shared" si="31"/>
        <v>Aterro</v>
      </c>
      <c r="M466" s="238" t="s">
        <v>1920</v>
      </c>
      <c r="N466" s="238" t="s">
        <v>1911</v>
      </c>
      <c r="O466" s="114" t="str">
        <f>IFERROR(INDEX(Tabela3[Tipos de Tratamento],MATCH('A3.9.1 copy'!K466,Tabela3[Código],0)),"")</f>
        <v>Armazenagem enquanto se aguarda a execução de uma das operações enumeradas de D1 a D14</v>
      </c>
      <c r="P466" s="91" t="s">
        <v>3299</v>
      </c>
      <c r="Q466" s="91" t="s">
        <v>3302</v>
      </c>
      <c r="S466">
        <v>2022</v>
      </c>
      <c r="T466" s="261" t="s">
        <v>3535</v>
      </c>
      <c r="U466" s="261" t="s">
        <v>3606</v>
      </c>
      <c r="V466" t="s">
        <v>42</v>
      </c>
    </row>
    <row r="467" spans="1:22" ht="15.75" thickBot="1" x14ac:dyDescent="0.3">
      <c r="A467" s="82" t="s">
        <v>4696</v>
      </c>
      <c r="B467" s="82" t="s">
        <v>4696</v>
      </c>
      <c r="C467" s="82" t="str">
        <f t="shared" si="29"/>
        <v>X</v>
      </c>
      <c r="D467" s="82" t="s">
        <v>42</v>
      </c>
      <c r="E467" s="142">
        <v>150203</v>
      </c>
      <c r="F467" s="83" t="s">
        <v>1550</v>
      </c>
      <c r="G467" s="125" t="s">
        <v>42</v>
      </c>
      <c r="H467" s="133">
        <v>331</v>
      </c>
      <c r="I467" s="125" t="s">
        <v>557</v>
      </c>
      <c r="J467" s="139">
        <f t="shared" si="30"/>
        <v>331</v>
      </c>
      <c r="K467" s="139" t="s">
        <v>509</v>
      </c>
      <c r="L467" s="238" t="str">
        <f t="shared" si="31"/>
        <v>Aterro</v>
      </c>
      <c r="M467" s="238" t="s">
        <v>1920</v>
      </c>
      <c r="N467" s="238" t="s">
        <v>1911</v>
      </c>
      <c r="O467" s="114" t="str">
        <f>IFERROR(INDEX(Tabela3[Tipos de Tratamento],MATCH('A3.9.1 copy'!K467,Tabela3[Código],0)),"")</f>
        <v>Armazenagem enquanto se aguarda a execução de uma das operações enumeradas de D1 a D14</v>
      </c>
      <c r="P467" s="91" t="s">
        <v>3299</v>
      </c>
      <c r="Q467" s="91" t="s">
        <v>3302</v>
      </c>
      <c r="S467">
        <v>2022</v>
      </c>
      <c r="T467" s="261" t="s">
        <v>3535</v>
      </c>
      <c r="U467" s="261" t="s">
        <v>3606</v>
      </c>
      <c r="V467" t="s">
        <v>42</v>
      </c>
    </row>
    <row r="468" spans="1:22" ht="15.75" thickBot="1" x14ac:dyDescent="0.3">
      <c r="A468" s="82" t="s">
        <v>4696</v>
      </c>
      <c r="B468" s="82" t="s">
        <v>4696</v>
      </c>
      <c r="C468" s="82" t="str">
        <f t="shared" si="29"/>
        <v>X</v>
      </c>
      <c r="D468" s="82" t="s">
        <v>42</v>
      </c>
      <c r="E468" s="142">
        <v>160104</v>
      </c>
      <c r="F468" s="83" t="s">
        <v>1584</v>
      </c>
      <c r="G468" s="125" t="s">
        <v>42</v>
      </c>
      <c r="H468" s="133">
        <v>27200</v>
      </c>
      <c r="I468" s="125" t="s">
        <v>557</v>
      </c>
      <c r="J468" s="139">
        <f t="shared" si="30"/>
        <v>27200</v>
      </c>
      <c r="K468" s="139" t="s">
        <v>483</v>
      </c>
      <c r="L468" s="238" t="str">
        <f t="shared" si="31"/>
        <v>Reciclagem</v>
      </c>
      <c r="M468" s="238" t="s">
        <v>1926</v>
      </c>
      <c r="N468" s="238" t="s">
        <v>1922</v>
      </c>
      <c r="O468" s="114" t="str">
        <f>IFERROR(INDEX(Tabela3[Tipos de Tratamento],MATCH('A3.9.1 copy'!K468,Tabela3[Código],0)),"")</f>
        <v xml:space="preserve">Troca de resíduos com vista a submetê-los a uma das operações enumeradas de R 1 a R 11 </v>
      </c>
      <c r="P468" s="91" t="s">
        <v>3305</v>
      </c>
      <c r="Q468" s="91" t="s">
        <v>3306</v>
      </c>
      <c r="R468" s="93"/>
      <c r="S468">
        <v>2022</v>
      </c>
      <c r="T468" s="261" t="s">
        <v>3535</v>
      </c>
      <c r="U468" s="261" t="s">
        <v>3606</v>
      </c>
      <c r="V468" t="s">
        <v>42</v>
      </c>
    </row>
    <row r="469" spans="1:22" ht="15.75" thickBot="1" x14ac:dyDescent="0.3">
      <c r="A469" s="82" t="s">
        <v>4696</v>
      </c>
      <c r="B469" s="82" t="s">
        <v>4696</v>
      </c>
      <c r="C469" s="82" t="str">
        <f t="shared" si="29"/>
        <v>X</v>
      </c>
      <c r="D469" s="82" t="s">
        <v>42</v>
      </c>
      <c r="E469" s="142">
        <v>160107</v>
      </c>
      <c r="F469" s="83" t="s">
        <v>1551</v>
      </c>
      <c r="G469" s="125" t="s">
        <v>34</v>
      </c>
      <c r="H469" s="133">
        <v>837</v>
      </c>
      <c r="I469" s="125" t="s">
        <v>557</v>
      </c>
      <c r="J469" s="139">
        <f t="shared" si="30"/>
        <v>837</v>
      </c>
      <c r="K469" s="139" t="s">
        <v>484</v>
      </c>
      <c r="L469" s="238" t="str">
        <f t="shared" si="31"/>
        <v>Reciclagem</v>
      </c>
      <c r="M469" s="238" t="s">
        <v>1920</v>
      </c>
      <c r="N469" s="238" t="s">
        <v>1911</v>
      </c>
      <c r="O469" s="114" t="str">
        <f>IFERROR(INDEX(Tabela3[Tipos de Tratamento],MATCH('A3.9.1 copy'!K469,Tabela3[Código],0)),"")</f>
        <v>Acumulação de resíduos destinados a uma das operações enumeradas de R1 a R12</v>
      </c>
      <c r="P469" s="91" t="s">
        <v>3299</v>
      </c>
      <c r="Q469" s="91" t="s">
        <v>3302</v>
      </c>
      <c r="S469">
        <v>2022</v>
      </c>
      <c r="T469" s="261" t="s">
        <v>3535</v>
      </c>
      <c r="U469" s="261" t="s">
        <v>3606</v>
      </c>
      <c r="V469" t="s">
        <v>42</v>
      </c>
    </row>
    <row r="470" spans="1:22" ht="15.75" thickBot="1" x14ac:dyDescent="0.3">
      <c r="A470" s="82" t="s">
        <v>4696</v>
      </c>
      <c r="B470" s="82" t="s">
        <v>4696</v>
      </c>
      <c r="C470" s="82" t="str">
        <f t="shared" si="29"/>
        <v>X</v>
      </c>
      <c r="D470" s="82" t="s">
        <v>42</v>
      </c>
      <c r="E470" s="142">
        <v>160112</v>
      </c>
      <c r="F470" s="83" t="s">
        <v>1552</v>
      </c>
      <c r="G470" s="125" t="s">
        <v>34</v>
      </c>
      <c r="H470" s="133">
        <v>1616</v>
      </c>
      <c r="I470" s="125" t="s">
        <v>557</v>
      </c>
      <c r="J470" s="139">
        <f t="shared" si="30"/>
        <v>1616</v>
      </c>
      <c r="K470" s="139" t="s">
        <v>509</v>
      </c>
      <c r="L470" s="238" t="str">
        <f t="shared" si="31"/>
        <v>Aterro</v>
      </c>
      <c r="M470" s="238" t="s">
        <v>1557</v>
      </c>
      <c r="N470" s="238" t="s">
        <v>1922</v>
      </c>
      <c r="O470" s="114" t="str">
        <f>IFERROR(INDEX(Tabela3[Tipos de Tratamento],MATCH('A3.9.1 copy'!K470,Tabela3[Código],0)),"")</f>
        <v>Armazenagem enquanto se aguarda a execução de uma das operações enumeradas de D1 a D14</v>
      </c>
      <c r="P470" s="91" t="s">
        <v>3299</v>
      </c>
      <c r="Q470" s="91" t="s">
        <v>3302</v>
      </c>
      <c r="S470">
        <v>2022</v>
      </c>
      <c r="T470" s="261" t="s">
        <v>3535</v>
      </c>
      <c r="U470" s="261" t="s">
        <v>3606</v>
      </c>
      <c r="V470" t="s">
        <v>42</v>
      </c>
    </row>
    <row r="471" spans="1:22" ht="15.75" thickBot="1" x14ac:dyDescent="0.3">
      <c r="A471" s="82" t="s">
        <v>4696</v>
      </c>
      <c r="B471" s="82" t="s">
        <v>4696</v>
      </c>
      <c r="C471" s="82" t="str">
        <f t="shared" si="29"/>
        <v>X</v>
      </c>
      <c r="D471" s="82" t="s">
        <v>42</v>
      </c>
      <c r="E471" s="142">
        <v>160117</v>
      </c>
      <c r="F471" s="83" t="s">
        <v>1557</v>
      </c>
      <c r="G471" s="125" t="s">
        <v>42</v>
      </c>
      <c r="H471" s="133">
        <v>1000</v>
      </c>
      <c r="I471" s="125" t="s">
        <v>557</v>
      </c>
      <c r="J471" s="139">
        <f t="shared" si="30"/>
        <v>1000</v>
      </c>
      <c r="K471" s="139" t="s">
        <v>483</v>
      </c>
      <c r="L471" s="238" t="str">
        <f t="shared" si="31"/>
        <v>Reciclagem</v>
      </c>
      <c r="M471" s="238" t="s">
        <v>1557</v>
      </c>
      <c r="N471" s="238" t="s">
        <v>1922</v>
      </c>
      <c r="O471" s="114" t="str">
        <f>IFERROR(INDEX(Tabela3[Tipos de Tratamento],MATCH('A3.9.1 copy'!K471,Tabela3[Código],0)),"")</f>
        <v xml:space="preserve">Troca de resíduos com vista a submetê-los a uma das operações enumeradas de R 1 a R 11 </v>
      </c>
      <c r="P471" s="91" t="s">
        <v>3305</v>
      </c>
      <c r="Q471" s="91" t="s">
        <v>3305</v>
      </c>
      <c r="S471">
        <v>2022</v>
      </c>
      <c r="T471" s="261" t="s">
        <v>3535</v>
      </c>
      <c r="U471" s="261" t="s">
        <v>3606</v>
      </c>
      <c r="V471" t="s">
        <v>42</v>
      </c>
    </row>
    <row r="472" spans="1:22" ht="15.75" thickBot="1" x14ac:dyDescent="0.3">
      <c r="A472" s="82" t="s">
        <v>4696</v>
      </c>
      <c r="B472" s="82" t="s">
        <v>4696</v>
      </c>
      <c r="C472" s="82" t="str">
        <f t="shared" si="29"/>
        <v>X</v>
      </c>
      <c r="D472" s="82" t="s">
        <v>42</v>
      </c>
      <c r="E472" s="142">
        <v>160117</v>
      </c>
      <c r="F472" s="83" t="s">
        <v>1557</v>
      </c>
      <c r="G472" s="125" t="s">
        <v>42</v>
      </c>
      <c r="H472" s="133">
        <v>4820</v>
      </c>
      <c r="I472" s="125" t="s">
        <v>557</v>
      </c>
      <c r="J472" s="139">
        <f t="shared" si="30"/>
        <v>4820</v>
      </c>
      <c r="K472" s="139" t="s">
        <v>483</v>
      </c>
      <c r="L472" s="238" t="str">
        <f t="shared" si="31"/>
        <v>Reciclagem</v>
      </c>
      <c r="M472" s="238" t="s">
        <v>1557</v>
      </c>
      <c r="N472" s="238" t="s">
        <v>1922</v>
      </c>
      <c r="O472" s="114" t="str">
        <f>IFERROR(INDEX(Tabela3[Tipos de Tratamento],MATCH('A3.9.1 copy'!K472,Tabela3[Código],0)),"")</f>
        <v xml:space="preserve">Troca de resíduos com vista a submetê-los a uma das operações enumeradas de R 1 a R 11 </v>
      </c>
      <c r="P472" s="91" t="s">
        <v>3303</v>
      </c>
      <c r="Q472" s="91" t="s">
        <v>3307</v>
      </c>
      <c r="R472" s="93"/>
      <c r="S472">
        <v>2022</v>
      </c>
      <c r="T472" s="261" t="s">
        <v>3535</v>
      </c>
      <c r="U472" s="261" t="s">
        <v>3606</v>
      </c>
      <c r="V472" t="s">
        <v>42</v>
      </c>
    </row>
    <row r="473" spans="1:22" ht="15.75" thickBot="1" x14ac:dyDescent="0.3">
      <c r="A473" s="82" t="s">
        <v>4696</v>
      </c>
      <c r="B473" s="82" t="s">
        <v>4696</v>
      </c>
      <c r="C473" s="82" t="str">
        <f t="shared" si="29"/>
        <v>X</v>
      </c>
      <c r="D473" s="82" t="s">
        <v>42</v>
      </c>
      <c r="E473" s="142">
        <v>160199</v>
      </c>
      <c r="F473" s="83" t="s">
        <v>1562</v>
      </c>
      <c r="G473" s="125" t="s">
        <v>42</v>
      </c>
      <c r="H473" s="133">
        <v>2428</v>
      </c>
      <c r="I473" s="125" t="s">
        <v>557</v>
      </c>
      <c r="J473" s="139">
        <f t="shared" si="30"/>
        <v>2428</v>
      </c>
      <c r="K473" s="139" t="s">
        <v>509</v>
      </c>
      <c r="L473" s="238" t="str">
        <f t="shared" si="31"/>
        <v>Aterro</v>
      </c>
      <c r="M473" s="238" t="s">
        <v>1920</v>
      </c>
      <c r="N473" s="238" t="s">
        <v>1911</v>
      </c>
      <c r="O473" s="114" t="str">
        <f>IFERROR(INDEX(Tabela3[Tipos de Tratamento],MATCH('A3.9.1 copy'!K473,Tabela3[Código],0)),"")</f>
        <v>Armazenagem enquanto se aguarda a execução de uma das operações enumeradas de D1 a D14</v>
      </c>
      <c r="P473" s="91" t="s">
        <v>3299</v>
      </c>
      <c r="Q473" s="91" t="s">
        <v>3308</v>
      </c>
      <c r="R473" s="93"/>
      <c r="S473">
        <v>2022</v>
      </c>
      <c r="T473" s="261" t="s">
        <v>3535</v>
      </c>
      <c r="U473" s="261" t="s">
        <v>3606</v>
      </c>
      <c r="V473" t="s">
        <v>42</v>
      </c>
    </row>
    <row r="474" spans="1:22" ht="15.75" thickBot="1" x14ac:dyDescent="0.3">
      <c r="A474" s="82" t="s">
        <v>4696</v>
      </c>
      <c r="B474" s="82" t="s">
        <v>4696</v>
      </c>
      <c r="C474" s="82" t="str">
        <f t="shared" si="29"/>
        <v>X</v>
      </c>
      <c r="D474" s="82" t="s">
        <v>42</v>
      </c>
      <c r="E474" s="142">
        <v>160504</v>
      </c>
      <c r="F474" s="83" t="s">
        <v>3266</v>
      </c>
      <c r="G474" s="125" t="s">
        <v>34</v>
      </c>
      <c r="H474" s="133">
        <v>74</v>
      </c>
      <c r="I474" s="125" t="s">
        <v>557</v>
      </c>
      <c r="J474" s="139">
        <f t="shared" si="30"/>
        <v>74</v>
      </c>
      <c r="K474" s="139" t="s">
        <v>509</v>
      </c>
      <c r="L474" s="238" t="str">
        <f t="shared" si="31"/>
        <v>Aterro</v>
      </c>
      <c r="M474" s="238" t="s">
        <v>1920</v>
      </c>
      <c r="N474" s="238" t="s">
        <v>1911</v>
      </c>
      <c r="O474" s="114" t="str">
        <f>IFERROR(INDEX(Tabela3[Tipos de Tratamento],MATCH('A3.9.1 copy'!K474,Tabela3[Código],0)),"")</f>
        <v>Armazenagem enquanto se aguarda a execução de uma das operações enumeradas de D1 a D14</v>
      </c>
      <c r="P474" s="91" t="s">
        <v>3299</v>
      </c>
      <c r="Q474" s="91" t="s">
        <v>3302</v>
      </c>
      <c r="S474">
        <v>2022</v>
      </c>
      <c r="T474" s="261" t="s">
        <v>3535</v>
      </c>
      <c r="U474" s="261" t="s">
        <v>3606</v>
      </c>
      <c r="V474" t="s">
        <v>42</v>
      </c>
    </row>
    <row r="475" spans="1:22" ht="15.75" thickBot="1" x14ac:dyDescent="0.3">
      <c r="A475" s="82" t="s">
        <v>4696</v>
      </c>
      <c r="B475" s="82" t="s">
        <v>4696</v>
      </c>
      <c r="C475" s="82" t="str">
        <f t="shared" si="29"/>
        <v>X</v>
      </c>
      <c r="D475" s="82" t="s">
        <v>42</v>
      </c>
      <c r="E475" s="142">
        <v>160601</v>
      </c>
      <c r="F475" s="83" t="s">
        <v>1563</v>
      </c>
      <c r="G475" s="125" t="s">
        <v>34</v>
      </c>
      <c r="H475" s="133">
        <v>3045</v>
      </c>
      <c r="I475" s="125" t="s">
        <v>557</v>
      </c>
      <c r="J475" s="139">
        <f t="shared" si="30"/>
        <v>3045</v>
      </c>
      <c r="K475" s="139" t="s">
        <v>484</v>
      </c>
      <c r="L475" s="238" t="str">
        <f t="shared" si="31"/>
        <v>Reciclagem</v>
      </c>
      <c r="M475" s="238" t="s">
        <v>1653</v>
      </c>
      <c r="N475" s="238" t="s">
        <v>1896</v>
      </c>
      <c r="O475" s="114" t="str">
        <f>IFERROR(INDEX(Tabela3[Tipos de Tratamento],MATCH('A3.9.1 copy'!K475,Tabela3[Código],0)),"")</f>
        <v>Acumulação de resíduos destinados a uma das operações enumeradas de R1 a R12</v>
      </c>
      <c r="P475" s="91" t="s">
        <v>3305</v>
      </c>
      <c r="Q475" s="91" t="s">
        <v>3305</v>
      </c>
      <c r="R475" s="93"/>
      <c r="S475">
        <v>2022</v>
      </c>
      <c r="T475" s="261" t="s">
        <v>3535</v>
      </c>
      <c r="U475" s="261" t="s">
        <v>3606</v>
      </c>
      <c r="V475" t="s">
        <v>42</v>
      </c>
    </row>
    <row r="476" spans="1:22" ht="15.75" thickBot="1" x14ac:dyDescent="0.3">
      <c r="A476" s="82" t="s">
        <v>4696</v>
      </c>
      <c r="B476" s="82" t="s">
        <v>4696</v>
      </c>
      <c r="C476" s="82" t="str">
        <f t="shared" si="29"/>
        <v>X</v>
      </c>
      <c r="D476" s="82" t="s">
        <v>42</v>
      </c>
      <c r="E476" s="142">
        <v>170107</v>
      </c>
      <c r="F476" s="83" t="s">
        <v>3267</v>
      </c>
      <c r="G476" s="125" t="s">
        <v>42</v>
      </c>
      <c r="H476" s="133">
        <v>1200</v>
      </c>
      <c r="I476" s="125" t="s">
        <v>557</v>
      </c>
      <c r="J476" s="139">
        <f t="shared" si="30"/>
        <v>1200</v>
      </c>
      <c r="K476" s="139" t="s">
        <v>509</v>
      </c>
      <c r="L476" s="238" t="str">
        <f t="shared" si="31"/>
        <v>Aterro</v>
      </c>
      <c r="M476" s="238" t="s">
        <v>1920</v>
      </c>
      <c r="N476" s="238" t="s">
        <v>1911</v>
      </c>
      <c r="O476" s="114" t="str">
        <f>IFERROR(INDEX(Tabela3[Tipos de Tratamento],MATCH('A3.9.1 copy'!K476,Tabela3[Código],0)),"")</f>
        <v>Armazenagem enquanto se aguarda a execução de uma das operações enumeradas de D1 a D14</v>
      </c>
      <c r="P476" s="91" t="s">
        <v>3299</v>
      </c>
      <c r="Q476" s="91" t="s">
        <v>3299</v>
      </c>
      <c r="S476">
        <v>2022</v>
      </c>
      <c r="T476" s="261" t="s">
        <v>3535</v>
      </c>
      <c r="U476" s="261" t="s">
        <v>3606</v>
      </c>
      <c r="V476" t="s">
        <v>42</v>
      </c>
    </row>
    <row r="477" spans="1:22" ht="15.75" thickBot="1" x14ac:dyDescent="0.3">
      <c r="A477" s="82" t="s">
        <v>4696</v>
      </c>
      <c r="B477" s="82" t="s">
        <v>4696</v>
      </c>
      <c r="C477" s="82" t="str">
        <f t="shared" si="29"/>
        <v>X</v>
      </c>
      <c r="D477" s="82" t="s">
        <v>42</v>
      </c>
      <c r="E477" s="142">
        <v>200101</v>
      </c>
      <c r="F477" s="83" t="s">
        <v>1597</v>
      </c>
      <c r="G477" s="125" t="s">
        <v>42</v>
      </c>
      <c r="H477" s="133">
        <v>725</v>
      </c>
      <c r="I477" s="125" t="s">
        <v>557</v>
      </c>
      <c r="J477" s="139">
        <f t="shared" si="30"/>
        <v>725</v>
      </c>
      <c r="K477" s="139" t="s">
        <v>484</v>
      </c>
      <c r="L477" s="238" t="str">
        <f t="shared" si="31"/>
        <v>Reciclagem</v>
      </c>
      <c r="M477" s="238" t="s">
        <v>1923</v>
      </c>
      <c r="N477" s="238" t="s">
        <v>1922</v>
      </c>
      <c r="O477" s="114" t="str">
        <f>IFERROR(INDEX(Tabela3[Tipos de Tratamento],MATCH('A3.9.1 copy'!K477,Tabela3[Código],0)),"")</f>
        <v>Acumulação de resíduos destinados a uma das operações enumeradas de R1 a R12</v>
      </c>
      <c r="P477" s="91" t="s">
        <v>3299</v>
      </c>
      <c r="Q477" s="91" t="s">
        <v>3302</v>
      </c>
      <c r="S477">
        <v>2022</v>
      </c>
      <c r="T477" s="261" t="s">
        <v>3535</v>
      </c>
      <c r="U477" s="261" t="s">
        <v>3606</v>
      </c>
      <c r="V477" t="s">
        <v>42</v>
      </c>
    </row>
    <row r="478" spans="1:22" ht="15.75" thickBot="1" x14ac:dyDescent="0.3">
      <c r="A478" s="82" t="s">
        <v>4696</v>
      </c>
      <c r="B478" s="82" t="s">
        <v>4696</v>
      </c>
      <c r="C478" s="82" t="str">
        <f t="shared" si="29"/>
        <v>X</v>
      </c>
      <c r="D478" s="82" t="s">
        <v>42</v>
      </c>
      <c r="E478" s="142">
        <v>200136</v>
      </c>
      <c r="F478" s="83" t="s">
        <v>1568</v>
      </c>
      <c r="G478" s="125" t="s">
        <v>42</v>
      </c>
      <c r="H478" s="133">
        <v>262</v>
      </c>
      <c r="I478" s="125" t="s">
        <v>557</v>
      </c>
      <c r="J478" s="139">
        <f t="shared" si="30"/>
        <v>262</v>
      </c>
      <c r="K478" s="139" t="s">
        <v>484</v>
      </c>
      <c r="L478" s="238" t="str">
        <f t="shared" si="31"/>
        <v>Reciclagem</v>
      </c>
      <c r="M478" s="238" t="s">
        <v>1928</v>
      </c>
      <c r="N478" s="238" t="s">
        <v>1896</v>
      </c>
      <c r="O478" s="114" t="str">
        <f>IFERROR(INDEX(Tabela3[Tipos de Tratamento],MATCH('A3.9.1 copy'!K478,Tabela3[Código],0)),"")</f>
        <v>Acumulação de resíduos destinados a uma das operações enumeradas de R1 a R12</v>
      </c>
      <c r="P478" s="91" t="s">
        <v>3299</v>
      </c>
      <c r="Q478" s="91" t="s">
        <v>3302</v>
      </c>
      <c r="S478">
        <v>2022</v>
      </c>
      <c r="T478" s="261" t="s">
        <v>3535</v>
      </c>
      <c r="U478" s="261" t="s">
        <v>3606</v>
      </c>
      <c r="V478" t="s">
        <v>42</v>
      </c>
    </row>
    <row r="479" spans="1:22" ht="15.75" thickBot="1" x14ac:dyDescent="0.3">
      <c r="A479" s="82" t="s">
        <v>4696</v>
      </c>
      <c r="B479" s="82" t="s">
        <v>4696</v>
      </c>
      <c r="C479" s="82" t="str">
        <f t="shared" si="29"/>
        <v>X</v>
      </c>
      <c r="D479" s="82" t="s">
        <v>42</v>
      </c>
      <c r="E479" s="142">
        <v>200139</v>
      </c>
      <c r="F479" s="83" t="s">
        <v>3264</v>
      </c>
      <c r="G479" s="125" t="s">
        <v>42</v>
      </c>
      <c r="H479" s="133">
        <v>117</v>
      </c>
      <c r="I479" s="125" t="s">
        <v>557</v>
      </c>
      <c r="J479" s="139">
        <f t="shared" si="30"/>
        <v>117</v>
      </c>
      <c r="K479" s="139" t="s">
        <v>509</v>
      </c>
      <c r="L479" s="238" t="str">
        <f t="shared" si="31"/>
        <v>Aterro</v>
      </c>
      <c r="M479" s="238" t="s">
        <v>1560</v>
      </c>
      <c r="N479" s="238" t="s">
        <v>1922</v>
      </c>
      <c r="O479" s="114" t="str">
        <f>IFERROR(INDEX(Tabela3[Tipos de Tratamento],MATCH('A3.9.1 copy'!K479,Tabela3[Código],0)),"")</f>
        <v>Armazenagem enquanto se aguarda a execução de uma das operações enumeradas de D1 a D14</v>
      </c>
      <c r="P479" s="91" t="s">
        <v>3299</v>
      </c>
      <c r="Q479" s="91" t="s">
        <v>3302</v>
      </c>
      <c r="S479">
        <v>2022</v>
      </c>
      <c r="T479" s="261" t="s">
        <v>3535</v>
      </c>
      <c r="U479" s="261" t="s">
        <v>3606</v>
      </c>
      <c r="V479" t="s">
        <v>42</v>
      </c>
    </row>
    <row r="480" spans="1:22" ht="15.75" thickBot="1" x14ac:dyDescent="0.3">
      <c r="A480" s="82" t="s">
        <v>4696</v>
      </c>
      <c r="B480" s="82" t="s">
        <v>4696</v>
      </c>
      <c r="C480" s="82" t="str">
        <f t="shared" si="29"/>
        <v>X</v>
      </c>
      <c r="D480" s="82" t="s">
        <v>42</v>
      </c>
      <c r="E480" s="142">
        <v>200306</v>
      </c>
      <c r="F480" s="83" t="s">
        <v>3268</v>
      </c>
      <c r="G480" s="125" t="s">
        <v>42</v>
      </c>
      <c r="H480" s="133">
        <v>10780</v>
      </c>
      <c r="I480" s="125" t="s">
        <v>557</v>
      </c>
      <c r="J480" s="139">
        <f t="shared" si="30"/>
        <v>10780</v>
      </c>
      <c r="K480" s="139" t="s">
        <v>509</v>
      </c>
      <c r="L480" s="238" t="str">
        <f t="shared" si="31"/>
        <v>Aterro</v>
      </c>
      <c r="M480" s="238" t="s">
        <v>1920</v>
      </c>
      <c r="N480" s="238" t="s">
        <v>1911</v>
      </c>
      <c r="O480" s="114" t="str">
        <f>IFERROR(INDEX(Tabela3[Tipos de Tratamento],MATCH('A3.9.1 copy'!K480,Tabela3[Código],0)),"")</f>
        <v>Armazenagem enquanto se aguarda a execução de uma das operações enumeradas de D1 a D14</v>
      </c>
      <c r="P480" s="91" t="s">
        <v>3299</v>
      </c>
      <c r="Q480" s="91" t="s">
        <v>3300</v>
      </c>
      <c r="R480" s="93"/>
      <c r="S480">
        <v>2022</v>
      </c>
      <c r="T480" s="261" t="s">
        <v>3535</v>
      </c>
      <c r="U480" s="261" t="s">
        <v>3606</v>
      </c>
      <c r="V480" t="s">
        <v>42</v>
      </c>
    </row>
    <row r="481" spans="1:22" ht="15.75" thickBot="1" x14ac:dyDescent="0.3">
      <c r="A481" s="82" t="s">
        <v>4695</v>
      </c>
      <c r="B481" s="82" t="s">
        <v>4695</v>
      </c>
      <c r="C481" s="82" t="str">
        <f t="shared" si="29"/>
        <v>X</v>
      </c>
      <c r="D481" s="82" t="s">
        <v>42</v>
      </c>
      <c r="E481" s="142">
        <v>130208</v>
      </c>
      <c r="F481" s="83" t="s">
        <v>1531</v>
      </c>
      <c r="G481" s="125" t="s">
        <v>34</v>
      </c>
      <c r="H481" s="133">
        <v>6664</v>
      </c>
      <c r="I481" s="125" t="s">
        <v>557</v>
      </c>
      <c r="J481" s="139">
        <f t="shared" si="30"/>
        <v>6664</v>
      </c>
      <c r="K481" s="139" t="s">
        <v>480</v>
      </c>
      <c r="L481" s="238" t="str">
        <f t="shared" si="31"/>
        <v>Reciclagem</v>
      </c>
      <c r="M481" s="238" t="s">
        <v>1921</v>
      </c>
      <c r="N481" s="238" t="s">
        <v>1896</v>
      </c>
      <c r="O481" s="114" t="str">
        <f>IFERROR(INDEX(Tabela3[Tipos de Tratamento],MATCH('A3.9.1 copy'!K481,Tabela3[Código],0)),"")</f>
        <v xml:space="preserve">Regeneração de óleos e outras reutilizações de óleos </v>
      </c>
      <c r="P481" s="91" t="s">
        <v>3309</v>
      </c>
      <c r="Q481" s="91" t="s">
        <v>3311</v>
      </c>
      <c r="R481" s="93"/>
      <c r="S481">
        <v>2022</v>
      </c>
      <c r="T481" s="261" t="s">
        <v>3535</v>
      </c>
      <c r="U481" s="261" t="s">
        <v>3606</v>
      </c>
      <c r="V481" t="s">
        <v>42</v>
      </c>
    </row>
    <row r="482" spans="1:22" ht="15.75" thickBot="1" x14ac:dyDescent="0.3">
      <c r="A482" s="82" t="s">
        <v>4695</v>
      </c>
      <c r="B482" s="82" t="s">
        <v>4695</v>
      </c>
      <c r="C482" s="82" t="str">
        <f t="shared" si="29"/>
        <v>X</v>
      </c>
      <c r="D482" s="82" t="s">
        <v>42</v>
      </c>
      <c r="E482" s="142">
        <v>130502</v>
      </c>
      <c r="F482" s="83" t="s">
        <v>1569</v>
      </c>
      <c r="G482" s="125" t="s">
        <v>34</v>
      </c>
      <c r="H482" s="133">
        <v>4000</v>
      </c>
      <c r="I482" s="125" t="s">
        <v>557</v>
      </c>
      <c r="J482" s="139">
        <f t="shared" si="30"/>
        <v>4000</v>
      </c>
      <c r="K482" s="139" t="s">
        <v>503</v>
      </c>
      <c r="L482" s="238" t="str">
        <f t="shared" si="31"/>
        <v>Aterro</v>
      </c>
      <c r="M482" s="238" t="s">
        <v>1920</v>
      </c>
      <c r="N482" s="238" t="s">
        <v>1911</v>
      </c>
      <c r="O482" s="114" t="str">
        <f>IFERROR(INDEX(Tabela3[Tipos de Tratamento],MATCH('A3.9.1 copy'!K482,Tabela3[Código],0)),"")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482" s="91" t="s">
        <v>3299</v>
      </c>
      <c r="Q482" s="91" t="s">
        <v>3300</v>
      </c>
      <c r="R482" s="93"/>
      <c r="S482">
        <v>2022</v>
      </c>
      <c r="T482" s="261" t="s">
        <v>3535</v>
      </c>
      <c r="U482" s="261" t="s">
        <v>3606</v>
      </c>
      <c r="V482" t="s">
        <v>42</v>
      </c>
    </row>
    <row r="483" spans="1:22" ht="15.75" thickBot="1" x14ac:dyDescent="0.3">
      <c r="A483" s="82" t="s">
        <v>4695</v>
      </c>
      <c r="B483" s="82" t="s">
        <v>4695</v>
      </c>
      <c r="C483" s="82" t="str">
        <f t="shared" si="29"/>
        <v>X</v>
      </c>
      <c r="D483" s="82" t="s">
        <v>42</v>
      </c>
      <c r="E483" s="142">
        <v>130507</v>
      </c>
      <c r="F483" s="83" t="s">
        <v>1572</v>
      </c>
      <c r="G483" s="125" t="s">
        <v>34</v>
      </c>
      <c r="H483" s="133">
        <v>18240</v>
      </c>
      <c r="I483" s="125" t="s">
        <v>557</v>
      </c>
      <c r="J483" s="139">
        <f t="shared" si="30"/>
        <v>18240</v>
      </c>
      <c r="K483" s="139" t="s">
        <v>503</v>
      </c>
      <c r="L483" s="238" t="str">
        <f t="shared" si="31"/>
        <v>Aterro</v>
      </c>
      <c r="M483" s="238" t="s">
        <v>1920</v>
      </c>
      <c r="N483" s="238" t="s">
        <v>1911</v>
      </c>
      <c r="O483" s="114" t="str">
        <f>IFERROR(INDEX(Tabela3[Tipos de Tratamento],MATCH('A3.9.1 copy'!K483,Tabela3[Código],0)),"")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483" s="91" t="s">
        <v>3299</v>
      </c>
      <c r="Q483" s="91" t="s">
        <v>3299</v>
      </c>
      <c r="R483" s="93"/>
      <c r="S483">
        <v>2022</v>
      </c>
      <c r="T483" s="261" t="s">
        <v>3535</v>
      </c>
      <c r="U483" s="261" t="s">
        <v>3606</v>
      </c>
      <c r="V483" t="s">
        <v>42</v>
      </c>
    </row>
    <row r="484" spans="1:22" ht="15.75" thickBot="1" x14ac:dyDescent="0.3">
      <c r="A484" s="82" t="s">
        <v>4695</v>
      </c>
      <c r="B484" s="82" t="s">
        <v>4695</v>
      </c>
      <c r="C484" s="82" t="str">
        <f t="shared" si="29"/>
        <v>X</v>
      </c>
      <c r="D484" s="82" t="s">
        <v>42</v>
      </c>
      <c r="E484" s="142">
        <v>150110</v>
      </c>
      <c r="F484" s="83" t="s">
        <v>1542</v>
      </c>
      <c r="G484" s="125" t="s">
        <v>34</v>
      </c>
      <c r="H484" s="133">
        <v>1380</v>
      </c>
      <c r="I484" s="125" t="s">
        <v>557</v>
      </c>
      <c r="J484" s="139">
        <f t="shared" si="30"/>
        <v>1380</v>
      </c>
      <c r="K484" s="139" t="s">
        <v>509</v>
      </c>
      <c r="L484" s="238" t="str">
        <f t="shared" si="31"/>
        <v>Aterro</v>
      </c>
      <c r="M484" s="238" t="s">
        <v>1920</v>
      </c>
      <c r="N484" s="238" t="s">
        <v>1911</v>
      </c>
      <c r="O484" s="114" t="str">
        <f>IFERROR(INDEX(Tabela3[Tipos de Tratamento],MATCH('A3.9.1 copy'!K484,Tabela3[Código],0)),"")</f>
        <v>Armazenagem enquanto se aguarda a execução de uma das operações enumeradas de D1 a D14</v>
      </c>
      <c r="P484" s="91" t="s">
        <v>3299</v>
      </c>
      <c r="Q484" s="91" t="s">
        <v>3302</v>
      </c>
      <c r="S484">
        <v>2022</v>
      </c>
      <c r="T484" s="261" t="s">
        <v>3535</v>
      </c>
      <c r="U484" s="261" t="s">
        <v>3606</v>
      </c>
      <c r="V484" t="s">
        <v>42</v>
      </c>
    </row>
    <row r="485" spans="1:22" ht="15.75" thickBot="1" x14ac:dyDescent="0.3">
      <c r="A485" s="82" t="s">
        <v>4695</v>
      </c>
      <c r="B485" s="82" t="s">
        <v>4695</v>
      </c>
      <c r="C485" s="82" t="str">
        <f t="shared" si="29"/>
        <v>X</v>
      </c>
      <c r="D485" s="82" t="s">
        <v>42</v>
      </c>
      <c r="E485" s="142">
        <v>150202</v>
      </c>
      <c r="F485" s="83" t="s">
        <v>1547</v>
      </c>
      <c r="G485" s="125" t="s">
        <v>34</v>
      </c>
      <c r="H485" s="133">
        <v>2022</v>
      </c>
      <c r="I485" s="125" t="s">
        <v>557</v>
      </c>
      <c r="J485" s="139">
        <f t="shared" si="30"/>
        <v>2022</v>
      </c>
      <c r="K485" s="139" t="s">
        <v>509</v>
      </c>
      <c r="L485" s="238" t="str">
        <f t="shared" si="31"/>
        <v>Aterro</v>
      </c>
      <c r="M485" s="238" t="s">
        <v>1920</v>
      </c>
      <c r="N485" s="238" t="s">
        <v>1911</v>
      </c>
      <c r="O485" s="114" t="str">
        <f>IFERROR(INDEX(Tabela3[Tipos de Tratamento],MATCH('A3.9.1 copy'!K485,Tabela3[Código],0)),"")</f>
        <v>Armazenagem enquanto se aguarda a execução de uma das operações enumeradas de D1 a D14</v>
      </c>
      <c r="P485" s="91" t="s">
        <v>3299</v>
      </c>
      <c r="Q485" s="91" t="s">
        <v>3302</v>
      </c>
      <c r="S485">
        <v>2022</v>
      </c>
      <c r="T485" s="261" t="s">
        <v>3535</v>
      </c>
      <c r="U485" s="261" t="s">
        <v>3606</v>
      </c>
      <c r="V485" t="s">
        <v>42</v>
      </c>
    </row>
    <row r="486" spans="1:22" ht="15.75" thickBot="1" x14ac:dyDescent="0.3">
      <c r="A486" s="82" t="s">
        <v>4695</v>
      </c>
      <c r="B486" s="82" t="s">
        <v>4695</v>
      </c>
      <c r="C486" s="82" t="str">
        <f t="shared" si="29"/>
        <v>X</v>
      </c>
      <c r="D486" s="82" t="s">
        <v>42</v>
      </c>
      <c r="E486" s="142">
        <v>150203</v>
      </c>
      <c r="F486" s="83" t="s">
        <v>1550</v>
      </c>
      <c r="G486" s="125" t="s">
        <v>42</v>
      </c>
      <c r="H486" s="133">
        <v>1639</v>
      </c>
      <c r="I486" s="125" t="s">
        <v>557</v>
      </c>
      <c r="J486" s="139">
        <f t="shared" si="30"/>
        <v>1639</v>
      </c>
      <c r="K486" s="139" t="s">
        <v>509</v>
      </c>
      <c r="L486" s="238" t="str">
        <f t="shared" si="31"/>
        <v>Aterro</v>
      </c>
      <c r="M486" s="238" t="s">
        <v>1920</v>
      </c>
      <c r="N486" s="238" t="s">
        <v>1911</v>
      </c>
      <c r="O486" s="114" t="str">
        <f>IFERROR(INDEX(Tabela3[Tipos de Tratamento],MATCH('A3.9.1 copy'!K486,Tabela3[Código],0)),"")</f>
        <v>Armazenagem enquanto se aguarda a execução de uma das operações enumeradas de D1 a D14</v>
      </c>
      <c r="P486" s="91" t="s">
        <v>3299</v>
      </c>
      <c r="Q486" s="91" t="s">
        <v>3302</v>
      </c>
      <c r="S486">
        <v>2022</v>
      </c>
      <c r="T486" s="261" t="s">
        <v>3535</v>
      </c>
      <c r="U486" s="261" t="s">
        <v>3606</v>
      </c>
      <c r="V486" t="s">
        <v>42</v>
      </c>
    </row>
    <row r="487" spans="1:22" ht="15.75" thickBot="1" x14ac:dyDescent="0.3">
      <c r="A487" s="82" t="s">
        <v>4695</v>
      </c>
      <c r="B487" s="82" t="s">
        <v>4695</v>
      </c>
      <c r="C487" s="82" t="str">
        <f t="shared" si="29"/>
        <v>X</v>
      </c>
      <c r="D487" s="82" t="s">
        <v>42</v>
      </c>
      <c r="E487" s="142">
        <v>160104</v>
      </c>
      <c r="F487" s="83" t="s">
        <v>1584</v>
      </c>
      <c r="G487" s="125" t="s">
        <v>42</v>
      </c>
      <c r="H487" s="133">
        <v>2000</v>
      </c>
      <c r="I487" s="125" t="s">
        <v>557</v>
      </c>
      <c r="J487" s="139">
        <f t="shared" si="30"/>
        <v>2000</v>
      </c>
      <c r="K487" s="139" t="s">
        <v>483</v>
      </c>
      <c r="L487" s="238" t="str">
        <f t="shared" si="31"/>
        <v>Reciclagem</v>
      </c>
      <c r="M487" s="238" t="s">
        <v>1926</v>
      </c>
      <c r="N487" s="238" t="s">
        <v>1922</v>
      </c>
      <c r="O487" s="114" t="str">
        <f>IFERROR(INDEX(Tabela3[Tipos de Tratamento],MATCH('A3.9.1 copy'!K487,Tabela3[Código],0)),"")</f>
        <v xml:space="preserve">Troca de resíduos com vista a submetê-los a uma das operações enumeradas de R 1 a R 11 </v>
      </c>
      <c r="P487" s="91" t="s">
        <v>3305</v>
      </c>
      <c r="Q487" s="91" t="s">
        <v>3306</v>
      </c>
      <c r="S487">
        <v>2022</v>
      </c>
      <c r="T487" s="261" t="s">
        <v>3535</v>
      </c>
      <c r="U487" s="261" t="s">
        <v>3606</v>
      </c>
      <c r="V487" t="s">
        <v>42</v>
      </c>
    </row>
    <row r="488" spans="1:22" ht="15.75" thickBot="1" x14ac:dyDescent="0.3">
      <c r="A488" s="82" t="s">
        <v>4695</v>
      </c>
      <c r="B488" s="82" t="s">
        <v>4695</v>
      </c>
      <c r="C488" s="82" t="str">
        <f t="shared" si="29"/>
        <v>X</v>
      </c>
      <c r="D488" s="82" t="s">
        <v>42</v>
      </c>
      <c r="E488" s="142">
        <v>160104</v>
      </c>
      <c r="F488" s="83" t="s">
        <v>1584</v>
      </c>
      <c r="G488" s="125" t="s">
        <v>42</v>
      </c>
      <c r="H488" s="133">
        <v>47100</v>
      </c>
      <c r="I488" s="125" t="s">
        <v>557</v>
      </c>
      <c r="J488" s="139">
        <f t="shared" si="30"/>
        <v>47100</v>
      </c>
      <c r="K488" s="139" t="s">
        <v>483</v>
      </c>
      <c r="L488" s="238" t="str">
        <f t="shared" si="31"/>
        <v>Reciclagem</v>
      </c>
      <c r="M488" s="238" t="s">
        <v>1926</v>
      </c>
      <c r="N488" s="238" t="s">
        <v>1922</v>
      </c>
      <c r="O488" s="114" t="str">
        <f>IFERROR(INDEX(Tabela3[Tipos de Tratamento],MATCH('A3.9.1 copy'!K488,Tabela3[Código],0)),"")</f>
        <v xml:space="preserve">Troca de resíduos com vista a submetê-los a uma das operações enumeradas de R 1 a R 11 </v>
      </c>
      <c r="P488" s="91" t="s">
        <v>3303</v>
      </c>
      <c r="Q488" s="91" t="s">
        <v>3304</v>
      </c>
      <c r="R488" s="93"/>
      <c r="S488">
        <v>2022</v>
      </c>
      <c r="T488" s="261" t="s">
        <v>3535</v>
      </c>
      <c r="U488" s="261" t="s">
        <v>3606</v>
      </c>
      <c r="V488" t="s">
        <v>42</v>
      </c>
    </row>
    <row r="489" spans="1:22" ht="15.75" thickBot="1" x14ac:dyDescent="0.3">
      <c r="A489" s="82" t="s">
        <v>4695</v>
      </c>
      <c r="B489" s="82" t="s">
        <v>4695</v>
      </c>
      <c r="C489" s="82" t="str">
        <f t="shared" si="29"/>
        <v>X</v>
      </c>
      <c r="D489" s="82" t="s">
        <v>42</v>
      </c>
      <c r="E489" s="142">
        <v>160107</v>
      </c>
      <c r="F489" s="83" t="s">
        <v>1551</v>
      </c>
      <c r="G489" s="125" t="s">
        <v>34</v>
      </c>
      <c r="H489" s="133">
        <v>916</v>
      </c>
      <c r="I489" s="125" t="s">
        <v>557</v>
      </c>
      <c r="J489" s="139">
        <f t="shared" si="30"/>
        <v>916</v>
      </c>
      <c r="K489" s="139" t="s">
        <v>484</v>
      </c>
      <c r="L489" s="238" t="str">
        <f t="shared" si="31"/>
        <v>Reciclagem</v>
      </c>
      <c r="M489" s="238" t="s">
        <v>1920</v>
      </c>
      <c r="N489" s="238" t="s">
        <v>1911</v>
      </c>
      <c r="O489" s="114" t="str">
        <f>IFERROR(INDEX(Tabela3[Tipos de Tratamento],MATCH('A3.9.1 copy'!K489,Tabela3[Código],0)),"")</f>
        <v>Acumulação de resíduos destinados a uma das operações enumeradas de R1 a R12</v>
      </c>
      <c r="P489" s="91" t="s">
        <v>3299</v>
      </c>
      <c r="Q489" s="91" t="s">
        <v>3302</v>
      </c>
      <c r="S489">
        <v>2022</v>
      </c>
      <c r="T489" s="261" t="s">
        <v>3535</v>
      </c>
      <c r="U489" s="261" t="s">
        <v>3606</v>
      </c>
      <c r="V489" t="s">
        <v>42</v>
      </c>
    </row>
    <row r="490" spans="1:22" ht="15.75" thickBot="1" x14ac:dyDescent="0.3">
      <c r="A490" s="82" t="s">
        <v>4695</v>
      </c>
      <c r="B490" s="82" t="s">
        <v>4695</v>
      </c>
      <c r="C490" s="82" t="str">
        <f t="shared" si="29"/>
        <v>X</v>
      </c>
      <c r="D490" s="82" t="s">
        <v>42</v>
      </c>
      <c r="E490" s="142">
        <v>160112</v>
      </c>
      <c r="F490" s="83" t="s">
        <v>1552</v>
      </c>
      <c r="G490" s="125" t="s">
        <v>34</v>
      </c>
      <c r="H490" s="133">
        <v>2399</v>
      </c>
      <c r="I490" s="125" t="s">
        <v>557</v>
      </c>
      <c r="J490" s="139">
        <f t="shared" si="30"/>
        <v>2399</v>
      </c>
      <c r="K490" s="139" t="s">
        <v>509</v>
      </c>
      <c r="L490" s="238" t="str">
        <f t="shared" si="31"/>
        <v>Aterro</v>
      </c>
      <c r="M490" s="238" t="s">
        <v>1557</v>
      </c>
      <c r="N490" s="238" t="s">
        <v>1922</v>
      </c>
      <c r="O490" s="114" t="str">
        <f>IFERROR(INDEX(Tabela3[Tipos de Tratamento],MATCH('A3.9.1 copy'!K490,Tabela3[Código],0)),"")</f>
        <v>Armazenagem enquanto se aguarda a execução de uma das operações enumeradas de D1 a D14</v>
      </c>
      <c r="P490" s="91" t="s">
        <v>3299</v>
      </c>
      <c r="Q490" s="91" t="s">
        <v>3302</v>
      </c>
      <c r="R490" s="93"/>
      <c r="S490">
        <v>2022</v>
      </c>
      <c r="T490" s="261" t="s">
        <v>3535</v>
      </c>
      <c r="U490" s="261" t="s">
        <v>3606</v>
      </c>
      <c r="V490" t="s">
        <v>42</v>
      </c>
    </row>
    <row r="491" spans="1:22" ht="15.75" thickBot="1" x14ac:dyDescent="0.3">
      <c r="A491" s="82" t="s">
        <v>4695</v>
      </c>
      <c r="B491" s="82" t="s">
        <v>4695</v>
      </c>
      <c r="C491" s="82" t="str">
        <f t="shared" si="29"/>
        <v>X</v>
      </c>
      <c r="D491" s="82" t="s">
        <v>42</v>
      </c>
      <c r="E491" s="142">
        <v>160117</v>
      </c>
      <c r="F491" s="83" t="s">
        <v>1557</v>
      </c>
      <c r="G491" s="125" t="s">
        <v>42</v>
      </c>
      <c r="H491" s="133">
        <v>10280</v>
      </c>
      <c r="I491" s="125" t="s">
        <v>557</v>
      </c>
      <c r="J491" s="139">
        <f t="shared" si="30"/>
        <v>10280</v>
      </c>
      <c r="K491" s="139" t="s">
        <v>483</v>
      </c>
      <c r="L491" s="238" t="str">
        <f t="shared" si="31"/>
        <v>Reciclagem</v>
      </c>
      <c r="M491" s="238" t="s">
        <v>1557</v>
      </c>
      <c r="N491" s="238" t="s">
        <v>1922</v>
      </c>
      <c r="O491" s="114" t="str">
        <f>IFERROR(INDEX(Tabela3[Tipos de Tratamento],MATCH('A3.9.1 copy'!K491,Tabela3[Código],0)),"")</f>
        <v xml:space="preserve">Troca de resíduos com vista a submetê-los a uma das operações enumeradas de R 1 a R 11 </v>
      </c>
      <c r="P491" s="91" t="s">
        <v>3303</v>
      </c>
      <c r="Q491" s="91" t="s">
        <v>3307</v>
      </c>
      <c r="R491" s="93"/>
      <c r="S491">
        <v>2022</v>
      </c>
      <c r="T491" s="261" t="s">
        <v>3535</v>
      </c>
      <c r="U491" s="261" t="s">
        <v>3606</v>
      </c>
      <c r="V491" t="s">
        <v>42</v>
      </c>
    </row>
    <row r="492" spans="1:22" ht="15.75" thickBot="1" x14ac:dyDescent="0.3">
      <c r="A492" s="82" t="s">
        <v>4695</v>
      </c>
      <c r="B492" s="82" t="s">
        <v>4695</v>
      </c>
      <c r="C492" s="82" t="str">
        <f t="shared" si="29"/>
        <v>X</v>
      </c>
      <c r="D492" s="82" t="s">
        <v>42</v>
      </c>
      <c r="E492" s="142">
        <v>160199</v>
      </c>
      <c r="F492" s="83" t="s">
        <v>1562</v>
      </c>
      <c r="G492" s="125" t="s">
        <v>42</v>
      </c>
      <c r="H492" s="133">
        <v>1083</v>
      </c>
      <c r="I492" s="125" t="s">
        <v>557</v>
      </c>
      <c r="J492" s="139">
        <f t="shared" si="30"/>
        <v>1083</v>
      </c>
      <c r="K492" s="139" t="s">
        <v>509</v>
      </c>
      <c r="L492" s="238" t="str">
        <f t="shared" si="31"/>
        <v>Aterro</v>
      </c>
      <c r="M492" s="238" t="s">
        <v>1920</v>
      </c>
      <c r="N492" s="238" t="s">
        <v>1911</v>
      </c>
      <c r="O492" s="114" t="str">
        <f>IFERROR(INDEX(Tabela3[Tipos de Tratamento],MATCH('A3.9.1 copy'!K492,Tabela3[Código],0)),"")</f>
        <v>Armazenagem enquanto se aguarda a execução de uma das operações enumeradas de D1 a D14</v>
      </c>
      <c r="P492" s="91" t="s">
        <v>3299</v>
      </c>
      <c r="Q492" s="91" t="s">
        <v>3302</v>
      </c>
      <c r="S492">
        <v>2022</v>
      </c>
      <c r="T492" s="261" t="s">
        <v>3535</v>
      </c>
      <c r="U492" s="261" t="s">
        <v>3606</v>
      </c>
      <c r="V492" t="s">
        <v>42</v>
      </c>
    </row>
    <row r="493" spans="1:22" ht="15.75" thickBot="1" x14ac:dyDescent="0.3">
      <c r="A493" s="82" t="s">
        <v>4695</v>
      </c>
      <c r="B493" s="82" t="s">
        <v>4695</v>
      </c>
      <c r="C493" s="82" t="str">
        <f t="shared" si="29"/>
        <v>X</v>
      </c>
      <c r="D493" s="82" t="s">
        <v>42</v>
      </c>
      <c r="E493" s="142">
        <v>160504</v>
      </c>
      <c r="F493" s="83" t="s">
        <v>3266</v>
      </c>
      <c r="G493" s="125" t="s">
        <v>34</v>
      </c>
      <c r="H493" s="133">
        <v>150</v>
      </c>
      <c r="I493" s="125" t="s">
        <v>557</v>
      </c>
      <c r="J493" s="139">
        <f t="shared" si="30"/>
        <v>150</v>
      </c>
      <c r="K493" s="139" t="s">
        <v>509</v>
      </c>
      <c r="L493" s="238" t="str">
        <f t="shared" si="31"/>
        <v>Aterro</v>
      </c>
      <c r="M493" s="238" t="s">
        <v>1920</v>
      </c>
      <c r="N493" s="238" t="s">
        <v>1911</v>
      </c>
      <c r="O493" s="114" t="str">
        <f>IFERROR(INDEX(Tabela3[Tipos de Tratamento],MATCH('A3.9.1 copy'!K493,Tabela3[Código],0)),"")</f>
        <v>Armazenagem enquanto se aguarda a execução de uma das operações enumeradas de D1 a D14</v>
      </c>
      <c r="P493" s="91" t="s">
        <v>3299</v>
      </c>
      <c r="Q493" s="91" t="s">
        <v>3302</v>
      </c>
      <c r="S493">
        <v>2022</v>
      </c>
      <c r="T493" s="261" t="s">
        <v>3535</v>
      </c>
      <c r="U493" s="261" t="s">
        <v>3606</v>
      </c>
      <c r="V493" t="s">
        <v>42</v>
      </c>
    </row>
    <row r="494" spans="1:22" ht="15.75" thickBot="1" x14ac:dyDescent="0.3">
      <c r="A494" s="82" t="s">
        <v>4695</v>
      </c>
      <c r="B494" s="82" t="s">
        <v>4695</v>
      </c>
      <c r="C494" s="82" t="str">
        <f t="shared" si="29"/>
        <v>X</v>
      </c>
      <c r="D494" s="82" t="s">
        <v>42</v>
      </c>
      <c r="E494" s="142">
        <v>160601</v>
      </c>
      <c r="F494" s="83" t="s">
        <v>1563</v>
      </c>
      <c r="G494" s="125" t="s">
        <v>34</v>
      </c>
      <c r="H494" s="133">
        <v>4459</v>
      </c>
      <c r="I494" s="125" t="s">
        <v>557</v>
      </c>
      <c r="J494" s="139">
        <f t="shared" si="30"/>
        <v>4459</v>
      </c>
      <c r="K494" s="139" t="s">
        <v>484</v>
      </c>
      <c r="L494" s="238" t="str">
        <f t="shared" si="31"/>
        <v>Reciclagem</v>
      </c>
      <c r="M494" s="238" t="s">
        <v>1653</v>
      </c>
      <c r="N494" s="238" t="s">
        <v>1896</v>
      </c>
      <c r="O494" s="114" t="str">
        <f>IFERROR(INDEX(Tabela3[Tipos de Tratamento],MATCH('A3.9.1 copy'!K494,Tabela3[Código],0)),"")</f>
        <v>Acumulação de resíduos destinados a uma das operações enumeradas de R1 a R12</v>
      </c>
      <c r="P494" s="91" t="s">
        <v>3305</v>
      </c>
      <c r="Q494" s="91" t="s">
        <v>3305</v>
      </c>
      <c r="R494" s="93"/>
      <c r="S494">
        <v>2022</v>
      </c>
      <c r="T494" s="261" t="s">
        <v>3535</v>
      </c>
      <c r="U494" s="261" t="s">
        <v>3606</v>
      </c>
      <c r="V494" t="s">
        <v>42</v>
      </c>
    </row>
    <row r="495" spans="1:22" ht="15.75" thickBot="1" x14ac:dyDescent="0.3">
      <c r="A495" s="82" t="s">
        <v>4695</v>
      </c>
      <c r="B495" s="82" t="s">
        <v>4695</v>
      </c>
      <c r="C495" s="82" t="str">
        <f t="shared" si="29"/>
        <v>X</v>
      </c>
      <c r="D495" s="82" t="s">
        <v>42</v>
      </c>
      <c r="E495" s="142">
        <v>200101</v>
      </c>
      <c r="F495" s="83" t="s">
        <v>1597</v>
      </c>
      <c r="G495" s="125" t="s">
        <v>42</v>
      </c>
      <c r="H495" s="133">
        <v>4572</v>
      </c>
      <c r="I495" s="125" t="s">
        <v>557</v>
      </c>
      <c r="J495" s="139">
        <f t="shared" si="30"/>
        <v>4572</v>
      </c>
      <c r="K495" s="139" t="s">
        <v>484</v>
      </c>
      <c r="L495" s="238" t="str">
        <f t="shared" si="31"/>
        <v>Reciclagem</v>
      </c>
      <c r="M495" s="238" t="s">
        <v>1923</v>
      </c>
      <c r="N495" s="238" t="s">
        <v>1922</v>
      </c>
      <c r="O495" s="114" t="str">
        <f>IFERROR(INDEX(Tabela3[Tipos de Tratamento],MATCH('A3.9.1 copy'!K495,Tabela3[Código],0)),"")</f>
        <v>Acumulação de resíduos destinados a uma das operações enumeradas de R1 a R12</v>
      </c>
      <c r="P495" s="91" t="s">
        <v>3299</v>
      </c>
      <c r="Q495" s="91" t="s">
        <v>3302</v>
      </c>
      <c r="R495" s="93"/>
      <c r="S495">
        <v>2022</v>
      </c>
      <c r="T495" s="261" t="s">
        <v>3535</v>
      </c>
      <c r="U495" s="261" t="s">
        <v>3606</v>
      </c>
      <c r="V495" t="s">
        <v>42</v>
      </c>
    </row>
    <row r="496" spans="1:22" ht="15.75" thickBot="1" x14ac:dyDescent="0.3">
      <c r="A496" s="82" t="s">
        <v>4695</v>
      </c>
      <c r="B496" s="82" t="s">
        <v>4695</v>
      </c>
      <c r="C496" s="82" t="str">
        <f t="shared" si="29"/>
        <v>X</v>
      </c>
      <c r="D496" s="82" t="s">
        <v>42</v>
      </c>
      <c r="E496" s="142">
        <v>200127</v>
      </c>
      <c r="F496" s="83" t="s">
        <v>3263</v>
      </c>
      <c r="G496" s="125" t="s">
        <v>34</v>
      </c>
      <c r="H496" s="133">
        <v>60</v>
      </c>
      <c r="I496" s="125" t="s">
        <v>557</v>
      </c>
      <c r="J496" s="139">
        <f t="shared" si="30"/>
        <v>60</v>
      </c>
      <c r="K496" s="139" t="s">
        <v>473</v>
      </c>
      <c r="L496" s="238" t="str">
        <f t="shared" si="31"/>
        <v>Reciclagem</v>
      </c>
      <c r="M496" s="238" t="s">
        <v>1920</v>
      </c>
      <c r="N496" s="238" t="s">
        <v>1911</v>
      </c>
      <c r="O496" s="114" t="str">
        <f>IFERROR(INDEX(Tabela3[Tipos de Tratamento],MATCH('A3.9.1 copy'!K496,Tabela3[Código],0)),"")</f>
        <v xml:space="preserve">Recuperação/regeneração de solventes </v>
      </c>
      <c r="P496" s="91" t="s">
        <v>3299</v>
      </c>
      <c r="Q496" s="91" t="s">
        <v>3302</v>
      </c>
      <c r="S496">
        <v>2022</v>
      </c>
      <c r="T496" s="261" t="s">
        <v>3535</v>
      </c>
      <c r="U496" s="261" t="s">
        <v>3606</v>
      </c>
      <c r="V496" t="s">
        <v>42</v>
      </c>
    </row>
    <row r="497" spans="1:22" ht="15.75" thickBot="1" x14ac:dyDescent="0.3">
      <c r="A497" s="82" t="s">
        <v>4695</v>
      </c>
      <c r="B497" s="82" t="s">
        <v>4695</v>
      </c>
      <c r="C497" s="82" t="str">
        <f t="shared" si="29"/>
        <v>X</v>
      </c>
      <c r="D497" s="82" t="s">
        <v>42</v>
      </c>
      <c r="E497" s="142">
        <v>200136</v>
      </c>
      <c r="F497" s="83" t="s">
        <v>1568</v>
      </c>
      <c r="G497" s="125" t="s">
        <v>42</v>
      </c>
      <c r="H497" s="133">
        <v>475</v>
      </c>
      <c r="I497" s="125" t="s">
        <v>557</v>
      </c>
      <c r="J497" s="139">
        <f t="shared" si="30"/>
        <v>475</v>
      </c>
      <c r="K497" s="139" t="s">
        <v>484</v>
      </c>
      <c r="L497" s="238" t="str">
        <f t="shared" si="31"/>
        <v>Reciclagem</v>
      </c>
      <c r="M497" s="238" t="s">
        <v>1928</v>
      </c>
      <c r="N497" s="238" t="s">
        <v>1896</v>
      </c>
      <c r="O497" s="114" t="str">
        <f>IFERROR(INDEX(Tabela3[Tipos de Tratamento],MATCH('A3.9.1 copy'!K497,Tabela3[Código],0)),"")</f>
        <v>Acumulação de resíduos destinados a uma das operações enumeradas de R1 a R12</v>
      </c>
      <c r="P497" s="91" t="s">
        <v>3299</v>
      </c>
      <c r="Q497" s="91" t="s">
        <v>3302</v>
      </c>
      <c r="S497">
        <v>2022</v>
      </c>
      <c r="T497" s="261" t="s">
        <v>3535</v>
      </c>
      <c r="U497" s="261" t="s">
        <v>3606</v>
      </c>
      <c r="V497" t="s">
        <v>42</v>
      </c>
    </row>
    <row r="498" spans="1:22" ht="15.75" thickBot="1" x14ac:dyDescent="0.3">
      <c r="A498" s="82" t="s">
        <v>4695</v>
      </c>
      <c r="B498" s="82" t="s">
        <v>4695</v>
      </c>
      <c r="C498" s="82" t="str">
        <f t="shared" si="29"/>
        <v>X</v>
      </c>
      <c r="D498" s="82" t="s">
        <v>42</v>
      </c>
      <c r="E498" s="142">
        <v>200139</v>
      </c>
      <c r="F498" s="83" t="s">
        <v>3264</v>
      </c>
      <c r="G498" s="125" t="s">
        <v>42</v>
      </c>
      <c r="H498" s="133">
        <v>347</v>
      </c>
      <c r="I498" s="125" t="s">
        <v>557</v>
      </c>
      <c r="J498" s="139">
        <f t="shared" si="30"/>
        <v>347</v>
      </c>
      <c r="K498" s="139" t="s">
        <v>509</v>
      </c>
      <c r="L498" s="238" t="str">
        <f t="shared" si="31"/>
        <v>Aterro</v>
      </c>
      <c r="M498" s="238" t="s">
        <v>1560</v>
      </c>
      <c r="N498" s="238" t="s">
        <v>1922</v>
      </c>
      <c r="O498" s="114" t="str">
        <f>IFERROR(INDEX(Tabela3[Tipos de Tratamento],MATCH('A3.9.1 copy'!K498,Tabela3[Código],0)),"")</f>
        <v>Armazenagem enquanto se aguarda a execução de uma das operações enumeradas de D1 a D14</v>
      </c>
      <c r="P498" s="91" t="s">
        <v>3299</v>
      </c>
      <c r="Q498" s="91" t="s">
        <v>3302</v>
      </c>
      <c r="S498">
        <v>2022</v>
      </c>
      <c r="T498" s="261" t="s">
        <v>3535</v>
      </c>
      <c r="U498" s="261" t="s">
        <v>3606</v>
      </c>
      <c r="V498" t="s">
        <v>42</v>
      </c>
    </row>
    <row r="499" spans="1:22" ht="15.75" thickBot="1" x14ac:dyDescent="0.3">
      <c r="A499" s="82" t="s">
        <v>4695</v>
      </c>
      <c r="B499" s="82" t="s">
        <v>4695</v>
      </c>
      <c r="C499" s="82" t="str">
        <f t="shared" si="29"/>
        <v>X</v>
      </c>
      <c r="D499" s="82" t="s">
        <v>42</v>
      </c>
      <c r="E499" s="142">
        <v>200139</v>
      </c>
      <c r="F499" s="83" t="s">
        <v>3264</v>
      </c>
      <c r="G499" s="125" t="s">
        <v>42</v>
      </c>
      <c r="H499" s="133">
        <v>425</v>
      </c>
      <c r="I499" s="125" t="s">
        <v>557</v>
      </c>
      <c r="J499" s="139">
        <f t="shared" si="30"/>
        <v>425</v>
      </c>
      <c r="K499" s="139" t="s">
        <v>484</v>
      </c>
      <c r="L499" s="238" t="str">
        <f t="shared" si="31"/>
        <v>Reciclagem</v>
      </c>
      <c r="M499" s="238" t="s">
        <v>1560</v>
      </c>
      <c r="N499" s="238" t="s">
        <v>1922</v>
      </c>
      <c r="O499" s="114" t="str">
        <f>IFERROR(INDEX(Tabela3[Tipos de Tratamento],MATCH('A3.9.1 copy'!K499,Tabela3[Código],0)),"")</f>
        <v>Acumulação de resíduos destinados a uma das operações enumeradas de R1 a R12</v>
      </c>
      <c r="P499" s="91" t="s">
        <v>3299</v>
      </c>
      <c r="Q499" s="91" t="s">
        <v>3302</v>
      </c>
      <c r="S499">
        <v>2022</v>
      </c>
      <c r="T499" s="261" t="s">
        <v>3535</v>
      </c>
      <c r="U499" s="261" t="s">
        <v>3606</v>
      </c>
      <c r="V499" t="s">
        <v>42</v>
      </c>
    </row>
    <row r="500" spans="1:22" ht="15.75" thickBot="1" x14ac:dyDescent="0.3">
      <c r="A500" s="82" t="s">
        <v>4697</v>
      </c>
      <c r="B500" s="82" t="s">
        <v>4697</v>
      </c>
      <c r="C500" s="82" t="str">
        <f t="shared" si="29"/>
        <v>X</v>
      </c>
      <c r="D500" s="82" t="s">
        <v>42</v>
      </c>
      <c r="E500" s="142">
        <v>130502</v>
      </c>
      <c r="F500" s="83" t="s">
        <v>1569</v>
      </c>
      <c r="G500" s="125" t="s">
        <v>34</v>
      </c>
      <c r="H500" s="133">
        <v>1600</v>
      </c>
      <c r="I500" s="125" t="s">
        <v>557</v>
      </c>
      <c r="J500" s="139">
        <f t="shared" si="30"/>
        <v>1600</v>
      </c>
      <c r="K500" s="139" t="s">
        <v>503</v>
      </c>
      <c r="L500" s="238" t="str">
        <f t="shared" si="31"/>
        <v>Aterro</v>
      </c>
      <c r="M500" s="238" t="s">
        <v>1920</v>
      </c>
      <c r="N500" s="238" t="s">
        <v>1911</v>
      </c>
      <c r="O500" s="114" t="str">
        <f>IFERROR(INDEX(Tabela3[Tipos de Tratamento],MATCH('A3.9.1 copy'!K500,Tabela3[Código],0)),"")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500" s="91" t="s">
        <v>3299</v>
      </c>
      <c r="Q500" s="91" t="s">
        <v>3300</v>
      </c>
      <c r="S500">
        <v>2022</v>
      </c>
      <c r="T500" s="261" t="s">
        <v>3535</v>
      </c>
      <c r="U500" s="261" t="s">
        <v>3606</v>
      </c>
      <c r="V500" t="s">
        <v>42</v>
      </c>
    </row>
    <row r="501" spans="1:22" ht="15.75" thickBot="1" x14ac:dyDescent="0.3">
      <c r="A501" s="82" t="s">
        <v>4697</v>
      </c>
      <c r="B501" s="82" t="s">
        <v>4697</v>
      </c>
      <c r="C501" s="82" t="str">
        <f t="shared" si="29"/>
        <v>X</v>
      </c>
      <c r="D501" s="82" t="s">
        <v>42</v>
      </c>
      <c r="E501" s="142">
        <v>130507</v>
      </c>
      <c r="F501" s="83" t="s">
        <v>1572</v>
      </c>
      <c r="G501" s="125" t="s">
        <v>34</v>
      </c>
      <c r="H501" s="133">
        <v>2400</v>
      </c>
      <c r="I501" s="125" t="s">
        <v>557</v>
      </c>
      <c r="J501" s="139">
        <f t="shared" si="30"/>
        <v>2400</v>
      </c>
      <c r="K501" s="139" t="s">
        <v>503</v>
      </c>
      <c r="L501" s="238" t="str">
        <f t="shared" si="31"/>
        <v>Aterro</v>
      </c>
      <c r="M501" s="238" t="s">
        <v>1920</v>
      </c>
      <c r="N501" s="238" t="s">
        <v>1911</v>
      </c>
      <c r="O501" s="114" t="str">
        <f>IFERROR(INDEX(Tabela3[Tipos de Tratamento],MATCH('A3.9.1 copy'!K501,Tabela3[Código],0)),"")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501" s="91" t="s">
        <v>3299</v>
      </c>
      <c r="Q501" s="91" t="s">
        <v>3300</v>
      </c>
      <c r="R501" s="93"/>
      <c r="S501">
        <v>2022</v>
      </c>
      <c r="T501" s="261" t="s">
        <v>3535</v>
      </c>
      <c r="U501" s="261" t="s">
        <v>3606</v>
      </c>
      <c r="V501" t="s">
        <v>42</v>
      </c>
    </row>
    <row r="502" spans="1:22" ht="15.75" thickBot="1" x14ac:dyDescent="0.3">
      <c r="A502" s="82" t="s">
        <v>4697</v>
      </c>
      <c r="B502" s="82" t="s">
        <v>4697</v>
      </c>
      <c r="C502" s="82" t="str">
        <f t="shared" si="29"/>
        <v>X</v>
      </c>
      <c r="D502" s="82" t="s">
        <v>42</v>
      </c>
      <c r="E502" s="142">
        <v>150110</v>
      </c>
      <c r="F502" s="83" t="s">
        <v>1542</v>
      </c>
      <c r="G502" s="125" t="s">
        <v>34</v>
      </c>
      <c r="H502" s="133">
        <v>104</v>
      </c>
      <c r="I502" s="125" t="s">
        <v>557</v>
      </c>
      <c r="J502" s="139">
        <f t="shared" si="30"/>
        <v>104</v>
      </c>
      <c r="K502" s="139" t="s">
        <v>509</v>
      </c>
      <c r="L502" s="238" t="str">
        <f t="shared" si="31"/>
        <v>Aterro</v>
      </c>
      <c r="M502" s="238" t="s">
        <v>1920</v>
      </c>
      <c r="N502" s="238" t="s">
        <v>1911</v>
      </c>
      <c r="O502" s="114" t="str">
        <f>IFERROR(INDEX(Tabela3[Tipos de Tratamento],MATCH('A3.9.1 copy'!K502,Tabela3[Código],0)),"")</f>
        <v>Armazenagem enquanto se aguarda a execução de uma das operações enumeradas de D1 a D14</v>
      </c>
      <c r="P502" s="91" t="s">
        <v>3299</v>
      </c>
      <c r="Q502" s="91" t="s">
        <v>3302</v>
      </c>
      <c r="S502">
        <v>2022</v>
      </c>
      <c r="T502" s="261" t="s">
        <v>3535</v>
      </c>
      <c r="U502" s="261" t="s">
        <v>3606</v>
      </c>
      <c r="V502" t="s">
        <v>42</v>
      </c>
    </row>
    <row r="503" spans="1:22" ht="15.75" thickBot="1" x14ac:dyDescent="0.3">
      <c r="A503" s="82" t="s">
        <v>4697</v>
      </c>
      <c r="B503" s="82" t="s">
        <v>4697</v>
      </c>
      <c r="C503" s="82" t="str">
        <f t="shared" si="29"/>
        <v>X</v>
      </c>
      <c r="D503" s="82" t="s">
        <v>42</v>
      </c>
      <c r="E503" s="142">
        <v>150202</v>
      </c>
      <c r="F503" s="83" t="s">
        <v>1547</v>
      </c>
      <c r="G503" s="125" t="s">
        <v>34</v>
      </c>
      <c r="H503" s="133">
        <v>234</v>
      </c>
      <c r="I503" s="125" t="s">
        <v>557</v>
      </c>
      <c r="J503" s="139">
        <f t="shared" si="30"/>
        <v>234</v>
      </c>
      <c r="K503" s="139" t="s">
        <v>509</v>
      </c>
      <c r="L503" s="238" t="str">
        <f t="shared" si="31"/>
        <v>Aterro</v>
      </c>
      <c r="M503" s="238" t="s">
        <v>1920</v>
      </c>
      <c r="N503" s="238" t="s">
        <v>1911</v>
      </c>
      <c r="O503" s="114" t="str">
        <f>IFERROR(INDEX(Tabela3[Tipos de Tratamento],MATCH('A3.9.1 copy'!K503,Tabela3[Código],0)),"")</f>
        <v>Armazenagem enquanto se aguarda a execução de uma das operações enumeradas de D1 a D14</v>
      </c>
      <c r="P503" s="91" t="s">
        <v>3299</v>
      </c>
      <c r="Q503" s="91" t="s">
        <v>3302</v>
      </c>
      <c r="S503">
        <v>2022</v>
      </c>
      <c r="T503" s="261" t="s">
        <v>3535</v>
      </c>
      <c r="U503" s="261" t="s">
        <v>3606</v>
      </c>
      <c r="V503" t="s">
        <v>42</v>
      </c>
    </row>
    <row r="504" spans="1:22" ht="15.75" thickBot="1" x14ac:dyDescent="0.3">
      <c r="A504" s="82" t="s">
        <v>4697</v>
      </c>
      <c r="B504" s="82" t="s">
        <v>4697</v>
      </c>
      <c r="C504" s="82" t="str">
        <f t="shared" si="29"/>
        <v>X</v>
      </c>
      <c r="D504" s="82" t="s">
        <v>42</v>
      </c>
      <c r="E504" s="142">
        <v>150203</v>
      </c>
      <c r="F504" s="83" t="s">
        <v>1550</v>
      </c>
      <c r="G504" s="125" t="s">
        <v>42</v>
      </c>
      <c r="H504" s="133">
        <v>350</v>
      </c>
      <c r="I504" s="125" t="s">
        <v>557</v>
      </c>
      <c r="J504" s="139">
        <f t="shared" si="30"/>
        <v>350</v>
      </c>
      <c r="K504" s="139" t="s">
        <v>509</v>
      </c>
      <c r="L504" s="238" t="str">
        <f t="shared" si="31"/>
        <v>Aterro</v>
      </c>
      <c r="M504" s="238" t="s">
        <v>1920</v>
      </c>
      <c r="N504" s="238" t="s">
        <v>1911</v>
      </c>
      <c r="O504" s="114" t="str">
        <f>IFERROR(INDEX(Tabela3[Tipos de Tratamento],MATCH('A3.9.1 copy'!K504,Tabela3[Código],0)),"")</f>
        <v>Armazenagem enquanto se aguarda a execução de uma das operações enumeradas de D1 a D14</v>
      </c>
      <c r="P504" s="91" t="s">
        <v>3299</v>
      </c>
      <c r="Q504" s="91" t="s">
        <v>3302</v>
      </c>
      <c r="S504">
        <v>2022</v>
      </c>
      <c r="T504" s="261" t="s">
        <v>3535</v>
      </c>
      <c r="U504" s="261" t="s">
        <v>3606</v>
      </c>
      <c r="V504" t="s">
        <v>42</v>
      </c>
    </row>
    <row r="505" spans="1:22" ht="15.75" thickBot="1" x14ac:dyDescent="0.3">
      <c r="A505" s="82" t="s">
        <v>4697</v>
      </c>
      <c r="B505" s="82" t="s">
        <v>4697</v>
      </c>
      <c r="C505" s="82" t="str">
        <f t="shared" si="29"/>
        <v>X</v>
      </c>
      <c r="D505" s="82" t="s">
        <v>42</v>
      </c>
      <c r="E505" s="142">
        <v>160104</v>
      </c>
      <c r="F505" s="83" t="s">
        <v>1584</v>
      </c>
      <c r="G505" s="125" t="s">
        <v>42</v>
      </c>
      <c r="H505" s="133">
        <v>300000</v>
      </c>
      <c r="I505" s="125" t="s">
        <v>557</v>
      </c>
      <c r="J505" s="139">
        <f t="shared" si="30"/>
        <v>300000</v>
      </c>
      <c r="K505" s="139" t="s">
        <v>483</v>
      </c>
      <c r="L505" s="238" t="str">
        <f t="shared" si="31"/>
        <v>Reciclagem</v>
      </c>
      <c r="M505" s="238" t="s">
        <v>1926</v>
      </c>
      <c r="N505" s="238" t="s">
        <v>1922</v>
      </c>
      <c r="O505" s="114" t="str">
        <f>IFERROR(INDEX(Tabela3[Tipos de Tratamento],MATCH('A3.9.1 copy'!K505,Tabela3[Código],0)),"")</f>
        <v xml:space="preserve">Troca de resíduos com vista a submetê-los a uma das operações enumeradas de R 1 a R 11 </v>
      </c>
      <c r="P505" s="91" t="s">
        <v>3305</v>
      </c>
      <c r="Q505" s="91" t="s">
        <v>3306</v>
      </c>
      <c r="R505" s="93"/>
      <c r="S505">
        <v>2022</v>
      </c>
      <c r="T505" s="261" t="s">
        <v>3535</v>
      </c>
      <c r="U505" s="261" t="s">
        <v>3606</v>
      </c>
      <c r="V505" t="s">
        <v>42</v>
      </c>
    </row>
    <row r="506" spans="1:22" ht="15.75" thickBot="1" x14ac:dyDescent="0.3">
      <c r="A506" s="82" t="s">
        <v>4697</v>
      </c>
      <c r="B506" s="82" t="s">
        <v>4697</v>
      </c>
      <c r="C506" s="82" t="str">
        <f t="shared" si="29"/>
        <v>X</v>
      </c>
      <c r="D506" s="82" t="s">
        <v>42</v>
      </c>
      <c r="E506" s="142">
        <v>160107</v>
      </c>
      <c r="F506" s="83" t="s">
        <v>1551</v>
      </c>
      <c r="G506" s="125" t="s">
        <v>34</v>
      </c>
      <c r="H506" s="133">
        <v>126</v>
      </c>
      <c r="I506" s="125" t="s">
        <v>557</v>
      </c>
      <c r="J506" s="139">
        <f t="shared" si="30"/>
        <v>126</v>
      </c>
      <c r="K506" s="139" t="s">
        <v>484</v>
      </c>
      <c r="L506" s="238" t="str">
        <f t="shared" si="31"/>
        <v>Reciclagem</v>
      </c>
      <c r="M506" s="238" t="s">
        <v>1920</v>
      </c>
      <c r="N506" s="238" t="s">
        <v>1911</v>
      </c>
      <c r="O506" s="114" t="str">
        <f>IFERROR(INDEX(Tabela3[Tipos de Tratamento],MATCH('A3.9.1 copy'!K506,Tabela3[Código],0)),"")</f>
        <v>Acumulação de resíduos destinados a uma das operações enumeradas de R1 a R12</v>
      </c>
      <c r="P506" s="91" t="s">
        <v>3299</v>
      </c>
      <c r="Q506" s="91" t="s">
        <v>3302</v>
      </c>
      <c r="S506">
        <v>2022</v>
      </c>
      <c r="T506" s="261" t="s">
        <v>3535</v>
      </c>
      <c r="U506" s="261" t="s">
        <v>3606</v>
      </c>
      <c r="V506" t="s">
        <v>42</v>
      </c>
    </row>
    <row r="507" spans="1:22" ht="15.75" thickBot="1" x14ac:dyDescent="0.3">
      <c r="A507" s="82" t="s">
        <v>4697</v>
      </c>
      <c r="B507" s="82" t="s">
        <v>4697</v>
      </c>
      <c r="C507" s="82" t="str">
        <f t="shared" si="29"/>
        <v>X</v>
      </c>
      <c r="D507" s="82" t="s">
        <v>42</v>
      </c>
      <c r="E507" s="142">
        <v>160112</v>
      </c>
      <c r="F507" s="83" t="s">
        <v>1552</v>
      </c>
      <c r="G507" s="125" t="s">
        <v>34</v>
      </c>
      <c r="H507" s="133">
        <v>674</v>
      </c>
      <c r="I507" s="125" t="s">
        <v>557</v>
      </c>
      <c r="J507" s="139">
        <f t="shared" si="30"/>
        <v>674</v>
      </c>
      <c r="K507" s="139" t="s">
        <v>509</v>
      </c>
      <c r="L507" s="238" t="str">
        <f t="shared" si="31"/>
        <v>Aterro</v>
      </c>
      <c r="M507" s="238" t="s">
        <v>1557</v>
      </c>
      <c r="N507" s="238" t="s">
        <v>1922</v>
      </c>
      <c r="O507" s="114" t="str">
        <f>IFERROR(INDEX(Tabela3[Tipos de Tratamento],MATCH('A3.9.1 copy'!K507,Tabela3[Código],0)),"")</f>
        <v>Armazenagem enquanto se aguarda a execução de uma das operações enumeradas de D1 a D14</v>
      </c>
      <c r="P507" s="91" t="s">
        <v>3299</v>
      </c>
      <c r="Q507" s="91" t="s">
        <v>3302</v>
      </c>
      <c r="S507">
        <v>2022</v>
      </c>
      <c r="T507" s="261" t="s">
        <v>3535</v>
      </c>
      <c r="U507" s="261" t="s">
        <v>3606</v>
      </c>
      <c r="V507" t="s">
        <v>42</v>
      </c>
    </row>
    <row r="508" spans="1:22" ht="15.75" thickBot="1" x14ac:dyDescent="0.3">
      <c r="A508" s="82" t="s">
        <v>4697</v>
      </c>
      <c r="B508" s="82" t="s">
        <v>4697</v>
      </c>
      <c r="C508" s="82" t="str">
        <f t="shared" si="29"/>
        <v>X</v>
      </c>
      <c r="D508" s="82" t="s">
        <v>42</v>
      </c>
      <c r="E508" s="142">
        <v>160120</v>
      </c>
      <c r="F508" s="83" t="s">
        <v>1561</v>
      </c>
      <c r="G508" s="125" t="s">
        <v>42</v>
      </c>
      <c r="H508" s="133">
        <v>126</v>
      </c>
      <c r="I508" s="125" t="s">
        <v>557</v>
      </c>
      <c r="J508" s="139">
        <f t="shared" si="30"/>
        <v>126</v>
      </c>
      <c r="K508" s="139" t="s">
        <v>509</v>
      </c>
      <c r="L508" s="238" t="str">
        <f t="shared" si="31"/>
        <v>Aterro</v>
      </c>
      <c r="M508" s="238" t="s">
        <v>1561</v>
      </c>
      <c r="N508" s="238" t="s">
        <v>1922</v>
      </c>
      <c r="O508" s="114" t="str">
        <f>IFERROR(INDEX(Tabela3[Tipos de Tratamento],MATCH('A3.9.1 copy'!K508,Tabela3[Código],0)),"")</f>
        <v>Armazenagem enquanto se aguarda a execução de uma das operações enumeradas de D1 a D14</v>
      </c>
      <c r="P508" s="91" t="s">
        <v>3299</v>
      </c>
      <c r="Q508" s="91" t="s">
        <v>3302</v>
      </c>
      <c r="S508">
        <v>2022</v>
      </c>
      <c r="T508" s="261" t="s">
        <v>3535</v>
      </c>
      <c r="U508" s="261" t="s">
        <v>3606</v>
      </c>
      <c r="V508" t="s">
        <v>42</v>
      </c>
    </row>
    <row r="509" spans="1:22" ht="15.75" thickBot="1" x14ac:dyDescent="0.3">
      <c r="A509" s="82" t="s">
        <v>4697</v>
      </c>
      <c r="B509" s="82" t="s">
        <v>4697</v>
      </c>
      <c r="C509" s="82" t="str">
        <f t="shared" si="29"/>
        <v>X</v>
      </c>
      <c r="D509" s="82" t="s">
        <v>42</v>
      </c>
      <c r="E509" s="142">
        <v>160199</v>
      </c>
      <c r="F509" s="83" t="s">
        <v>1562</v>
      </c>
      <c r="G509" s="125" t="s">
        <v>42</v>
      </c>
      <c r="H509" s="133">
        <v>166</v>
      </c>
      <c r="I509" s="125" t="s">
        <v>557</v>
      </c>
      <c r="J509" s="139">
        <f t="shared" si="30"/>
        <v>166</v>
      </c>
      <c r="K509" s="139" t="s">
        <v>509</v>
      </c>
      <c r="L509" s="238" t="str">
        <f t="shared" si="31"/>
        <v>Aterro</v>
      </c>
      <c r="M509" s="238" t="s">
        <v>1920</v>
      </c>
      <c r="N509" s="238" t="s">
        <v>1911</v>
      </c>
      <c r="O509" s="114" t="str">
        <f>IFERROR(INDEX(Tabela3[Tipos de Tratamento],MATCH('A3.9.1 copy'!K509,Tabela3[Código],0)),"")</f>
        <v>Armazenagem enquanto se aguarda a execução de uma das operações enumeradas de D1 a D14</v>
      </c>
      <c r="P509" s="91" t="s">
        <v>3299</v>
      </c>
      <c r="Q509" s="91" t="s">
        <v>3302</v>
      </c>
      <c r="S509">
        <v>2022</v>
      </c>
      <c r="T509" s="261" t="s">
        <v>3535</v>
      </c>
      <c r="U509" s="261" t="s">
        <v>3606</v>
      </c>
      <c r="V509" t="s">
        <v>42</v>
      </c>
    </row>
    <row r="510" spans="1:22" ht="15.75" thickBot="1" x14ac:dyDescent="0.3">
      <c r="A510" s="82" t="s">
        <v>4697</v>
      </c>
      <c r="B510" s="82" t="s">
        <v>4697</v>
      </c>
      <c r="C510" s="82" t="str">
        <f t="shared" si="29"/>
        <v>X</v>
      </c>
      <c r="D510" s="82" t="s">
        <v>42</v>
      </c>
      <c r="E510" s="142">
        <v>160504</v>
      </c>
      <c r="F510" s="83" t="s">
        <v>3266</v>
      </c>
      <c r="G510" s="125" t="s">
        <v>34</v>
      </c>
      <c r="H510" s="133">
        <v>38</v>
      </c>
      <c r="I510" s="125" t="s">
        <v>557</v>
      </c>
      <c r="J510" s="139">
        <f t="shared" si="30"/>
        <v>38</v>
      </c>
      <c r="K510" s="139" t="s">
        <v>509</v>
      </c>
      <c r="L510" s="238" t="str">
        <f t="shared" si="31"/>
        <v>Aterro</v>
      </c>
      <c r="M510" s="238" t="s">
        <v>1920</v>
      </c>
      <c r="N510" s="238" t="s">
        <v>1911</v>
      </c>
      <c r="O510" s="114" t="str">
        <f>IFERROR(INDEX(Tabela3[Tipos de Tratamento],MATCH('A3.9.1 copy'!K510,Tabela3[Código],0)),"")</f>
        <v>Armazenagem enquanto se aguarda a execução de uma das operações enumeradas de D1 a D14</v>
      </c>
      <c r="P510" s="91" t="s">
        <v>3299</v>
      </c>
      <c r="Q510" s="91" t="s">
        <v>3302</v>
      </c>
      <c r="R510" s="93"/>
      <c r="S510">
        <v>2022</v>
      </c>
      <c r="T510" s="261" t="s">
        <v>3535</v>
      </c>
      <c r="U510" s="261" t="s">
        <v>3606</v>
      </c>
      <c r="V510" t="s">
        <v>42</v>
      </c>
    </row>
    <row r="511" spans="1:22" ht="15.75" thickBot="1" x14ac:dyDescent="0.3">
      <c r="A511" s="82" t="s">
        <v>4697</v>
      </c>
      <c r="B511" s="82" t="s">
        <v>4697</v>
      </c>
      <c r="C511" s="82" t="str">
        <f t="shared" si="29"/>
        <v>X</v>
      </c>
      <c r="D511" s="82" t="s">
        <v>42</v>
      </c>
      <c r="E511" s="142">
        <v>160601</v>
      </c>
      <c r="F511" s="83" t="s">
        <v>1563</v>
      </c>
      <c r="G511" s="125" t="s">
        <v>34</v>
      </c>
      <c r="H511" s="133">
        <v>1537</v>
      </c>
      <c r="I511" s="125" t="s">
        <v>557</v>
      </c>
      <c r="J511" s="139">
        <f t="shared" si="30"/>
        <v>1537</v>
      </c>
      <c r="K511" s="139" t="s">
        <v>484</v>
      </c>
      <c r="L511" s="238" t="str">
        <f t="shared" si="31"/>
        <v>Reciclagem</v>
      </c>
      <c r="M511" s="238" t="s">
        <v>1653</v>
      </c>
      <c r="N511" s="238" t="s">
        <v>1896</v>
      </c>
      <c r="O511" s="114" t="str">
        <f>IFERROR(INDEX(Tabela3[Tipos de Tratamento],MATCH('A3.9.1 copy'!K511,Tabela3[Código],0)),"")</f>
        <v>Acumulação de resíduos destinados a uma das operações enumeradas de R1 a R12</v>
      </c>
      <c r="P511" s="91" t="s">
        <v>3305</v>
      </c>
      <c r="Q511" s="91" t="s">
        <v>3305</v>
      </c>
      <c r="S511">
        <v>2022</v>
      </c>
      <c r="T511" s="261" t="s">
        <v>3535</v>
      </c>
      <c r="U511" s="261" t="s">
        <v>3606</v>
      </c>
      <c r="V511" t="s">
        <v>42</v>
      </c>
    </row>
    <row r="512" spans="1:22" ht="15.75" thickBot="1" x14ac:dyDescent="0.3">
      <c r="A512" s="82" t="s">
        <v>4697</v>
      </c>
      <c r="B512" s="82" t="s">
        <v>4697</v>
      </c>
      <c r="C512" s="82" t="str">
        <f t="shared" si="29"/>
        <v>X</v>
      </c>
      <c r="D512" s="82" t="s">
        <v>42</v>
      </c>
      <c r="E512" s="142">
        <v>170107</v>
      </c>
      <c r="F512" s="83" t="s">
        <v>3267</v>
      </c>
      <c r="G512" s="125" t="s">
        <v>42</v>
      </c>
      <c r="H512" s="133">
        <v>2820</v>
      </c>
      <c r="I512" s="125" t="s">
        <v>557</v>
      </c>
      <c r="J512" s="139">
        <f t="shared" si="30"/>
        <v>2820</v>
      </c>
      <c r="K512" s="139" t="s">
        <v>509</v>
      </c>
      <c r="L512" s="238" t="str">
        <f t="shared" si="31"/>
        <v>Aterro</v>
      </c>
      <c r="M512" s="238" t="s">
        <v>1920</v>
      </c>
      <c r="N512" s="238" t="s">
        <v>1911</v>
      </c>
      <c r="O512" s="114" t="str">
        <f>IFERROR(INDEX(Tabela3[Tipos de Tratamento],MATCH('A3.9.1 copy'!K512,Tabela3[Código],0)),"")</f>
        <v>Armazenagem enquanto se aguarda a execução de uma das operações enumeradas de D1 a D14</v>
      </c>
      <c r="P512" s="91" t="s">
        <v>3299</v>
      </c>
      <c r="Q512" s="91" t="s">
        <v>3308</v>
      </c>
      <c r="R512" s="93"/>
      <c r="S512">
        <v>2022</v>
      </c>
      <c r="T512" s="261" t="s">
        <v>3535</v>
      </c>
      <c r="U512" s="261" t="s">
        <v>3606</v>
      </c>
      <c r="V512" t="s">
        <v>42</v>
      </c>
    </row>
    <row r="513" spans="1:22" ht="15.75" thickBot="1" x14ac:dyDescent="0.3">
      <c r="A513" s="82" t="s">
        <v>4697</v>
      </c>
      <c r="B513" s="82" t="s">
        <v>4697</v>
      </c>
      <c r="C513" s="82" t="str">
        <f t="shared" si="29"/>
        <v>X</v>
      </c>
      <c r="D513" s="82" t="s">
        <v>42</v>
      </c>
      <c r="E513" s="142">
        <v>200101</v>
      </c>
      <c r="F513" s="83" t="s">
        <v>1597</v>
      </c>
      <c r="G513" s="125" t="s">
        <v>42</v>
      </c>
      <c r="H513" s="133">
        <v>98</v>
      </c>
      <c r="I513" s="125" t="s">
        <v>557</v>
      </c>
      <c r="J513" s="139">
        <f t="shared" si="30"/>
        <v>98</v>
      </c>
      <c r="K513" s="139" t="s">
        <v>484</v>
      </c>
      <c r="L513" s="238" t="str">
        <f t="shared" si="31"/>
        <v>Reciclagem</v>
      </c>
      <c r="M513" s="238" t="s">
        <v>1923</v>
      </c>
      <c r="N513" s="238" t="s">
        <v>1922</v>
      </c>
      <c r="O513" s="114" t="str">
        <f>IFERROR(INDEX(Tabela3[Tipos de Tratamento],MATCH('A3.9.1 copy'!K513,Tabela3[Código],0)),"")</f>
        <v>Acumulação de resíduos destinados a uma das operações enumeradas de R1 a R12</v>
      </c>
      <c r="P513" s="91" t="s">
        <v>3299</v>
      </c>
      <c r="Q513" s="91" t="s">
        <v>3302</v>
      </c>
      <c r="S513">
        <v>2022</v>
      </c>
      <c r="T513" s="261" t="s">
        <v>3535</v>
      </c>
      <c r="U513" s="261" t="s">
        <v>3606</v>
      </c>
      <c r="V513" t="s">
        <v>42</v>
      </c>
    </row>
    <row r="514" spans="1:22" ht="15.75" thickBot="1" x14ac:dyDescent="0.3">
      <c r="A514" s="82" t="s">
        <v>4697</v>
      </c>
      <c r="B514" s="82" t="s">
        <v>4697</v>
      </c>
      <c r="C514" s="82" t="str">
        <f t="shared" si="29"/>
        <v>X</v>
      </c>
      <c r="D514" s="82" t="s">
        <v>42</v>
      </c>
      <c r="E514" s="142">
        <v>200121</v>
      </c>
      <c r="F514" s="83" t="s">
        <v>1564</v>
      </c>
      <c r="G514" s="125" t="s">
        <v>34</v>
      </c>
      <c r="H514" s="133">
        <v>41</v>
      </c>
      <c r="I514" s="125" t="s">
        <v>557</v>
      </c>
      <c r="J514" s="139">
        <f t="shared" si="30"/>
        <v>41</v>
      </c>
      <c r="K514" s="139" t="s">
        <v>484</v>
      </c>
      <c r="L514" s="238" t="str">
        <f t="shared" si="31"/>
        <v>Reciclagem</v>
      </c>
      <c r="M514" s="238" t="s">
        <v>1920</v>
      </c>
      <c r="N514" s="238" t="s">
        <v>1911</v>
      </c>
      <c r="O514" s="114" t="str">
        <f>IFERROR(INDEX(Tabela3[Tipos de Tratamento],MATCH('A3.9.1 copy'!K514,Tabela3[Código],0)),"")</f>
        <v>Acumulação de resíduos destinados a uma das operações enumeradas de R1 a R12</v>
      </c>
      <c r="P514" s="91" t="s">
        <v>3299</v>
      </c>
      <c r="Q514" s="91" t="s">
        <v>3302</v>
      </c>
      <c r="R514" s="93"/>
      <c r="S514">
        <v>2022</v>
      </c>
      <c r="T514" s="261" t="s">
        <v>3535</v>
      </c>
      <c r="U514" s="261" t="s">
        <v>3606</v>
      </c>
      <c r="V514" t="s">
        <v>42</v>
      </c>
    </row>
    <row r="515" spans="1:22" ht="15.75" thickBot="1" x14ac:dyDescent="0.3">
      <c r="A515" s="82" t="s">
        <v>4697</v>
      </c>
      <c r="B515" s="82" t="s">
        <v>4697</v>
      </c>
      <c r="C515" s="82" t="str">
        <f t="shared" ref="C515:C578" si="32">IF(A515=B515,"X",RIGHT(A515,LEN(A515)-LEN(B515)-3))</f>
        <v>X</v>
      </c>
      <c r="D515" s="82" t="s">
        <v>42</v>
      </c>
      <c r="E515" s="142">
        <v>130502</v>
      </c>
      <c r="F515" s="83" t="s">
        <v>1569</v>
      </c>
      <c r="G515" s="125" t="s">
        <v>34</v>
      </c>
      <c r="H515" s="133">
        <v>1544</v>
      </c>
      <c r="I515" s="125" t="s">
        <v>557</v>
      </c>
      <c r="J515" s="139">
        <f t="shared" ref="J515:J578" si="33">IF(LEFT(I515,3)="ton",1000*H515,H515)</f>
        <v>1544</v>
      </c>
      <c r="K515" s="139" t="s">
        <v>503</v>
      </c>
      <c r="L515" s="238" t="str">
        <f t="shared" ref="L515:L578" si="34">IF(LEFT(K515,1)="R","Reciclagem",IF(OR(K515="D10",K515="D11"),"Iceneração","Aterro"))</f>
        <v>Aterro</v>
      </c>
      <c r="M515" s="238" t="s">
        <v>1920</v>
      </c>
      <c r="N515" s="238" t="s">
        <v>1911</v>
      </c>
      <c r="O515" s="114" t="str">
        <f>IFERROR(INDEX(Tabela3[Tipos de Tratamento],MATCH('A3.9.1 copy'!K515,Tabela3[Código],0)),"")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515" s="91" t="s">
        <v>3299</v>
      </c>
      <c r="Q515" s="91" t="s">
        <v>3300</v>
      </c>
      <c r="S515">
        <v>2022</v>
      </c>
      <c r="T515" s="261" t="s">
        <v>3535</v>
      </c>
      <c r="U515" s="261" t="s">
        <v>3606</v>
      </c>
      <c r="V515" t="s">
        <v>42</v>
      </c>
    </row>
    <row r="516" spans="1:22" ht="15.75" thickBot="1" x14ac:dyDescent="0.3">
      <c r="A516" s="82" t="s">
        <v>4697</v>
      </c>
      <c r="B516" s="82" t="s">
        <v>4697</v>
      </c>
      <c r="C516" s="82" t="str">
        <f t="shared" si="32"/>
        <v>X</v>
      </c>
      <c r="D516" s="82" t="s">
        <v>42</v>
      </c>
      <c r="E516" s="142">
        <v>130507</v>
      </c>
      <c r="F516" s="83" t="s">
        <v>1572</v>
      </c>
      <c r="G516" s="125" t="s">
        <v>34</v>
      </c>
      <c r="H516" s="133">
        <v>2316</v>
      </c>
      <c r="I516" s="125" t="s">
        <v>557</v>
      </c>
      <c r="J516" s="139">
        <f t="shared" si="33"/>
        <v>2316</v>
      </c>
      <c r="K516" s="139" t="s">
        <v>503</v>
      </c>
      <c r="L516" s="238" t="str">
        <f t="shared" si="34"/>
        <v>Aterro</v>
      </c>
      <c r="M516" s="238" t="s">
        <v>1920</v>
      </c>
      <c r="N516" s="238" t="s">
        <v>1911</v>
      </c>
      <c r="O516" s="114" t="str">
        <f>IFERROR(INDEX(Tabela3[Tipos de Tratamento],MATCH('A3.9.1 copy'!K516,Tabela3[Código],0)),"")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516" s="91" t="s">
        <v>3299</v>
      </c>
      <c r="Q516" s="91" t="s">
        <v>3300</v>
      </c>
      <c r="S516">
        <v>2022</v>
      </c>
      <c r="T516" s="261" t="s">
        <v>3535</v>
      </c>
      <c r="U516" s="261" t="s">
        <v>3606</v>
      </c>
      <c r="V516" t="s">
        <v>42</v>
      </c>
    </row>
    <row r="517" spans="1:22" ht="15.75" thickBot="1" x14ac:dyDescent="0.3">
      <c r="A517" s="82" t="s">
        <v>4696</v>
      </c>
      <c r="B517" s="82" t="s">
        <v>4696</v>
      </c>
      <c r="C517" s="82" t="str">
        <f t="shared" si="32"/>
        <v>X</v>
      </c>
      <c r="D517" s="82" t="s">
        <v>42</v>
      </c>
      <c r="E517" s="142">
        <v>130502</v>
      </c>
      <c r="F517" s="83" t="s">
        <v>1569</v>
      </c>
      <c r="G517" s="125" t="s">
        <v>34</v>
      </c>
      <c r="H517" s="133">
        <v>680</v>
      </c>
      <c r="I517" s="125" t="s">
        <v>557</v>
      </c>
      <c r="J517" s="139">
        <f t="shared" si="33"/>
        <v>680</v>
      </c>
      <c r="K517" s="139" t="s">
        <v>503</v>
      </c>
      <c r="L517" s="238" t="str">
        <f t="shared" si="34"/>
        <v>Aterro</v>
      </c>
      <c r="M517" s="238" t="s">
        <v>1920</v>
      </c>
      <c r="N517" s="238" t="s">
        <v>1911</v>
      </c>
      <c r="O517" s="114" t="str">
        <f>IFERROR(INDEX(Tabela3[Tipos de Tratamento],MATCH('A3.9.1 copy'!K517,Tabela3[Código],0)),"")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517" s="91" t="s">
        <v>3299</v>
      </c>
      <c r="Q517" s="91" t="s">
        <v>3300</v>
      </c>
      <c r="S517">
        <v>2022</v>
      </c>
      <c r="T517" s="261" t="s">
        <v>3535</v>
      </c>
      <c r="U517" s="261" t="s">
        <v>3606</v>
      </c>
      <c r="V517" t="s">
        <v>42</v>
      </c>
    </row>
    <row r="518" spans="1:22" ht="15.75" thickBot="1" x14ac:dyDescent="0.3">
      <c r="A518" s="82" t="s">
        <v>4696</v>
      </c>
      <c r="B518" s="82" t="s">
        <v>4696</v>
      </c>
      <c r="C518" s="82" t="str">
        <f t="shared" si="32"/>
        <v>X</v>
      </c>
      <c r="D518" s="82" t="s">
        <v>42</v>
      </c>
      <c r="E518" s="142">
        <v>130507</v>
      </c>
      <c r="F518" s="83" t="s">
        <v>1572</v>
      </c>
      <c r="G518" s="125" t="s">
        <v>34</v>
      </c>
      <c r="H518" s="133">
        <v>5320</v>
      </c>
      <c r="I518" s="125" t="s">
        <v>557</v>
      </c>
      <c r="J518" s="139">
        <f t="shared" si="33"/>
        <v>5320</v>
      </c>
      <c r="K518" s="139" t="s">
        <v>503</v>
      </c>
      <c r="L518" s="238" t="str">
        <f t="shared" si="34"/>
        <v>Aterro</v>
      </c>
      <c r="M518" s="238" t="s">
        <v>1920</v>
      </c>
      <c r="N518" s="238" t="s">
        <v>1911</v>
      </c>
      <c r="O518" s="114" t="str">
        <f>IFERROR(INDEX(Tabela3[Tipos de Tratamento],MATCH('A3.9.1 copy'!K518,Tabela3[Código],0)),"")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518" s="91" t="s">
        <v>3299</v>
      </c>
      <c r="Q518" s="91" t="s">
        <v>3300</v>
      </c>
      <c r="R518" s="93"/>
      <c r="S518">
        <v>2022</v>
      </c>
      <c r="T518" s="261" t="s">
        <v>3535</v>
      </c>
      <c r="U518" s="261" t="s">
        <v>3606</v>
      </c>
      <c r="V518" t="s">
        <v>42</v>
      </c>
    </row>
    <row r="519" spans="1:22" ht="15.75" thickBot="1" x14ac:dyDescent="0.3">
      <c r="A519" s="82" t="s">
        <v>4698</v>
      </c>
      <c r="B519" s="82" t="s">
        <v>4698</v>
      </c>
      <c r="C519" s="82" t="str">
        <f t="shared" si="32"/>
        <v>X</v>
      </c>
      <c r="D519" s="82" t="s">
        <v>42</v>
      </c>
      <c r="E519" s="142">
        <v>130502</v>
      </c>
      <c r="F519" s="83" t="s">
        <v>1569</v>
      </c>
      <c r="G519" s="125" t="s">
        <v>34</v>
      </c>
      <c r="H519" s="133">
        <v>2580</v>
      </c>
      <c r="I519" s="125" t="s">
        <v>557</v>
      </c>
      <c r="J519" s="139">
        <f t="shared" si="33"/>
        <v>2580</v>
      </c>
      <c r="K519" s="139" t="s">
        <v>503</v>
      </c>
      <c r="L519" s="238" t="str">
        <f t="shared" si="34"/>
        <v>Aterro</v>
      </c>
      <c r="M519" s="238" t="s">
        <v>1920</v>
      </c>
      <c r="N519" s="238" t="s">
        <v>1911</v>
      </c>
      <c r="O519" s="114" t="str">
        <f>IFERROR(INDEX(Tabela3[Tipos de Tratamento],MATCH('A3.9.1 copy'!K519,Tabela3[Código],0)),"")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519" s="91" t="s">
        <v>3299</v>
      </c>
      <c r="Q519" s="91" t="s">
        <v>3300</v>
      </c>
      <c r="R519" s="93"/>
      <c r="S519">
        <v>2022</v>
      </c>
      <c r="T519" s="261" t="s">
        <v>3535</v>
      </c>
      <c r="U519" s="261" t="s">
        <v>3606</v>
      </c>
      <c r="V519" t="s">
        <v>42</v>
      </c>
    </row>
    <row r="520" spans="1:22" ht="15.75" thickBot="1" x14ac:dyDescent="0.3">
      <c r="A520" s="82" t="s">
        <v>4698</v>
      </c>
      <c r="B520" s="82" t="s">
        <v>4698</v>
      </c>
      <c r="C520" s="82" t="str">
        <f t="shared" si="32"/>
        <v>X</v>
      </c>
      <c r="D520" s="82" t="s">
        <v>42</v>
      </c>
      <c r="E520" s="142">
        <v>130507</v>
      </c>
      <c r="F520" s="83" t="s">
        <v>1572</v>
      </c>
      <c r="G520" s="125" t="s">
        <v>34</v>
      </c>
      <c r="H520" s="133">
        <v>2600</v>
      </c>
      <c r="I520" s="125" t="s">
        <v>557</v>
      </c>
      <c r="J520" s="139">
        <f t="shared" si="33"/>
        <v>2600</v>
      </c>
      <c r="K520" s="139" t="s">
        <v>503</v>
      </c>
      <c r="L520" s="238" t="str">
        <f t="shared" si="34"/>
        <v>Aterro</v>
      </c>
      <c r="M520" s="238" t="s">
        <v>1920</v>
      </c>
      <c r="N520" s="238" t="s">
        <v>1911</v>
      </c>
      <c r="O520" s="114" t="str">
        <f>IFERROR(INDEX(Tabela3[Tipos de Tratamento],MATCH('A3.9.1 copy'!K520,Tabela3[Código],0)),"")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520" s="91" t="s">
        <v>3299</v>
      </c>
      <c r="Q520" s="91" t="s">
        <v>3300</v>
      </c>
      <c r="R520" s="93"/>
      <c r="S520">
        <v>2022</v>
      </c>
      <c r="T520" s="261" t="s">
        <v>3535</v>
      </c>
      <c r="U520" s="261" t="s">
        <v>3606</v>
      </c>
      <c r="V520" t="s">
        <v>42</v>
      </c>
    </row>
    <row r="521" spans="1:22" ht="15.75" thickBot="1" x14ac:dyDescent="0.3">
      <c r="A521" s="82" t="s">
        <v>4698</v>
      </c>
      <c r="B521" s="82" t="s">
        <v>4698</v>
      </c>
      <c r="C521" s="82" t="str">
        <f t="shared" si="32"/>
        <v>X</v>
      </c>
      <c r="D521" s="82" t="s">
        <v>42</v>
      </c>
      <c r="E521" s="142">
        <v>200306</v>
      </c>
      <c r="F521" s="83" t="s">
        <v>3268</v>
      </c>
      <c r="G521" s="125" t="s">
        <v>42</v>
      </c>
      <c r="H521" s="133">
        <v>7300</v>
      </c>
      <c r="I521" s="125" t="s">
        <v>557</v>
      </c>
      <c r="J521" s="139">
        <f t="shared" si="33"/>
        <v>7300</v>
      </c>
      <c r="K521" s="139" t="s">
        <v>509</v>
      </c>
      <c r="L521" s="238" t="str">
        <f t="shared" si="34"/>
        <v>Aterro</v>
      </c>
      <c r="M521" s="238" t="s">
        <v>1920</v>
      </c>
      <c r="N521" s="238" t="s">
        <v>1911</v>
      </c>
      <c r="O521" s="114" t="str">
        <f>IFERROR(INDEX(Tabela3[Tipos de Tratamento],MATCH('A3.9.1 copy'!K521,Tabela3[Código],0)),"")</f>
        <v>Armazenagem enquanto se aguarda a execução de uma das operações enumeradas de D1 a D14</v>
      </c>
      <c r="P521" s="91" t="s">
        <v>3299</v>
      </c>
      <c r="Q521" s="91" t="s">
        <v>3300</v>
      </c>
      <c r="R521" s="93"/>
      <c r="S521">
        <v>2022</v>
      </c>
      <c r="T521" s="261" t="s">
        <v>3535</v>
      </c>
      <c r="U521" s="261" t="s">
        <v>3606</v>
      </c>
      <c r="V521" t="s">
        <v>42</v>
      </c>
    </row>
    <row r="522" spans="1:22" ht="15.75" thickBot="1" x14ac:dyDescent="0.3">
      <c r="A522" s="82" t="s">
        <v>4698</v>
      </c>
      <c r="B522" s="82" t="s">
        <v>4698</v>
      </c>
      <c r="C522" s="82" t="str">
        <f t="shared" si="32"/>
        <v>X</v>
      </c>
      <c r="D522" s="82" t="s">
        <v>42</v>
      </c>
      <c r="E522" s="142">
        <v>130502</v>
      </c>
      <c r="F522" s="83" t="s">
        <v>1569</v>
      </c>
      <c r="G522" s="125" t="s">
        <v>34</v>
      </c>
      <c r="H522" s="133">
        <v>640</v>
      </c>
      <c r="I522" s="125" t="s">
        <v>557</v>
      </c>
      <c r="J522" s="139">
        <f t="shared" si="33"/>
        <v>640</v>
      </c>
      <c r="K522" s="139" t="s">
        <v>503</v>
      </c>
      <c r="L522" s="238" t="str">
        <f t="shared" si="34"/>
        <v>Aterro</v>
      </c>
      <c r="M522" s="238" t="s">
        <v>1920</v>
      </c>
      <c r="N522" s="238" t="s">
        <v>1911</v>
      </c>
      <c r="O522" s="114" t="str">
        <f>IFERROR(INDEX(Tabela3[Tipos de Tratamento],MATCH('A3.9.1 copy'!K522,Tabela3[Código],0)),"")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522" s="91" t="s">
        <v>3299</v>
      </c>
      <c r="Q522" s="91" t="s">
        <v>3300</v>
      </c>
      <c r="S522">
        <v>2022</v>
      </c>
      <c r="T522" s="261" t="s">
        <v>3535</v>
      </c>
      <c r="U522" s="261" t="s">
        <v>3606</v>
      </c>
      <c r="V522" t="s">
        <v>42</v>
      </c>
    </row>
    <row r="523" spans="1:22" ht="15.75" thickBot="1" x14ac:dyDescent="0.3">
      <c r="A523" s="82" t="s">
        <v>4698</v>
      </c>
      <c r="B523" s="82" t="s">
        <v>4698</v>
      </c>
      <c r="C523" s="82" t="str">
        <f t="shared" si="32"/>
        <v>X</v>
      </c>
      <c r="D523" s="82" t="s">
        <v>42</v>
      </c>
      <c r="E523" s="142">
        <v>130507</v>
      </c>
      <c r="F523" s="83" t="s">
        <v>1572</v>
      </c>
      <c r="G523" s="125" t="s">
        <v>34</v>
      </c>
      <c r="H523" s="133">
        <v>1760</v>
      </c>
      <c r="I523" s="125" t="s">
        <v>557</v>
      </c>
      <c r="J523" s="139">
        <f t="shared" si="33"/>
        <v>1760</v>
      </c>
      <c r="K523" s="139" t="s">
        <v>503</v>
      </c>
      <c r="L523" s="238" t="str">
        <f t="shared" si="34"/>
        <v>Aterro</v>
      </c>
      <c r="M523" s="238" t="s">
        <v>1920</v>
      </c>
      <c r="N523" s="238" t="s">
        <v>1911</v>
      </c>
      <c r="O523" s="114" t="str">
        <f>IFERROR(INDEX(Tabela3[Tipos de Tratamento],MATCH('A3.9.1 copy'!K523,Tabela3[Código],0)),"")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523" s="91" t="s">
        <v>3299</v>
      </c>
      <c r="Q523" s="91" t="s">
        <v>3300</v>
      </c>
      <c r="S523">
        <v>2022</v>
      </c>
      <c r="T523" s="261" t="s">
        <v>3535</v>
      </c>
      <c r="U523" s="261" t="s">
        <v>3606</v>
      </c>
      <c r="V523" t="s">
        <v>42</v>
      </c>
    </row>
    <row r="524" spans="1:22" ht="15.75" thickBot="1" x14ac:dyDescent="0.3">
      <c r="A524" s="82" t="s">
        <v>4698</v>
      </c>
      <c r="B524" s="82" t="s">
        <v>4698</v>
      </c>
      <c r="C524" s="82" t="str">
        <f t="shared" si="32"/>
        <v>X</v>
      </c>
      <c r="D524" s="82" t="s">
        <v>42</v>
      </c>
      <c r="E524" s="142">
        <v>130502</v>
      </c>
      <c r="F524" s="83" t="s">
        <v>1569</v>
      </c>
      <c r="G524" s="125" t="s">
        <v>34</v>
      </c>
      <c r="H524" s="133">
        <v>560</v>
      </c>
      <c r="I524" s="125" t="s">
        <v>557</v>
      </c>
      <c r="J524" s="139">
        <f t="shared" si="33"/>
        <v>560</v>
      </c>
      <c r="K524" s="139" t="s">
        <v>503</v>
      </c>
      <c r="L524" s="238" t="str">
        <f t="shared" si="34"/>
        <v>Aterro</v>
      </c>
      <c r="M524" s="238" t="s">
        <v>1920</v>
      </c>
      <c r="N524" s="238" t="s">
        <v>1911</v>
      </c>
      <c r="O524" s="114" t="str">
        <f>IFERROR(INDEX(Tabela3[Tipos de Tratamento],MATCH('A3.9.1 copy'!K524,Tabela3[Código],0)),"")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524" s="91" t="s">
        <v>3299</v>
      </c>
      <c r="Q524" s="91" t="s">
        <v>3300</v>
      </c>
      <c r="S524">
        <v>2022</v>
      </c>
      <c r="T524" s="261" t="s">
        <v>3535</v>
      </c>
      <c r="U524" s="261" t="s">
        <v>3606</v>
      </c>
      <c r="V524" t="s">
        <v>42</v>
      </c>
    </row>
    <row r="525" spans="1:22" ht="15.75" thickBot="1" x14ac:dyDescent="0.3">
      <c r="A525" s="82" t="s">
        <v>4698</v>
      </c>
      <c r="B525" s="82" t="s">
        <v>4698</v>
      </c>
      <c r="C525" s="82" t="str">
        <f t="shared" si="32"/>
        <v>X</v>
      </c>
      <c r="D525" s="82" t="s">
        <v>42</v>
      </c>
      <c r="E525" s="142">
        <v>130507</v>
      </c>
      <c r="F525" s="83" t="s">
        <v>1572</v>
      </c>
      <c r="G525" s="125" t="s">
        <v>34</v>
      </c>
      <c r="H525" s="133">
        <v>2240</v>
      </c>
      <c r="I525" s="125" t="s">
        <v>557</v>
      </c>
      <c r="J525" s="139">
        <f t="shared" si="33"/>
        <v>2240</v>
      </c>
      <c r="K525" s="139" t="s">
        <v>503</v>
      </c>
      <c r="L525" s="238" t="str">
        <f t="shared" si="34"/>
        <v>Aterro</v>
      </c>
      <c r="M525" s="238" t="s">
        <v>1920</v>
      </c>
      <c r="N525" s="238" t="s">
        <v>1911</v>
      </c>
      <c r="O525" s="114" t="str">
        <f>IFERROR(INDEX(Tabela3[Tipos de Tratamento],MATCH('A3.9.1 copy'!K525,Tabela3[Código],0)),"")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525" s="91" t="s">
        <v>3299</v>
      </c>
      <c r="Q525" s="91" t="s">
        <v>3300</v>
      </c>
      <c r="S525">
        <v>2022</v>
      </c>
      <c r="T525" s="261" t="s">
        <v>3535</v>
      </c>
      <c r="U525" s="261" t="s">
        <v>3606</v>
      </c>
      <c r="V525" t="s">
        <v>42</v>
      </c>
    </row>
    <row r="526" spans="1:22" ht="15.75" thickBot="1" x14ac:dyDescent="0.3">
      <c r="A526" s="82" t="s">
        <v>4695</v>
      </c>
      <c r="B526" s="82" t="s">
        <v>4695</v>
      </c>
      <c r="C526" s="82" t="str">
        <f t="shared" si="32"/>
        <v>X</v>
      </c>
      <c r="D526" s="82" t="s">
        <v>42</v>
      </c>
      <c r="E526" s="142">
        <v>130502</v>
      </c>
      <c r="F526" s="83" t="s">
        <v>1569</v>
      </c>
      <c r="G526" s="125" t="s">
        <v>34</v>
      </c>
      <c r="H526" s="133">
        <v>180</v>
      </c>
      <c r="I526" s="125" t="s">
        <v>557</v>
      </c>
      <c r="J526" s="139">
        <f t="shared" si="33"/>
        <v>180</v>
      </c>
      <c r="K526" s="139" t="s">
        <v>503</v>
      </c>
      <c r="L526" s="238" t="str">
        <f t="shared" si="34"/>
        <v>Aterro</v>
      </c>
      <c r="M526" s="238" t="s">
        <v>1920</v>
      </c>
      <c r="N526" s="238" t="s">
        <v>1911</v>
      </c>
      <c r="O526" s="114" t="str">
        <f>IFERROR(INDEX(Tabela3[Tipos de Tratamento],MATCH('A3.9.1 copy'!K526,Tabela3[Código],0)),"")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526" s="91" t="s">
        <v>3299</v>
      </c>
      <c r="Q526" s="91" t="s">
        <v>3299</v>
      </c>
      <c r="S526">
        <v>2022</v>
      </c>
      <c r="T526" s="261" t="s">
        <v>3535</v>
      </c>
      <c r="U526" s="261" t="s">
        <v>3606</v>
      </c>
      <c r="V526" t="s">
        <v>42</v>
      </c>
    </row>
    <row r="527" spans="1:22" ht="15.75" thickBot="1" x14ac:dyDescent="0.3">
      <c r="A527" s="82" t="s">
        <v>4695</v>
      </c>
      <c r="B527" s="82" t="s">
        <v>4695</v>
      </c>
      <c r="C527" s="82" t="str">
        <f t="shared" si="32"/>
        <v>X</v>
      </c>
      <c r="D527" s="82" t="s">
        <v>42</v>
      </c>
      <c r="E527" s="142">
        <v>130507</v>
      </c>
      <c r="F527" s="83" t="s">
        <v>1572</v>
      </c>
      <c r="G527" s="125" t="s">
        <v>34</v>
      </c>
      <c r="H527" s="133">
        <v>1100</v>
      </c>
      <c r="I527" s="125" t="s">
        <v>557</v>
      </c>
      <c r="J527" s="139">
        <f t="shared" si="33"/>
        <v>1100</v>
      </c>
      <c r="K527" s="139" t="s">
        <v>503</v>
      </c>
      <c r="L527" s="238" t="str">
        <f t="shared" si="34"/>
        <v>Aterro</v>
      </c>
      <c r="M527" s="238" t="s">
        <v>1920</v>
      </c>
      <c r="N527" s="238" t="s">
        <v>1911</v>
      </c>
      <c r="O527" s="114" t="str">
        <f>IFERROR(INDEX(Tabela3[Tipos de Tratamento],MATCH('A3.9.1 copy'!K527,Tabela3[Código],0)),"")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527" s="91" t="s">
        <v>3299</v>
      </c>
      <c r="Q527" s="91" t="s">
        <v>3299</v>
      </c>
      <c r="S527">
        <v>2022</v>
      </c>
      <c r="T527" s="261" t="s">
        <v>3535</v>
      </c>
      <c r="U527" s="261" t="s">
        <v>3606</v>
      </c>
      <c r="V527" t="s">
        <v>42</v>
      </c>
    </row>
    <row r="528" spans="1:22" ht="15.75" thickBot="1" x14ac:dyDescent="0.3">
      <c r="A528" s="82" t="s">
        <v>4705</v>
      </c>
      <c r="B528" s="82" t="s">
        <v>4705</v>
      </c>
      <c r="C528" s="82" t="str">
        <f t="shared" si="32"/>
        <v>X</v>
      </c>
      <c r="D528" s="82" t="s">
        <v>42</v>
      </c>
      <c r="E528" s="392" t="s">
        <v>1872</v>
      </c>
      <c r="F528" s="83" t="s">
        <v>3635</v>
      </c>
      <c r="G528" s="125" t="s">
        <v>34</v>
      </c>
      <c r="H528" s="124">
        <v>4023</v>
      </c>
      <c r="I528" s="125" t="s">
        <v>557</v>
      </c>
      <c r="J528" s="139">
        <f t="shared" si="33"/>
        <v>4023</v>
      </c>
      <c r="K528" s="139" t="s">
        <v>3632</v>
      </c>
      <c r="L528" s="238" t="str">
        <f t="shared" si="34"/>
        <v>Reciclagem</v>
      </c>
      <c r="M528" s="238" t="s">
        <v>1920</v>
      </c>
      <c r="N528" s="238" t="s">
        <v>1911</v>
      </c>
      <c r="O528" s="91" t="s">
        <v>3634</v>
      </c>
      <c r="P528" s="91" t="s">
        <v>3630</v>
      </c>
      <c r="Q528" s="91" t="s">
        <v>3631</v>
      </c>
      <c r="R528" s="82" t="s">
        <v>3629</v>
      </c>
      <c r="S528">
        <v>2022</v>
      </c>
      <c r="T528" s="261" t="s">
        <v>3535</v>
      </c>
      <c r="U528" s="261" t="s">
        <v>3606</v>
      </c>
      <c r="V528" t="s">
        <v>42</v>
      </c>
    </row>
    <row r="529" spans="1:22" ht="15.75" thickBot="1" x14ac:dyDescent="0.3">
      <c r="A529" s="82" t="s">
        <v>4705</v>
      </c>
      <c r="B529" s="82" t="s">
        <v>4705</v>
      </c>
      <c r="C529" s="82" t="str">
        <f t="shared" si="32"/>
        <v>X</v>
      </c>
      <c r="D529" s="82" t="s">
        <v>42</v>
      </c>
      <c r="E529" s="392" t="s">
        <v>1872</v>
      </c>
      <c r="F529" s="83" t="s">
        <v>3635</v>
      </c>
      <c r="G529" s="125" t="s">
        <v>34</v>
      </c>
      <c r="H529" s="124">
        <v>4862</v>
      </c>
      <c r="I529" s="125" t="s">
        <v>557</v>
      </c>
      <c r="J529" s="139">
        <f t="shared" si="33"/>
        <v>4862</v>
      </c>
      <c r="K529" s="139" t="s">
        <v>3633</v>
      </c>
      <c r="L529" s="238" t="str">
        <f t="shared" si="34"/>
        <v>Aterro</v>
      </c>
      <c r="M529" s="238" t="s">
        <v>1920</v>
      </c>
      <c r="N529" s="238" t="s">
        <v>1911</v>
      </c>
      <c r="O529" s="91" t="s">
        <v>3634</v>
      </c>
      <c r="P529" s="91" t="s">
        <v>3630</v>
      </c>
      <c r="Q529" s="91" t="s">
        <v>3631</v>
      </c>
      <c r="R529" s="82" t="s">
        <v>3629</v>
      </c>
      <c r="S529">
        <v>2022</v>
      </c>
      <c r="T529" s="261" t="s">
        <v>3535</v>
      </c>
      <c r="U529" s="261" t="s">
        <v>3606</v>
      </c>
      <c r="V529" t="s">
        <v>42</v>
      </c>
    </row>
    <row r="530" spans="1:22" ht="15.75" thickBot="1" x14ac:dyDescent="0.3">
      <c r="A530" s="82" t="s">
        <v>4705</v>
      </c>
      <c r="B530" s="82" t="s">
        <v>4705</v>
      </c>
      <c r="C530" s="82" t="str">
        <f t="shared" si="32"/>
        <v>X</v>
      </c>
      <c r="D530" s="82" t="s">
        <v>42</v>
      </c>
      <c r="E530" s="392" t="s">
        <v>1867</v>
      </c>
      <c r="F530" s="83" t="s">
        <v>3636</v>
      </c>
      <c r="G530" s="125" t="s">
        <v>34</v>
      </c>
      <c r="H530" s="124">
        <v>25270</v>
      </c>
      <c r="I530" s="125" t="s">
        <v>557</v>
      </c>
      <c r="J530" s="139">
        <f t="shared" si="33"/>
        <v>25270</v>
      </c>
      <c r="K530" s="139" t="s">
        <v>3633</v>
      </c>
      <c r="L530" s="238" t="str">
        <f t="shared" si="34"/>
        <v>Aterro</v>
      </c>
      <c r="M530" s="238" t="s">
        <v>1920</v>
      </c>
      <c r="N530" s="238" t="s">
        <v>1911</v>
      </c>
      <c r="O530" s="91" t="s">
        <v>3634</v>
      </c>
      <c r="P530" s="91" t="s">
        <v>3630</v>
      </c>
      <c r="Q530" s="91" t="s">
        <v>3631</v>
      </c>
      <c r="R530" s="82" t="s">
        <v>3629</v>
      </c>
      <c r="S530">
        <v>2022</v>
      </c>
      <c r="T530" s="261" t="s">
        <v>3535</v>
      </c>
      <c r="U530" s="261" t="s">
        <v>3606</v>
      </c>
      <c r="V530" t="s">
        <v>42</v>
      </c>
    </row>
    <row r="531" spans="1:22" ht="15.75" thickBot="1" x14ac:dyDescent="0.3">
      <c r="A531" s="82" t="s">
        <v>4705</v>
      </c>
      <c r="B531" s="82" t="s">
        <v>4705</v>
      </c>
      <c r="C531" s="82" t="str">
        <f t="shared" si="32"/>
        <v>X</v>
      </c>
      <c r="D531" s="82" t="s">
        <v>42</v>
      </c>
      <c r="E531" s="392" t="s">
        <v>3664</v>
      </c>
      <c r="F531" s="83" t="s">
        <v>3637</v>
      </c>
      <c r="G531" s="125" t="s">
        <v>42</v>
      </c>
      <c r="H531" s="124">
        <v>13260</v>
      </c>
      <c r="I531" s="125" t="s">
        <v>557</v>
      </c>
      <c r="J531" s="139">
        <f t="shared" si="33"/>
        <v>13260</v>
      </c>
      <c r="K531" s="139" t="s">
        <v>3632</v>
      </c>
      <c r="L531" s="238" t="str">
        <f t="shared" si="34"/>
        <v>Reciclagem</v>
      </c>
      <c r="M531" s="238" t="s">
        <v>1920</v>
      </c>
      <c r="N531" s="238" t="s">
        <v>1911</v>
      </c>
      <c r="O531" s="91" t="s">
        <v>3634</v>
      </c>
      <c r="P531" s="91" t="s">
        <v>3630</v>
      </c>
      <c r="Q531" s="91" t="s">
        <v>3631</v>
      </c>
      <c r="R531" s="82" t="s">
        <v>3629</v>
      </c>
      <c r="S531">
        <v>2022</v>
      </c>
      <c r="T531" s="261" t="s">
        <v>3535</v>
      </c>
      <c r="U531" s="261" t="s">
        <v>3606</v>
      </c>
      <c r="V531" t="s">
        <v>42</v>
      </c>
    </row>
    <row r="532" spans="1:22" ht="15.75" thickBot="1" x14ac:dyDescent="0.3">
      <c r="A532" s="82" t="s">
        <v>4705</v>
      </c>
      <c r="B532" s="82" t="s">
        <v>4705</v>
      </c>
      <c r="C532" s="82" t="str">
        <f t="shared" si="32"/>
        <v>X</v>
      </c>
      <c r="D532" s="82" t="s">
        <v>42</v>
      </c>
      <c r="E532" s="392" t="s">
        <v>3665</v>
      </c>
      <c r="F532" s="83" t="s">
        <v>3254</v>
      </c>
      <c r="G532" s="125" t="s">
        <v>34</v>
      </c>
      <c r="H532" s="124">
        <v>212</v>
      </c>
      <c r="I532" s="125" t="s">
        <v>557</v>
      </c>
      <c r="J532" s="139">
        <f t="shared" si="33"/>
        <v>212</v>
      </c>
      <c r="K532" s="139" t="s">
        <v>3632</v>
      </c>
      <c r="L532" s="238" t="str">
        <f t="shared" si="34"/>
        <v>Reciclagem</v>
      </c>
      <c r="M532" s="238" t="s">
        <v>1653</v>
      </c>
      <c r="N532" s="238" t="s">
        <v>1896</v>
      </c>
      <c r="O532" s="91" t="s">
        <v>3634</v>
      </c>
      <c r="P532" s="91" t="s">
        <v>3630</v>
      </c>
      <c r="Q532" s="91" t="s">
        <v>3631</v>
      </c>
      <c r="R532" s="82" t="s">
        <v>3629</v>
      </c>
      <c r="S532">
        <v>2022</v>
      </c>
      <c r="T532" s="261" t="s">
        <v>3535</v>
      </c>
      <c r="U532" s="261" t="s">
        <v>3606</v>
      </c>
      <c r="V532" t="s">
        <v>42</v>
      </c>
    </row>
    <row r="533" spans="1:22" ht="15.75" thickBot="1" x14ac:dyDescent="0.3">
      <c r="A533" s="82" t="s">
        <v>4705</v>
      </c>
      <c r="B533" s="82" t="s">
        <v>4705</v>
      </c>
      <c r="C533" s="82" t="str">
        <f t="shared" si="32"/>
        <v>X</v>
      </c>
      <c r="D533" s="82" t="s">
        <v>42</v>
      </c>
      <c r="E533" s="392" t="s">
        <v>1880</v>
      </c>
      <c r="F533" s="83" t="s">
        <v>3254</v>
      </c>
      <c r="G533" s="125" t="s">
        <v>34</v>
      </c>
      <c r="H533" s="124">
        <v>640</v>
      </c>
      <c r="I533" s="125" t="s">
        <v>557</v>
      </c>
      <c r="J533" s="139">
        <f t="shared" si="33"/>
        <v>640</v>
      </c>
      <c r="K533" s="139" t="s">
        <v>3632</v>
      </c>
      <c r="L533" s="238" t="str">
        <f t="shared" si="34"/>
        <v>Reciclagem</v>
      </c>
      <c r="M533" s="238" t="s">
        <v>1653</v>
      </c>
      <c r="N533" s="238" t="s">
        <v>1896</v>
      </c>
      <c r="O533" s="91" t="s">
        <v>3634</v>
      </c>
      <c r="P533" s="91" t="s">
        <v>3630</v>
      </c>
      <c r="Q533" s="91" t="s">
        <v>3631</v>
      </c>
      <c r="R533" s="82" t="s">
        <v>3629</v>
      </c>
      <c r="S533">
        <v>2022</v>
      </c>
      <c r="T533" s="261" t="s">
        <v>3535</v>
      </c>
      <c r="U533" s="261" t="s">
        <v>3606</v>
      </c>
      <c r="V533" t="s">
        <v>42</v>
      </c>
    </row>
    <row r="534" spans="1:22" ht="15.75" thickBot="1" x14ac:dyDescent="0.3">
      <c r="A534" s="82" t="s">
        <v>4705</v>
      </c>
      <c r="B534" s="82" t="s">
        <v>4705</v>
      </c>
      <c r="C534" s="82" t="str">
        <f t="shared" si="32"/>
        <v>X</v>
      </c>
      <c r="D534" s="82" t="s">
        <v>42</v>
      </c>
      <c r="E534" s="392" t="s">
        <v>1875</v>
      </c>
      <c r="F534" s="83" t="s">
        <v>3638</v>
      </c>
      <c r="G534" s="125" t="s">
        <v>42</v>
      </c>
      <c r="H534" s="124">
        <v>5501</v>
      </c>
      <c r="I534" s="125" t="s">
        <v>557</v>
      </c>
      <c r="J534" s="139">
        <f t="shared" si="33"/>
        <v>5501</v>
      </c>
      <c r="K534" s="139" t="s">
        <v>3632</v>
      </c>
      <c r="L534" s="238" t="str">
        <f t="shared" si="34"/>
        <v>Reciclagem</v>
      </c>
      <c r="M534" s="238" t="s">
        <v>1920</v>
      </c>
      <c r="N534" s="238" t="s">
        <v>1911</v>
      </c>
      <c r="O534" s="91" t="s">
        <v>3634</v>
      </c>
      <c r="P534" s="91" t="s">
        <v>3630</v>
      </c>
      <c r="Q534" s="91" t="s">
        <v>3631</v>
      </c>
      <c r="R534" s="82" t="s">
        <v>3629</v>
      </c>
      <c r="S534">
        <v>2022</v>
      </c>
      <c r="T534" s="261" t="s">
        <v>3535</v>
      </c>
      <c r="U534" s="261" t="s">
        <v>3606</v>
      </c>
      <c r="V534" t="s">
        <v>42</v>
      </c>
    </row>
    <row r="535" spans="1:22" ht="15.75" thickBot="1" x14ac:dyDescent="0.3">
      <c r="A535" s="82" t="s">
        <v>4705</v>
      </c>
      <c r="B535" s="82" t="s">
        <v>4705</v>
      </c>
      <c r="C535" s="82" t="str">
        <f t="shared" si="32"/>
        <v>X</v>
      </c>
      <c r="D535" s="82" t="s">
        <v>42</v>
      </c>
      <c r="E535" s="392" t="s">
        <v>3666</v>
      </c>
      <c r="F535" s="83" t="s">
        <v>3639</v>
      </c>
      <c r="G535" s="125" t="s">
        <v>34</v>
      </c>
      <c r="H535" s="124">
        <v>261</v>
      </c>
      <c r="I535" s="125" t="s">
        <v>557</v>
      </c>
      <c r="J535" s="139">
        <f t="shared" si="33"/>
        <v>261</v>
      </c>
      <c r="K535" s="139" t="s">
        <v>3632</v>
      </c>
      <c r="L535" s="238" t="str">
        <f t="shared" si="34"/>
        <v>Reciclagem</v>
      </c>
      <c r="M535" s="238" t="s">
        <v>3689</v>
      </c>
      <c r="N535" s="238" t="s">
        <v>1911</v>
      </c>
      <c r="O535" s="91" t="s">
        <v>3634</v>
      </c>
      <c r="P535" s="91" t="s">
        <v>3630</v>
      </c>
      <c r="Q535" s="91" t="s">
        <v>3631</v>
      </c>
      <c r="R535" s="82" t="s">
        <v>3629</v>
      </c>
      <c r="S535">
        <v>2022</v>
      </c>
      <c r="T535" s="261" t="s">
        <v>3535</v>
      </c>
      <c r="U535" s="261" t="s">
        <v>3606</v>
      </c>
      <c r="V535" t="s">
        <v>42</v>
      </c>
    </row>
    <row r="536" spans="1:22" ht="15.75" thickBot="1" x14ac:dyDescent="0.3">
      <c r="A536" s="82" t="s">
        <v>4705</v>
      </c>
      <c r="B536" s="82" t="s">
        <v>4705</v>
      </c>
      <c r="C536" s="82" t="str">
        <f t="shared" si="32"/>
        <v>X</v>
      </c>
      <c r="D536" s="82" t="s">
        <v>42</v>
      </c>
      <c r="E536" s="392" t="s">
        <v>3667</v>
      </c>
      <c r="F536" s="83" t="s">
        <v>3640</v>
      </c>
      <c r="G536" s="125" t="s">
        <v>42</v>
      </c>
      <c r="H536" s="124">
        <v>860.5</v>
      </c>
      <c r="I536" s="125" t="s">
        <v>557</v>
      </c>
      <c r="J536" s="139">
        <f t="shared" si="33"/>
        <v>860.5</v>
      </c>
      <c r="K536" s="139" t="s">
        <v>3632</v>
      </c>
      <c r="L536" s="238" t="str">
        <f t="shared" si="34"/>
        <v>Reciclagem</v>
      </c>
      <c r="M536" s="238" t="s">
        <v>1920</v>
      </c>
      <c r="N536" s="238" t="s">
        <v>1911</v>
      </c>
      <c r="O536" s="91" t="s">
        <v>3634</v>
      </c>
      <c r="P536" s="91" t="s">
        <v>3630</v>
      </c>
      <c r="Q536" s="91" t="s">
        <v>3631</v>
      </c>
      <c r="R536" s="82" t="s">
        <v>3629</v>
      </c>
      <c r="S536">
        <v>2022</v>
      </c>
      <c r="T536" s="261" t="s">
        <v>3535</v>
      </c>
      <c r="U536" s="261" t="s">
        <v>3606</v>
      </c>
      <c r="V536" t="s">
        <v>42</v>
      </c>
    </row>
    <row r="537" spans="1:22" ht="15.75" thickBot="1" x14ac:dyDescent="0.3">
      <c r="A537" s="82" t="s">
        <v>4705</v>
      </c>
      <c r="B537" s="82" t="s">
        <v>4705</v>
      </c>
      <c r="C537" s="82" t="str">
        <f t="shared" si="32"/>
        <v>X</v>
      </c>
      <c r="D537" s="82" t="s">
        <v>42</v>
      </c>
      <c r="E537" s="392" t="s">
        <v>3668</v>
      </c>
      <c r="F537" s="83" t="s">
        <v>3641</v>
      </c>
      <c r="G537" s="125" t="s">
        <v>42</v>
      </c>
      <c r="H537" s="124">
        <v>281</v>
      </c>
      <c r="I537" s="125" t="s">
        <v>557</v>
      </c>
      <c r="J537" s="139">
        <f t="shared" si="33"/>
        <v>281</v>
      </c>
      <c r="K537" s="139" t="s">
        <v>3632</v>
      </c>
      <c r="L537" s="238" t="str">
        <f t="shared" si="34"/>
        <v>Reciclagem</v>
      </c>
      <c r="M537" s="238" t="s">
        <v>1920</v>
      </c>
      <c r="N537" s="238" t="s">
        <v>1911</v>
      </c>
      <c r="O537" s="91" t="s">
        <v>3634</v>
      </c>
      <c r="P537" s="91" t="s">
        <v>3630</v>
      </c>
      <c r="Q537" s="91" t="s">
        <v>3631</v>
      </c>
      <c r="R537" s="82" t="s">
        <v>3629</v>
      </c>
      <c r="S537">
        <v>2022</v>
      </c>
      <c r="T537" s="261" t="s">
        <v>3535</v>
      </c>
      <c r="U537" s="261" t="s">
        <v>3606</v>
      </c>
      <c r="V537" t="s">
        <v>42</v>
      </c>
    </row>
    <row r="538" spans="1:22" ht="15.75" thickBot="1" x14ac:dyDescent="0.3">
      <c r="A538" s="82" t="s">
        <v>4705</v>
      </c>
      <c r="B538" s="82" t="s">
        <v>4705</v>
      </c>
      <c r="C538" s="82" t="str">
        <f t="shared" si="32"/>
        <v>X</v>
      </c>
      <c r="D538" s="82" t="s">
        <v>42</v>
      </c>
      <c r="E538" s="392" t="s">
        <v>3205</v>
      </c>
      <c r="F538" s="83" t="s">
        <v>3642</v>
      </c>
      <c r="G538" s="125" t="s">
        <v>42</v>
      </c>
      <c r="H538" s="124">
        <v>69995</v>
      </c>
      <c r="I538" s="125" t="s">
        <v>557</v>
      </c>
      <c r="J538" s="139">
        <f t="shared" si="33"/>
        <v>69995</v>
      </c>
      <c r="K538" s="139" t="s">
        <v>3632</v>
      </c>
      <c r="L538" s="238" t="str">
        <f t="shared" si="34"/>
        <v>Reciclagem</v>
      </c>
      <c r="M538" s="238" t="s">
        <v>1920</v>
      </c>
      <c r="N538" s="238" t="s">
        <v>1911</v>
      </c>
      <c r="O538" s="91" t="s">
        <v>3634</v>
      </c>
      <c r="P538" s="91" t="s">
        <v>3630</v>
      </c>
      <c r="Q538" s="91" t="s">
        <v>3631</v>
      </c>
      <c r="R538" s="82" t="s">
        <v>3629</v>
      </c>
      <c r="S538">
        <v>2022</v>
      </c>
      <c r="T538" s="261" t="s">
        <v>3535</v>
      </c>
      <c r="U538" s="261" t="s">
        <v>3606</v>
      </c>
      <c r="V538" t="s">
        <v>42</v>
      </c>
    </row>
    <row r="539" spans="1:22" ht="15.75" thickBot="1" x14ac:dyDescent="0.3">
      <c r="A539" s="82" t="s">
        <v>4705</v>
      </c>
      <c r="B539" s="82" t="s">
        <v>4705</v>
      </c>
      <c r="C539" s="82" t="str">
        <f t="shared" si="32"/>
        <v>X</v>
      </c>
      <c r="D539" s="82" t="s">
        <v>42</v>
      </c>
      <c r="E539" s="392" t="s">
        <v>1870</v>
      </c>
      <c r="F539" s="83" t="s">
        <v>3245</v>
      </c>
      <c r="G539" s="125" t="s">
        <v>34</v>
      </c>
      <c r="H539" s="124">
        <v>454</v>
      </c>
      <c r="I539" s="125" t="s">
        <v>557</v>
      </c>
      <c r="J539" s="139">
        <f t="shared" si="33"/>
        <v>454</v>
      </c>
      <c r="K539" s="139" t="s">
        <v>3633</v>
      </c>
      <c r="L539" s="238" t="str">
        <f t="shared" si="34"/>
        <v>Aterro</v>
      </c>
      <c r="M539" s="238" t="s">
        <v>1920</v>
      </c>
      <c r="N539" s="238" t="s">
        <v>1911</v>
      </c>
      <c r="O539" s="91" t="s">
        <v>3634</v>
      </c>
      <c r="P539" s="91" t="s">
        <v>3630</v>
      </c>
      <c r="Q539" s="91" t="s">
        <v>3631</v>
      </c>
      <c r="R539" s="82" t="s">
        <v>3629</v>
      </c>
      <c r="S539">
        <v>2022</v>
      </c>
      <c r="T539" s="261" t="s">
        <v>3535</v>
      </c>
      <c r="U539" s="261" t="s">
        <v>3606</v>
      </c>
      <c r="V539" t="s">
        <v>42</v>
      </c>
    </row>
    <row r="540" spans="1:22" ht="15.75" thickBot="1" x14ac:dyDescent="0.3">
      <c r="A540" s="82" t="s">
        <v>4705</v>
      </c>
      <c r="B540" s="82" t="s">
        <v>4705</v>
      </c>
      <c r="C540" s="82" t="str">
        <f t="shared" si="32"/>
        <v>X</v>
      </c>
      <c r="D540" s="82" t="s">
        <v>42</v>
      </c>
      <c r="E540" s="392" t="s">
        <v>1870</v>
      </c>
      <c r="F540" s="83" t="s">
        <v>3245</v>
      </c>
      <c r="G540" s="125" t="s">
        <v>34</v>
      </c>
      <c r="H540" s="124">
        <v>1260</v>
      </c>
      <c r="I540" s="125" t="s">
        <v>557</v>
      </c>
      <c r="J540" s="139">
        <f t="shared" si="33"/>
        <v>1260</v>
      </c>
      <c r="K540" s="139" t="s">
        <v>3632</v>
      </c>
      <c r="L540" s="238" t="str">
        <f t="shared" si="34"/>
        <v>Reciclagem</v>
      </c>
      <c r="M540" s="238" t="s">
        <v>1920</v>
      </c>
      <c r="N540" s="238" t="s">
        <v>1911</v>
      </c>
      <c r="O540" s="91" t="s">
        <v>3634</v>
      </c>
      <c r="P540" s="91" t="s">
        <v>3630</v>
      </c>
      <c r="Q540" s="91" t="s">
        <v>3631</v>
      </c>
      <c r="R540" s="82" t="s">
        <v>3629</v>
      </c>
      <c r="S540">
        <v>2022</v>
      </c>
      <c r="T540" s="261" t="s">
        <v>3535</v>
      </c>
      <c r="U540" s="261" t="s">
        <v>3606</v>
      </c>
      <c r="V540" t="s">
        <v>42</v>
      </c>
    </row>
    <row r="541" spans="1:22" ht="15.75" thickBot="1" x14ac:dyDescent="0.3">
      <c r="A541" s="82" t="s">
        <v>4705</v>
      </c>
      <c r="B541" s="82" t="s">
        <v>4705</v>
      </c>
      <c r="C541" s="82" t="str">
        <f t="shared" si="32"/>
        <v>X</v>
      </c>
      <c r="D541" s="82" t="s">
        <v>42</v>
      </c>
      <c r="E541" s="392" t="s">
        <v>1871</v>
      </c>
      <c r="F541" s="83" t="s">
        <v>3245</v>
      </c>
      <c r="G541" s="125" t="s">
        <v>34</v>
      </c>
      <c r="H541" s="124">
        <v>189</v>
      </c>
      <c r="I541" s="125" t="s">
        <v>557</v>
      </c>
      <c r="J541" s="139">
        <f t="shared" si="33"/>
        <v>189</v>
      </c>
      <c r="K541" s="139" t="s">
        <v>3632</v>
      </c>
      <c r="L541" s="238" t="str">
        <f t="shared" si="34"/>
        <v>Reciclagem</v>
      </c>
      <c r="M541" s="238" t="s">
        <v>1920</v>
      </c>
      <c r="N541" s="238" t="s">
        <v>1911</v>
      </c>
      <c r="O541" s="91" t="s">
        <v>3634</v>
      </c>
      <c r="P541" s="91" t="s">
        <v>3630</v>
      </c>
      <c r="Q541" s="91" t="s">
        <v>3631</v>
      </c>
      <c r="R541" s="82" t="s">
        <v>3629</v>
      </c>
      <c r="S541">
        <v>2022</v>
      </c>
      <c r="T541" s="261" t="s">
        <v>3535</v>
      </c>
      <c r="U541" s="261" t="s">
        <v>3606</v>
      </c>
      <c r="V541" t="s">
        <v>42</v>
      </c>
    </row>
    <row r="542" spans="1:22" ht="15.75" thickBot="1" x14ac:dyDescent="0.3">
      <c r="A542" s="82" t="s">
        <v>4705</v>
      </c>
      <c r="B542" s="82" t="s">
        <v>4705</v>
      </c>
      <c r="C542" s="82" t="str">
        <f t="shared" si="32"/>
        <v>X</v>
      </c>
      <c r="D542" s="82" t="s">
        <v>42</v>
      </c>
      <c r="E542" s="322" t="s">
        <v>1871</v>
      </c>
      <c r="F542" s="83" t="s">
        <v>3245</v>
      </c>
      <c r="G542" s="125" t="s">
        <v>34</v>
      </c>
      <c r="H542" s="124">
        <v>54</v>
      </c>
      <c r="I542" s="125" t="s">
        <v>557</v>
      </c>
      <c r="J542" s="139">
        <f t="shared" si="33"/>
        <v>54</v>
      </c>
      <c r="K542" s="139" t="s">
        <v>3633</v>
      </c>
      <c r="L542" s="238" t="str">
        <f t="shared" si="34"/>
        <v>Aterro</v>
      </c>
      <c r="M542" s="238" t="s">
        <v>1920</v>
      </c>
      <c r="N542" s="238" t="s">
        <v>1911</v>
      </c>
      <c r="O542" s="91" t="s">
        <v>3634</v>
      </c>
      <c r="P542" s="91" t="s">
        <v>3630</v>
      </c>
      <c r="Q542" s="91" t="s">
        <v>3631</v>
      </c>
      <c r="R542" s="82" t="s">
        <v>3629</v>
      </c>
      <c r="S542">
        <v>2022</v>
      </c>
      <c r="T542" s="261" t="s">
        <v>3535</v>
      </c>
      <c r="U542" s="261" t="s">
        <v>3606</v>
      </c>
      <c r="V542" t="s">
        <v>42</v>
      </c>
    </row>
    <row r="543" spans="1:22" ht="15.75" thickBot="1" x14ac:dyDescent="0.3">
      <c r="A543" s="82" t="s">
        <v>4705</v>
      </c>
      <c r="B543" s="82" t="s">
        <v>4705</v>
      </c>
      <c r="C543" s="82" t="str">
        <f t="shared" si="32"/>
        <v>X</v>
      </c>
      <c r="D543" s="82" t="s">
        <v>42</v>
      </c>
      <c r="E543" s="392" t="s">
        <v>1606</v>
      </c>
      <c r="F543" s="83" t="s">
        <v>3643</v>
      </c>
      <c r="G543" s="125" t="s">
        <v>42</v>
      </c>
      <c r="H543" s="124">
        <v>693</v>
      </c>
      <c r="I543" s="125" t="s">
        <v>557</v>
      </c>
      <c r="J543" s="139">
        <f t="shared" si="33"/>
        <v>693</v>
      </c>
      <c r="K543" s="139" t="s">
        <v>3632</v>
      </c>
      <c r="L543" s="238" t="str">
        <f t="shared" si="34"/>
        <v>Reciclagem</v>
      </c>
      <c r="M543" s="238" t="s">
        <v>1925</v>
      </c>
      <c r="N543" s="238" t="s">
        <v>1922</v>
      </c>
      <c r="O543" s="91" t="s">
        <v>3634</v>
      </c>
      <c r="P543" s="91" t="s">
        <v>3630</v>
      </c>
      <c r="Q543" s="91" t="s">
        <v>3631</v>
      </c>
      <c r="R543" s="82" t="s">
        <v>3629</v>
      </c>
      <c r="S543">
        <v>2022</v>
      </c>
      <c r="T543" s="261" t="s">
        <v>3535</v>
      </c>
      <c r="U543" s="261" t="s">
        <v>3606</v>
      </c>
      <c r="V543" t="s">
        <v>42</v>
      </c>
    </row>
    <row r="544" spans="1:22" ht="15.75" thickBot="1" x14ac:dyDescent="0.3">
      <c r="A544" s="82" t="s">
        <v>4705</v>
      </c>
      <c r="B544" s="82" t="s">
        <v>4705</v>
      </c>
      <c r="C544" s="82" t="str">
        <f t="shared" si="32"/>
        <v>X</v>
      </c>
      <c r="D544" s="82" t="s">
        <v>42</v>
      </c>
      <c r="E544" s="392" t="s">
        <v>1869</v>
      </c>
      <c r="F544" s="83" t="s">
        <v>1575</v>
      </c>
      <c r="G544" s="125" t="s">
        <v>42</v>
      </c>
      <c r="H544" s="124">
        <v>200</v>
      </c>
      <c r="I544" s="125" t="s">
        <v>557</v>
      </c>
      <c r="J544" s="139">
        <f t="shared" si="33"/>
        <v>200</v>
      </c>
      <c r="K544" s="139" t="s">
        <v>3632</v>
      </c>
      <c r="L544" s="238" t="str">
        <f t="shared" si="34"/>
        <v>Reciclagem</v>
      </c>
      <c r="M544" s="238" t="s">
        <v>1560</v>
      </c>
      <c r="N544" s="238" t="s">
        <v>1922</v>
      </c>
      <c r="O544" s="91" t="s">
        <v>3634</v>
      </c>
      <c r="P544" s="91" t="s">
        <v>3630</v>
      </c>
      <c r="Q544" s="91" t="s">
        <v>3631</v>
      </c>
      <c r="R544" s="82" t="s">
        <v>3629</v>
      </c>
      <c r="S544">
        <v>2022</v>
      </c>
      <c r="T544" s="261" t="s">
        <v>3535</v>
      </c>
      <c r="U544" s="261" t="s">
        <v>3606</v>
      </c>
      <c r="V544" t="s">
        <v>42</v>
      </c>
    </row>
    <row r="545" spans="1:22" ht="15.75" thickBot="1" x14ac:dyDescent="0.3">
      <c r="A545" s="82" t="s">
        <v>4705</v>
      </c>
      <c r="B545" s="82" t="s">
        <v>4705</v>
      </c>
      <c r="C545" s="82" t="str">
        <f t="shared" si="32"/>
        <v>X</v>
      </c>
      <c r="D545" s="82" t="s">
        <v>42</v>
      </c>
      <c r="E545" s="392" t="s">
        <v>3669</v>
      </c>
      <c r="F545" s="83" t="s">
        <v>3644</v>
      </c>
      <c r="G545" s="125" t="s">
        <v>42</v>
      </c>
      <c r="H545" s="124">
        <v>37890</v>
      </c>
      <c r="I545" s="125" t="s">
        <v>557</v>
      </c>
      <c r="J545" s="139">
        <f t="shared" si="33"/>
        <v>37890</v>
      </c>
      <c r="K545" s="139" t="s">
        <v>3632</v>
      </c>
      <c r="L545" s="238" t="str">
        <f t="shared" si="34"/>
        <v>Reciclagem</v>
      </c>
      <c r="M545" s="238" t="s">
        <v>1561</v>
      </c>
      <c r="N545" s="238" t="s">
        <v>1922</v>
      </c>
      <c r="O545" s="91" t="s">
        <v>3634</v>
      </c>
      <c r="P545" s="91" t="s">
        <v>3630</v>
      </c>
      <c r="Q545" s="91" t="s">
        <v>3631</v>
      </c>
      <c r="R545" s="82" t="s">
        <v>3629</v>
      </c>
      <c r="S545">
        <v>2022</v>
      </c>
      <c r="T545" s="261" t="s">
        <v>3535</v>
      </c>
      <c r="U545" s="261" t="s">
        <v>3606</v>
      </c>
      <c r="V545" t="s">
        <v>42</v>
      </c>
    </row>
    <row r="546" spans="1:22" ht="15.75" thickBot="1" x14ac:dyDescent="0.3">
      <c r="A546" s="82" t="s">
        <v>4705</v>
      </c>
      <c r="B546" s="82" t="s">
        <v>4705</v>
      </c>
      <c r="C546" s="82" t="str">
        <f t="shared" si="32"/>
        <v>X</v>
      </c>
      <c r="D546" s="82" t="s">
        <v>42</v>
      </c>
      <c r="E546" s="392" t="s">
        <v>1886</v>
      </c>
      <c r="F546" s="83" t="s">
        <v>3645</v>
      </c>
      <c r="G546" s="125" t="s">
        <v>42</v>
      </c>
      <c r="H546" s="124">
        <v>633</v>
      </c>
      <c r="I546" s="125" t="s">
        <v>557</v>
      </c>
      <c r="J546" s="139">
        <f t="shared" si="33"/>
        <v>633</v>
      </c>
      <c r="K546" s="139" t="s">
        <v>3632</v>
      </c>
      <c r="L546" s="238" t="str">
        <f t="shared" si="34"/>
        <v>Reciclagem</v>
      </c>
      <c r="M546" s="238" t="s">
        <v>1928</v>
      </c>
      <c r="N546" s="238" t="s">
        <v>1896</v>
      </c>
      <c r="O546" s="91" t="s">
        <v>3634</v>
      </c>
      <c r="P546" s="91" t="s">
        <v>3630</v>
      </c>
      <c r="Q546" s="91" t="s">
        <v>3631</v>
      </c>
      <c r="R546" s="82" t="s">
        <v>3629</v>
      </c>
      <c r="S546">
        <v>2022</v>
      </c>
      <c r="T546" s="261" t="s">
        <v>3535</v>
      </c>
      <c r="U546" s="261" t="s">
        <v>3606</v>
      </c>
      <c r="V546" t="s">
        <v>42</v>
      </c>
    </row>
    <row r="547" spans="1:22" ht="15.75" thickBot="1" x14ac:dyDescent="0.3">
      <c r="A547" s="82" t="s">
        <v>4705</v>
      </c>
      <c r="B547" s="82" t="s">
        <v>4705</v>
      </c>
      <c r="C547" s="82" t="str">
        <f t="shared" si="32"/>
        <v>X</v>
      </c>
      <c r="D547" s="82" t="s">
        <v>42</v>
      </c>
      <c r="E547" s="392" t="s">
        <v>3670</v>
      </c>
      <c r="F547" s="83" t="s">
        <v>3645</v>
      </c>
      <c r="G547" s="125" t="s">
        <v>34</v>
      </c>
      <c r="H547" s="124">
        <v>65</v>
      </c>
      <c r="I547" s="125" t="s">
        <v>557</v>
      </c>
      <c r="J547" s="139">
        <f t="shared" si="33"/>
        <v>65</v>
      </c>
      <c r="K547" s="139" t="s">
        <v>3632</v>
      </c>
      <c r="L547" s="238" t="str">
        <f t="shared" si="34"/>
        <v>Reciclagem</v>
      </c>
      <c r="M547" s="238" t="s">
        <v>1928</v>
      </c>
      <c r="N547" s="238" t="s">
        <v>1896</v>
      </c>
      <c r="O547" s="91" t="s">
        <v>3634</v>
      </c>
      <c r="P547" s="91" t="s">
        <v>3630</v>
      </c>
      <c r="Q547" s="91" t="s">
        <v>3631</v>
      </c>
      <c r="R547" s="82" t="s">
        <v>3629</v>
      </c>
      <c r="S547">
        <v>2022</v>
      </c>
      <c r="T547" s="261" t="s">
        <v>3535</v>
      </c>
      <c r="U547" s="261" t="s">
        <v>3606</v>
      </c>
      <c r="V547" t="s">
        <v>42</v>
      </c>
    </row>
    <row r="548" spans="1:22" ht="15.75" thickBot="1" x14ac:dyDescent="0.3">
      <c r="A548" s="82" t="s">
        <v>4705</v>
      </c>
      <c r="B548" s="82" t="s">
        <v>4705</v>
      </c>
      <c r="C548" s="82" t="str">
        <f t="shared" si="32"/>
        <v>X</v>
      </c>
      <c r="D548" s="82" t="s">
        <v>42</v>
      </c>
      <c r="E548" s="392" t="s">
        <v>3671</v>
      </c>
      <c r="F548" s="83" t="s">
        <v>3646</v>
      </c>
      <c r="G548" s="125" t="s">
        <v>42</v>
      </c>
      <c r="H548" s="124">
        <v>274</v>
      </c>
      <c r="I548" s="125" t="s">
        <v>557</v>
      </c>
      <c r="J548" s="139">
        <f t="shared" si="33"/>
        <v>274</v>
      </c>
      <c r="K548" s="139" t="s">
        <v>3632</v>
      </c>
      <c r="L548" s="238" t="str">
        <f t="shared" si="34"/>
        <v>Reciclagem</v>
      </c>
      <c r="M548" s="238" t="s">
        <v>1920</v>
      </c>
      <c r="N548" s="238" t="s">
        <v>1911</v>
      </c>
      <c r="O548" s="91" t="s">
        <v>3634</v>
      </c>
      <c r="P548" s="91" t="s">
        <v>3630</v>
      </c>
      <c r="Q548" s="91" t="s">
        <v>3631</v>
      </c>
      <c r="R548" s="82" t="s">
        <v>3629</v>
      </c>
      <c r="S548">
        <v>2022</v>
      </c>
      <c r="T548" s="261" t="s">
        <v>3535</v>
      </c>
      <c r="U548" s="261" t="s">
        <v>3606</v>
      </c>
      <c r="V548" t="s">
        <v>42</v>
      </c>
    </row>
    <row r="549" spans="1:22" ht="15.75" thickBot="1" x14ac:dyDescent="0.3">
      <c r="A549" s="82" t="s">
        <v>4705</v>
      </c>
      <c r="B549" s="82" t="s">
        <v>4705</v>
      </c>
      <c r="C549" s="82" t="str">
        <f t="shared" si="32"/>
        <v>X</v>
      </c>
      <c r="D549" s="82" t="s">
        <v>42</v>
      </c>
      <c r="E549" s="392" t="s">
        <v>3672</v>
      </c>
      <c r="F549" s="83" t="s">
        <v>3647</v>
      </c>
      <c r="G549" s="125" t="s">
        <v>42</v>
      </c>
      <c r="H549" s="124">
        <v>464</v>
      </c>
      <c r="I549" s="125" t="s">
        <v>557</v>
      </c>
      <c r="J549" s="139">
        <f t="shared" si="33"/>
        <v>464</v>
      </c>
      <c r="K549" s="139" t="s">
        <v>3632</v>
      </c>
      <c r="L549" s="238" t="str">
        <f t="shared" si="34"/>
        <v>Reciclagem</v>
      </c>
      <c r="M549" s="238" t="s">
        <v>1925</v>
      </c>
      <c r="N549" s="238" t="s">
        <v>1922</v>
      </c>
      <c r="O549" s="91" t="s">
        <v>3634</v>
      </c>
      <c r="P549" s="91" t="s">
        <v>3630</v>
      </c>
      <c r="Q549" s="91" t="s">
        <v>3631</v>
      </c>
      <c r="R549" s="82" t="s">
        <v>3629</v>
      </c>
      <c r="S549">
        <v>2022</v>
      </c>
      <c r="T549" s="261" t="s">
        <v>3535</v>
      </c>
      <c r="U549" s="261" t="s">
        <v>3606</v>
      </c>
      <c r="V549" t="s">
        <v>42</v>
      </c>
    </row>
    <row r="550" spans="1:22" ht="15.75" thickBot="1" x14ac:dyDescent="0.3">
      <c r="A550" s="82" t="s">
        <v>4705</v>
      </c>
      <c r="B550" s="82" t="s">
        <v>4705</v>
      </c>
      <c r="C550" s="82" t="str">
        <f t="shared" si="32"/>
        <v>X</v>
      </c>
      <c r="D550" s="82" t="s">
        <v>42</v>
      </c>
      <c r="E550" s="392" t="s">
        <v>3673</v>
      </c>
      <c r="F550" s="83" t="s">
        <v>3648</v>
      </c>
      <c r="G550" s="125" t="s">
        <v>42</v>
      </c>
      <c r="H550" s="124">
        <v>4380</v>
      </c>
      <c r="I550" s="125" t="s">
        <v>557</v>
      </c>
      <c r="J550" s="139">
        <f t="shared" si="33"/>
        <v>4380</v>
      </c>
      <c r="K550" s="139" t="s">
        <v>3632</v>
      </c>
      <c r="L550" s="238" t="str">
        <f t="shared" si="34"/>
        <v>Reciclagem</v>
      </c>
      <c r="M550" s="238" t="s">
        <v>1557</v>
      </c>
      <c r="N550" s="238" t="s">
        <v>1922</v>
      </c>
      <c r="O550" s="91" t="s">
        <v>3634</v>
      </c>
      <c r="P550" s="91" t="s">
        <v>3630</v>
      </c>
      <c r="Q550" s="91" t="s">
        <v>3631</v>
      </c>
      <c r="R550" s="82" t="s">
        <v>3629</v>
      </c>
      <c r="S550">
        <v>2022</v>
      </c>
      <c r="T550" s="261" t="s">
        <v>3535</v>
      </c>
      <c r="U550" s="261" t="s">
        <v>3606</v>
      </c>
      <c r="V550" t="s">
        <v>42</v>
      </c>
    </row>
    <row r="551" spans="1:22" ht="15.75" thickBot="1" x14ac:dyDescent="0.3">
      <c r="A551" s="82" t="s">
        <v>4705</v>
      </c>
      <c r="B551" s="82" t="s">
        <v>4705</v>
      </c>
      <c r="C551" s="82" t="str">
        <f t="shared" si="32"/>
        <v>X</v>
      </c>
      <c r="D551" s="82" t="s">
        <v>42</v>
      </c>
      <c r="E551" s="392" t="s">
        <v>1873</v>
      </c>
      <c r="F551" s="83" t="s">
        <v>3649</v>
      </c>
      <c r="G551" s="125" t="s">
        <v>42</v>
      </c>
      <c r="H551" s="124">
        <v>800</v>
      </c>
      <c r="I551" s="125" t="s">
        <v>557</v>
      </c>
      <c r="J551" s="139">
        <f t="shared" si="33"/>
        <v>800</v>
      </c>
      <c r="K551" s="139" t="s">
        <v>3632</v>
      </c>
      <c r="L551" s="238" t="str">
        <f t="shared" si="34"/>
        <v>Reciclagem</v>
      </c>
      <c r="M551" s="238" t="s">
        <v>1920</v>
      </c>
      <c r="N551" s="238" t="s">
        <v>1911</v>
      </c>
      <c r="O551" s="91" t="s">
        <v>3634</v>
      </c>
      <c r="P551" s="91" t="s">
        <v>3630</v>
      </c>
      <c r="Q551" s="91" t="s">
        <v>3631</v>
      </c>
      <c r="R551" s="82" t="s">
        <v>3629</v>
      </c>
      <c r="S551">
        <v>2022</v>
      </c>
      <c r="T551" s="261" t="s">
        <v>3535</v>
      </c>
      <c r="U551" s="261" t="s">
        <v>3606</v>
      </c>
      <c r="V551" t="s">
        <v>42</v>
      </c>
    </row>
    <row r="552" spans="1:22" ht="15.75" thickBot="1" x14ac:dyDescent="0.3">
      <c r="A552" s="82" t="s">
        <v>4705</v>
      </c>
      <c r="B552" s="82" t="s">
        <v>4705</v>
      </c>
      <c r="C552" s="82" t="str">
        <f t="shared" si="32"/>
        <v>X</v>
      </c>
      <c r="D552" s="82" t="s">
        <v>42</v>
      </c>
      <c r="E552" s="392" t="s">
        <v>3674</v>
      </c>
      <c r="F552" s="83" t="s">
        <v>3649</v>
      </c>
      <c r="G552" s="125" t="s">
        <v>42</v>
      </c>
      <c r="H552" s="124">
        <v>87</v>
      </c>
      <c r="I552" s="125" t="s">
        <v>557</v>
      </c>
      <c r="J552" s="139">
        <f t="shared" si="33"/>
        <v>87</v>
      </c>
      <c r="K552" s="139" t="s">
        <v>3632</v>
      </c>
      <c r="L552" s="238" t="str">
        <f t="shared" si="34"/>
        <v>Reciclagem</v>
      </c>
      <c r="M552" s="238" t="s">
        <v>1920</v>
      </c>
      <c r="N552" s="238" t="s">
        <v>1911</v>
      </c>
      <c r="O552" s="91" t="s">
        <v>3634</v>
      </c>
      <c r="P552" s="91" t="s">
        <v>3630</v>
      </c>
      <c r="Q552" s="91" t="s">
        <v>3631</v>
      </c>
      <c r="R552" s="82" t="s">
        <v>3629</v>
      </c>
      <c r="S552">
        <v>2022</v>
      </c>
      <c r="T552" s="261" t="s">
        <v>3535</v>
      </c>
      <c r="U552" s="261" t="s">
        <v>3606</v>
      </c>
      <c r="V552" t="s">
        <v>42</v>
      </c>
    </row>
    <row r="553" spans="1:22" ht="15.75" thickBot="1" x14ac:dyDescent="0.3">
      <c r="A553" s="82" t="s">
        <v>4705</v>
      </c>
      <c r="B553" s="82" t="s">
        <v>4705</v>
      </c>
      <c r="C553" s="82" t="str">
        <f t="shared" si="32"/>
        <v>X</v>
      </c>
      <c r="D553" s="82" t="s">
        <v>42</v>
      </c>
      <c r="E553" s="392" t="s">
        <v>1874</v>
      </c>
      <c r="F553" s="83" t="s">
        <v>1551</v>
      </c>
      <c r="G553" s="125" t="s">
        <v>34</v>
      </c>
      <c r="H553" s="124">
        <v>508</v>
      </c>
      <c r="I553" s="125" t="s">
        <v>557</v>
      </c>
      <c r="J553" s="139">
        <f t="shared" si="33"/>
        <v>508</v>
      </c>
      <c r="K553" s="139" t="s">
        <v>3632</v>
      </c>
      <c r="L553" s="238" t="str">
        <f t="shared" si="34"/>
        <v>Reciclagem</v>
      </c>
      <c r="M553" s="238" t="s">
        <v>1920</v>
      </c>
      <c r="N553" s="238" t="s">
        <v>1911</v>
      </c>
      <c r="O553" s="91" t="s">
        <v>3634</v>
      </c>
      <c r="P553" s="91" t="s">
        <v>3630</v>
      </c>
      <c r="Q553" s="91" t="s">
        <v>3631</v>
      </c>
      <c r="R553" s="82" t="s">
        <v>3629</v>
      </c>
      <c r="S553">
        <v>2022</v>
      </c>
      <c r="T553" s="261" t="s">
        <v>3535</v>
      </c>
      <c r="U553" s="261" t="s">
        <v>3606</v>
      </c>
      <c r="V553" t="s">
        <v>42</v>
      </c>
    </row>
    <row r="554" spans="1:22" ht="15.75" thickBot="1" x14ac:dyDescent="0.3">
      <c r="A554" s="82" t="s">
        <v>4705</v>
      </c>
      <c r="B554" s="82" t="s">
        <v>4705</v>
      </c>
      <c r="C554" s="82" t="str">
        <f t="shared" si="32"/>
        <v>X</v>
      </c>
      <c r="D554" s="82" t="s">
        <v>42</v>
      </c>
      <c r="E554" s="392" t="s">
        <v>3675</v>
      </c>
      <c r="F554" s="83" t="s">
        <v>3650</v>
      </c>
      <c r="G554" s="125" t="s">
        <v>42</v>
      </c>
      <c r="H554" s="124">
        <v>632</v>
      </c>
      <c r="I554" s="125" t="s">
        <v>557</v>
      </c>
      <c r="J554" s="139">
        <f t="shared" si="33"/>
        <v>632</v>
      </c>
      <c r="K554" s="139" t="s">
        <v>3632</v>
      </c>
      <c r="L554" s="238" t="str">
        <f t="shared" si="34"/>
        <v>Reciclagem</v>
      </c>
      <c r="M554" s="238" t="s">
        <v>1920</v>
      </c>
      <c r="N554" s="238" t="s">
        <v>1911</v>
      </c>
      <c r="O554" s="91" t="s">
        <v>3634</v>
      </c>
      <c r="P554" s="91" t="s">
        <v>3630</v>
      </c>
      <c r="Q554" s="91" t="s">
        <v>3631</v>
      </c>
      <c r="R554" s="82" t="s">
        <v>3629</v>
      </c>
      <c r="S554">
        <v>2022</v>
      </c>
      <c r="T554" s="261" t="s">
        <v>3535</v>
      </c>
      <c r="U554" s="261" t="s">
        <v>3606</v>
      </c>
      <c r="V554" t="s">
        <v>42</v>
      </c>
    </row>
    <row r="555" spans="1:22" ht="15.75" thickBot="1" x14ac:dyDescent="0.3">
      <c r="A555" s="82" t="s">
        <v>4705</v>
      </c>
      <c r="B555" s="82" t="s">
        <v>4705</v>
      </c>
      <c r="C555" s="82" t="str">
        <f t="shared" si="32"/>
        <v>X</v>
      </c>
      <c r="D555" s="82" t="s">
        <v>42</v>
      </c>
      <c r="E555" s="392" t="s">
        <v>1866</v>
      </c>
      <c r="F555" s="83" t="s">
        <v>3651</v>
      </c>
      <c r="G555" s="125" t="s">
        <v>34</v>
      </c>
      <c r="H555" s="124">
        <v>60575</v>
      </c>
      <c r="I555" s="125" t="s">
        <v>557</v>
      </c>
      <c r="J555" s="139">
        <f t="shared" si="33"/>
        <v>60575</v>
      </c>
      <c r="K555" s="139" t="s">
        <v>3633</v>
      </c>
      <c r="L555" s="238" t="str">
        <f t="shared" si="34"/>
        <v>Aterro</v>
      </c>
      <c r="M555" s="238" t="s">
        <v>1920</v>
      </c>
      <c r="N555" s="238" t="s">
        <v>1911</v>
      </c>
      <c r="O555" s="91" t="s">
        <v>3634</v>
      </c>
      <c r="P555" s="91" t="s">
        <v>3630</v>
      </c>
      <c r="Q555" s="91" t="s">
        <v>3631</v>
      </c>
      <c r="R555" s="82" t="s">
        <v>3629</v>
      </c>
      <c r="S555">
        <v>2022</v>
      </c>
      <c r="T555" s="261" t="s">
        <v>3535</v>
      </c>
      <c r="U555" s="261" t="s">
        <v>3606</v>
      </c>
      <c r="V555" t="s">
        <v>42</v>
      </c>
    </row>
    <row r="556" spans="1:22" ht="15.75" thickBot="1" x14ac:dyDescent="0.3">
      <c r="A556" s="82" t="s">
        <v>4705</v>
      </c>
      <c r="B556" s="82" t="s">
        <v>4705</v>
      </c>
      <c r="C556" s="82" t="str">
        <f t="shared" si="32"/>
        <v>X</v>
      </c>
      <c r="D556" s="82" t="s">
        <v>42</v>
      </c>
      <c r="E556" s="392" t="s">
        <v>1884</v>
      </c>
      <c r="F556" s="83" t="s">
        <v>3258</v>
      </c>
      <c r="G556" s="125" t="s">
        <v>34</v>
      </c>
      <c r="H556" s="124">
        <v>952</v>
      </c>
      <c r="I556" s="125" t="s">
        <v>557</v>
      </c>
      <c r="J556" s="139">
        <f t="shared" si="33"/>
        <v>952</v>
      </c>
      <c r="K556" s="139" t="s">
        <v>3632</v>
      </c>
      <c r="L556" s="238" t="str">
        <f t="shared" si="34"/>
        <v>Reciclagem</v>
      </c>
      <c r="M556" s="238" t="s">
        <v>1920</v>
      </c>
      <c r="N556" s="238" t="s">
        <v>1911</v>
      </c>
      <c r="O556" s="91" t="s">
        <v>3634</v>
      </c>
      <c r="P556" s="91" t="s">
        <v>3630</v>
      </c>
      <c r="Q556" s="91" t="s">
        <v>3631</v>
      </c>
      <c r="R556" s="82" t="s">
        <v>3629</v>
      </c>
      <c r="S556">
        <v>2022</v>
      </c>
      <c r="T556" s="261" t="s">
        <v>3535</v>
      </c>
      <c r="U556" s="261" t="s">
        <v>3606</v>
      </c>
      <c r="V556" t="s">
        <v>42</v>
      </c>
    </row>
    <row r="557" spans="1:22" ht="15.75" thickBot="1" x14ac:dyDescent="0.3">
      <c r="A557" s="82" t="s">
        <v>4705</v>
      </c>
      <c r="B557" s="82" t="s">
        <v>4705</v>
      </c>
      <c r="C557" s="82" t="str">
        <f t="shared" si="32"/>
        <v>X</v>
      </c>
      <c r="D557" s="82" t="s">
        <v>42</v>
      </c>
      <c r="E557" s="392" t="s">
        <v>1600</v>
      </c>
      <c r="F557" s="83" t="s">
        <v>1601</v>
      </c>
      <c r="G557" s="125" t="s">
        <v>34</v>
      </c>
      <c r="H557" s="124">
        <v>9016</v>
      </c>
      <c r="I557" s="125" t="s">
        <v>557</v>
      </c>
      <c r="J557" s="139">
        <f t="shared" si="33"/>
        <v>9016</v>
      </c>
      <c r="K557" s="139" t="s">
        <v>3632</v>
      </c>
      <c r="L557" s="238" t="str">
        <f t="shared" si="34"/>
        <v>Reciclagem</v>
      </c>
      <c r="M557" s="238" t="s">
        <v>1920</v>
      </c>
      <c r="N557" s="238" t="s">
        <v>1911</v>
      </c>
      <c r="O557" s="91" t="s">
        <v>3634</v>
      </c>
      <c r="P557" s="91" t="s">
        <v>3630</v>
      </c>
      <c r="Q557" s="91" t="s">
        <v>3631</v>
      </c>
      <c r="R557" s="82" t="s">
        <v>3629</v>
      </c>
      <c r="S557">
        <v>2022</v>
      </c>
      <c r="T557" s="261" t="s">
        <v>3535</v>
      </c>
      <c r="U557" s="261" t="s">
        <v>3606</v>
      </c>
      <c r="V557" t="s">
        <v>42</v>
      </c>
    </row>
    <row r="558" spans="1:22" ht="15.75" thickBot="1" x14ac:dyDescent="0.3">
      <c r="A558" s="82" t="s">
        <v>4705</v>
      </c>
      <c r="B558" s="82" t="s">
        <v>4705</v>
      </c>
      <c r="C558" s="82" t="str">
        <f t="shared" si="32"/>
        <v>X</v>
      </c>
      <c r="D558" s="82" t="s">
        <v>42</v>
      </c>
      <c r="E558" s="392" t="s">
        <v>3676</v>
      </c>
      <c r="F558" s="83" t="s">
        <v>1924</v>
      </c>
      <c r="G558" s="125" t="s">
        <v>42</v>
      </c>
      <c r="H558" s="124">
        <v>8150</v>
      </c>
      <c r="I558" s="125" t="s">
        <v>557</v>
      </c>
      <c r="J558" s="139">
        <f t="shared" si="33"/>
        <v>8150</v>
      </c>
      <c r="K558" s="139" t="s">
        <v>3632</v>
      </c>
      <c r="L558" s="238" t="str">
        <f t="shared" si="34"/>
        <v>Reciclagem</v>
      </c>
      <c r="M558" s="238" t="s">
        <v>1920</v>
      </c>
      <c r="N558" s="238" t="s">
        <v>1911</v>
      </c>
      <c r="O558" s="91" t="s">
        <v>3634</v>
      </c>
      <c r="P558" s="91" t="s">
        <v>3630</v>
      </c>
      <c r="Q558" s="91" t="s">
        <v>3631</v>
      </c>
      <c r="R558" s="82" t="s">
        <v>3629</v>
      </c>
      <c r="S558">
        <v>2022</v>
      </c>
      <c r="T558" s="261" t="s">
        <v>3535</v>
      </c>
      <c r="U558" s="261" t="s">
        <v>3606</v>
      </c>
      <c r="V558" t="s">
        <v>42</v>
      </c>
    </row>
    <row r="559" spans="1:22" ht="15.75" thickBot="1" x14ac:dyDescent="0.3">
      <c r="A559" s="82" t="s">
        <v>4705</v>
      </c>
      <c r="B559" s="82" t="s">
        <v>4705</v>
      </c>
      <c r="C559" s="82" t="str">
        <f t="shared" si="32"/>
        <v>X</v>
      </c>
      <c r="D559" s="82" t="s">
        <v>42</v>
      </c>
      <c r="E559" s="392" t="s">
        <v>1876</v>
      </c>
      <c r="F559" s="83" t="s">
        <v>1658</v>
      </c>
      <c r="G559" s="125" t="s">
        <v>42</v>
      </c>
      <c r="H559" s="124">
        <v>12247</v>
      </c>
      <c r="I559" s="125" t="s">
        <v>557</v>
      </c>
      <c r="J559" s="139">
        <f t="shared" si="33"/>
        <v>12247</v>
      </c>
      <c r="K559" s="139" t="s">
        <v>3632</v>
      </c>
      <c r="L559" s="238" t="str">
        <f t="shared" si="34"/>
        <v>Reciclagem</v>
      </c>
      <c r="M559" s="238" t="s">
        <v>1925</v>
      </c>
      <c r="N559" s="238" t="s">
        <v>1922</v>
      </c>
      <c r="O559" s="91" t="s">
        <v>3634</v>
      </c>
      <c r="P559" s="91" t="s">
        <v>3630</v>
      </c>
      <c r="Q559" s="91" t="s">
        <v>3631</v>
      </c>
      <c r="R559" s="82" t="s">
        <v>3629</v>
      </c>
      <c r="S559">
        <v>2022</v>
      </c>
      <c r="T559" s="261" t="s">
        <v>3535</v>
      </c>
      <c r="U559" s="261" t="s">
        <v>3606</v>
      </c>
      <c r="V559" t="s">
        <v>42</v>
      </c>
    </row>
    <row r="560" spans="1:22" ht="15.75" thickBot="1" x14ac:dyDescent="0.3">
      <c r="A560" s="82" t="s">
        <v>4705</v>
      </c>
      <c r="B560" s="82" t="s">
        <v>4705</v>
      </c>
      <c r="C560" s="82" t="str">
        <f t="shared" si="32"/>
        <v>X</v>
      </c>
      <c r="D560" s="82" t="s">
        <v>42</v>
      </c>
      <c r="E560" s="392" t="s">
        <v>3239</v>
      </c>
      <c r="F560" s="83" t="s">
        <v>1658</v>
      </c>
      <c r="G560" s="125" t="s">
        <v>42</v>
      </c>
      <c r="H560" s="124">
        <v>7164</v>
      </c>
      <c r="I560" s="125" t="s">
        <v>557</v>
      </c>
      <c r="J560" s="139">
        <f t="shared" si="33"/>
        <v>7164</v>
      </c>
      <c r="K560" s="139" t="s">
        <v>3632</v>
      </c>
      <c r="L560" s="238" t="str">
        <f t="shared" si="34"/>
        <v>Reciclagem</v>
      </c>
      <c r="M560" s="238" t="s">
        <v>1925</v>
      </c>
      <c r="N560" s="238" t="s">
        <v>1922</v>
      </c>
      <c r="O560" s="91" t="s">
        <v>3634</v>
      </c>
      <c r="P560" s="91" t="s">
        <v>3630</v>
      </c>
      <c r="Q560" s="91" t="s">
        <v>3631</v>
      </c>
      <c r="R560" s="82" t="s">
        <v>3629</v>
      </c>
      <c r="S560">
        <v>2022</v>
      </c>
      <c r="T560" s="261" t="s">
        <v>3535</v>
      </c>
      <c r="U560" s="261" t="s">
        <v>3606</v>
      </c>
      <c r="V560" t="s">
        <v>42</v>
      </c>
    </row>
    <row r="561" spans="1:22" ht="15.75" thickBot="1" x14ac:dyDescent="0.3">
      <c r="A561" s="82" t="s">
        <v>4705</v>
      </c>
      <c r="B561" s="82" t="s">
        <v>4705</v>
      </c>
      <c r="C561" s="82" t="str">
        <f t="shared" si="32"/>
        <v>X</v>
      </c>
      <c r="D561" s="82" t="s">
        <v>42</v>
      </c>
      <c r="E561" s="392" t="s">
        <v>3677</v>
      </c>
      <c r="F561" s="83" t="s">
        <v>1658</v>
      </c>
      <c r="G561" s="125" t="s">
        <v>42</v>
      </c>
      <c r="H561" s="124">
        <v>270</v>
      </c>
      <c r="I561" s="125" t="s">
        <v>557</v>
      </c>
      <c r="J561" s="139">
        <f t="shared" si="33"/>
        <v>270</v>
      </c>
      <c r="K561" s="139" t="s">
        <v>3632</v>
      </c>
      <c r="L561" s="238" t="str">
        <f t="shared" si="34"/>
        <v>Reciclagem</v>
      </c>
      <c r="M561" s="238" t="s">
        <v>1925</v>
      </c>
      <c r="N561" s="238" t="s">
        <v>1922</v>
      </c>
      <c r="O561" s="91" t="s">
        <v>3634</v>
      </c>
      <c r="P561" s="91" t="s">
        <v>3630</v>
      </c>
      <c r="Q561" s="91" t="s">
        <v>3631</v>
      </c>
      <c r="R561" s="82" t="s">
        <v>3629</v>
      </c>
      <c r="S561">
        <v>2022</v>
      </c>
      <c r="T561" s="261" t="s">
        <v>3535</v>
      </c>
      <c r="U561" s="261" t="s">
        <v>3606</v>
      </c>
      <c r="V561" t="s">
        <v>42</v>
      </c>
    </row>
    <row r="562" spans="1:22" ht="15.75" thickBot="1" x14ac:dyDescent="0.3">
      <c r="A562" s="82" t="s">
        <v>4705</v>
      </c>
      <c r="B562" s="82" t="s">
        <v>4705</v>
      </c>
      <c r="C562" s="82" t="str">
        <f t="shared" si="32"/>
        <v>X</v>
      </c>
      <c r="D562" s="82" t="s">
        <v>42</v>
      </c>
      <c r="E562" s="392" t="s">
        <v>1865</v>
      </c>
      <c r="F562" s="83" t="s">
        <v>3652</v>
      </c>
      <c r="G562" s="125" t="s">
        <v>34</v>
      </c>
      <c r="H562" s="124">
        <v>5053</v>
      </c>
      <c r="I562" s="125" t="s">
        <v>557</v>
      </c>
      <c r="J562" s="139">
        <f t="shared" si="33"/>
        <v>5053</v>
      </c>
      <c r="K562" s="139" t="s">
        <v>3632</v>
      </c>
      <c r="L562" s="238" t="str">
        <f t="shared" si="34"/>
        <v>Reciclagem</v>
      </c>
      <c r="M562" s="238" t="s">
        <v>1921</v>
      </c>
      <c r="N562" s="238" t="s">
        <v>1896</v>
      </c>
      <c r="O562" s="91" t="s">
        <v>3634</v>
      </c>
      <c r="P562" s="91" t="s">
        <v>3630</v>
      </c>
      <c r="Q562" s="91" t="s">
        <v>3631</v>
      </c>
      <c r="R562" s="82" t="s">
        <v>3629</v>
      </c>
      <c r="S562">
        <v>2022</v>
      </c>
      <c r="T562" s="261" t="s">
        <v>3535</v>
      </c>
      <c r="U562" s="261" t="s">
        <v>3606</v>
      </c>
      <c r="V562" t="s">
        <v>42</v>
      </c>
    </row>
    <row r="563" spans="1:22" ht="15.75" thickBot="1" x14ac:dyDescent="0.3">
      <c r="A563" s="82" t="s">
        <v>4705</v>
      </c>
      <c r="B563" s="82" t="s">
        <v>4705</v>
      </c>
      <c r="C563" s="82" t="str">
        <f t="shared" si="32"/>
        <v>X</v>
      </c>
      <c r="D563" s="82" t="s">
        <v>42</v>
      </c>
      <c r="E563" s="392" t="s">
        <v>1882</v>
      </c>
      <c r="F563" s="83" t="s">
        <v>1597</v>
      </c>
      <c r="G563" s="125" t="s">
        <v>42</v>
      </c>
      <c r="H563" s="124">
        <v>69917</v>
      </c>
      <c r="I563" s="125" t="s">
        <v>557</v>
      </c>
      <c r="J563" s="139">
        <f t="shared" si="33"/>
        <v>69917</v>
      </c>
      <c r="K563" s="139" t="s">
        <v>3632</v>
      </c>
      <c r="L563" s="238" t="str">
        <f t="shared" si="34"/>
        <v>Reciclagem</v>
      </c>
      <c r="M563" s="238" t="s">
        <v>1923</v>
      </c>
      <c r="N563" s="238" t="s">
        <v>1922</v>
      </c>
      <c r="O563" s="91" t="s">
        <v>3634</v>
      </c>
      <c r="P563" s="91" t="s">
        <v>3630</v>
      </c>
      <c r="Q563" s="91" t="s">
        <v>3631</v>
      </c>
      <c r="R563" s="82" t="s">
        <v>3629</v>
      </c>
      <c r="S563">
        <v>2022</v>
      </c>
      <c r="T563" s="261" t="s">
        <v>3535</v>
      </c>
      <c r="U563" s="261" t="s">
        <v>3606</v>
      </c>
      <c r="V563" t="s">
        <v>42</v>
      </c>
    </row>
    <row r="564" spans="1:22" ht="15.75" thickBot="1" x14ac:dyDescent="0.3">
      <c r="A564" s="82" t="s">
        <v>4705</v>
      </c>
      <c r="B564" s="82" t="s">
        <v>4705</v>
      </c>
      <c r="C564" s="82" t="str">
        <f t="shared" si="32"/>
        <v>X</v>
      </c>
      <c r="D564" s="82" t="s">
        <v>42</v>
      </c>
      <c r="E564" s="392" t="s">
        <v>1868</v>
      </c>
      <c r="F564" s="83" t="s">
        <v>1597</v>
      </c>
      <c r="G564" s="125" t="s">
        <v>42</v>
      </c>
      <c r="H564" s="124">
        <v>520</v>
      </c>
      <c r="I564" s="125" t="s">
        <v>557</v>
      </c>
      <c r="J564" s="139">
        <f t="shared" si="33"/>
        <v>520</v>
      </c>
      <c r="K564" s="139" t="s">
        <v>3632</v>
      </c>
      <c r="L564" s="238" t="str">
        <f t="shared" si="34"/>
        <v>Reciclagem</v>
      </c>
      <c r="M564" s="238" t="s">
        <v>1923</v>
      </c>
      <c r="N564" s="238" t="s">
        <v>1922</v>
      </c>
      <c r="O564" s="91" t="s">
        <v>3634</v>
      </c>
      <c r="P564" s="91" t="s">
        <v>3630</v>
      </c>
      <c r="Q564" s="91" t="s">
        <v>3631</v>
      </c>
      <c r="R564" s="82" t="s">
        <v>3629</v>
      </c>
      <c r="S564">
        <v>2022</v>
      </c>
      <c r="T564" s="261" t="s">
        <v>3535</v>
      </c>
      <c r="U564" s="261" t="s">
        <v>3606</v>
      </c>
      <c r="V564" t="s">
        <v>42</v>
      </c>
    </row>
    <row r="565" spans="1:22" ht="15.75" thickBot="1" x14ac:dyDescent="0.3">
      <c r="A565" s="82" t="s">
        <v>4705</v>
      </c>
      <c r="B565" s="82" t="s">
        <v>4705</v>
      </c>
      <c r="C565" s="82" t="str">
        <f t="shared" si="32"/>
        <v>X</v>
      </c>
      <c r="D565" s="82" t="s">
        <v>42</v>
      </c>
      <c r="E565" s="392" t="s">
        <v>1877</v>
      </c>
      <c r="F565" s="83" t="s">
        <v>1560</v>
      </c>
      <c r="G565" s="125" t="s">
        <v>42</v>
      </c>
      <c r="H565" s="124">
        <v>640</v>
      </c>
      <c r="I565" s="125" t="s">
        <v>557</v>
      </c>
      <c r="J565" s="139">
        <f t="shared" si="33"/>
        <v>640</v>
      </c>
      <c r="K565" s="139" t="s">
        <v>3632</v>
      </c>
      <c r="L565" s="238" t="str">
        <f t="shared" si="34"/>
        <v>Reciclagem</v>
      </c>
      <c r="M565" s="238" t="s">
        <v>1560</v>
      </c>
      <c r="N565" s="238" t="s">
        <v>1922</v>
      </c>
      <c r="O565" s="91" t="s">
        <v>3634</v>
      </c>
      <c r="P565" s="91" t="s">
        <v>3630</v>
      </c>
      <c r="Q565" s="91" t="s">
        <v>3631</v>
      </c>
      <c r="R565" s="82" t="s">
        <v>3629</v>
      </c>
      <c r="S565">
        <v>2022</v>
      </c>
      <c r="T565" s="261" t="s">
        <v>3535</v>
      </c>
      <c r="U565" s="261" t="s">
        <v>3606</v>
      </c>
      <c r="V565" t="s">
        <v>42</v>
      </c>
    </row>
    <row r="566" spans="1:22" ht="15.75" thickBot="1" x14ac:dyDescent="0.3">
      <c r="A566" s="82" t="s">
        <v>4705</v>
      </c>
      <c r="B566" s="82" t="s">
        <v>4705</v>
      </c>
      <c r="C566" s="82" t="str">
        <f t="shared" si="32"/>
        <v>X</v>
      </c>
      <c r="D566" s="82" t="s">
        <v>42</v>
      </c>
      <c r="E566" s="392" t="s">
        <v>3224</v>
      </c>
      <c r="F566" s="83" t="s">
        <v>1560</v>
      </c>
      <c r="G566" s="125" t="s">
        <v>42</v>
      </c>
      <c r="H566" s="124">
        <v>4360</v>
      </c>
      <c r="I566" s="125" t="s">
        <v>557</v>
      </c>
      <c r="J566" s="139">
        <f t="shared" si="33"/>
        <v>4360</v>
      </c>
      <c r="K566" s="139" t="s">
        <v>3632</v>
      </c>
      <c r="L566" s="238" t="str">
        <f t="shared" si="34"/>
        <v>Reciclagem</v>
      </c>
      <c r="M566" s="238" t="s">
        <v>1560</v>
      </c>
      <c r="N566" s="238" t="s">
        <v>1922</v>
      </c>
      <c r="O566" s="91" t="s">
        <v>3634</v>
      </c>
      <c r="P566" s="91" t="s">
        <v>3630</v>
      </c>
      <c r="Q566" s="91" t="s">
        <v>3631</v>
      </c>
      <c r="R566" s="82" t="s">
        <v>3629</v>
      </c>
      <c r="S566">
        <v>2022</v>
      </c>
      <c r="T566" s="261" t="s">
        <v>3535</v>
      </c>
      <c r="U566" s="261" t="s">
        <v>3606</v>
      </c>
      <c r="V566" t="s">
        <v>42</v>
      </c>
    </row>
    <row r="567" spans="1:22" ht="15.75" thickBot="1" x14ac:dyDescent="0.3">
      <c r="A567" s="82" t="s">
        <v>4705</v>
      </c>
      <c r="B567" s="82" t="s">
        <v>4705</v>
      </c>
      <c r="C567" s="82" t="str">
        <f t="shared" si="32"/>
        <v>X</v>
      </c>
      <c r="D567" s="82" t="s">
        <v>42</v>
      </c>
      <c r="E567" s="392" t="s">
        <v>3678</v>
      </c>
      <c r="F567" s="83" t="s">
        <v>3653</v>
      </c>
      <c r="G567" s="125" t="s">
        <v>42</v>
      </c>
      <c r="H567" s="124">
        <v>1245</v>
      </c>
      <c r="I567" s="125" t="s">
        <v>557</v>
      </c>
      <c r="J567" s="139">
        <f t="shared" si="33"/>
        <v>1245</v>
      </c>
      <c r="K567" s="139" t="s">
        <v>3632</v>
      </c>
      <c r="L567" s="238" t="str">
        <f t="shared" si="34"/>
        <v>Reciclagem</v>
      </c>
      <c r="M567" s="238" t="s">
        <v>1920</v>
      </c>
      <c r="N567" s="238" t="s">
        <v>1911</v>
      </c>
      <c r="O567" s="91" t="s">
        <v>3634</v>
      </c>
      <c r="P567" s="91" t="s">
        <v>3630</v>
      </c>
      <c r="Q567" s="91" t="s">
        <v>3631</v>
      </c>
      <c r="R567" s="82" t="s">
        <v>3629</v>
      </c>
      <c r="S567">
        <v>2022</v>
      </c>
      <c r="T567" s="261" t="s">
        <v>3535</v>
      </c>
      <c r="U567" s="261" t="s">
        <v>3606</v>
      </c>
      <c r="V567" t="s">
        <v>42</v>
      </c>
    </row>
    <row r="568" spans="1:22" ht="15.75" thickBot="1" x14ac:dyDescent="0.3">
      <c r="A568" s="82" t="s">
        <v>4705</v>
      </c>
      <c r="B568" s="82" t="s">
        <v>4705</v>
      </c>
      <c r="C568" s="82" t="str">
        <f t="shared" si="32"/>
        <v>X</v>
      </c>
      <c r="D568" s="82" t="s">
        <v>42</v>
      </c>
      <c r="E568" s="322" t="s">
        <v>1579</v>
      </c>
      <c r="F568" s="83" t="s">
        <v>3654</v>
      </c>
      <c r="G568" s="125" t="s">
        <v>34</v>
      </c>
      <c r="H568" s="124">
        <v>15</v>
      </c>
      <c r="I568" s="125" t="s">
        <v>557</v>
      </c>
      <c r="J568" s="139">
        <f t="shared" si="33"/>
        <v>15</v>
      </c>
      <c r="K568" s="139" t="s">
        <v>3632</v>
      </c>
      <c r="L568" s="238" t="str">
        <f t="shared" si="34"/>
        <v>Reciclagem</v>
      </c>
      <c r="M568" s="238" t="s">
        <v>1920</v>
      </c>
      <c r="N568" s="238" t="s">
        <v>1911</v>
      </c>
      <c r="O568" s="91" t="s">
        <v>3634</v>
      </c>
      <c r="P568" s="91" t="s">
        <v>3630</v>
      </c>
      <c r="Q568" s="91" t="s">
        <v>3631</v>
      </c>
      <c r="R568" s="82" t="s">
        <v>3629</v>
      </c>
      <c r="S568">
        <v>2022</v>
      </c>
      <c r="T568" s="261" t="s">
        <v>3535</v>
      </c>
      <c r="U568" s="261" t="s">
        <v>3606</v>
      </c>
      <c r="V568" t="s">
        <v>42</v>
      </c>
    </row>
    <row r="569" spans="1:22" ht="15.75" thickBot="1" x14ac:dyDescent="0.3">
      <c r="A569" s="82" t="s">
        <v>4705</v>
      </c>
      <c r="B569" s="82" t="s">
        <v>4705</v>
      </c>
      <c r="C569" s="82" t="str">
        <f t="shared" si="32"/>
        <v>X</v>
      </c>
      <c r="D569" s="82" t="s">
        <v>42</v>
      </c>
      <c r="E569" s="392" t="s">
        <v>1879</v>
      </c>
      <c r="F569" s="83" t="s">
        <v>3655</v>
      </c>
      <c r="G569" s="125" t="s">
        <v>42</v>
      </c>
      <c r="H569" s="124">
        <v>6351</v>
      </c>
      <c r="I569" s="125" t="s">
        <v>557</v>
      </c>
      <c r="J569" s="139">
        <f t="shared" si="33"/>
        <v>6351</v>
      </c>
      <c r="K569" s="139" t="s">
        <v>3632</v>
      </c>
      <c r="L569" s="238" t="str">
        <f t="shared" si="34"/>
        <v>Reciclagem</v>
      </c>
      <c r="M569" s="238" t="s">
        <v>1920</v>
      </c>
      <c r="N569" s="238" t="s">
        <v>1911</v>
      </c>
      <c r="O569" s="91" t="s">
        <v>3634</v>
      </c>
      <c r="P569" s="91" t="s">
        <v>3630</v>
      </c>
      <c r="Q569" s="91" t="s">
        <v>3631</v>
      </c>
      <c r="R569" s="82" t="s">
        <v>3629</v>
      </c>
      <c r="S569">
        <v>2022</v>
      </c>
      <c r="T569" s="261" t="s">
        <v>3535</v>
      </c>
      <c r="U569" s="261" t="s">
        <v>3606</v>
      </c>
      <c r="V569" t="s">
        <v>42</v>
      </c>
    </row>
    <row r="570" spans="1:22" ht="15.75" thickBot="1" x14ac:dyDescent="0.3">
      <c r="A570" s="82" t="s">
        <v>4705</v>
      </c>
      <c r="B570" s="82" t="s">
        <v>4705</v>
      </c>
      <c r="C570" s="82" t="str">
        <f t="shared" si="32"/>
        <v>X</v>
      </c>
      <c r="D570" s="82" t="s">
        <v>42</v>
      </c>
      <c r="E570" s="392" t="s">
        <v>3679</v>
      </c>
      <c r="F570" s="83" t="s">
        <v>3656</v>
      </c>
      <c r="G570" s="125" t="s">
        <v>34</v>
      </c>
      <c r="H570" s="124">
        <v>269</v>
      </c>
      <c r="I570" s="125" t="s">
        <v>557</v>
      </c>
      <c r="J570" s="139">
        <f t="shared" si="33"/>
        <v>269</v>
      </c>
      <c r="K570" s="139" t="s">
        <v>3632</v>
      </c>
      <c r="L570" s="238" t="str">
        <f t="shared" si="34"/>
        <v>Reciclagem</v>
      </c>
      <c r="M570" s="238" t="s">
        <v>1920</v>
      </c>
      <c r="N570" s="238" t="s">
        <v>1911</v>
      </c>
      <c r="O570" s="91" t="s">
        <v>3634</v>
      </c>
      <c r="P570" s="91" t="s">
        <v>3630</v>
      </c>
      <c r="Q570" s="91" t="s">
        <v>3631</v>
      </c>
      <c r="R570" s="82" t="s">
        <v>3629</v>
      </c>
      <c r="S570">
        <v>2022</v>
      </c>
      <c r="T570" s="261" t="s">
        <v>3535</v>
      </c>
      <c r="U570" s="261" t="s">
        <v>3606</v>
      </c>
      <c r="V570" t="s">
        <v>42</v>
      </c>
    </row>
    <row r="571" spans="1:22" ht="15.75" thickBot="1" x14ac:dyDescent="0.3">
      <c r="A571" s="82" t="s">
        <v>4705</v>
      </c>
      <c r="B571" s="82" t="s">
        <v>4705</v>
      </c>
      <c r="C571" s="82" t="str">
        <f t="shared" si="32"/>
        <v>X</v>
      </c>
      <c r="D571" s="82" t="s">
        <v>42</v>
      </c>
      <c r="E571" s="392" t="s">
        <v>3680</v>
      </c>
      <c r="F571" s="83" t="s">
        <v>3657</v>
      </c>
      <c r="G571" s="125" t="s">
        <v>42</v>
      </c>
      <c r="H571" s="124">
        <v>50080</v>
      </c>
      <c r="I571" s="125" t="s">
        <v>557</v>
      </c>
      <c r="J571" s="139">
        <f t="shared" si="33"/>
        <v>50080</v>
      </c>
      <c r="K571" s="139" t="s">
        <v>3633</v>
      </c>
      <c r="L571" s="238" t="str">
        <f t="shared" si="34"/>
        <v>Aterro</v>
      </c>
      <c r="M571" s="238" t="s">
        <v>1920</v>
      </c>
      <c r="N571" s="238" t="s">
        <v>1911</v>
      </c>
      <c r="O571" s="91" t="s">
        <v>3634</v>
      </c>
      <c r="P571" s="91" t="s">
        <v>3630</v>
      </c>
      <c r="Q571" s="91" t="s">
        <v>3631</v>
      </c>
      <c r="R571" s="82" t="s">
        <v>3629</v>
      </c>
      <c r="S571">
        <v>2022</v>
      </c>
      <c r="T571" s="261" t="s">
        <v>3535</v>
      </c>
      <c r="U571" s="261" t="s">
        <v>3606</v>
      </c>
      <c r="V571" t="s">
        <v>42</v>
      </c>
    </row>
    <row r="572" spans="1:22" ht="15.75" thickBot="1" x14ac:dyDescent="0.3">
      <c r="A572" s="82" t="s">
        <v>4705</v>
      </c>
      <c r="B572" s="82" t="s">
        <v>4705</v>
      </c>
      <c r="C572" s="82" t="str">
        <f t="shared" si="32"/>
        <v>X</v>
      </c>
      <c r="D572" s="82" t="s">
        <v>42</v>
      </c>
      <c r="E572" s="392" t="s">
        <v>1609</v>
      </c>
      <c r="F572" s="83" t="s">
        <v>3658</v>
      </c>
      <c r="G572" s="125" t="s">
        <v>42</v>
      </c>
      <c r="H572" s="124">
        <v>353253</v>
      </c>
      <c r="I572" s="125" t="s">
        <v>557</v>
      </c>
      <c r="J572" s="139">
        <f t="shared" si="33"/>
        <v>353253</v>
      </c>
      <c r="K572" s="139" t="s">
        <v>3632</v>
      </c>
      <c r="L572" s="238" t="str">
        <f t="shared" si="34"/>
        <v>Reciclagem</v>
      </c>
      <c r="M572" s="238" t="s">
        <v>1927</v>
      </c>
      <c r="N572" s="238" t="s">
        <v>1911</v>
      </c>
      <c r="O572" s="91" t="s">
        <v>3634</v>
      </c>
      <c r="P572" s="91" t="s">
        <v>3630</v>
      </c>
      <c r="Q572" s="91" t="s">
        <v>3631</v>
      </c>
      <c r="R572" s="82" t="s">
        <v>3629</v>
      </c>
      <c r="S572">
        <v>2022</v>
      </c>
      <c r="T572" s="261" t="s">
        <v>3535</v>
      </c>
      <c r="U572" s="261" t="s">
        <v>3606</v>
      </c>
      <c r="V572" t="s">
        <v>42</v>
      </c>
    </row>
    <row r="573" spans="1:22" ht="15.75" thickBot="1" x14ac:dyDescent="0.3">
      <c r="A573" s="82" t="s">
        <v>4705</v>
      </c>
      <c r="B573" s="82" t="s">
        <v>4705</v>
      </c>
      <c r="C573" s="82" t="str">
        <f t="shared" si="32"/>
        <v>X</v>
      </c>
      <c r="D573" s="82" t="s">
        <v>42</v>
      </c>
      <c r="E573" s="392" t="s">
        <v>3681</v>
      </c>
      <c r="F573" s="83" t="s">
        <v>3658</v>
      </c>
      <c r="G573" s="125" t="s">
        <v>42</v>
      </c>
      <c r="H573" s="124">
        <v>12820</v>
      </c>
      <c r="I573" s="125" t="s">
        <v>557</v>
      </c>
      <c r="J573" s="139">
        <f t="shared" si="33"/>
        <v>12820</v>
      </c>
      <c r="K573" s="139" t="s">
        <v>3632</v>
      </c>
      <c r="L573" s="238" t="str">
        <f t="shared" si="34"/>
        <v>Reciclagem</v>
      </c>
      <c r="M573" s="238" t="s">
        <v>1927</v>
      </c>
      <c r="N573" s="238" t="s">
        <v>1911</v>
      </c>
      <c r="O573" s="91" t="s">
        <v>3634</v>
      </c>
      <c r="P573" s="91" t="s">
        <v>3630</v>
      </c>
      <c r="Q573" s="91" t="s">
        <v>3631</v>
      </c>
      <c r="R573" s="82" t="s">
        <v>3629</v>
      </c>
      <c r="S573">
        <v>2022</v>
      </c>
      <c r="T573" s="261" t="s">
        <v>3535</v>
      </c>
      <c r="U573" s="261" t="s">
        <v>3606</v>
      </c>
      <c r="V573" t="s">
        <v>42</v>
      </c>
    </row>
    <row r="574" spans="1:22" ht="15.75" thickBot="1" x14ac:dyDescent="0.3">
      <c r="A574" s="82" t="s">
        <v>4705</v>
      </c>
      <c r="B574" s="82" t="s">
        <v>4705</v>
      </c>
      <c r="C574" s="82" t="str">
        <f t="shared" si="32"/>
        <v>X</v>
      </c>
      <c r="D574" s="82" t="s">
        <v>42</v>
      </c>
      <c r="E574" s="392" t="s">
        <v>3682</v>
      </c>
      <c r="F574" s="83" t="s">
        <v>3659</v>
      </c>
      <c r="G574" s="125" t="s">
        <v>42</v>
      </c>
      <c r="H574" s="124">
        <v>83410</v>
      </c>
      <c r="I574" s="125" t="s">
        <v>557</v>
      </c>
      <c r="J574" s="139">
        <f t="shared" si="33"/>
        <v>83410</v>
      </c>
      <c r="K574" s="139" t="s">
        <v>3632</v>
      </c>
      <c r="L574" s="238" t="str">
        <f t="shared" si="34"/>
        <v>Reciclagem</v>
      </c>
      <c r="M574" s="238" t="s">
        <v>1920</v>
      </c>
      <c r="N574" s="238" t="s">
        <v>1911</v>
      </c>
      <c r="O574" s="91" t="s">
        <v>3634</v>
      </c>
      <c r="P574" s="91" t="s">
        <v>3630</v>
      </c>
      <c r="Q574" s="91" t="s">
        <v>3631</v>
      </c>
      <c r="R574" s="82" t="s">
        <v>3629</v>
      </c>
      <c r="S574">
        <v>2022</v>
      </c>
      <c r="T574" s="261" t="s">
        <v>3535</v>
      </c>
      <c r="U574" s="261" t="s">
        <v>3606</v>
      </c>
      <c r="V574" t="s">
        <v>42</v>
      </c>
    </row>
    <row r="575" spans="1:22" ht="15.75" thickBot="1" x14ac:dyDescent="0.3">
      <c r="A575" s="82" t="s">
        <v>4705</v>
      </c>
      <c r="B575" s="82" t="s">
        <v>4705</v>
      </c>
      <c r="C575" s="82" t="str">
        <f t="shared" si="32"/>
        <v>X</v>
      </c>
      <c r="D575" s="82" t="s">
        <v>42</v>
      </c>
      <c r="E575" s="392" t="s">
        <v>3683</v>
      </c>
      <c r="F575" s="83" t="s">
        <v>3660</v>
      </c>
      <c r="G575" s="125" t="s">
        <v>42</v>
      </c>
      <c r="H575" s="124">
        <v>9480</v>
      </c>
      <c r="I575" s="125" t="s">
        <v>557</v>
      </c>
      <c r="J575" s="139">
        <f t="shared" si="33"/>
        <v>9480</v>
      </c>
      <c r="K575" s="139" t="s">
        <v>3632</v>
      </c>
      <c r="L575" s="238" t="str">
        <f t="shared" si="34"/>
        <v>Reciclagem</v>
      </c>
      <c r="M575" s="238" t="s">
        <v>1920</v>
      </c>
      <c r="N575" s="238" t="s">
        <v>1911</v>
      </c>
      <c r="O575" s="91" t="s">
        <v>3634</v>
      </c>
      <c r="P575" s="91" t="s">
        <v>3630</v>
      </c>
      <c r="Q575" s="91" t="s">
        <v>3631</v>
      </c>
      <c r="R575" s="82" t="s">
        <v>3629</v>
      </c>
      <c r="S575">
        <v>2022</v>
      </c>
      <c r="T575" s="261" t="s">
        <v>3535</v>
      </c>
      <c r="U575" s="261" t="s">
        <v>3606</v>
      </c>
      <c r="V575" t="s">
        <v>42</v>
      </c>
    </row>
    <row r="576" spans="1:22" ht="15.75" thickBot="1" x14ac:dyDescent="0.3">
      <c r="A576" s="82" t="s">
        <v>4705</v>
      </c>
      <c r="B576" s="82" t="s">
        <v>4705</v>
      </c>
      <c r="C576" s="82" t="str">
        <f t="shared" si="32"/>
        <v>X</v>
      </c>
      <c r="D576" s="82" t="s">
        <v>42</v>
      </c>
      <c r="E576" s="392" t="s">
        <v>1590</v>
      </c>
      <c r="F576" s="83" t="s">
        <v>3661</v>
      </c>
      <c r="G576" s="125" t="s">
        <v>34</v>
      </c>
      <c r="H576" s="124">
        <v>560</v>
      </c>
      <c r="I576" s="125" t="s">
        <v>557</v>
      </c>
      <c r="J576" s="139">
        <f t="shared" si="33"/>
        <v>560</v>
      </c>
      <c r="K576" s="139" t="s">
        <v>3632</v>
      </c>
      <c r="L576" s="238" t="str">
        <f t="shared" si="34"/>
        <v>Reciclagem</v>
      </c>
      <c r="M576" s="238" t="s">
        <v>1920</v>
      </c>
      <c r="N576" s="238" t="s">
        <v>1911</v>
      </c>
      <c r="O576" s="91" t="s">
        <v>3634</v>
      </c>
      <c r="P576" s="91" t="s">
        <v>3630</v>
      </c>
      <c r="Q576" s="91" t="s">
        <v>3631</v>
      </c>
      <c r="R576" s="82" t="s">
        <v>3629</v>
      </c>
      <c r="S576">
        <v>2022</v>
      </c>
      <c r="T576" s="261" t="s">
        <v>3535</v>
      </c>
      <c r="U576" s="261" t="s">
        <v>3606</v>
      </c>
      <c r="V576" t="s">
        <v>42</v>
      </c>
    </row>
    <row r="577" spans="1:22" ht="15.75" thickBot="1" x14ac:dyDescent="0.3">
      <c r="A577" s="82" t="s">
        <v>4705</v>
      </c>
      <c r="B577" s="82" t="s">
        <v>4705</v>
      </c>
      <c r="C577" s="82" t="str">
        <f t="shared" si="32"/>
        <v>X</v>
      </c>
      <c r="D577" s="82" t="s">
        <v>42</v>
      </c>
      <c r="E577" s="392" t="s">
        <v>3684</v>
      </c>
      <c r="F577" s="83" t="s">
        <v>3271</v>
      </c>
      <c r="G577" s="125" t="s">
        <v>42</v>
      </c>
      <c r="H577" s="124">
        <v>11640</v>
      </c>
      <c r="I577" s="125" t="s">
        <v>557</v>
      </c>
      <c r="J577" s="139">
        <f t="shared" si="33"/>
        <v>11640</v>
      </c>
      <c r="K577" s="139" t="s">
        <v>3632</v>
      </c>
      <c r="L577" s="238" t="str">
        <f t="shared" si="34"/>
        <v>Reciclagem</v>
      </c>
      <c r="M577" s="238" t="s">
        <v>1920</v>
      </c>
      <c r="N577" s="238" t="s">
        <v>1911</v>
      </c>
      <c r="O577" s="91" t="s">
        <v>3634</v>
      </c>
      <c r="P577" s="91" t="s">
        <v>3630</v>
      </c>
      <c r="Q577" s="91" t="s">
        <v>3631</v>
      </c>
      <c r="R577" s="82" t="s">
        <v>3629</v>
      </c>
      <c r="S577">
        <v>2022</v>
      </c>
      <c r="T577" s="261" t="s">
        <v>3535</v>
      </c>
      <c r="U577" s="261" t="s">
        <v>3606</v>
      </c>
      <c r="V577" t="s">
        <v>42</v>
      </c>
    </row>
    <row r="578" spans="1:22" ht="15.75" thickBot="1" x14ac:dyDescent="0.3">
      <c r="A578" s="82" t="s">
        <v>4705</v>
      </c>
      <c r="B578" s="82" t="s">
        <v>4705</v>
      </c>
      <c r="C578" s="82" t="str">
        <f t="shared" si="32"/>
        <v>X</v>
      </c>
      <c r="D578" s="82" t="s">
        <v>42</v>
      </c>
      <c r="E578" s="392" t="s">
        <v>3685</v>
      </c>
      <c r="F578" s="83" t="s">
        <v>1561</v>
      </c>
      <c r="G578" s="125" t="s">
        <v>42</v>
      </c>
      <c r="H578" s="124">
        <v>1327</v>
      </c>
      <c r="I578" s="125" t="s">
        <v>557</v>
      </c>
      <c r="J578" s="139">
        <f t="shared" si="33"/>
        <v>1327</v>
      </c>
      <c r="K578" s="139" t="s">
        <v>3632</v>
      </c>
      <c r="L578" s="238" t="str">
        <f t="shared" si="34"/>
        <v>Reciclagem</v>
      </c>
      <c r="M578" s="238" t="s">
        <v>1561</v>
      </c>
      <c r="N578" s="238" t="s">
        <v>1922</v>
      </c>
      <c r="O578" s="91" t="s">
        <v>3634</v>
      </c>
      <c r="P578" s="91" t="s">
        <v>3630</v>
      </c>
      <c r="Q578" s="91" t="s">
        <v>3631</v>
      </c>
      <c r="R578" s="82" t="s">
        <v>3629</v>
      </c>
      <c r="S578">
        <v>2022</v>
      </c>
      <c r="T578" s="261" t="s">
        <v>3535</v>
      </c>
      <c r="U578" s="261" t="s">
        <v>3606</v>
      </c>
      <c r="V578" t="s">
        <v>42</v>
      </c>
    </row>
    <row r="579" spans="1:22" ht="15.75" thickBot="1" x14ac:dyDescent="0.3">
      <c r="A579" s="82" t="s">
        <v>4705</v>
      </c>
      <c r="B579" s="82" t="s">
        <v>4705</v>
      </c>
      <c r="C579" s="82" t="str">
        <f t="shared" ref="C579:C589" si="35">IF(A579=B579,"X",RIGHT(A579,LEN(A579)-LEN(B579)-3))</f>
        <v>X</v>
      </c>
      <c r="D579" s="82" t="s">
        <v>42</v>
      </c>
      <c r="E579" s="392" t="s">
        <v>1587</v>
      </c>
      <c r="F579" s="83" t="s">
        <v>1561</v>
      </c>
      <c r="G579" s="125" t="s">
        <v>42</v>
      </c>
      <c r="H579" s="124">
        <v>4320</v>
      </c>
      <c r="I579" s="125" t="s">
        <v>557</v>
      </c>
      <c r="J579" s="139">
        <f t="shared" ref="J579:J626" si="36">IF(LEFT(I579,3)="ton",1000*H579,H579)</f>
        <v>4320</v>
      </c>
      <c r="K579" s="139" t="s">
        <v>3632</v>
      </c>
      <c r="L579" s="238" t="str">
        <f t="shared" ref="L579:L626" si="37">IF(LEFT(K579,1)="R","Reciclagem",IF(OR(K579="D10",K579="D11"),"Iceneração","Aterro"))</f>
        <v>Reciclagem</v>
      </c>
      <c r="M579" s="238" t="s">
        <v>1561</v>
      </c>
      <c r="N579" s="238" t="s">
        <v>1922</v>
      </c>
      <c r="O579" s="91" t="s">
        <v>3634</v>
      </c>
      <c r="P579" s="91" t="s">
        <v>3630</v>
      </c>
      <c r="Q579" s="91" t="s">
        <v>3631</v>
      </c>
      <c r="R579" s="82" t="s">
        <v>3629</v>
      </c>
      <c r="S579">
        <v>2022</v>
      </c>
      <c r="T579" s="261" t="s">
        <v>3535</v>
      </c>
      <c r="U579" s="261" t="s">
        <v>3606</v>
      </c>
      <c r="V579" t="s">
        <v>42</v>
      </c>
    </row>
    <row r="580" spans="1:22" ht="15.75" thickBot="1" x14ac:dyDescent="0.3">
      <c r="A580" s="82" t="s">
        <v>4705</v>
      </c>
      <c r="B580" s="82" t="s">
        <v>4705</v>
      </c>
      <c r="C580" s="82" t="str">
        <f t="shared" si="35"/>
        <v>X</v>
      </c>
      <c r="D580" s="82" t="s">
        <v>42</v>
      </c>
      <c r="E580" s="322" t="s">
        <v>3686</v>
      </c>
      <c r="F580" s="83" t="s">
        <v>3640</v>
      </c>
      <c r="G580" s="125" t="s">
        <v>42</v>
      </c>
      <c r="H580" s="124">
        <v>9.5</v>
      </c>
      <c r="I580" s="125" t="s">
        <v>557</v>
      </c>
      <c r="J580" s="139">
        <f t="shared" si="36"/>
        <v>9.5</v>
      </c>
      <c r="K580" s="139" t="s">
        <v>3632</v>
      </c>
      <c r="L580" s="238" t="str">
        <f t="shared" si="37"/>
        <v>Reciclagem</v>
      </c>
      <c r="M580" s="238" t="s">
        <v>1920</v>
      </c>
      <c r="N580" s="238" t="s">
        <v>1911</v>
      </c>
      <c r="O580" s="91" t="s">
        <v>3634</v>
      </c>
      <c r="P580" s="91" t="s">
        <v>3630</v>
      </c>
      <c r="Q580" s="91" t="s">
        <v>3631</v>
      </c>
      <c r="R580" s="93"/>
      <c r="S580">
        <v>2022</v>
      </c>
      <c r="T580" s="261" t="s">
        <v>3535</v>
      </c>
      <c r="U580" s="261" t="s">
        <v>3606</v>
      </c>
      <c r="V580" t="s">
        <v>42</v>
      </c>
    </row>
    <row r="581" spans="1:22" ht="15.75" thickBot="1" x14ac:dyDescent="0.3">
      <c r="A581" s="82" t="s">
        <v>4705</v>
      </c>
      <c r="B581" s="82" t="s">
        <v>4705</v>
      </c>
      <c r="C581" s="82" t="str">
        <f t="shared" si="35"/>
        <v>X</v>
      </c>
      <c r="D581" s="82" t="s">
        <v>42</v>
      </c>
      <c r="E581" s="322" t="s">
        <v>1870</v>
      </c>
      <c r="F581" s="83" t="s">
        <v>3245</v>
      </c>
      <c r="G581" s="125" t="s">
        <v>34</v>
      </c>
      <c r="H581" s="124">
        <v>56</v>
      </c>
      <c r="I581" s="125" t="s">
        <v>557</v>
      </c>
      <c r="J581" s="139">
        <f t="shared" si="36"/>
        <v>56</v>
      </c>
      <c r="K581" s="139" t="s">
        <v>3632</v>
      </c>
      <c r="L581" s="238" t="str">
        <f t="shared" si="37"/>
        <v>Reciclagem</v>
      </c>
      <c r="M581" s="238" t="s">
        <v>1920</v>
      </c>
      <c r="N581" s="238" t="s">
        <v>1911</v>
      </c>
      <c r="O581" s="91" t="s">
        <v>3634</v>
      </c>
      <c r="P581" s="91" t="s">
        <v>3630</v>
      </c>
      <c r="Q581" s="91" t="s">
        <v>3631</v>
      </c>
      <c r="R581" s="93"/>
      <c r="S581">
        <v>2022</v>
      </c>
      <c r="T581" s="261" t="s">
        <v>3535</v>
      </c>
      <c r="U581" s="261" t="s">
        <v>3606</v>
      </c>
      <c r="V581" t="s">
        <v>42</v>
      </c>
    </row>
    <row r="582" spans="1:22" ht="15.75" thickBot="1" x14ac:dyDescent="0.3">
      <c r="A582" s="82" t="s">
        <v>4705</v>
      </c>
      <c r="B582" s="82" t="s">
        <v>4705</v>
      </c>
      <c r="C582" s="82" t="str">
        <f t="shared" si="35"/>
        <v>X</v>
      </c>
      <c r="D582" s="82" t="s">
        <v>42</v>
      </c>
      <c r="E582" s="322" t="s">
        <v>1886</v>
      </c>
      <c r="F582" s="83" t="s">
        <v>3645</v>
      </c>
      <c r="G582" s="125" t="s">
        <v>42</v>
      </c>
      <c r="H582" s="124">
        <v>15</v>
      </c>
      <c r="I582" s="125" t="s">
        <v>557</v>
      </c>
      <c r="J582" s="139">
        <f t="shared" si="36"/>
        <v>15</v>
      </c>
      <c r="K582" s="139" t="s">
        <v>3632</v>
      </c>
      <c r="L582" s="238" t="str">
        <f t="shared" si="37"/>
        <v>Reciclagem</v>
      </c>
      <c r="M582" s="238" t="s">
        <v>1928</v>
      </c>
      <c r="N582" s="238" t="s">
        <v>1896</v>
      </c>
      <c r="O582" s="91" t="s">
        <v>3634</v>
      </c>
      <c r="P582" s="91" t="s">
        <v>3630</v>
      </c>
      <c r="Q582" s="91" t="s">
        <v>3631</v>
      </c>
      <c r="R582" s="93"/>
      <c r="S582">
        <v>2022</v>
      </c>
      <c r="T582" s="261" t="s">
        <v>3535</v>
      </c>
      <c r="U582" s="261" t="s">
        <v>3606</v>
      </c>
      <c r="V582" t="s">
        <v>42</v>
      </c>
    </row>
    <row r="583" spans="1:22" ht="15.75" thickBot="1" x14ac:dyDescent="0.3">
      <c r="A583" s="82" t="s">
        <v>4705</v>
      </c>
      <c r="B583" s="82" t="s">
        <v>4705</v>
      </c>
      <c r="C583" s="82" t="str">
        <f t="shared" si="35"/>
        <v>X</v>
      </c>
      <c r="D583" s="82" t="s">
        <v>42</v>
      </c>
      <c r="E583" s="392" t="s">
        <v>3239</v>
      </c>
      <c r="F583" s="83" t="s">
        <v>1658</v>
      </c>
      <c r="G583" s="125" t="s">
        <v>42</v>
      </c>
      <c r="H583" s="124">
        <v>7328</v>
      </c>
      <c r="I583" s="125" t="s">
        <v>557</v>
      </c>
      <c r="J583" s="139">
        <f t="shared" si="36"/>
        <v>7328</v>
      </c>
      <c r="K583" s="139" t="s">
        <v>3632</v>
      </c>
      <c r="L583" s="238" t="str">
        <f t="shared" si="37"/>
        <v>Reciclagem</v>
      </c>
      <c r="M583" s="238" t="s">
        <v>1925</v>
      </c>
      <c r="N583" s="238" t="s">
        <v>1922</v>
      </c>
      <c r="O583" s="91" t="s">
        <v>3634</v>
      </c>
      <c r="P583" s="91" t="s">
        <v>3630</v>
      </c>
      <c r="Q583" s="91" t="s">
        <v>3631</v>
      </c>
      <c r="R583" s="93"/>
      <c r="S583">
        <v>2022</v>
      </c>
      <c r="T583" s="261" t="s">
        <v>3535</v>
      </c>
      <c r="U583" s="261" t="s">
        <v>3606</v>
      </c>
      <c r="V583" t="s">
        <v>42</v>
      </c>
    </row>
    <row r="584" spans="1:22" ht="15.75" thickBot="1" x14ac:dyDescent="0.3">
      <c r="A584" s="82" t="s">
        <v>4705</v>
      </c>
      <c r="B584" s="82" t="s">
        <v>4705</v>
      </c>
      <c r="C584" s="82" t="str">
        <f t="shared" si="35"/>
        <v>X</v>
      </c>
      <c r="D584" s="82" t="s">
        <v>42</v>
      </c>
      <c r="E584" s="392" t="s">
        <v>3687</v>
      </c>
      <c r="F584" s="83" t="s">
        <v>3662</v>
      </c>
      <c r="G584" s="125" t="s">
        <v>42</v>
      </c>
      <c r="H584" s="124">
        <v>569</v>
      </c>
      <c r="I584" s="125" t="s">
        <v>557</v>
      </c>
      <c r="J584" s="139">
        <f t="shared" si="36"/>
        <v>569</v>
      </c>
      <c r="K584" s="139" t="s">
        <v>3632</v>
      </c>
      <c r="L584" s="238" t="str">
        <f t="shared" si="37"/>
        <v>Reciclagem</v>
      </c>
      <c r="M584" s="238" t="s">
        <v>1920</v>
      </c>
      <c r="N584" s="238" t="s">
        <v>1911</v>
      </c>
      <c r="O584" s="91" t="s">
        <v>3634</v>
      </c>
      <c r="P584" s="91" t="s">
        <v>3630</v>
      </c>
      <c r="Q584" s="91" t="s">
        <v>3631</v>
      </c>
      <c r="S584">
        <v>2022</v>
      </c>
      <c r="T584" s="261" t="s">
        <v>3535</v>
      </c>
      <c r="U584" s="261" t="s">
        <v>3606</v>
      </c>
      <c r="V584" t="s">
        <v>42</v>
      </c>
    </row>
    <row r="585" spans="1:22" ht="15.75" thickBot="1" x14ac:dyDescent="0.3">
      <c r="A585" s="82" t="s">
        <v>4705</v>
      </c>
      <c r="B585" s="82" t="s">
        <v>4705</v>
      </c>
      <c r="C585" s="82" t="str">
        <f t="shared" si="35"/>
        <v>X</v>
      </c>
      <c r="D585" s="82" t="s">
        <v>42</v>
      </c>
      <c r="E585" s="392" t="s">
        <v>1882</v>
      </c>
      <c r="F585" s="83" t="s">
        <v>1597</v>
      </c>
      <c r="G585" s="125" t="s">
        <v>42</v>
      </c>
      <c r="H585" s="124">
        <v>200</v>
      </c>
      <c r="I585" s="125" t="s">
        <v>557</v>
      </c>
      <c r="J585" s="139">
        <f t="shared" si="36"/>
        <v>200</v>
      </c>
      <c r="K585" s="139" t="s">
        <v>3632</v>
      </c>
      <c r="L585" s="238" t="str">
        <f t="shared" si="37"/>
        <v>Reciclagem</v>
      </c>
      <c r="M585" s="238" t="s">
        <v>1923</v>
      </c>
      <c r="N585" s="238" t="s">
        <v>1922</v>
      </c>
      <c r="O585" s="91" t="s">
        <v>3634</v>
      </c>
      <c r="P585" s="91" t="s">
        <v>3630</v>
      </c>
      <c r="Q585" s="91" t="s">
        <v>3631</v>
      </c>
      <c r="S585">
        <v>2022</v>
      </c>
      <c r="T585" s="261" t="s">
        <v>3535</v>
      </c>
      <c r="U585" s="261" t="s">
        <v>3606</v>
      </c>
      <c r="V585" t="s">
        <v>42</v>
      </c>
    </row>
    <row r="586" spans="1:22" ht="15.75" thickBot="1" x14ac:dyDescent="0.3">
      <c r="A586" s="82" t="s">
        <v>4705</v>
      </c>
      <c r="B586" s="82" t="s">
        <v>4705</v>
      </c>
      <c r="C586" s="82" t="str">
        <f t="shared" si="35"/>
        <v>X</v>
      </c>
      <c r="D586" s="82" t="s">
        <v>42</v>
      </c>
      <c r="E586" s="322" t="s">
        <v>1868</v>
      </c>
      <c r="F586" s="83" t="s">
        <v>1597</v>
      </c>
      <c r="G586" s="125" t="s">
        <v>42</v>
      </c>
      <c r="H586" s="124">
        <v>12</v>
      </c>
      <c r="I586" s="125" t="s">
        <v>557</v>
      </c>
      <c r="J586" s="139">
        <f t="shared" si="36"/>
        <v>12</v>
      </c>
      <c r="K586" s="139" t="s">
        <v>3632</v>
      </c>
      <c r="L586" s="238" t="str">
        <f t="shared" si="37"/>
        <v>Reciclagem</v>
      </c>
      <c r="M586" s="238" t="s">
        <v>1923</v>
      </c>
      <c r="N586" s="238" t="s">
        <v>1922</v>
      </c>
      <c r="O586" s="91" t="s">
        <v>3634</v>
      </c>
      <c r="P586" s="91" t="s">
        <v>3630</v>
      </c>
      <c r="Q586" s="91" t="s">
        <v>3631</v>
      </c>
      <c r="R586" s="93"/>
      <c r="S586">
        <v>2022</v>
      </c>
      <c r="T586" s="261" t="s">
        <v>3535</v>
      </c>
      <c r="U586" s="261" t="s">
        <v>3606</v>
      </c>
      <c r="V586" t="s">
        <v>42</v>
      </c>
    </row>
    <row r="587" spans="1:22" ht="15.75" thickBot="1" x14ac:dyDescent="0.3">
      <c r="A587" s="82" t="s">
        <v>4705</v>
      </c>
      <c r="B587" s="82" t="s">
        <v>4705</v>
      </c>
      <c r="C587" s="82" t="str">
        <f t="shared" si="35"/>
        <v>X</v>
      </c>
      <c r="D587" s="82" t="s">
        <v>42</v>
      </c>
      <c r="E587" s="322" t="s">
        <v>3688</v>
      </c>
      <c r="F587" s="83" t="s">
        <v>3663</v>
      </c>
      <c r="G587" s="125" t="s">
        <v>42</v>
      </c>
      <c r="H587" s="124">
        <v>10</v>
      </c>
      <c r="I587" s="125" t="s">
        <v>557</v>
      </c>
      <c r="J587" s="139">
        <f t="shared" si="36"/>
        <v>10</v>
      </c>
      <c r="K587" s="139" t="s">
        <v>3632</v>
      </c>
      <c r="L587" s="238" t="str">
        <f t="shared" si="37"/>
        <v>Reciclagem</v>
      </c>
      <c r="M587" s="238" t="s">
        <v>1653</v>
      </c>
      <c r="N587" s="238" t="s">
        <v>1896</v>
      </c>
      <c r="O587" s="91" t="s">
        <v>3634</v>
      </c>
      <c r="P587" s="91" t="s">
        <v>3630</v>
      </c>
      <c r="Q587" s="91" t="s">
        <v>3631</v>
      </c>
      <c r="R587" s="93"/>
      <c r="S587">
        <v>2022</v>
      </c>
      <c r="T587" s="261" t="s">
        <v>3535</v>
      </c>
      <c r="U587" s="261" t="s">
        <v>3606</v>
      </c>
      <c r="V587" t="s">
        <v>42</v>
      </c>
    </row>
    <row r="588" spans="1:22" ht="15.75" thickBot="1" x14ac:dyDescent="0.3">
      <c r="A588" s="82" t="s">
        <v>4705</v>
      </c>
      <c r="B588" s="82" t="s">
        <v>4705</v>
      </c>
      <c r="C588" s="82" t="str">
        <f t="shared" si="35"/>
        <v>X</v>
      </c>
      <c r="D588" s="82" t="s">
        <v>42</v>
      </c>
      <c r="E588" s="322" t="s">
        <v>3224</v>
      </c>
      <c r="F588" s="83" t="s">
        <v>1560</v>
      </c>
      <c r="G588" s="125" t="s">
        <v>42</v>
      </c>
      <c r="H588" s="124">
        <v>50</v>
      </c>
      <c r="I588" s="125" t="s">
        <v>557</v>
      </c>
      <c r="J588" s="139">
        <f t="shared" si="36"/>
        <v>50</v>
      </c>
      <c r="K588" s="139" t="s">
        <v>3632</v>
      </c>
      <c r="L588" s="238" t="str">
        <f t="shared" si="37"/>
        <v>Reciclagem</v>
      </c>
      <c r="M588" s="238" t="s">
        <v>1560</v>
      </c>
      <c r="N588" s="238" t="s">
        <v>1922</v>
      </c>
      <c r="O588" s="91" t="s">
        <v>3634</v>
      </c>
      <c r="P588" s="91" t="s">
        <v>3630</v>
      </c>
      <c r="Q588" s="91" t="s">
        <v>3631</v>
      </c>
      <c r="R588" s="93"/>
      <c r="S588">
        <v>2022</v>
      </c>
      <c r="T588" s="261" t="s">
        <v>3535</v>
      </c>
      <c r="U588" s="261" t="s">
        <v>3606</v>
      </c>
      <c r="V588" t="s">
        <v>42</v>
      </c>
    </row>
    <row r="589" spans="1:22" ht="15.75" thickBot="1" x14ac:dyDescent="0.3">
      <c r="A589" s="82" t="s">
        <v>4705</v>
      </c>
      <c r="B589" s="82" t="s">
        <v>4705</v>
      </c>
      <c r="C589" s="82" t="str">
        <f t="shared" si="35"/>
        <v>X</v>
      </c>
      <c r="D589" s="82" t="s">
        <v>42</v>
      </c>
      <c r="E589" s="322" t="s">
        <v>1609</v>
      </c>
      <c r="F589" s="83" t="s">
        <v>3658</v>
      </c>
      <c r="G589" s="125" t="s">
        <v>42</v>
      </c>
      <c r="H589" s="124">
        <v>1</v>
      </c>
      <c r="I589" s="125" t="s">
        <v>557</v>
      </c>
      <c r="J589" s="139">
        <f t="shared" si="36"/>
        <v>1</v>
      </c>
      <c r="K589" s="139" t="s">
        <v>3632</v>
      </c>
      <c r="L589" s="238" t="str">
        <f t="shared" si="37"/>
        <v>Reciclagem</v>
      </c>
      <c r="M589" s="238" t="s">
        <v>1927</v>
      </c>
      <c r="N589" s="238" t="s">
        <v>1911</v>
      </c>
      <c r="O589" s="91" t="s">
        <v>3634</v>
      </c>
      <c r="P589" s="91" t="s">
        <v>3630</v>
      </c>
      <c r="Q589" s="91" t="s">
        <v>3631</v>
      </c>
      <c r="R589" s="93"/>
      <c r="S589">
        <v>2022</v>
      </c>
      <c r="T589" s="261" t="s">
        <v>3535</v>
      </c>
      <c r="U589" s="261" t="s">
        <v>3606</v>
      </c>
      <c r="V589" t="s">
        <v>42</v>
      </c>
    </row>
    <row r="590" spans="1:22" ht="15.75" thickBot="1" x14ac:dyDescent="0.3">
      <c r="A590" t="s">
        <v>4704</v>
      </c>
      <c r="B590" t="s">
        <v>4704</v>
      </c>
      <c r="C590" s="82" t="s">
        <v>3904</v>
      </c>
      <c r="D590" s="82" t="s">
        <v>42</v>
      </c>
      <c r="E590" s="322" t="s">
        <v>1865</v>
      </c>
      <c r="F590" s="83" t="s">
        <v>3926</v>
      </c>
      <c r="G590" s="125" t="s">
        <v>34</v>
      </c>
      <c r="H590" s="139">
        <v>2529</v>
      </c>
      <c r="I590" s="125" t="s">
        <v>557</v>
      </c>
      <c r="J590" s="139">
        <f t="shared" si="36"/>
        <v>2529</v>
      </c>
      <c r="K590" s="139" t="s">
        <v>483</v>
      </c>
      <c r="L590" s="238" t="str">
        <f t="shared" si="37"/>
        <v>Reciclagem</v>
      </c>
      <c r="M590" s="238" t="s">
        <v>1921</v>
      </c>
      <c r="N590" s="238" t="s">
        <v>1896</v>
      </c>
      <c r="O590" s="114" t="str">
        <f>IFERROR(INDEX(Tabela3[Tipos de Tratamento],MATCH('A3.9.1 copy'!K590,Tabela3[Código],0)),"")</f>
        <v xml:space="preserve">Troca de resíduos com vista a submetê-los a uma das operações enumeradas de R 1 a R 11 </v>
      </c>
      <c r="P590" s="91" t="s">
        <v>3936</v>
      </c>
      <c r="Q590" s="91" t="s">
        <v>3937</v>
      </c>
      <c r="S590">
        <v>2022</v>
      </c>
      <c r="T590" s="261" t="s">
        <v>3535</v>
      </c>
      <c r="U590" s="261" t="s">
        <v>3606</v>
      </c>
      <c r="V590" t="s">
        <v>42</v>
      </c>
    </row>
    <row r="591" spans="1:22" ht="15.75" thickBot="1" x14ac:dyDescent="0.3">
      <c r="A591" t="s">
        <v>4704</v>
      </c>
      <c r="B591" t="s">
        <v>4704</v>
      </c>
      <c r="C591" s="82" t="s">
        <v>3904</v>
      </c>
      <c r="D591" s="82" t="s">
        <v>42</v>
      </c>
      <c r="E591" s="322" t="s">
        <v>1866</v>
      </c>
      <c r="F591" s="83" t="s">
        <v>3927</v>
      </c>
      <c r="G591" s="125" t="s">
        <v>34</v>
      </c>
      <c r="H591" s="139">
        <v>1112</v>
      </c>
      <c r="I591" s="125" t="s">
        <v>557</v>
      </c>
      <c r="J591" s="139">
        <f t="shared" si="36"/>
        <v>1112</v>
      </c>
      <c r="K591" s="139" t="s">
        <v>503</v>
      </c>
      <c r="L591" s="238" t="str">
        <f t="shared" si="37"/>
        <v>Aterro</v>
      </c>
      <c r="M591" s="238" t="s">
        <v>1920</v>
      </c>
      <c r="N591" s="238" t="s">
        <v>1911</v>
      </c>
      <c r="O591" s="114" t="str">
        <f>IFERROR(INDEX(Tabela3[Tipos de Tratamento],MATCH('A3.9.1 copy'!K591,Tabela3[Código],0)),"")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591" s="91" t="s">
        <v>3936</v>
      </c>
      <c r="Q591" s="91" t="s">
        <v>3936</v>
      </c>
      <c r="S591">
        <v>2022</v>
      </c>
      <c r="T591" s="261" t="s">
        <v>3535</v>
      </c>
      <c r="U591" s="261" t="s">
        <v>3606</v>
      </c>
      <c r="V591" t="s">
        <v>42</v>
      </c>
    </row>
    <row r="592" spans="1:22" ht="15.75" thickBot="1" x14ac:dyDescent="0.3">
      <c r="A592" t="s">
        <v>4704</v>
      </c>
      <c r="B592" t="s">
        <v>4704</v>
      </c>
      <c r="C592" s="82" t="s">
        <v>3904</v>
      </c>
      <c r="D592" s="82" t="s">
        <v>42</v>
      </c>
      <c r="E592" s="322" t="s">
        <v>1867</v>
      </c>
      <c r="F592" s="83" t="s">
        <v>3927</v>
      </c>
      <c r="G592" s="125" t="s">
        <v>34</v>
      </c>
      <c r="H592" s="139">
        <v>4920</v>
      </c>
      <c r="I592" s="125" t="s">
        <v>557</v>
      </c>
      <c r="J592" s="139">
        <f t="shared" si="36"/>
        <v>4920</v>
      </c>
      <c r="K592" s="139" t="s">
        <v>503</v>
      </c>
      <c r="L592" s="238" t="str">
        <f t="shared" si="37"/>
        <v>Aterro</v>
      </c>
      <c r="M592" s="238" t="s">
        <v>1920</v>
      </c>
      <c r="N592" s="238" t="s">
        <v>1911</v>
      </c>
      <c r="O592" s="114" t="str">
        <f>IFERROR(INDEX(Tabela3[Tipos de Tratamento],MATCH('A3.9.1 copy'!K592,Tabela3[Código],0)),"")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592" s="91" t="s">
        <v>3936</v>
      </c>
      <c r="Q592" s="91" t="s">
        <v>3938</v>
      </c>
      <c r="S592">
        <v>2022</v>
      </c>
      <c r="T592" s="261" t="s">
        <v>3535</v>
      </c>
      <c r="U592" s="261" t="s">
        <v>3606</v>
      </c>
      <c r="V592" t="s">
        <v>42</v>
      </c>
    </row>
    <row r="593" spans="1:22" ht="15.75" thickBot="1" x14ac:dyDescent="0.3">
      <c r="A593" t="s">
        <v>4704</v>
      </c>
      <c r="B593" t="s">
        <v>4704</v>
      </c>
      <c r="C593" s="82" t="s">
        <v>3904</v>
      </c>
      <c r="D593" s="82" t="s">
        <v>42</v>
      </c>
      <c r="E593" s="322" t="s">
        <v>1871</v>
      </c>
      <c r="F593" s="83" t="s">
        <v>3928</v>
      </c>
      <c r="G593" s="125" t="s">
        <v>34</v>
      </c>
      <c r="H593" s="139">
        <v>149</v>
      </c>
      <c r="I593" s="125" t="s">
        <v>557</v>
      </c>
      <c r="J593" s="139">
        <f t="shared" si="36"/>
        <v>149</v>
      </c>
      <c r="K593" s="139" t="s">
        <v>483</v>
      </c>
      <c r="L593" s="238" t="str">
        <f t="shared" si="37"/>
        <v>Reciclagem</v>
      </c>
      <c r="M593" s="238" t="s">
        <v>1925</v>
      </c>
      <c r="N593" s="238" t="s">
        <v>1922</v>
      </c>
      <c r="O593" s="114" t="str">
        <f>IFERROR(INDEX(Tabela3[Tipos de Tratamento],MATCH('A3.9.1 copy'!K593,Tabela3[Código],0)),"")</f>
        <v xml:space="preserve">Troca de resíduos com vista a submetê-los a uma das operações enumeradas de R 1 a R 11 </v>
      </c>
      <c r="P593" s="91" t="s">
        <v>3936</v>
      </c>
      <c r="Q593" s="91" t="s">
        <v>3939</v>
      </c>
      <c r="S593">
        <v>2022</v>
      </c>
      <c r="T593" s="261" t="s">
        <v>3535</v>
      </c>
      <c r="U593" s="261" t="s">
        <v>3606</v>
      </c>
      <c r="V593" t="s">
        <v>42</v>
      </c>
    </row>
    <row r="594" spans="1:22" ht="15.75" thickBot="1" x14ac:dyDescent="0.3">
      <c r="A594" t="s">
        <v>4704</v>
      </c>
      <c r="B594" t="s">
        <v>4704</v>
      </c>
      <c r="C594" s="82" t="s">
        <v>3904</v>
      </c>
      <c r="D594" s="82" t="s">
        <v>42</v>
      </c>
      <c r="E594" s="322" t="s">
        <v>1872</v>
      </c>
      <c r="F594" s="83" t="s">
        <v>3929</v>
      </c>
      <c r="G594" s="125" t="s">
        <v>34</v>
      </c>
      <c r="H594" s="139">
        <v>570</v>
      </c>
      <c r="I594" s="125" t="s">
        <v>557</v>
      </c>
      <c r="J594" s="139">
        <f t="shared" si="36"/>
        <v>570</v>
      </c>
      <c r="K594" s="139" t="s">
        <v>483</v>
      </c>
      <c r="L594" s="238" t="str">
        <f t="shared" si="37"/>
        <v>Reciclagem</v>
      </c>
      <c r="M594" s="238" t="s">
        <v>1920</v>
      </c>
      <c r="N594" s="238" t="s">
        <v>1911</v>
      </c>
      <c r="O594" s="114" t="str">
        <f>IFERROR(INDEX(Tabela3[Tipos de Tratamento],MATCH('A3.9.1 copy'!K594,Tabela3[Código],0)),"")</f>
        <v xml:space="preserve">Troca de resíduos com vista a submetê-los a uma das operações enumeradas de R 1 a R 11 </v>
      </c>
      <c r="P594" s="91" t="s">
        <v>3936</v>
      </c>
      <c r="Q594" s="91" t="s">
        <v>3939</v>
      </c>
      <c r="S594">
        <v>2022</v>
      </c>
      <c r="T594" s="261" t="s">
        <v>3535</v>
      </c>
      <c r="U594" s="261" t="s">
        <v>3606</v>
      </c>
      <c r="V594" t="s">
        <v>42</v>
      </c>
    </row>
    <row r="595" spans="1:22" ht="15.75" thickBot="1" x14ac:dyDescent="0.3">
      <c r="A595" t="s">
        <v>4704</v>
      </c>
      <c r="B595" t="s">
        <v>4704</v>
      </c>
      <c r="C595" s="82" t="s">
        <v>3904</v>
      </c>
      <c r="D595" s="82" t="s">
        <v>42</v>
      </c>
      <c r="E595" s="322" t="s">
        <v>1873</v>
      </c>
      <c r="F595" s="83" t="s">
        <v>1550</v>
      </c>
      <c r="G595" s="125" t="s">
        <v>42</v>
      </c>
      <c r="H595" s="139">
        <v>39</v>
      </c>
      <c r="I595" s="125" t="s">
        <v>557</v>
      </c>
      <c r="J595" s="139">
        <f t="shared" si="36"/>
        <v>39</v>
      </c>
      <c r="K595" s="139" t="s">
        <v>507</v>
      </c>
      <c r="L595" s="238" t="str">
        <f t="shared" si="37"/>
        <v>Aterro</v>
      </c>
      <c r="M595" s="238" t="s">
        <v>1920</v>
      </c>
      <c r="N595" s="238" t="s">
        <v>1911</v>
      </c>
      <c r="O595" s="114" t="str">
        <f>IFERROR(INDEX(Tabela3[Tipos de Tratamento],MATCH('A3.9.1 copy'!K595,Tabela3[Código],0)),"")</f>
        <v>Mistura anterior à execução de uma das operações enumeradas de D1 a D12</v>
      </c>
      <c r="P595" s="91" t="s">
        <v>3936</v>
      </c>
      <c r="Q595" s="91" t="s">
        <v>3936</v>
      </c>
      <c r="S595">
        <v>2022</v>
      </c>
      <c r="T595" s="261" t="s">
        <v>3535</v>
      </c>
      <c r="U595" s="261" t="s">
        <v>3606</v>
      </c>
      <c r="V595" t="s">
        <v>42</v>
      </c>
    </row>
    <row r="596" spans="1:22" ht="15.75" thickBot="1" x14ac:dyDescent="0.3">
      <c r="A596" t="s">
        <v>4704</v>
      </c>
      <c r="B596" t="s">
        <v>4704</v>
      </c>
      <c r="C596" s="82" t="s">
        <v>3904</v>
      </c>
      <c r="D596" s="82" t="s">
        <v>42</v>
      </c>
      <c r="E596" s="322" t="s">
        <v>1874</v>
      </c>
      <c r="F596" s="83" t="s">
        <v>3930</v>
      </c>
      <c r="G596" s="125" t="s">
        <v>34</v>
      </c>
      <c r="H596" s="139">
        <v>34</v>
      </c>
      <c r="I596" s="125" t="s">
        <v>557</v>
      </c>
      <c r="J596" s="139">
        <f t="shared" si="36"/>
        <v>34</v>
      </c>
      <c r="K596" s="139" t="s">
        <v>483</v>
      </c>
      <c r="L596" s="238" t="str">
        <f t="shared" si="37"/>
        <v>Reciclagem</v>
      </c>
      <c r="M596" s="238" t="s">
        <v>1920</v>
      </c>
      <c r="N596" s="238" t="s">
        <v>1911</v>
      </c>
      <c r="O596" s="114" t="str">
        <f>IFERROR(INDEX(Tabela3[Tipos de Tratamento],MATCH('A3.9.1 copy'!K596,Tabela3[Código],0)),"")</f>
        <v xml:space="preserve">Troca de resíduos com vista a submetê-los a uma das operações enumeradas de R 1 a R 11 </v>
      </c>
      <c r="P596" s="91" t="s">
        <v>3936</v>
      </c>
      <c r="Q596" s="91" t="s">
        <v>3940</v>
      </c>
      <c r="S596">
        <v>2022</v>
      </c>
      <c r="T596" s="261" t="s">
        <v>3535</v>
      </c>
      <c r="U596" s="261" t="s">
        <v>3606</v>
      </c>
      <c r="V596" t="s">
        <v>42</v>
      </c>
    </row>
    <row r="597" spans="1:22" ht="15.75" thickBot="1" x14ac:dyDescent="0.3">
      <c r="A597" t="s">
        <v>4704</v>
      </c>
      <c r="B597" t="s">
        <v>4704</v>
      </c>
      <c r="C597" s="82" t="s">
        <v>3904</v>
      </c>
      <c r="D597" s="82" t="s">
        <v>42</v>
      </c>
      <c r="E597" s="322" t="s">
        <v>1876</v>
      </c>
      <c r="F597" s="83" t="s">
        <v>1557</v>
      </c>
      <c r="G597" s="125" t="s">
        <v>42</v>
      </c>
      <c r="H597" s="139">
        <v>298</v>
      </c>
      <c r="I597" s="125" t="s">
        <v>557</v>
      </c>
      <c r="J597" s="139">
        <f t="shared" si="36"/>
        <v>298</v>
      </c>
      <c r="K597" s="139" t="s">
        <v>483</v>
      </c>
      <c r="L597" s="238" t="str">
        <f t="shared" si="37"/>
        <v>Reciclagem</v>
      </c>
      <c r="M597" s="238" t="s">
        <v>1557</v>
      </c>
      <c r="N597" s="238" t="s">
        <v>1922</v>
      </c>
      <c r="O597" s="114" t="str">
        <f>IFERROR(INDEX(Tabela3[Tipos de Tratamento],MATCH('A3.9.1 copy'!K597,Tabela3[Código],0)),"")</f>
        <v xml:space="preserve">Troca de resíduos com vista a submetê-los a uma das operações enumeradas de R 1 a R 11 </v>
      </c>
      <c r="P597" s="91" t="s">
        <v>3936</v>
      </c>
      <c r="Q597" s="91" t="s">
        <v>3941</v>
      </c>
      <c r="S597">
        <v>2022</v>
      </c>
      <c r="T597" s="261" t="s">
        <v>3535</v>
      </c>
      <c r="U597" s="261" t="s">
        <v>3606</v>
      </c>
      <c r="V597" t="s">
        <v>42</v>
      </c>
    </row>
    <row r="598" spans="1:22" ht="15.75" thickBot="1" x14ac:dyDescent="0.3">
      <c r="A598" t="s">
        <v>4704</v>
      </c>
      <c r="B598" t="s">
        <v>4704</v>
      </c>
      <c r="C598" s="82" t="s">
        <v>3924</v>
      </c>
      <c r="D598" s="82" t="s">
        <v>42</v>
      </c>
      <c r="E598" s="322" t="s">
        <v>1876</v>
      </c>
      <c r="F598" s="83" t="s">
        <v>1557</v>
      </c>
      <c r="G598" s="125" t="s">
        <v>42</v>
      </c>
      <c r="H598" s="139">
        <v>2180</v>
      </c>
      <c r="I598" s="125" t="s">
        <v>557</v>
      </c>
      <c r="J598" s="139">
        <f t="shared" si="36"/>
        <v>2180</v>
      </c>
      <c r="K598" s="139" t="s">
        <v>483</v>
      </c>
      <c r="L598" s="238" t="str">
        <f t="shared" si="37"/>
        <v>Reciclagem</v>
      </c>
      <c r="M598" s="238" t="s">
        <v>1557</v>
      </c>
      <c r="N598" s="238" t="s">
        <v>1922</v>
      </c>
      <c r="O598" s="114" t="str">
        <f>IFERROR(INDEX(Tabela3[Tipos de Tratamento],MATCH('A3.9.1 copy'!K598,Tabela3[Código],0)),"")</f>
        <v xml:space="preserve">Troca de resíduos com vista a submetê-los a uma das operações enumeradas de R 1 a R 11 </v>
      </c>
      <c r="P598" s="91" t="s">
        <v>3936</v>
      </c>
      <c r="Q598" s="91" t="s">
        <v>3941</v>
      </c>
      <c r="S598">
        <v>2022</v>
      </c>
      <c r="T598" s="261" t="s">
        <v>3535</v>
      </c>
      <c r="U598" s="261" t="s">
        <v>3606</v>
      </c>
      <c r="V598" t="s">
        <v>42</v>
      </c>
    </row>
    <row r="599" spans="1:22" ht="15.75" thickBot="1" x14ac:dyDescent="0.3">
      <c r="A599" t="s">
        <v>4704</v>
      </c>
      <c r="B599" t="s">
        <v>4704</v>
      </c>
      <c r="C599" s="82" t="s">
        <v>3904</v>
      </c>
      <c r="D599" s="82" t="s">
        <v>42</v>
      </c>
      <c r="E599" s="322" t="s">
        <v>3672</v>
      </c>
      <c r="F599" s="83" t="s">
        <v>3269</v>
      </c>
      <c r="G599" s="125" t="s">
        <v>42</v>
      </c>
      <c r="H599" s="139">
        <v>159</v>
      </c>
      <c r="I599" s="125" t="s">
        <v>557</v>
      </c>
      <c r="J599" s="139">
        <f t="shared" si="36"/>
        <v>159</v>
      </c>
      <c r="K599" s="139" t="s">
        <v>483</v>
      </c>
      <c r="L599" s="238" t="str">
        <f t="shared" si="37"/>
        <v>Reciclagem</v>
      </c>
      <c r="M599" s="238" t="s">
        <v>1925</v>
      </c>
      <c r="N599" s="238" t="s">
        <v>1922</v>
      </c>
      <c r="O599" s="114" t="str">
        <f>IFERROR(INDEX(Tabela3[Tipos de Tratamento],MATCH('A3.9.1 copy'!K599,Tabela3[Código],0)),"")</f>
        <v xml:space="preserve">Troca de resíduos com vista a submetê-los a uma das operações enumeradas de R 1 a R 11 </v>
      </c>
      <c r="P599" s="91" t="s">
        <v>3936</v>
      </c>
      <c r="Q599" s="91" t="s">
        <v>3939</v>
      </c>
      <c r="S599">
        <v>2022</v>
      </c>
      <c r="T599" s="261" t="s">
        <v>3535</v>
      </c>
      <c r="U599" s="261" t="s">
        <v>3606</v>
      </c>
      <c r="V599" t="s">
        <v>42</v>
      </c>
    </row>
    <row r="600" spans="1:22" ht="15.75" thickBot="1" x14ac:dyDescent="0.3">
      <c r="A600" t="s">
        <v>4704</v>
      </c>
      <c r="B600" t="s">
        <v>4704</v>
      </c>
      <c r="C600" s="82" t="s">
        <v>3924</v>
      </c>
      <c r="D600" s="82" t="s">
        <v>42</v>
      </c>
      <c r="E600" s="322" t="s">
        <v>3672</v>
      </c>
      <c r="F600" s="83" t="s">
        <v>3269</v>
      </c>
      <c r="G600" s="125" t="s">
        <v>42</v>
      </c>
      <c r="H600" s="139">
        <v>1000</v>
      </c>
      <c r="I600" s="125" t="s">
        <v>557</v>
      </c>
      <c r="J600" s="139">
        <f t="shared" si="36"/>
        <v>1000</v>
      </c>
      <c r="K600" s="139" t="s">
        <v>483</v>
      </c>
      <c r="L600" s="238" t="str">
        <f t="shared" si="37"/>
        <v>Reciclagem</v>
      </c>
      <c r="M600" s="238" t="s">
        <v>1925</v>
      </c>
      <c r="N600" s="238" t="s">
        <v>1922</v>
      </c>
      <c r="O600" s="114" t="str">
        <f>IFERROR(INDEX(Tabela3[Tipos de Tratamento],MATCH('A3.9.1 copy'!K600,Tabela3[Código],0)),"")</f>
        <v xml:space="preserve">Troca de resíduos com vista a submetê-los a uma das operações enumeradas de R 1 a R 11 </v>
      </c>
      <c r="P600" s="91" t="s">
        <v>3942</v>
      </c>
      <c r="Q600" s="91" t="s">
        <v>3942</v>
      </c>
      <c r="S600">
        <v>2022</v>
      </c>
      <c r="T600" s="261" t="s">
        <v>3535</v>
      </c>
      <c r="U600" s="261" t="s">
        <v>3606</v>
      </c>
      <c r="V600" t="s">
        <v>42</v>
      </c>
    </row>
    <row r="601" spans="1:22" ht="15.75" thickBot="1" x14ac:dyDescent="0.3">
      <c r="A601" t="s">
        <v>4704</v>
      </c>
      <c r="B601" t="s">
        <v>4704</v>
      </c>
      <c r="C601" s="82" t="s">
        <v>3904</v>
      </c>
      <c r="D601" s="82" t="s">
        <v>42</v>
      </c>
      <c r="E601" s="322" t="s">
        <v>1878</v>
      </c>
      <c r="F601" s="83" t="s">
        <v>3931</v>
      </c>
      <c r="G601" s="125" t="s">
        <v>34</v>
      </c>
      <c r="H601" s="139">
        <v>194</v>
      </c>
      <c r="I601" s="125" t="s">
        <v>557</v>
      </c>
      <c r="J601" s="139">
        <f t="shared" si="36"/>
        <v>194</v>
      </c>
      <c r="K601" s="139" t="s">
        <v>507</v>
      </c>
      <c r="L601" s="238" t="str">
        <f t="shared" si="37"/>
        <v>Aterro</v>
      </c>
      <c r="M601" s="238" t="s">
        <v>1920</v>
      </c>
      <c r="N601" s="238" t="s">
        <v>1911</v>
      </c>
      <c r="O601" s="114" t="str">
        <f>IFERROR(INDEX(Tabela3[Tipos de Tratamento],MATCH('A3.9.1 copy'!K601,Tabela3[Código],0)),"")</f>
        <v>Mistura anterior à execução de uma das operações enumeradas de D1 a D12</v>
      </c>
      <c r="P601" s="91" t="s">
        <v>3936</v>
      </c>
      <c r="Q601" s="91" t="s">
        <v>3936</v>
      </c>
      <c r="S601">
        <v>2022</v>
      </c>
      <c r="T601" s="261" t="s">
        <v>3535</v>
      </c>
      <c r="U601" s="261" t="s">
        <v>3606</v>
      </c>
      <c r="V601" t="s">
        <v>42</v>
      </c>
    </row>
    <row r="602" spans="1:22" ht="15.75" thickBot="1" x14ac:dyDescent="0.3">
      <c r="A602" t="s">
        <v>4704</v>
      </c>
      <c r="B602" t="s">
        <v>4704</v>
      </c>
      <c r="C602" s="82" t="s">
        <v>3904</v>
      </c>
      <c r="D602" s="82" t="s">
        <v>42</v>
      </c>
      <c r="E602" s="322" t="s">
        <v>3925</v>
      </c>
      <c r="F602" s="83" t="s">
        <v>3932</v>
      </c>
      <c r="G602" s="125" t="s">
        <v>42</v>
      </c>
      <c r="H602" s="139">
        <v>2777</v>
      </c>
      <c r="I602" s="125" t="s">
        <v>557</v>
      </c>
      <c r="J602" s="139">
        <f t="shared" si="36"/>
        <v>2777</v>
      </c>
      <c r="K602" s="139" t="s">
        <v>507</v>
      </c>
      <c r="L602" s="238" t="str">
        <f t="shared" si="37"/>
        <v>Aterro</v>
      </c>
      <c r="M602" s="238" t="s">
        <v>1920</v>
      </c>
      <c r="N602" s="238" t="s">
        <v>1911</v>
      </c>
      <c r="O602" s="114" t="str">
        <f>IFERROR(INDEX(Tabela3[Tipos de Tratamento],MATCH('A3.9.1 copy'!K602,Tabela3[Código],0)),"")</f>
        <v>Mistura anterior à execução de uma das operações enumeradas de D1 a D12</v>
      </c>
      <c r="P602" s="91" t="s">
        <v>3936</v>
      </c>
      <c r="Q602" s="91" t="s">
        <v>3939</v>
      </c>
      <c r="S602">
        <v>2022</v>
      </c>
      <c r="T602" s="261" t="s">
        <v>3535</v>
      </c>
      <c r="U602" s="261" t="s">
        <v>3606</v>
      </c>
      <c r="V602" t="s">
        <v>42</v>
      </c>
    </row>
    <row r="603" spans="1:22" ht="15.75" thickBot="1" x14ac:dyDescent="0.3">
      <c r="A603" t="s">
        <v>4704</v>
      </c>
      <c r="B603" t="s">
        <v>4704</v>
      </c>
      <c r="C603" s="82" t="s">
        <v>3904</v>
      </c>
      <c r="D603" s="82" t="s">
        <v>42</v>
      </c>
      <c r="E603" s="322" t="s">
        <v>3925</v>
      </c>
      <c r="F603" s="83" t="s">
        <v>3932</v>
      </c>
      <c r="G603" s="125" t="s">
        <v>42</v>
      </c>
      <c r="H603" s="139">
        <v>1480</v>
      </c>
      <c r="I603" s="125" t="s">
        <v>557</v>
      </c>
      <c r="J603" s="139">
        <f t="shared" si="36"/>
        <v>1480</v>
      </c>
      <c r="K603" s="139" t="s">
        <v>483</v>
      </c>
      <c r="L603" s="238" t="str">
        <f t="shared" si="37"/>
        <v>Reciclagem</v>
      </c>
      <c r="M603" s="238" t="s">
        <v>1920</v>
      </c>
      <c r="N603" s="238" t="s">
        <v>1911</v>
      </c>
      <c r="O603" s="114" t="str">
        <f>IFERROR(INDEX(Tabela3[Tipos de Tratamento],MATCH('A3.9.1 copy'!K603,Tabela3[Código],0)),"")</f>
        <v xml:space="preserve">Troca de resíduos com vista a submetê-los a uma das operações enumeradas de R 1 a R 11 </v>
      </c>
      <c r="P603" s="91" t="s">
        <v>3936</v>
      </c>
      <c r="Q603" s="91" t="s">
        <v>3936</v>
      </c>
      <c r="S603">
        <v>2022</v>
      </c>
      <c r="T603" s="261" t="s">
        <v>3535</v>
      </c>
      <c r="U603" s="261" t="s">
        <v>3606</v>
      </c>
      <c r="V603" t="s">
        <v>42</v>
      </c>
    </row>
    <row r="604" spans="1:22" ht="15.75" thickBot="1" x14ac:dyDescent="0.3">
      <c r="A604" t="s">
        <v>4704</v>
      </c>
      <c r="B604" t="s">
        <v>4704</v>
      </c>
      <c r="C604" s="82" t="s">
        <v>3904</v>
      </c>
      <c r="D604" s="82" t="s">
        <v>42</v>
      </c>
      <c r="E604" s="322" t="s">
        <v>1879</v>
      </c>
      <c r="F604" s="83" t="s">
        <v>1562</v>
      </c>
      <c r="G604" s="125" t="s">
        <v>42</v>
      </c>
      <c r="H604" s="139">
        <v>3520</v>
      </c>
      <c r="I604" s="125" t="s">
        <v>557</v>
      </c>
      <c r="J604" s="139">
        <f t="shared" si="36"/>
        <v>3520</v>
      </c>
      <c r="K604" s="139" t="s">
        <v>507</v>
      </c>
      <c r="L604" s="238" t="str">
        <f t="shared" si="37"/>
        <v>Aterro</v>
      </c>
      <c r="M604" s="238" t="s">
        <v>1920</v>
      </c>
      <c r="N604" s="238" t="s">
        <v>1911</v>
      </c>
      <c r="O604" s="114" t="str">
        <f>IFERROR(INDEX(Tabela3[Tipos de Tratamento],MATCH('A3.9.1 copy'!K604,Tabela3[Código],0)),"")</f>
        <v>Mistura anterior à execução de uma das operações enumeradas de D1 a D12</v>
      </c>
      <c r="P604" s="91" t="s">
        <v>3936</v>
      </c>
      <c r="Q604" s="91" t="s">
        <v>3936</v>
      </c>
      <c r="S604">
        <v>2022</v>
      </c>
      <c r="T604" s="261" t="s">
        <v>3535</v>
      </c>
      <c r="U604" s="261" t="s">
        <v>3606</v>
      </c>
      <c r="V604" t="s">
        <v>42</v>
      </c>
    </row>
    <row r="605" spans="1:22" ht="15.75" thickBot="1" x14ac:dyDescent="0.3">
      <c r="A605" t="s">
        <v>4704</v>
      </c>
      <c r="B605" t="s">
        <v>4704</v>
      </c>
      <c r="C605" s="82" t="s">
        <v>3904</v>
      </c>
      <c r="D605" s="82" t="s">
        <v>42</v>
      </c>
      <c r="E605" s="322" t="s">
        <v>3667</v>
      </c>
      <c r="F605" s="83" t="s">
        <v>3280</v>
      </c>
      <c r="G605" s="125" t="s">
        <v>42</v>
      </c>
      <c r="H605" s="139">
        <v>213</v>
      </c>
      <c r="I605" s="125" t="s">
        <v>557</v>
      </c>
      <c r="J605" s="139">
        <f t="shared" si="36"/>
        <v>213</v>
      </c>
      <c r="K605" s="139" t="s">
        <v>483</v>
      </c>
      <c r="L605" s="238" t="str">
        <f t="shared" si="37"/>
        <v>Reciclagem</v>
      </c>
      <c r="M605" s="238" t="s">
        <v>1920</v>
      </c>
      <c r="N605" s="238" t="s">
        <v>1911</v>
      </c>
      <c r="O605" s="114" t="str">
        <f>IFERROR(INDEX(Tabela3[Tipos de Tratamento],MATCH('A3.9.1 copy'!K605,Tabela3[Código],0)),"")</f>
        <v xml:space="preserve">Troca de resíduos com vista a submetê-los a uma das operações enumeradas de R 1 a R 11 </v>
      </c>
      <c r="P605" s="91" t="s">
        <v>3936</v>
      </c>
      <c r="Q605" s="91" t="s">
        <v>3939</v>
      </c>
      <c r="S605">
        <v>2022</v>
      </c>
      <c r="T605" s="261" t="s">
        <v>3535</v>
      </c>
      <c r="U605" s="261" t="s">
        <v>3606</v>
      </c>
      <c r="V605" t="s">
        <v>42</v>
      </c>
    </row>
    <row r="606" spans="1:22" ht="15.75" thickBot="1" x14ac:dyDescent="0.3">
      <c r="A606" t="s">
        <v>4704</v>
      </c>
      <c r="B606" t="s">
        <v>4704</v>
      </c>
      <c r="C606" s="82" t="s">
        <v>3904</v>
      </c>
      <c r="D606" s="82" t="s">
        <v>42</v>
      </c>
      <c r="E606" s="322" t="s">
        <v>1881</v>
      </c>
      <c r="F606" s="83" t="s">
        <v>1577</v>
      </c>
      <c r="G606" s="125" t="s">
        <v>42</v>
      </c>
      <c r="H606" s="139">
        <v>7220</v>
      </c>
      <c r="I606" s="125" t="s">
        <v>557</v>
      </c>
      <c r="J606" s="139">
        <f t="shared" si="36"/>
        <v>7220</v>
      </c>
      <c r="K606" s="139" t="s">
        <v>474</v>
      </c>
      <c r="L606" s="238" t="str">
        <f t="shared" si="37"/>
        <v>Reciclagem</v>
      </c>
      <c r="M606" s="238" t="s">
        <v>1920</v>
      </c>
      <c r="N606" s="238" t="s">
        <v>1911</v>
      </c>
      <c r="O606" s="114" t="str">
        <f>IFERROR(INDEX(Tabela3[Tipos de Tratamento],MATCH('A3.9.1 copy'!K606,Tabela3[Código],0)),"")</f>
        <v xml:space="preserve">Reciclagem/recuperação de compostos orgânicos que não são utilizados como solventes </v>
      </c>
      <c r="P606" s="91" t="s">
        <v>3943</v>
      </c>
      <c r="Q606" s="91" t="s">
        <v>3944</v>
      </c>
      <c r="S606">
        <v>2022</v>
      </c>
      <c r="T606" s="261" t="s">
        <v>3535</v>
      </c>
      <c r="U606" s="261" t="s">
        <v>3606</v>
      </c>
      <c r="V606" t="s">
        <v>42</v>
      </c>
    </row>
    <row r="607" spans="1:22" ht="15.75" thickBot="1" x14ac:dyDescent="0.3">
      <c r="A607" t="s">
        <v>4704</v>
      </c>
      <c r="B607" t="s">
        <v>4704</v>
      </c>
      <c r="C607" s="82" t="s">
        <v>3924</v>
      </c>
      <c r="D607" s="82" t="s">
        <v>42</v>
      </c>
      <c r="E607" s="322" t="s">
        <v>1881</v>
      </c>
      <c r="F607" s="83" t="s">
        <v>1577</v>
      </c>
      <c r="G607" s="125" t="s">
        <v>42</v>
      </c>
      <c r="H607" s="139">
        <v>13480</v>
      </c>
      <c r="I607" s="125" t="s">
        <v>557</v>
      </c>
      <c r="J607" s="139">
        <f t="shared" si="36"/>
        <v>13480</v>
      </c>
      <c r="K607" s="139" t="s">
        <v>507</v>
      </c>
      <c r="L607" s="238" t="str">
        <f t="shared" si="37"/>
        <v>Aterro</v>
      </c>
      <c r="M607" s="238" t="s">
        <v>1920</v>
      </c>
      <c r="N607" s="238" t="s">
        <v>1911</v>
      </c>
      <c r="O607" s="114" t="str">
        <f>IFERROR(INDEX(Tabela3[Tipos de Tratamento],MATCH('A3.9.1 copy'!K607,Tabela3[Código],0)),"")</f>
        <v>Mistura anterior à execução de uma das operações enumeradas de D1 a D12</v>
      </c>
      <c r="P607" s="91" t="s">
        <v>3936</v>
      </c>
      <c r="Q607" s="91" t="s">
        <v>3936</v>
      </c>
      <c r="S607">
        <v>2022</v>
      </c>
      <c r="T607" s="261" t="s">
        <v>3535</v>
      </c>
      <c r="U607" s="261" t="s">
        <v>3606</v>
      </c>
      <c r="V607" t="s">
        <v>42</v>
      </c>
    </row>
    <row r="608" spans="1:22" ht="15.75" thickBot="1" x14ac:dyDescent="0.3">
      <c r="A608" t="s">
        <v>4704</v>
      </c>
      <c r="B608" t="s">
        <v>4704</v>
      </c>
      <c r="C608" s="82" t="s">
        <v>3904</v>
      </c>
      <c r="D608" s="82" t="s">
        <v>42</v>
      </c>
      <c r="E608" s="322" t="s">
        <v>3674</v>
      </c>
      <c r="F608" s="83" t="s">
        <v>3933</v>
      </c>
      <c r="G608" s="125" t="s">
        <v>42</v>
      </c>
      <c r="H608" s="139">
        <v>560</v>
      </c>
      <c r="I608" s="125" t="s">
        <v>557</v>
      </c>
      <c r="J608" s="139">
        <f t="shared" si="36"/>
        <v>560</v>
      </c>
      <c r="K608" s="139" t="s">
        <v>483</v>
      </c>
      <c r="L608" s="238" t="str">
        <f t="shared" si="37"/>
        <v>Reciclagem</v>
      </c>
      <c r="M608" s="238" t="s">
        <v>1920</v>
      </c>
      <c r="N608" s="238" t="s">
        <v>1911</v>
      </c>
      <c r="O608" s="114" t="str">
        <f>IFERROR(INDEX(Tabela3[Tipos de Tratamento],MATCH('A3.9.1 copy'!K608,Tabela3[Código],0)),"")</f>
        <v xml:space="preserve">Troca de resíduos com vista a submetê-los a uma das operações enumeradas de R 1 a R 11 </v>
      </c>
      <c r="P608" s="91" t="s">
        <v>3942</v>
      </c>
      <c r="Q608" s="91" t="s">
        <v>3942</v>
      </c>
      <c r="S608">
        <v>2022</v>
      </c>
      <c r="T608" s="261" t="s">
        <v>3535</v>
      </c>
      <c r="U608" s="261" t="s">
        <v>3606</v>
      </c>
      <c r="V608" t="s">
        <v>42</v>
      </c>
    </row>
    <row r="609" spans="1:22" ht="15.75" thickBot="1" x14ac:dyDescent="0.3">
      <c r="A609" t="s">
        <v>4704</v>
      </c>
      <c r="B609" t="s">
        <v>4704</v>
      </c>
      <c r="C609" s="82" t="s">
        <v>3904</v>
      </c>
      <c r="D609" s="82" t="s">
        <v>42</v>
      </c>
      <c r="E609" s="322" t="s">
        <v>1884</v>
      </c>
      <c r="F609" s="83" t="s">
        <v>3934</v>
      </c>
      <c r="G609" s="125" t="s">
        <v>34</v>
      </c>
      <c r="H609" s="139">
        <v>127</v>
      </c>
      <c r="I609" s="125" t="s">
        <v>557</v>
      </c>
      <c r="J609" s="139">
        <f t="shared" si="36"/>
        <v>127</v>
      </c>
      <c r="K609" s="139" t="s">
        <v>484</v>
      </c>
      <c r="L609" s="238" t="str">
        <f t="shared" si="37"/>
        <v>Reciclagem</v>
      </c>
      <c r="M609" s="238" t="s">
        <v>1920</v>
      </c>
      <c r="N609" s="238" t="s">
        <v>1911</v>
      </c>
      <c r="O609" s="114" t="str">
        <f>IFERROR(INDEX(Tabela3[Tipos de Tratamento],MATCH('A3.9.1 copy'!K609,Tabela3[Código],0)),"")</f>
        <v>Acumulação de resíduos destinados a uma das operações enumeradas de R1 a R12</v>
      </c>
      <c r="P609" s="91" t="s">
        <v>3936</v>
      </c>
      <c r="Q609" s="91" t="s">
        <v>3936</v>
      </c>
      <c r="S609">
        <v>2022</v>
      </c>
      <c r="T609" s="261" t="s">
        <v>3535</v>
      </c>
      <c r="U609" s="261" t="s">
        <v>3606</v>
      </c>
      <c r="V609" t="s">
        <v>42</v>
      </c>
    </row>
    <row r="610" spans="1:22" ht="15.75" thickBot="1" x14ac:dyDescent="0.3">
      <c r="A610" t="s">
        <v>4704</v>
      </c>
      <c r="B610" t="s">
        <v>4704</v>
      </c>
      <c r="C610" s="82" t="s">
        <v>3904</v>
      </c>
      <c r="D610" s="82" t="s">
        <v>42</v>
      </c>
      <c r="E610" s="322" t="s">
        <v>3676</v>
      </c>
      <c r="F610" s="83" t="s">
        <v>3935</v>
      </c>
      <c r="G610" s="125" t="s">
        <v>42</v>
      </c>
      <c r="H610" s="139">
        <v>2100</v>
      </c>
      <c r="I610" s="125" t="s">
        <v>557</v>
      </c>
      <c r="J610" s="139">
        <f t="shared" si="36"/>
        <v>2100</v>
      </c>
      <c r="K610" s="139" t="s">
        <v>483</v>
      </c>
      <c r="L610" s="238" t="str">
        <f t="shared" si="37"/>
        <v>Reciclagem</v>
      </c>
      <c r="M610" s="238" t="s">
        <v>1920</v>
      </c>
      <c r="N610" s="238" t="s">
        <v>1911</v>
      </c>
      <c r="O610" s="114" t="str">
        <f>IFERROR(INDEX(Tabela3[Tipos de Tratamento],MATCH('A3.9.1 copy'!K610,Tabela3[Código],0)),"")</f>
        <v xml:space="preserve">Troca de resíduos com vista a submetê-los a uma das operações enumeradas de R 1 a R 11 </v>
      </c>
      <c r="P610" s="91" t="s">
        <v>3945</v>
      </c>
      <c r="Q610" s="91" t="s">
        <v>3946</v>
      </c>
      <c r="S610">
        <v>2022</v>
      </c>
      <c r="T610" s="261" t="s">
        <v>3535</v>
      </c>
      <c r="U610" s="261" t="s">
        <v>3606</v>
      </c>
      <c r="V610" t="s">
        <v>42</v>
      </c>
    </row>
    <row r="611" spans="1:22" ht="15.75" thickBot="1" x14ac:dyDescent="0.3">
      <c r="A611" t="s">
        <v>4704</v>
      </c>
      <c r="B611" t="s">
        <v>4704</v>
      </c>
      <c r="C611" s="82" t="s">
        <v>3904</v>
      </c>
      <c r="D611" s="82" t="s">
        <v>42</v>
      </c>
      <c r="E611" s="322" t="s">
        <v>3239</v>
      </c>
      <c r="F611" s="83" t="s">
        <v>1658</v>
      </c>
      <c r="G611" s="125" t="s">
        <v>42</v>
      </c>
      <c r="H611" s="139">
        <v>22080</v>
      </c>
      <c r="I611" s="125" t="s">
        <v>557</v>
      </c>
      <c r="J611" s="139">
        <f t="shared" si="36"/>
        <v>22080</v>
      </c>
      <c r="K611" s="139" t="s">
        <v>483</v>
      </c>
      <c r="L611" s="238" t="str">
        <f t="shared" si="37"/>
        <v>Reciclagem</v>
      </c>
      <c r="M611" s="238" t="s">
        <v>1925</v>
      </c>
      <c r="N611" s="238" t="s">
        <v>1922</v>
      </c>
      <c r="O611" s="114" t="str">
        <f>IFERROR(INDEX(Tabela3[Tipos de Tratamento],MATCH('A3.9.1 copy'!K611,Tabela3[Código],0)),"")</f>
        <v xml:space="preserve">Troca de resíduos com vista a submetê-los a uma das operações enumeradas de R 1 a R 11 </v>
      </c>
      <c r="P611" s="91" t="s">
        <v>3942</v>
      </c>
      <c r="Q611" s="91" t="s">
        <v>3942</v>
      </c>
      <c r="S611">
        <v>2022</v>
      </c>
      <c r="T611" s="261" t="s">
        <v>3535</v>
      </c>
      <c r="U611" s="261" t="s">
        <v>3606</v>
      </c>
      <c r="V611" t="s">
        <v>42</v>
      </c>
    </row>
    <row r="612" spans="1:22" ht="15.75" thickBot="1" x14ac:dyDescent="0.3">
      <c r="A612" t="s">
        <v>4703</v>
      </c>
      <c r="B612" s="82" t="s">
        <v>4703</v>
      </c>
      <c r="C612" s="82" t="str">
        <f t="shared" ref="C612:C626" si="38">IF(A612=B612,"X",RIGHT(A612,LEN(A612)-LEN(B612)-3))</f>
        <v>X</v>
      </c>
      <c r="D612" s="82" t="s">
        <v>42</v>
      </c>
      <c r="E612" s="142" t="s">
        <v>3664</v>
      </c>
      <c r="F612" s="83" t="s">
        <v>3955</v>
      </c>
      <c r="G612" s="125" t="s">
        <v>42</v>
      </c>
      <c r="H612" s="139">
        <v>3200</v>
      </c>
      <c r="I612" s="125" t="s">
        <v>557</v>
      </c>
      <c r="J612" s="139">
        <f t="shared" si="36"/>
        <v>3200</v>
      </c>
      <c r="K612" s="139" t="s">
        <v>483</v>
      </c>
      <c r="L612" s="238" t="str">
        <f t="shared" si="37"/>
        <v>Reciclagem</v>
      </c>
      <c r="M612" s="238" t="s">
        <v>1557</v>
      </c>
      <c r="N612" s="238" t="s">
        <v>1922</v>
      </c>
      <c r="O612" s="114" t="str">
        <f>IFERROR(INDEX(Tabela3[Tipos de Tratamento],MATCH('A3.9.1 copy'!K612,Tabela3[Código],0)),"")</f>
        <v xml:space="preserve">Troca de resíduos com vista a submetê-los a uma das operações enumeradas de R 1 a R 11 </v>
      </c>
      <c r="P612" s="91" t="s">
        <v>3961</v>
      </c>
      <c r="Q612" s="91" t="s">
        <v>3946</v>
      </c>
      <c r="S612">
        <v>2022</v>
      </c>
      <c r="T612" s="261" t="s">
        <v>3535</v>
      </c>
      <c r="U612" s="261" t="s">
        <v>3606</v>
      </c>
      <c r="V612" t="s">
        <v>42</v>
      </c>
    </row>
    <row r="613" spans="1:22" ht="15.75" thickBot="1" x14ac:dyDescent="0.3">
      <c r="A613" t="s">
        <v>4703</v>
      </c>
      <c r="B613" s="82" t="s">
        <v>4703</v>
      </c>
      <c r="C613" s="82" t="str">
        <f t="shared" si="38"/>
        <v>X</v>
      </c>
      <c r="D613" s="82" t="s">
        <v>42</v>
      </c>
      <c r="E613" s="142" t="s">
        <v>1865</v>
      </c>
      <c r="F613" s="83" t="s">
        <v>3926</v>
      </c>
      <c r="G613" s="125" t="s">
        <v>34</v>
      </c>
      <c r="H613" s="139">
        <v>507</v>
      </c>
      <c r="I613" s="125" t="s">
        <v>557</v>
      </c>
      <c r="J613" s="139">
        <f t="shared" si="36"/>
        <v>507</v>
      </c>
      <c r="K613" s="139" t="s">
        <v>480</v>
      </c>
      <c r="L613" s="238" t="str">
        <f t="shared" si="37"/>
        <v>Reciclagem</v>
      </c>
      <c r="M613" s="238" t="s">
        <v>1921</v>
      </c>
      <c r="N613" s="238" t="s">
        <v>1896</v>
      </c>
      <c r="O613" s="114" t="str">
        <f>IFERROR(INDEX(Tabela3[Tipos de Tratamento],MATCH('A3.9.1 copy'!K613,Tabela3[Código],0)),"")</f>
        <v xml:space="preserve">Regeneração de óleos e outras reutilizações de óleos </v>
      </c>
      <c r="P613" s="91" t="s">
        <v>3962</v>
      </c>
      <c r="Q613" s="91" t="s">
        <v>3310</v>
      </c>
      <c r="S613">
        <v>2022</v>
      </c>
      <c r="T613" s="261" t="s">
        <v>3535</v>
      </c>
      <c r="U613" s="261" t="s">
        <v>3606</v>
      </c>
      <c r="V613" t="s">
        <v>42</v>
      </c>
    </row>
    <row r="614" spans="1:22" ht="15.75" thickBot="1" x14ac:dyDescent="0.3">
      <c r="A614" t="s">
        <v>4703</v>
      </c>
      <c r="B614" s="82" t="s">
        <v>4703</v>
      </c>
      <c r="C614" s="82" t="str">
        <f t="shared" si="38"/>
        <v>X</v>
      </c>
      <c r="D614" s="82" t="s">
        <v>42</v>
      </c>
      <c r="E614" s="142" t="s">
        <v>1867</v>
      </c>
      <c r="F614" s="83" t="s">
        <v>3956</v>
      </c>
      <c r="G614" s="125" t="s">
        <v>34</v>
      </c>
      <c r="H614" s="139">
        <v>7280</v>
      </c>
      <c r="I614" s="125" t="s">
        <v>557</v>
      </c>
      <c r="J614" s="139">
        <f t="shared" si="36"/>
        <v>7280</v>
      </c>
      <c r="K614" s="139" t="s">
        <v>480</v>
      </c>
      <c r="L614" s="238" t="str">
        <f t="shared" si="37"/>
        <v>Reciclagem</v>
      </c>
      <c r="M614" s="238" t="s">
        <v>1920</v>
      </c>
      <c r="N614" s="238" t="s">
        <v>1911</v>
      </c>
      <c r="O614" s="114" t="str">
        <f>IFERROR(INDEX(Tabela3[Tipos de Tratamento],MATCH('A3.9.1 copy'!K614,Tabela3[Código],0)),"")</f>
        <v xml:space="preserve">Regeneração de óleos e outras reutilizações de óleos </v>
      </c>
      <c r="P614" s="91" t="s">
        <v>3936</v>
      </c>
      <c r="Q614" s="91" t="s">
        <v>3938</v>
      </c>
      <c r="S614">
        <v>2022</v>
      </c>
      <c r="T614" s="261" t="s">
        <v>3535</v>
      </c>
      <c r="U614" s="261" t="s">
        <v>3606</v>
      </c>
      <c r="V614" t="s">
        <v>42</v>
      </c>
    </row>
    <row r="615" spans="1:22" ht="15.75" thickBot="1" x14ac:dyDescent="0.3">
      <c r="A615" t="s">
        <v>4703</v>
      </c>
      <c r="B615" s="82" t="s">
        <v>4703</v>
      </c>
      <c r="C615" s="82" t="str">
        <f t="shared" si="38"/>
        <v>X</v>
      </c>
      <c r="D615" s="82" t="s">
        <v>42</v>
      </c>
      <c r="E615" s="142" t="s">
        <v>1867</v>
      </c>
      <c r="F615" s="83" t="s">
        <v>3956</v>
      </c>
      <c r="G615" s="125" t="s">
        <v>34</v>
      </c>
      <c r="H615" s="139">
        <v>14080</v>
      </c>
      <c r="I615" s="125" t="s">
        <v>557</v>
      </c>
      <c r="J615" s="139">
        <f t="shared" si="36"/>
        <v>14080</v>
      </c>
      <c r="K615" s="139" t="s">
        <v>503</v>
      </c>
      <c r="L615" s="238" t="str">
        <f t="shared" si="37"/>
        <v>Aterro</v>
      </c>
      <c r="M615" s="238" t="s">
        <v>1920</v>
      </c>
      <c r="N615" s="238" t="s">
        <v>1911</v>
      </c>
      <c r="O615" s="114" t="str">
        <f>IFERROR(INDEX(Tabela3[Tipos de Tratamento],MATCH('A3.9.1 copy'!K615,Tabela3[Código],0)),"")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P615" s="91" t="s">
        <v>3936</v>
      </c>
      <c r="Q615" s="91" t="s">
        <v>3938</v>
      </c>
      <c r="S615">
        <v>2022</v>
      </c>
      <c r="T615" s="261" t="s">
        <v>3535</v>
      </c>
      <c r="U615" s="261" t="s">
        <v>3606</v>
      </c>
      <c r="V615" t="s">
        <v>42</v>
      </c>
    </row>
    <row r="616" spans="1:22" ht="15.75" thickBot="1" x14ac:dyDescent="0.3">
      <c r="A616" t="s">
        <v>4703</v>
      </c>
      <c r="B616" s="82" t="s">
        <v>4703</v>
      </c>
      <c r="C616" s="82" t="str">
        <f t="shared" si="38"/>
        <v>X</v>
      </c>
      <c r="D616" s="82" t="s">
        <v>42</v>
      </c>
      <c r="E616" s="142" t="s">
        <v>1870</v>
      </c>
      <c r="F616" s="83" t="s">
        <v>3957</v>
      </c>
      <c r="G616" s="125" t="s">
        <v>34</v>
      </c>
      <c r="H616" s="139">
        <v>125</v>
      </c>
      <c r="I616" s="125" t="s">
        <v>557</v>
      </c>
      <c r="J616" s="139">
        <f t="shared" si="36"/>
        <v>125</v>
      </c>
      <c r="K616" s="139" t="s">
        <v>483</v>
      </c>
      <c r="L616" s="238" t="str">
        <f t="shared" si="37"/>
        <v>Reciclagem</v>
      </c>
      <c r="M616" s="238" t="s">
        <v>1920</v>
      </c>
      <c r="N616" s="238" t="s">
        <v>1911</v>
      </c>
      <c r="O616" s="114" t="str">
        <f>IFERROR(INDEX(Tabela3[Tipos de Tratamento],MATCH('A3.9.1 copy'!K616,Tabela3[Código],0)),"")</f>
        <v xml:space="preserve">Troca de resíduos com vista a submetê-los a uma das operações enumeradas de R 1 a R 11 </v>
      </c>
      <c r="P616" s="91" t="s">
        <v>3963</v>
      </c>
      <c r="Q616" s="91" t="s">
        <v>3963</v>
      </c>
      <c r="S616">
        <v>2022</v>
      </c>
      <c r="T616" s="261" t="s">
        <v>3535</v>
      </c>
      <c r="U616" s="261" t="s">
        <v>3606</v>
      </c>
      <c r="V616" t="s">
        <v>42</v>
      </c>
    </row>
    <row r="617" spans="1:22" ht="15.75" thickBot="1" x14ac:dyDescent="0.3">
      <c r="A617" t="s">
        <v>4703</v>
      </c>
      <c r="B617" s="82" t="s">
        <v>4703</v>
      </c>
      <c r="C617" s="82" t="str">
        <f t="shared" si="38"/>
        <v>X</v>
      </c>
      <c r="D617" s="82" t="s">
        <v>42</v>
      </c>
      <c r="E617" s="142" t="s">
        <v>1872</v>
      </c>
      <c r="F617" s="83" t="s">
        <v>3929</v>
      </c>
      <c r="G617" s="125" t="s">
        <v>34</v>
      </c>
      <c r="H617" s="139">
        <v>200</v>
      </c>
      <c r="I617" s="125" t="s">
        <v>557</v>
      </c>
      <c r="J617" s="139">
        <f t="shared" si="36"/>
        <v>200</v>
      </c>
      <c r="K617" s="139" t="s">
        <v>483</v>
      </c>
      <c r="L617" s="238" t="str">
        <f t="shared" si="37"/>
        <v>Reciclagem</v>
      </c>
      <c r="M617" s="238" t="s">
        <v>1920</v>
      </c>
      <c r="N617" s="238" t="s">
        <v>1911</v>
      </c>
      <c r="O617" s="114" t="str">
        <f>IFERROR(INDEX(Tabela3[Tipos de Tratamento],MATCH('A3.9.1 copy'!K617,Tabela3[Código],0)),"")</f>
        <v xml:space="preserve">Troca de resíduos com vista a submetê-los a uma das operações enumeradas de R 1 a R 11 </v>
      </c>
      <c r="P617" s="91" t="s">
        <v>3963</v>
      </c>
      <c r="Q617" s="91" t="s">
        <v>3963</v>
      </c>
      <c r="S617">
        <v>2022</v>
      </c>
      <c r="T617" s="261" t="s">
        <v>3535</v>
      </c>
      <c r="U617" s="261" t="s">
        <v>3606</v>
      </c>
      <c r="V617" t="s">
        <v>42</v>
      </c>
    </row>
    <row r="618" spans="1:22" ht="15.75" thickBot="1" x14ac:dyDescent="0.3">
      <c r="A618" t="s">
        <v>4703</v>
      </c>
      <c r="B618" s="82" t="s">
        <v>4703</v>
      </c>
      <c r="C618" s="82" t="str">
        <f t="shared" si="38"/>
        <v>X</v>
      </c>
      <c r="D618" s="82" t="s">
        <v>42</v>
      </c>
      <c r="E618" s="142" t="s">
        <v>1873</v>
      </c>
      <c r="F618" s="83" t="s">
        <v>1550</v>
      </c>
      <c r="G618" s="125" t="s">
        <v>34</v>
      </c>
      <c r="H618" s="139">
        <v>200</v>
      </c>
      <c r="I618" s="125" t="s">
        <v>557</v>
      </c>
      <c r="J618" s="139">
        <f t="shared" si="36"/>
        <v>200</v>
      </c>
      <c r="K618" s="139" t="s">
        <v>507</v>
      </c>
      <c r="L618" s="238" t="str">
        <f t="shared" si="37"/>
        <v>Aterro</v>
      </c>
      <c r="M618" s="238" t="s">
        <v>1920</v>
      </c>
      <c r="N618" s="238" t="s">
        <v>1911</v>
      </c>
      <c r="O618" s="114" t="str">
        <f>IFERROR(INDEX(Tabela3[Tipos de Tratamento],MATCH('A3.9.1 copy'!K618,Tabela3[Código],0)),"")</f>
        <v>Mistura anterior à execução de uma das operações enumeradas de D1 a D12</v>
      </c>
      <c r="P618" s="91" t="s">
        <v>3963</v>
      </c>
      <c r="Q618" s="91" t="s">
        <v>3963</v>
      </c>
      <c r="S618">
        <v>2022</v>
      </c>
      <c r="T618" s="261" t="s">
        <v>3535</v>
      </c>
      <c r="U618" s="261" t="s">
        <v>3606</v>
      </c>
      <c r="V618" t="s">
        <v>42</v>
      </c>
    </row>
    <row r="619" spans="1:22" ht="15.75" thickBot="1" x14ac:dyDescent="0.3">
      <c r="A619" t="s">
        <v>4703</v>
      </c>
      <c r="B619" s="82" t="s">
        <v>4703</v>
      </c>
      <c r="C619" s="82" t="str">
        <f t="shared" si="38"/>
        <v>X</v>
      </c>
      <c r="D619" s="82" t="s">
        <v>42</v>
      </c>
      <c r="E619" s="142" t="s">
        <v>3958</v>
      </c>
      <c r="F619" s="83" t="s">
        <v>3267</v>
      </c>
      <c r="G619" s="125" t="s">
        <v>42</v>
      </c>
      <c r="H619" s="139">
        <v>16140</v>
      </c>
      <c r="I619" s="125" t="s">
        <v>557</v>
      </c>
      <c r="J619" s="139">
        <f t="shared" si="36"/>
        <v>16140</v>
      </c>
      <c r="K619" s="139" t="s">
        <v>481</v>
      </c>
      <c r="L619" s="418" t="str">
        <f t="shared" si="37"/>
        <v>Reciclagem</v>
      </c>
      <c r="M619" s="418" t="s">
        <v>3968</v>
      </c>
      <c r="N619" s="418" t="s">
        <v>1896</v>
      </c>
      <c r="O619" s="114" t="str">
        <f>IFERROR(INDEX(Tabela3[Tipos de Tratamento],MATCH('A3.9.1 copy'!K619,Tabela3[Código],0)),"")</f>
        <v xml:space="preserve">Tratamento no solo em benefício da agricultura ou para melhorar o ambiente </v>
      </c>
      <c r="P619" s="91" t="s">
        <v>3964</v>
      </c>
      <c r="Q619" s="91" t="s">
        <v>3965</v>
      </c>
      <c r="S619">
        <v>2022</v>
      </c>
      <c r="T619" s="261" t="s">
        <v>3535</v>
      </c>
      <c r="U619" s="261" t="s">
        <v>3606</v>
      </c>
      <c r="V619" t="s">
        <v>42</v>
      </c>
    </row>
    <row r="620" spans="1:22" ht="15.75" thickBot="1" x14ac:dyDescent="0.3">
      <c r="A620" t="s">
        <v>4703</v>
      </c>
      <c r="B620" s="82" t="s">
        <v>4703</v>
      </c>
      <c r="C620" s="82" t="str">
        <f t="shared" si="38"/>
        <v>X</v>
      </c>
      <c r="D620" s="82" t="s">
        <v>42</v>
      </c>
      <c r="E620" s="142" t="s">
        <v>3958</v>
      </c>
      <c r="F620" s="83" t="s">
        <v>3267</v>
      </c>
      <c r="G620" s="125" t="s">
        <v>42</v>
      </c>
      <c r="H620" s="139">
        <v>10720</v>
      </c>
      <c r="I620" s="125" t="s">
        <v>557</v>
      </c>
      <c r="J620" s="139">
        <f t="shared" si="36"/>
        <v>10720</v>
      </c>
      <c r="K620" s="139" t="s">
        <v>483</v>
      </c>
      <c r="L620" s="418" t="str">
        <f t="shared" si="37"/>
        <v>Reciclagem</v>
      </c>
      <c r="M620" s="418" t="s">
        <v>3968</v>
      </c>
      <c r="N620" s="418" t="s">
        <v>1896</v>
      </c>
      <c r="O620" s="114" t="str">
        <f>IFERROR(INDEX(Tabela3[Tipos de Tratamento],MATCH('A3.9.1 copy'!K620,Tabela3[Código],0)),"")</f>
        <v xml:space="preserve">Troca de resíduos com vista a submetê-los a uma das operações enumeradas de R 1 a R 11 </v>
      </c>
      <c r="P620" s="91" t="s">
        <v>3966</v>
      </c>
      <c r="Q620" s="91" t="s">
        <v>3965</v>
      </c>
      <c r="S620">
        <v>2022</v>
      </c>
      <c r="T620" s="261" t="s">
        <v>3535</v>
      </c>
      <c r="U620" s="261" t="s">
        <v>3606</v>
      </c>
      <c r="V620" t="s">
        <v>42</v>
      </c>
    </row>
    <row r="621" spans="1:22" ht="15.75" thickBot="1" x14ac:dyDescent="0.3">
      <c r="A621" t="s">
        <v>4703</v>
      </c>
      <c r="B621" s="82" t="s">
        <v>4703</v>
      </c>
      <c r="C621" s="82" t="str">
        <f t="shared" si="38"/>
        <v>X</v>
      </c>
      <c r="D621" s="82" t="s">
        <v>42</v>
      </c>
      <c r="E621" s="142" t="s">
        <v>3959</v>
      </c>
      <c r="F621" s="83" t="s">
        <v>1924</v>
      </c>
      <c r="G621" s="125" t="s">
        <v>42</v>
      </c>
      <c r="H621" s="139">
        <v>3500</v>
      </c>
      <c r="I621" s="125" t="s">
        <v>557</v>
      </c>
      <c r="J621" s="139">
        <f t="shared" si="36"/>
        <v>3500</v>
      </c>
      <c r="K621" s="139" t="s">
        <v>483</v>
      </c>
      <c r="L621" s="238" t="str">
        <f t="shared" si="37"/>
        <v>Reciclagem</v>
      </c>
      <c r="M621" s="238" t="s">
        <v>1924</v>
      </c>
      <c r="N621" s="238" t="s">
        <v>1922</v>
      </c>
      <c r="O621" s="114" t="str">
        <f>IFERROR(INDEX(Tabela3[Tipos de Tratamento],MATCH('A3.9.1 copy'!K621,Tabela3[Código],0)),"")</f>
        <v xml:space="preserve">Troca de resíduos com vista a submetê-los a uma das operações enumeradas de R 1 a R 11 </v>
      </c>
      <c r="P621" s="91" t="s">
        <v>3967</v>
      </c>
      <c r="Q621" s="91" t="s">
        <v>3967</v>
      </c>
      <c r="S621">
        <v>2022</v>
      </c>
      <c r="T621" s="261" t="s">
        <v>3535</v>
      </c>
      <c r="U621" s="261" t="s">
        <v>3606</v>
      </c>
      <c r="V621" t="s">
        <v>42</v>
      </c>
    </row>
    <row r="622" spans="1:22" ht="15.75" thickBot="1" x14ac:dyDescent="0.3">
      <c r="A622" t="s">
        <v>4703</v>
      </c>
      <c r="B622" s="82" t="s">
        <v>4703</v>
      </c>
      <c r="C622" s="82" t="str">
        <f t="shared" si="38"/>
        <v>X</v>
      </c>
      <c r="D622" s="82" t="s">
        <v>42</v>
      </c>
      <c r="E622" s="142" t="s">
        <v>1882</v>
      </c>
      <c r="F622" s="83" t="s">
        <v>1597</v>
      </c>
      <c r="G622" s="125" t="s">
        <v>42</v>
      </c>
      <c r="H622" s="139">
        <v>375</v>
      </c>
      <c r="I622" s="125" t="s">
        <v>557</v>
      </c>
      <c r="J622" s="139">
        <f t="shared" si="36"/>
        <v>375</v>
      </c>
      <c r="K622" s="139" t="s">
        <v>483</v>
      </c>
      <c r="L622" s="238" t="str">
        <f t="shared" si="37"/>
        <v>Reciclagem</v>
      </c>
      <c r="M622" s="238" t="s">
        <v>1923</v>
      </c>
      <c r="N622" s="238" t="s">
        <v>1922</v>
      </c>
      <c r="O622" s="114" t="str">
        <f>IFERROR(INDEX(Tabela3[Tipos de Tratamento],MATCH('A3.9.1 copy'!K622,Tabela3[Código],0)),"")</f>
        <v xml:space="preserve">Troca de resíduos com vista a submetê-los a uma das operações enumeradas de R 1 a R 11 </v>
      </c>
      <c r="P622" s="91" t="s">
        <v>3963</v>
      </c>
      <c r="Q622" s="91" t="s">
        <v>3963</v>
      </c>
      <c r="S622">
        <v>2022</v>
      </c>
      <c r="T622" s="261" t="s">
        <v>3535</v>
      </c>
      <c r="U622" s="261" t="s">
        <v>3606</v>
      </c>
      <c r="V622" t="s">
        <v>42</v>
      </c>
    </row>
    <row r="623" spans="1:22" ht="15.75" thickBot="1" x14ac:dyDescent="0.3">
      <c r="A623" t="s">
        <v>4703</v>
      </c>
      <c r="B623" s="82" t="s">
        <v>4703</v>
      </c>
      <c r="C623" s="82" t="str">
        <f t="shared" si="38"/>
        <v>X</v>
      </c>
      <c r="D623" s="82" t="s">
        <v>42</v>
      </c>
      <c r="E623" s="142" t="s">
        <v>1884</v>
      </c>
      <c r="F623" s="83" t="s">
        <v>3934</v>
      </c>
      <c r="G623" s="125" t="s">
        <v>34</v>
      </c>
      <c r="H623" s="139">
        <v>31</v>
      </c>
      <c r="I623" s="125" t="s">
        <v>557</v>
      </c>
      <c r="J623" s="139">
        <f t="shared" si="36"/>
        <v>31</v>
      </c>
      <c r="K623" s="139" t="s">
        <v>483</v>
      </c>
      <c r="L623" s="238" t="str">
        <f t="shared" si="37"/>
        <v>Reciclagem</v>
      </c>
      <c r="M623" s="238" t="s">
        <v>1920</v>
      </c>
      <c r="N623" s="238" t="s">
        <v>1911</v>
      </c>
      <c r="O623" s="114" t="str">
        <f>IFERROR(INDEX(Tabela3[Tipos de Tratamento],MATCH('A3.9.1 copy'!K623,Tabela3[Código],0)),"")</f>
        <v xml:space="preserve">Troca de resíduos com vista a submetê-los a uma das operações enumeradas de R 1 a R 11 </v>
      </c>
      <c r="P623" s="91" t="s">
        <v>3963</v>
      </c>
      <c r="Q623" s="91" t="s">
        <v>3963</v>
      </c>
      <c r="S623">
        <v>2022</v>
      </c>
      <c r="T623" s="261" t="s">
        <v>3535</v>
      </c>
      <c r="U623" s="261" t="s">
        <v>3606</v>
      </c>
      <c r="V623" t="s">
        <v>42</v>
      </c>
    </row>
    <row r="624" spans="1:22" ht="15.75" thickBot="1" x14ac:dyDescent="0.3">
      <c r="A624" t="s">
        <v>4703</v>
      </c>
      <c r="B624" s="82" t="s">
        <v>4703</v>
      </c>
      <c r="C624" s="82" t="str">
        <f t="shared" si="38"/>
        <v>X</v>
      </c>
      <c r="D624" s="82" t="s">
        <v>42</v>
      </c>
      <c r="E624" s="142" t="s">
        <v>1886</v>
      </c>
      <c r="F624" s="83" t="s">
        <v>1568</v>
      </c>
      <c r="G624" s="125" t="s">
        <v>42</v>
      </c>
      <c r="H624" s="139">
        <v>7120</v>
      </c>
      <c r="I624" s="125" t="s">
        <v>557</v>
      </c>
      <c r="J624" s="139">
        <f t="shared" si="36"/>
        <v>7120</v>
      </c>
      <c r="K624" s="139" t="s">
        <v>484</v>
      </c>
      <c r="L624" s="238" t="str">
        <f t="shared" si="37"/>
        <v>Reciclagem</v>
      </c>
      <c r="M624" s="238" t="s">
        <v>1928</v>
      </c>
      <c r="N624" s="238" t="s">
        <v>1896</v>
      </c>
      <c r="O624" s="114" t="str">
        <f>IFERROR(INDEX(Tabela3[Tipos de Tratamento],MATCH('A3.9.1 copy'!K624,Tabela3[Código],0)),"")</f>
        <v>Acumulação de resíduos destinados a uma das operações enumeradas de R1 a R12</v>
      </c>
      <c r="P624" s="91" t="s">
        <v>3967</v>
      </c>
      <c r="Q624" s="91" t="s">
        <v>3967</v>
      </c>
      <c r="S624">
        <v>2022</v>
      </c>
      <c r="T624" s="261" t="s">
        <v>3535</v>
      </c>
      <c r="U624" s="261" t="s">
        <v>3606</v>
      </c>
      <c r="V624" t="s">
        <v>42</v>
      </c>
    </row>
    <row r="625" spans="1:22" ht="15.75" thickBot="1" x14ac:dyDescent="0.3">
      <c r="A625" t="s">
        <v>4703</v>
      </c>
      <c r="B625" s="82" t="s">
        <v>4703</v>
      </c>
      <c r="C625" s="82" t="str">
        <f t="shared" si="38"/>
        <v>X</v>
      </c>
      <c r="D625" s="82" t="s">
        <v>42</v>
      </c>
      <c r="E625" s="142" t="s">
        <v>3224</v>
      </c>
      <c r="F625" s="83" t="s">
        <v>3004</v>
      </c>
      <c r="G625" s="125" t="s">
        <v>42</v>
      </c>
      <c r="H625" s="139">
        <v>300</v>
      </c>
      <c r="I625" s="125" t="s">
        <v>557</v>
      </c>
      <c r="J625" s="139">
        <f t="shared" si="36"/>
        <v>300</v>
      </c>
      <c r="K625" s="139" t="s">
        <v>483</v>
      </c>
      <c r="L625" s="238" t="str">
        <f t="shared" si="37"/>
        <v>Reciclagem</v>
      </c>
      <c r="M625" s="238" t="s">
        <v>1560</v>
      </c>
      <c r="N625" s="238" t="s">
        <v>1922</v>
      </c>
      <c r="O625" s="114" t="str">
        <f>IFERROR(INDEX(Tabela3[Tipos de Tratamento],MATCH('A3.9.1 copy'!K625,Tabela3[Código],0)),"")</f>
        <v xml:space="preserve">Troca de resíduos com vista a submetê-los a uma das operações enumeradas de R 1 a R 11 </v>
      </c>
      <c r="P625" s="91" t="s">
        <v>3963</v>
      </c>
      <c r="Q625" s="91" t="s">
        <v>3963</v>
      </c>
      <c r="S625">
        <v>2022</v>
      </c>
      <c r="T625" s="261" t="s">
        <v>3535</v>
      </c>
      <c r="U625" s="261" t="s">
        <v>3606</v>
      </c>
      <c r="V625" t="s">
        <v>42</v>
      </c>
    </row>
    <row r="626" spans="1:22" ht="15.75" thickBot="1" x14ac:dyDescent="0.3">
      <c r="A626" t="s">
        <v>4703</v>
      </c>
      <c r="B626" s="82" t="s">
        <v>4703</v>
      </c>
      <c r="C626" s="82" t="str">
        <f t="shared" si="38"/>
        <v>X</v>
      </c>
      <c r="D626" s="82" t="s">
        <v>42</v>
      </c>
      <c r="E626" s="142" t="s">
        <v>3960</v>
      </c>
      <c r="F626" s="83" t="s">
        <v>3274</v>
      </c>
      <c r="G626" s="125" t="s">
        <v>42</v>
      </c>
      <c r="H626" s="139">
        <v>2280</v>
      </c>
      <c r="I626" s="125" t="s">
        <v>557</v>
      </c>
      <c r="J626" s="139">
        <f t="shared" si="36"/>
        <v>2280</v>
      </c>
      <c r="K626" s="139" t="s">
        <v>484</v>
      </c>
      <c r="L626" s="238" t="str">
        <f t="shared" si="37"/>
        <v>Reciclagem</v>
      </c>
      <c r="M626" s="238" t="s">
        <v>1920</v>
      </c>
      <c r="N626" s="238" t="s">
        <v>1911</v>
      </c>
      <c r="O626" s="114" t="str">
        <f>IFERROR(INDEX(Tabela3[Tipos de Tratamento],MATCH('A3.9.1 copy'!K626,Tabela3[Código],0)),"")</f>
        <v>Acumulação de resíduos destinados a uma das operações enumeradas de R1 a R12</v>
      </c>
      <c r="P626" s="91" t="s">
        <v>3967</v>
      </c>
      <c r="Q626" s="91" t="s">
        <v>3967</v>
      </c>
      <c r="S626">
        <v>2022</v>
      </c>
      <c r="T626" s="261" t="s">
        <v>3535</v>
      </c>
      <c r="U626" s="261" t="s">
        <v>3606</v>
      </c>
      <c r="V626" t="s">
        <v>42</v>
      </c>
    </row>
  </sheetData>
  <autoFilter ref="A1:R527"/>
  <mergeCells count="20">
    <mergeCell ref="A1:A2"/>
    <mergeCell ref="L1:L2"/>
    <mergeCell ref="J1:J2"/>
    <mergeCell ref="B1:B2"/>
    <mergeCell ref="E1:E2"/>
    <mergeCell ref="F1:F2"/>
    <mergeCell ref="G1:G2"/>
    <mergeCell ref="H1:H2"/>
    <mergeCell ref="I1:I2"/>
    <mergeCell ref="K1:K2"/>
    <mergeCell ref="O1:O2"/>
    <mergeCell ref="P1:P2"/>
    <mergeCell ref="C1:C2"/>
    <mergeCell ref="V1:V2"/>
    <mergeCell ref="D1:D2"/>
    <mergeCell ref="T1:T2"/>
    <mergeCell ref="U1:U2"/>
    <mergeCell ref="S1:S2"/>
    <mergeCell ref="Q1:Q2"/>
    <mergeCell ref="R1:R2"/>
  </mergeCells>
  <dataValidations disablePrompts="1" count="3">
    <dataValidation type="list" allowBlank="1" showInputMessage="1" showErrorMessage="1" sqref="G78:G85 G88:G91 G94:G97 G101:G109 G113 G115:G116 G118:G122 G125:G131 G134:G136 G138 G141:G142 G147:G150 G153:G155 G157 G159 G164:G165 G167:G169 G172 G175:G176 G179:G182 G185:G187 G189:G190 G192:G195 G3:G73 G218:G319 G442:G626 G323:G439">
      <formula1>"Sim, Não"</formula1>
    </dataValidation>
    <dataValidation type="list" allowBlank="1" showInputMessage="1" showErrorMessage="1" sqref="I111:I124 I126:I174 I107:I109 I3:I100 I177:I319 I323:I439 I442:I462 I528:I626">
      <formula1>"kg (quilos), ton (toneladas)"</formula1>
    </dataValidation>
    <dataValidation type="list" allowBlank="1" showInputMessage="1" showErrorMessage="1" sqref="I441">
      <formula1>"kWh, l (litros), kg (quilos), Nm3 (metros cubicos norm.)"</formula1>
    </dataValidation>
  </dataValidations>
  <pageMargins left="0.7" right="0.7" top="0.75" bottom="0.75" header="0.3" footer="0.3"/>
  <pageSetup paperSize="9" orientation="portrait" r:id="rId1"/>
  <customProperties>
    <customPr name="GUID" r:id="rId2"/>
  </customPropertie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'A3.9.1.1'!$C$2:$C$29</xm:f>
          </x14:formula1>
          <xm:sqref>K48:K195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
  <dimension ref="B1:I44"/>
  <sheetViews>
    <sheetView workbookViewId="0"/>
    <sheetView workbookViewId="1"/>
  </sheetViews>
  <sheetFormatPr defaultRowHeight="15" x14ac:dyDescent="0.25"/>
  <cols>
    <col min="1" max="1" width="2.42578125" style="2" customWidth="1"/>
    <col min="2" max="2" width="44.42578125" style="1" customWidth="1"/>
    <col min="3" max="3" width="32" style="1" customWidth="1"/>
    <col min="4" max="4" width="101.140625" style="1" customWidth="1"/>
    <col min="5" max="5" width="44.7109375" style="1" customWidth="1"/>
    <col min="6" max="6" width="47.5703125" style="2" customWidth="1"/>
    <col min="7" max="7" width="52.42578125" style="2" customWidth="1"/>
    <col min="8" max="8" width="39.7109375" style="1" customWidth="1"/>
    <col min="9" max="9" width="102" style="1" customWidth="1"/>
    <col min="10" max="16384" width="9.140625" style="2"/>
  </cols>
  <sheetData>
    <row r="1" spans="2:9" ht="15.75" thickBot="1" x14ac:dyDescent="0.3">
      <c r="I1" s="5"/>
    </row>
    <row r="2" spans="2:9" ht="21.75" customHeight="1" thickTop="1" x14ac:dyDescent="0.25">
      <c r="B2" s="492" t="s">
        <v>32</v>
      </c>
      <c r="C2" s="493"/>
      <c r="D2" s="494"/>
      <c r="E2" s="498" t="s">
        <v>29</v>
      </c>
      <c r="F2" s="499"/>
      <c r="G2" s="501" t="s">
        <v>92</v>
      </c>
      <c r="H2" s="491" t="s">
        <v>27</v>
      </c>
      <c r="I2" s="475"/>
    </row>
    <row r="3" spans="2:9" ht="21.75" customHeight="1" x14ac:dyDescent="0.25">
      <c r="B3" s="495"/>
      <c r="C3" s="496"/>
      <c r="D3" s="497"/>
      <c r="E3" s="500"/>
      <c r="F3" s="462"/>
      <c r="G3" s="464"/>
      <c r="H3" s="466"/>
      <c r="I3" s="476"/>
    </row>
    <row r="4" spans="2:9" ht="30" customHeight="1" x14ac:dyDescent="0.25">
      <c r="B4" s="495"/>
      <c r="C4" s="496"/>
      <c r="D4" s="497"/>
      <c r="E4" s="478" t="s">
        <v>46</v>
      </c>
      <c r="F4" s="472"/>
      <c r="G4" s="98" t="s">
        <v>93</v>
      </c>
      <c r="H4" s="466"/>
      <c r="I4" s="476"/>
    </row>
    <row r="5" spans="2:9" ht="30" customHeight="1" thickBot="1" x14ac:dyDescent="0.3">
      <c r="B5" s="479" t="s">
        <v>91</v>
      </c>
      <c r="C5" s="480"/>
      <c r="D5" s="12" t="s">
        <v>28</v>
      </c>
      <c r="E5" s="481" t="s">
        <v>90</v>
      </c>
      <c r="F5" s="474"/>
      <c r="G5" s="99" t="s">
        <v>89</v>
      </c>
      <c r="H5" s="467"/>
      <c r="I5" s="477"/>
    </row>
    <row r="6" spans="2:9" ht="33" customHeight="1" x14ac:dyDescent="0.25">
      <c r="B6" s="7" t="s">
        <v>1</v>
      </c>
      <c r="C6" s="8" t="s">
        <v>23</v>
      </c>
      <c r="D6" s="8" t="s">
        <v>0</v>
      </c>
      <c r="E6" s="10" t="s">
        <v>88</v>
      </c>
      <c r="F6" s="100" t="s">
        <v>54</v>
      </c>
      <c r="G6" s="101" t="s">
        <v>44</v>
      </c>
      <c r="H6" s="57" t="s">
        <v>87</v>
      </c>
      <c r="I6" s="6" t="s">
        <v>2</v>
      </c>
    </row>
    <row r="7" spans="2:9" ht="67.5" customHeight="1" x14ac:dyDescent="0.25">
      <c r="B7" s="482" t="s">
        <v>13</v>
      </c>
      <c r="C7" s="485" t="s">
        <v>24</v>
      </c>
      <c r="D7" s="188" t="s">
        <v>94</v>
      </c>
      <c r="E7" s="15" t="s">
        <v>34</v>
      </c>
      <c r="F7" s="102" t="str">
        <f>'A1.1'!D15</f>
        <v>Identificação das fontes de dados pelo responsável local pela recolha de dados</v>
      </c>
      <c r="G7" s="103" t="str">
        <f>'A1.1'!D14</f>
        <v>Identificação do responsável local pela recolha de dados</v>
      </c>
      <c r="H7" s="26" t="s">
        <v>55</v>
      </c>
      <c r="I7" s="19" t="s">
        <v>18</v>
      </c>
    </row>
    <row r="8" spans="2:9" ht="67.5" customHeight="1" x14ac:dyDescent="0.25">
      <c r="B8" s="483"/>
      <c r="C8" s="486"/>
      <c r="D8" s="189" t="s">
        <v>95</v>
      </c>
      <c r="E8" s="16" t="s">
        <v>34</v>
      </c>
      <c r="F8" s="102" t="str">
        <f>'A1.2'!D15</f>
        <v>Identificação das fontes de dados pelo responsável local pela recolha de dados</v>
      </c>
      <c r="G8" s="103" t="str">
        <f>'A1.2'!D14</f>
        <v>Identificação do responsável local pela recolha de dados</v>
      </c>
      <c r="H8" s="27" t="s">
        <v>55</v>
      </c>
      <c r="I8" s="20" t="s">
        <v>19</v>
      </c>
    </row>
    <row r="9" spans="2:9" ht="67.5" customHeight="1" x14ac:dyDescent="0.25">
      <c r="B9" s="483"/>
      <c r="C9" s="486"/>
      <c r="D9" s="189" t="s">
        <v>96</v>
      </c>
      <c r="E9" s="16" t="s">
        <v>34</v>
      </c>
      <c r="F9" s="102" t="str">
        <f>'A1.3'!D15</f>
        <v>Identificação das fontes de dados pelo responsável local pela recolha de dados</v>
      </c>
      <c r="G9" s="103" t="str">
        <f>'A1.3'!D14</f>
        <v>Identificação do responsável local pela recolha de dados</v>
      </c>
      <c r="H9" s="29" t="s">
        <v>56</v>
      </c>
      <c r="I9" s="20" t="s">
        <v>61</v>
      </c>
    </row>
    <row r="10" spans="2:9" ht="66.75" customHeight="1" thickBot="1" x14ac:dyDescent="0.3">
      <c r="B10" s="484"/>
      <c r="C10" s="487"/>
      <c r="D10" s="190" t="s">
        <v>97</v>
      </c>
      <c r="E10" s="17" t="s">
        <v>34</v>
      </c>
      <c r="F10" s="104" t="str">
        <f>'A1.4'!D15</f>
        <v>Identificação das fontes de dados pelo responsável local pela recolha de dados</v>
      </c>
      <c r="G10" s="105" t="str">
        <f>'A1.4'!D14</f>
        <v>Identificação do responsável local pela recolha de dados</v>
      </c>
      <c r="H10" s="28" t="s">
        <v>55</v>
      </c>
      <c r="I10" s="21" t="s">
        <v>20</v>
      </c>
    </row>
    <row r="11" spans="2:9" ht="60" customHeight="1" thickBot="1" x14ac:dyDescent="0.3">
      <c r="B11" s="63" t="s">
        <v>22</v>
      </c>
      <c r="C11" s="14" t="s">
        <v>25</v>
      </c>
      <c r="D11" s="191" t="s">
        <v>98</v>
      </c>
      <c r="E11" s="18" t="s">
        <v>34</v>
      </c>
      <c r="F11" s="106" t="str">
        <f>'A2'!D15</f>
        <v>Identificação das fontes de dados pelo responsável local pela recolha de dados</v>
      </c>
      <c r="G11" s="107" t="str">
        <f>'A2'!D14</f>
        <v>Identificação do responsável local pela recolha de dados</v>
      </c>
      <c r="H11" s="30" t="s">
        <v>57</v>
      </c>
      <c r="I11" s="22" t="s">
        <v>62</v>
      </c>
    </row>
    <row r="12" spans="2:9" ht="67.5" customHeight="1" x14ac:dyDescent="0.25">
      <c r="B12" s="488" t="s">
        <v>26</v>
      </c>
      <c r="C12" s="35" t="s">
        <v>25</v>
      </c>
      <c r="D12" s="192" t="s">
        <v>99</v>
      </c>
      <c r="E12" s="37" t="s">
        <v>34</v>
      </c>
      <c r="F12" s="108" t="str">
        <f>'A3.1'!D15</f>
        <v>Identificação das fontes de dados pelo responsável local pela recolha de dados</v>
      </c>
      <c r="G12" s="109" t="str">
        <f>'A3.1'!D14</f>
        <v>Identificação do responsável local pela recolha de dados</v>
      </c>
      <c r="H12" s="38" t="s">
        <v>58</v>
      </c>
      <c r="I12" s="40" t="s">
        <v>48</v>
      </c>
    </row>
    <row r="13" spans="2:9" ht="44.25" customHeight="1" x14ac:dyDescent="0.25">
      <c r="B13" s="489"/>
      <c r="C13" s="41" t="s">
        <v>25</v>
      </c>
      <c r="D13" s="193" t="s">
        <v>100</v>
      </c>
      <c r="E13" s="43" t="s">
        <v>34</v>
      </c>
      <c r="F13" s="110" t="str">
        <f>'A3.2'!D15</f>
        <v>Identificação das fontes de dados pelo responsável local pela recolha de dados</v>
      </c>
      <c r="G13" s="111" t="str">
        <f>'A3.2'!D14</f>
        <v>Identificação do responsável local pela recolha de dados</v>
      </c>
      <c r="H13" s="44" t="s">
        <v>59</v>
      </c>
      <c r="I13" s="46" t="s">
        <v>437</v>
      </c>
    </row>
    <row r="14" spans="2:9" ht="44.25" customHeight="1" x14ac:dyDescent="0.25">
      <c r="B14" s="489"/>
      <c r="C14" s="41" t="s">
        <v>25</v>
      </c>
      <c r="D14" s="193" t="s">
        <v>101</v>
      </c>
      <c r="E14" s="43" t="s">
        <v>34</v>
      </c>
      <c r="F14" s="110" t="str">
        <f>'A3.3'!D15</f>
        <v>Identificação das fontes de dados pelo responsável local pela recolha de dados</v>
      </c>
      <c r="G14" s="111" t="str">
        <f>'A3.3'!D14</f>
        <v>Identificação do responsável local pela recolha de dados</v>
      </c>
      <c r="H14" s="44" t="s">
        <v>56</v>
      </c>
      <c r="I14" s="49" t="s">
        <v>63</v>
      </c>
    </row>
    <row r="15" spans="2:9" ht="44.25" customHeight="1" x14ac:dyDescent="0.25">
      <c r="B15" s="489"/>
      <c r="C15" s="41" t="s">
        <v>25</v>
      </c>
      <c r="D15" s="193" t="s">
        <v>102</v>
      </c>
      <c r="E15" s="43" t="s">
        <v>41</v>
      </c>
      <c r="F15" s="110" t="str">
        <f>'A3.4'!D15</f>
        <v>Identificação das fontes de dados pelo responsável local pela recolha de dados</v>
      </c>
      <c r="G15" s="111" t="str">
        <f>'A3.4'!D14</f>
        <v>Identificação do responsável local pela recolha de dados</v>
      </c>
      <c r="H15" s="44" t="s">
        <v>84</v>
      </c>
      <c r="I15" s="46" t="s">
        <v>53</v>
      </c>
    </row>
    <row r="16" spans="2:9" ht="44.25" customHeight="1" x14ac:dyDescent="0.25">
      <c r="B16" s="489"/>
      <c r="C16" s="41" t="s">
        <v>25</v>
      </c>
      <c r="D16" s="193" t="s">
        <v>103</v>
      </c>
      <c r="E16" s="43" t="s">
        <v>41</v>
      </c>
      <c r="F16" s="110" t="str">
        <f>'A3.5'!D15</f>
        <v>Identificação das fontes de dados pelo responsável local pela recolha de dados</v>
      </c>
      <c r="G16" s="111" t="str">
        <f>'A3.5'!D14</f>
        <v>Identificação do responsável local pela recolha de dados</v>
      </c>
      <c r="H16" s="44" t="s">
        <v>56</v>
      </c>
      <c r="I16" s="46" t="s">
        <v>6</v>
      </c>
    </row>
    <row r="17" spans="2:9" ht="44.25" customHeight="1" x14ac:dyDescent="0.25">
      <c r="B17" s="489"/>
      <c r="C17" s="41" t="s">
        <v>25</v>
      </c>
      <c r="D17" s="193" t="s">
        <v>104</v>
      </c>
      <c r="E17" s="43" t="s">
        <v>42</v>
      </c>
      <c r="F17" s="110" t="str">
        <f>'A3.6'!D15</f>
        <v>NA</v>
      </c>
      <c r="G17" s="111" t="str">
        <f>'A3.6'!D14</f>
        <v>NA</v>
      </c>
      <c r="H17" s="47" t="s">
        <v>76</v>
      </c>
      <c r="I17" s="46" t="s">
        <v>64</v>
      </c>
    </row>
    <row r="18" spans="2:9" ht="44.25" customHeight="1" x14ac:dyDescent="0.25">
      <c r="B18" s="489"/>
      <c r="C18" s="41" t="s">
        <v>31</v>
      </c>
      <c r="D18" s="193" t="s">
        <v>105</v>
      </c>
      <c r="E18" s="43" t="s">
        <v>42</v>
      </c>
      <c r="F18" s="502" t="str">
        <f>'A3.7'!D15</f>
        <v>Identificação das fontes de dados pelo responsável local pela recolha de dados</v>
      </c>
      <c r="G18" s="505" t="str">
        <f>'A3.7'!D14</f>
        <v>Identificação do responsável local pela recolha de dados</v>
      </c>
      <c r="H18" s="47" t="s">
        <v>76</v>
      </c>
      <c r="I18" s="46" t="s">
        <v>52</v>
      </c>
    </row>
    <row r="19" spans="2:9" ht="44.25" customHeight="1" x14ac:dyDescent="0.25">
      <c r="B19" s="489"/>
      <c r="C19" s="41" t="s">
        <v>31</v>
      </c>
      <c r="D19" s="193" t="s">
        <v>106</v>
      </c>
      <c r="E19" s="43" t="s">
        <v>42</v>
      </c>
      <c r="F19" s="503"/>
      <c r="G19" s="506"/>
      <c r="H19" s="47" t="s">
        <v>76</v>
      </c>
      <c r="I19" s="46" t="s">
        <v>52</v>
      </c>
    </row>
    <row r="20" spans="2:9" ht="44.25" customHeight="1" x14ac:dyDescent="0.25">
      <c r="B20" s="489"/>
      <c r="C20" s="41" t="s">
        <v>31</v>
      </c>
      <c r="D20" s="193" t="s">
        <v>107</v>
      </c>
      <c r="E20" s="43" t="s">
        <v>34</v>
      </c>
      <c r="F20" s="503"/>
      <c r="G20" s="506"/>
      <c r="H20" s="44" t="s">
        <v>56</v>
      </c>
      <c r="I20" s="49" t="s">
        <v>51</v>
      </c>
    </row>
    <row r="21" spans="2:9" ht="44.25" customHeight="1" x14ac:dyDescent="0.25">
      <c r="B21" s="489"/>
      <c r="C21" s="41" t="s">
        <v>31</v>
      </c>
      <c r="D21" s="193" t="s">
        <v>108</v>
      </c>
      <c r="E21" s="43" t="s">
        <v>34</v>
      </c>
      <c r="F21" s="503"/>
      <c r="G21" s="506"/>
      <c r="H21" s="44" t="s">
        <v>56</v>
      </c>
      <c r="I21" s="49" t="s">
        <v>51</v>
      </c>
    </row>
    <row r="22" spans="2:9" ht="44.25" customHeight="1" x14ac:dyDescent="0.25">
      <c r="B22" s="489"/>
      <c r="C22" s="41" t="s">
        <v>31</v>
      </c>
      <c r="D22" s="193" t="s">
        <v>109</v>
      </c>
      <c r="E22" s="43" t="s">
        <v>34</v>
      </c>
      <c r="F22" s="503"/>
      <c r="G22" s="506"/>
      <c r="H22" s="44" t="s">
        <v>55</v>
      </c>
      <c r="I22" s="49" t="s">
        <v>50</v>
      </c>
    </row>
    <row r="23" spans="2:9" ht="44.25" customHeight="1" x14ac:dyDescent="0.25">
      <c r="B23" s="489"/>
      <c r="C23" s="41" t="s">
        <v>31</v>
      </c>
      <c r="D23" s="193" t="s">
        <v>110</v>
      </c>
      <c r="E23" s="43" t="s">
        <v>34</v>
      </c>
      <c r="F23" s="504"/>
      <c r="G23" s="507"/>
      <c r="H23" s="44" t="s">
        <v>55</v>
      </c>
      <c r="I23" s="49" t="s">
        <v>50</v>
      </c>
    </row>
    <row r="24" spans="2:9" ht="44.25" customHeight="1" x14ac:dyDescent="0.25">
      <c r="B24" s="489"/>
      <c r="C24" s="41" t="s">
        <v>31</v>
      </c>
      <c r="D24" s="193" t="s">
        <v>111</v>
      </c>
      <c r="E24" s="43" t="s">
        <v>34</v>
      </c>
      <c r="F24" s="110" t="str">
        <f>'A3.8'!D15</f>
        <v>Identificação das fontes de dados pelo responsável local pela recolha de dados</v>
      </c>
      <c r="G24" s="111" t="str">
        <f>'A3.8'!D14</f>
        <v>Identificação do responsável local pela recolha de dados</v>
      </c>
      <c r="H24" s="44" t="s">
        <v>56</v>
      </c>
      <c r="I24" s="50"/>
    </row>
    <row r="25" spans="2:9" ht="44.25" customHeight="1" x14ac:dyDescent="0.25">
      <c r="B25" s="489"/>
      <c r="C25" s="41" t="s">
        <v>31</v>
      </c>
      <c r="D25" s="193" t="s">
        <v>112</v>
      </c>
      <c r="E25" s="43" t="s">
        <v>34</v>
      </c>
      <c r="F25" s="110" t="str">
        <f>'A3.9.1'!D15</f>
        <v>Identificação das fontes de dados pelo responsável local pela recolha de dados</v>
      </c>
      <c r="G25" s="111" t="str">
        <f>'A3.9.1'!D14</f>
        <v>Identificação do responsável local pela recolha de dados</v>
      </c>
      <c r="H25" s="44" t="s">
        <v>56</v>
      </c>
      <c r="I25" s="49" t="s">
        <v>66</v>
      </c>
    </row>
    <row r="26" spans="2:9" ht="44.25" customHeight="1" x14ac:dyDescent="0.25">
      <c r="B26" s="489"/>
      <c r="C26" s="41" t="s">
        <v>31</v>
      </c>
      <c r="D26" s="193" t="s">
        <v>1843</v>
      </c>
      <c r="E26" s="43" t="s">
        <v>41</v>
      </c>
      <c r="F26" s="110" t="str">
        <f>'A3.10'!D15</f>
        <v>Identificação das fontes de dados pelo responsável local pela recolha de dados</v>
      </c>
      <c r="G26" s="111" t="str">
        <f>'A3.10'!D14</f>
        <v>Identificação do responsável local pela recolha de dados</v>
      </c>
      <c r="H26" s="44" t="s">
        <v>56</v>
      </c>
      <c r="I26" s="49" t="s">
        <v>65</v>
      </c>
    </row>
    <row r="27" spans="2:9" ht="44.25" customHeight="1" x14ac:dyDescent="0.25">
      <c r="B27" s="489"/>
      <c r="C27" s="41" t="s">
        <v>31</v>
      </c>
      <c r="D27" s="193" t="s">
        <v>1844</v>
      </c>
      <c r="E27" s="43" t="s">
        <v>42</v>
      </c>
      <c r="F27" s="110" t="str">
        <f>'A3.11'!D15</f>
        <v>NA</v>
      </c>
      <c r="G27" s="111" t="str">
        <f>'A3.11'!D14</f>
        <v>NA</v>
      </c>
      <c r="H27" s="47" t="s">
        <v>76</v>
      </c>
      <c r="I27" s="46" t="s">
        <v>49</v>
      </c>
    </row>
    <row r="28" spans="2:9" ht="44.25" customHeight="1" x14ac:dyDescent="0.25">
      <c r="B28" s="489"/>
      <c r="C28" s="41" t="s">
        <v>31</v>
      </c>
      <c r="D28" s="193" t="s">
        <v>1845</v>
      </c>
      <c r="E28" s="43" t="s">
        <v>42</v>
      </c>
      <c r="F28" s="110" t="str">
        <f>'A3.12'!D15</f>
        <v>NA</v>
      </c>
      <c r="G28" s="111" t="str">
        <f>'A3.12'!D14</f>
        <v>NA</v>
      </c>
      <c r="H28" s="47" t="s">
        <v>76</v>
      </c>
      <c r="I28" s="46" t="s">
        <v>49</v>
      </c>
    </row>
    <row r="29" spans="2:9" ht="44.25" customHeight="1" thickBot="1" x14ac:dyDescent="0.3">
      <c r="B29" s="490"/>
      <c r="C29" s="51" t="s">
        <v>31</v>
      </c>
      <c r="D29" s="194" t="s">
        <v>1842</v>
      </c>
      <c r="E29" s="52" t="s">
        <v>42</v>
      </c>
      <c r="F29" s="112" t="str">
        <f>'A3.13'!D15</f>
        <v>NA</v>
      </c>
      <c r="G29" s="113" t="str">
        <f>'A3.13'!D14</f>
        <v>NA</v>
      </c>
      <c r="H29" s="53" t="s">
        <v>76</v>
      </c>
      <c r="I29" s="55" t="s">
        <v>49</v>
      </c>
    </row>
    <row r="30" spans="2:9" ht="15.75" thickTop="1" x14ac:dyDescent="0.25">
      <c r="C30" s="3"/>
      <c r="D30" s="2"/>
    </row>
    <row r="31" spans="2:9" x14ac:dyDescent="0.25">
      <c r="D31" s="2"/>
    </row>
    <row r="32" spans="2:9" s="1" customFormat="1" x14ac:dyDescent="0.25">
      <c r="D32" s="2"/>
      <c r="F32" s="2"/>
      <c r="G32" s="2"/>
    </row>
    <row r="33" spans="4:7" s="1" customFormat="1" x14ac:dyDescent="0.25">
      <c r="D33" s="2"/>
      <c r="F33" s="2"/>
      <c r="G33" s="2"/>
    </row>
    <row r="34" spans="4:7" s="1" customFormat="1" x14ac:dyDescent="0.25">
      <c r="D34" s="2"/>
      <c r="F34" s="2"/>
      <c r="G34" s="2"/>
    </row>
    <row r="35" spans="4:7" s="1" customFormat="1" x14ac:dyDescent="0.25">
      <c r="D35" s="2"/>
      <c r="F35" s="2"/>
      <c r="G35" s="2"/>
    </row>
    <row r="36" spans="4:7" s="1" customFormat="1" x14ac:dyDescent="0.25">
      <c r="D36" s="2"/>
      <c r="F36" s="2"/>
      <c r="G36" s="2"/>
    </row>
    <row r="37" spans="4:7" s="1" customFormat="1" x14ac:dyDescent="0.25">
      <c r="D37" s="2"/>
      <c r="F37" s="2"/>
      <c r="G37" s="2"/>
    </row>
    <row r="38" spans="4:7" s="1" customFormat="1" x14ac:dyDescent="0.25">
      <c r="D38" s="2"/>
      <c r="F38" s="2"/>
      <c r="G38" s="2"/>
    </row>
    <row r="39" spans="4:7" s="1" customFormat="1" x14ac:dyDescent="0.25">
      <c r="D39" s="2"/>
      <c r="F39" s="2"/>
      <c r="G39" s="2"/>
    </row>
    <row r="40" spans="4:7" s="1" customFormat="1" x14ac:dyDescent="0.25">
      <c r="D40" s="2"/>
      <c r="F40" s="2"/>
      <c r="G40" s="2"/>
    </row>
    <row r="41" spans="4:7" s="1" customFormat="1" x14ac:dyDescent="0.25">
      <c r="D41" s="2"/>
      <c r="F41" s="2"/>
      <c r="G41" s="2"/>
    </row>
    <row r="42" spans="4:7" s="1" customFormat="1" x14ac:dyDescent="0.25">
      <c r="D42" s="2"/>
      <c r="F42" s="2"/>
      <c r="G42" s="2"/>
    </row>
    <row r="43" spans="4:7" s="1" customFormat="1" x14ac:dyDescent="0.25">
      <c r="D43" s="2"/>
      <c r="F43" s="2"/>
      <c r="G43" s="2"/>
    </row>
    <row r="44" spans="4:7" s="1" customFormat="1" x14ac:dyDescent="0.25">
      <c r="D44" s="2"/>
      <c r="F44" s="2"/>
      <c r="G44" s="2"/>
    </row>
  </sheetData>
  <mergeCells count="13">
    <mergeCell ref="B12:B29"/>
    <mergeCell ref="H2:H5"/>
    <mergeCell ref="B2:D4"/>
    <mergeCell ref="E2:F3"/>
    <mergeCell ref="G2:G3"/>
    <mergeCell ref="F18:F23"/>
    <mergeCell ref="G18:G23"/>
    <mergeCell ref="I2:I5"/>
    <mergeCell ref="E4:F4"/>
    <mergeCell ref="B5:C5"/>
    <mergeCell ref="E5:F5"/>
    <mergeCell ref="B7:B10"/>
    <mergeCell ref="C7:C10"/>
  </mergeCells>
  <dataValidations disablePrompts="1" count="1">
    <dataValidation type="list" allowBlank="1" showInputMessage="1" showErrorMessage="1" sqref="E7:E29">
      <formula1>"Sim, Não, A avaliar/validar"</formula1>
    </dataValidation>
  </dataValidations>
  <hyperlinks>
    <hyperlink ref="D7" location="A1.1!A1" display="A1.1 Consumo de combustíveis frota produtiva"/>
    <hyperlink ref="D8" location="A1.2!A1" display="A1.2 Consumo de combustíveis frota não produtiva"/>
    <hyperlink ref="D9" location="A1.3!A1" display="A1.3 Consumo de combustíveis de outros equipamentos"/>
    <hyperlink ref="D10" location="A1.4!A1" display="A1.4 Emissões fugitivas de gases fluorados (e.g. gases refrigerantes)"/>
    <hyperlink ref="D11" location="'A2'!A1" display="A2 Consumo de energia de fontes secundárias (e.g. energia elétrica)"/>
    <hyperlink ref="D12" location="A3.1!A1" display="A3.1!A1"/>
    <hyperlink ref="D13" location="A3.2!A1" display="A3.2 Bens de capital"/>
    <hyperlink ref="D14" location="A3.3!A1" display="A3.3 Viagens pendulares"/>
    <hyperlink ref="D15" location="A3.4!A1" display="A3.4 Compra de bens e serviços"/>
    <hyperlink ref="D16" location="A3.5!A1" display="A3.5 Transporte a montante"/>
    <hyperlink ref="D17" location="A3.6!A1" display="A3.6 Ativos alugados a montante"/>
    <hyperlink ref="D18" location="A3.7!A1" display="A3.7.1.1 Processamento de produtos vendidos (clientes universo GB)"/>
    <hyperlink ref="D18:D23" location="A3.7!A1" display="A3.7.1.1 Processamento de produtos vendidos (clientes universo GB)"/>
    <hyperlink ref="D24" location="A3.8!A1" display="A3.8 Subcontratação de Serviços de Transporte"/>
    <hyperlink ref="D25" location="A3.9.1!A1" display="A3.9 Resíduos gerados"/>
    <hyperlink ref="D26" location="A3.11!A1" display="A3.11 Transporte a jusante"/>
    <hyperlink ref="D27" location="A3.12!A1" display="A3.12 Ativos alugados a justante"/>
    <hyperlink ref="D28" location="A3.13!A1" display="A3.13 Franchises"/>
    <hyperlink ref="D29" location="A3.14!A1" display="A3.14 Investimentos"/>
  </hyperlinks>
  <pageMargins left="0.7" right="0.7" top="0.75" bottom="0.75" header="0.3" footer="0.3"/>
  <customProperties>
    <customPr name="GUID" r:id="rId1"/>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2"/>
  <dimension ref="A1:C29"/>
  <sheetViews>
    <sheetView workbookViewId="0"/>
    <sheetView workbookViewId="1"/>
  </sheetViews>
  <sheetFormatPr defaultRowHeight="15" x14ac:dyDescent="0.25"/>
  <cols>
    <col min="1" max="1" width="171.42578125" style="3" customWidth="1"/>
    <col min="2" max="2" width="21.85546875" style="1" customWidth="1"/>
    <col min="3" max="3" width="9.28515625" style="1" customWidth="1"/>
  </cols>
  <sheetData>
    <row r="1" spans="1:3" ht="15" customHeight="1" x14ac:dyDescent="0.25">
      <c r="A1" s="3" t="s">
        <v>469</v>
      </c>
      <c r="B1" s="1" t="s">
        <v>470</v>
      </c>
      <c r="C1" s="1" t="s">
        <v>471</v>
      </c>
    </row>
    <row r="2" spans="1:3" ht="15" customHeight="1" x14ac:dyDescent="0.25">
      <c r="A2" s="97" t="s">
        <v>489</v>
      </c>
      <c r="B2" s="1" t="s">
        <v>495</v>
      </c>
      <c r="C2" s="1" t="s">
        <v>472</v>
      </c>
    </row>
    <row r="3" spans="1:3" x14ac:dyDescent="0.25">
      <c r="A3" s="96" t="s">
        <v>488</v>
      </c>
      <c r="B3" s="1" t="s">
        <v>495</v>
      </c>
      <c r="C3" s="1" t="s">
        <v>473</v>
      </c>
    </row>
    <row r="4" spans="1:3" x14ac:dyDescent="0.25">
      <c r="A4" s="96" t="s">
        <v>490</v>
      </c>
      <c r="B4" s="1" t="s">
        <v>495</v>
      </c>
      <c r="C4" s="1" t="s">
        <v>474</v>
      </c>
    </row>
    <row r="5" spans="1:3" x14ac:dyDescent="0.25">
      <c r="A5" s="96" t="s">
        <v>491</v>
      </c>
      <c r="B5" s="1" t="s">
        <v>495</v>
      </c>
      <c r="C5" s="1" t="s">
        <v>475</v>
      </c>
    </row>
    <row r="6" spans="1:3" x14ac:dyDescent="0.25">
      <c r="A6" s="96" t="s">
        <v>492</v>
      </c>
      <c r="B6" s="1" t="s">
        <v>495</v>
      </c>
      <c r="C6" s="1" t="s">
        <v>476</v>
      </c>
    </row>
    <row r="7" spans="1:3" x14ac:dyDescent="0.25">
      <c r="A7" s="96" t="s">
        <v>1543</v>
      </c>
      <c r="B7" s="1" t="s">
        <v>495</v>
      </c>
      <c r="C7" s="1" t="s">
        <v>477</v>
      </c>
    </row>
    <row r="8" spans="1:3" x14ac:dyDescent="0.25">
      <c r="A8" s="96" t="s">
        <v>1544</v>
      </c>
      <c r="B8" s="1" t="s">
        <v>495</v>
      </c>
      <c r="C8" s="1" t="s">
        <v>478</v>
      </c>
    </row>
    <row r="9" spans="1:3" x14ac:dyDescent="0.25">
      <c r="A9" s="96" t="s">
        <v>1545</v>
      </c>
      <c r="B9" s="1" t="s">
        <v>495</v>
      </c>
      <c r="C9" s="1" t="s">
        <v>479</v>
      </c>
    </row>
    <row r="10" spans="1:3" x14ac:dyDescent="0.25">
      <c r="A10" s="96" t="s">
        <v>1546</v>
      </c>
      <c r="B10" s="1" t="s">
        <v>495</v>
      </c>
      <c r="C10" s="1" t="s">
        <v>480</v>
      </c>
    </row>
    <row r="11" spans="1:3" x14ac:dyDescent="0.25">
      <c r="A11" s="96" t="s">
        <v>487</v>
      </c>
      <c r="B11" s="1" t="s">
        <v>495</v>
      </c>
      <c r="C11" s="1" t="s">
        <v>481</v>
      </c>
    </row>
    <row r="12" spans="1:3" x14ac:dyDescent="0.25">
      <c r="A12" s="96" t="s">
        <v>486</v>
      </c>
      <c r="B12" s="1" t="s">
        <v>495</v>
      </c>
      <c r="C12" s="1" t="s">
        <v>482</v>
      </c>
    </row>
    <row r="13" spans="1:3" x14ac:dyDescent="0.25">
      <c r="A13" s="96" t="s">
        <v>485</v>
      </c>
      <c r="B13" s="1" t="s">
        <v>495</v>
      </c>
      <c r="C13" s="1" t="s">
        <v>483</v>
      </c>
    </row>
    <row r="14" spans="1:3" x14ac:dyDescent="0.25">
      <c r="A14" s="96" t="s">
        <v>1553</v>
      </c>
      <c r="B14" s="1" t="s">
        <v>495</v>
      </c>
      <c r="C14" s="1" t="s">
        <v>484</v>
      </c>
    </row>
    <row r="15" spans="1:3" x14ac:dyDescent="0.25">
      <c r="A15" s="95" t="s">
        <v>511</v>
      </c>
      <c r="B15" s="1" t="s">
        <v>494</v>
      </c>
      <c r="C15" s="1" t="s">
        <v>493</v>
      </c>
    </row>
    <row r="16" spans="1:3" x14ac:dyDescent="0.25">
      <c r="A16" s="95" t="s">
        <v>510</v>
      </c>
      <c r="B16" s="1" t="s">
        <v>494</v>
      </c>
      <c r="C16" s="1" t="s">
        <v>496</v>
      </c>
    </row>
    <row r="17" spans="1:3" x14ac:dyDescent="0.25">
      <c r="A17" s="95" t="s">
        <v>513</v>
      </c>
      <c r="B17" s="1" t="s">
        <v>494</v>
      </c>
      <c r="C17" s="1" t="s">
        <v>497</v>
      </c>
    </row>
    <row r="18" spans="1:3" x14ac:dyDescent="0.25">
      <c r="A18" s="95" t="s">
        <v>512</v>
      </c>
      <c r="B18" s="1" t="s">
        <v>494</v>
      </c>
      <c r="C18" s="1" t="s">
        <v>498</v>
      </c>
    </row>
    <row r="19" spans="1:3" x14ac:dyDescent="0.25">
      <c r="A19" s="95" t="s">
        <v>514</v>
      </c>
      <c r="B19" s="1" t="s">
        <v>494</v>
      </c>
      <c r="C19" s="1" t="s">
        <v>499</v>
      </c>
    </row>
    <row r="20" spans="1:3" x14ac:dyDescent="0.25">
      <c r="A20" s="95" t="s">
        <v>515</v>
      </c>
      <c r="B20" s="1" t="s">
        <v>494</v>
      </c>
      <c r="C20" s="1" t="s">
        <v>500</v>
      </c>
    </row>
    <row r="21" spans="1:3" x14ac:dyDescent="0.25">
      <c r="A21" s="95" t="s">
        <v>516</v>
      </c>
      <c r="B21" s="1" t="s">
        <v>494</v>
      </c>
      <c r="C21" s="1" t="s">
        <v>501</v>
      </c>
    </row>
    <row r="22" spans="1:3" ht="30" x14ac:dyDescent="0.25">
      <c r="A22" s="95" t="s">
        <v>517</v>
      </c>
      <c r="B22" s="1" t="s">
        <v>494</v>
      </c>
      <c r="C22" s="1" t="s">
        <v>502</v>
      </c>
    </row>
    <row r="23" spans="1:3" ht="30" x14ac:dyDescent="0.25">
      <c r="A23" s="95" t="s">
        <v>518</v>
      </c>
      <c r="B23" s="1" t="s">
        <v>494</v>
      </c>
      <c r="C23" s="1" t="s">
        <v>503</v>
      </c>
    </row>
    <row r="24" spans="1:3" x14ac:dyDescent="0.25">
      <c r="A24" s="95" t="s">
        <v>519</v>
      </c>
      <c r="B24" s="1" t="s">
        <v>494</v>
      </c>
      <c r="C24" s="1" t="s">
        <v>504</v>
      </c>
    </row>
    <row r="25" spans="1:3" x14ac:dyDescent="0.25">
      <c r="A25" s="95" t="s">
        <v>520</v>
      </c>
      <c r="B25" s="1" t="s">
        <v>494</v>
      </c>
      <c r="C25" s="1" t="s">
        <v>505</v>
      </c>
    </row>
    <row r="26" spans="1:3" x14ac:dyDescent="0.25">
      <c r="A26" s="95" t="s">
        <v>521</v>
      </c>
      <c r="B26" s="1" t="s">
        <v>494</v>
      </c>
      <c r="C26" s="1" t="s">
        <v>506</v>
      </c>
    </row>
    <row r="27" spans="1:3" x14ac:dyDescent="0.25">
      <c r="A27" s="95" t="s">
        <v>1554</v>
      </c>
      <c r="B27" s="1" t="s">
        <v>494</v>
      </c>
      <c r="C27" s="1" t="s">
        <v>507</v>
      </c>
    </row>
    <row r="28" spans="1:3" x14ac:dyDescent="0.25">
      <c r="A28" s="95" t="s">
        <v>1555</v>
      </c>
      <c r="B28" s="1" t="s">
        <v>494</v>
      </c>
      <c r="C28" s="1" t="s">
        <v>508</v>
      </c>
    </row>
    <row r="29" spans="1:3" x14ac:dyDescent="0.25">
      <c r="A29" s="95" t="s">
        <v>1556</v>
      </c>
      <c r="B29" s="1" t="s">
        <v>494</v>
      </c>
      <c r="C29" s="1" t="s">
        <v>509</v>
      </c>
    </row>
  </sheetData>
  <pageMargins left="0.7" right="0.7" top="0.75" bottom="0.75" header="0.3" footer="0.3"/>
  <pageSetup paperSize="9" orientation="portrait" r:id="rId1"/>
  <customProperties>
    <customPr name="GUID" r:id="rId2"/>
  </customProperties>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3"/>
  <dimension ref="A1:L67"/>
  <sheetViews>
    <sheetView topLeftCell="A43" zoomScale="85" zoomScaleNormal="85" workbookViewId="0">
      <selection activeCell="B63" sqref="B63"/>
    </sheetView>
    <sheetView workbookViewId="1"/>
  </sheetViews>
  <sheetFormatPr defaultRowHeight="15" x14ac:dyDescent="0.25"/>
  <cols>
    <col min="1" max="1" width="28.28515625" customWidth="1"/>
    <col min="2" max="2" width="156.140625" bestFit="1" customWidth="1"/>
  </cols>
  <sheetData>
    <row r="1" spans="1:12" ht="15" customHeight="1" thickBot="1" x14ac:dyDescent="0.3">
      <c r="A1" s="149" t="s">
        <v>465</v>
      </c>
      <c r="B1" s="150" t="s">
        <v>466</v>
      </c>
      <c r="K1" t="s">
        <v>465</v>
      </c>
      <c r="L1" t="s">
        <v>466</v>
      </c>
    </row>
    <row r="2" spans="1:12" ht="15.75" thickBot="1" x14ac:dyDescent="0.3">
      <c r="A2" s="147">
        <v>120301</v>
      </c>
      <c r="B2" s="148" t="s">
        <v>1601</v>
      </c>
    </row>
    <row r="3" spans="1:12" ht="15.75" thickBot="1" x14ac:dyDescent="0.3">
      <c r="A3" s="147">
        <v>130208</v>
      </c>
      <c r="B3" s="148" t="s">
        <v>3275</v>
      </c>
    </row>
    <row r="4" spans="1:12" ht="15.75" thickBot="1" x14ac:dyDescent="0.3">
      <c r="A4" s="147">
        <v>130502</v>
      </c>
      <c r="B4" s="148" t="s">
        <v>1569</v>
      </c>
    </row>
    <row r="5" spans="1:12" ht="15.75" thickBot="1" x14ac:dyDescent="0.3">
      <c r="A5" s="147">
        <v>130507</v>
      </c>
      <c r="B5" s="148" t="s">
        <v>1572</v>
      </c>
    </row>
    <row r="6" spans="1:12" ht="15.75" thickBot="1" x14ac:dyDescent="0.3">
      <c r="A6" s="147">
        <v>130508</v>
      </c>
      <c r="B6" s="148" t="s">
        <v>3272</v>
      </c>
    </row>
    <row r="7" spans="1:12" ht="15.75" thickBot="1" x14ac:dyDescent="0.3">
      <c r="A7" s="147">
        <v>140603</v>
      </c>
      <c r="B7" s="148" t="s">
        <v>1591</v>
      </c>
    </row>
    <row r="8" spans="1:12" ht="15.75" thickBot="1" x14ac:dyDescent="0.3">
      <c r="A8" s="147">
        <v>150101</v>
      </c>
      <c r="B8" s="148" t="s">
        <v>1537</v>
      </c>
    </row>
    <row r="9" spans="1:12" ht="15.75" thickBot="1" x14ac:dyDescent="0.3">
      <c r="A9" s="147">
        <v>150102</v>
      </c>
      <c r="B9" s="148" t="s">
        <v>1575</v>
      </c>
    </row>
    <row r="10" spans="1:12" ht="15.75" thickBot="1" x14ac:dyDescent="0.3">
      <c r="A10" s="147">
        <v>150103</v>
      </c>
      <c r="B10" s="148" t="s">
        <v>1605</v>
      </c>
    </row>
    <row r="11" spans="1:12" ht="15.75" thickBot="1" x14ac:dyDescent="0.3">
      <c r="A11" s="147">
        <v>150110</v>
      </c>
      <c r="B11" s="148" t="s">
        <v>1542</v>
      </c>
    </row>
    <row r="12" spans="1:12" ht="15.75" thickBot="1" x14ac:dyDescent="0.3">
      <c r="A12" s="147">
        <v>150111</v>
      </c>
      <c r="B12" s="148" t="s">
        <v>1548</v>
      </c>
    </row>
    <row r="13" spans="1:12" ht="15.75" thickBot="1" x14ac:dyDescent="0.3">
      <c r="A13" s="147">
        <v>150202</v>
      </c>
      <c r="B13" s="148" t="s">
        <v>1547</v>
      </c>
    </row>
    <row r="14" spans="1:12" ht="15.75" thickBot="1" x14ac:dyDescent="0.3">
      <c r="A14" s="147">
        <v>150203</v>
      </c>
      <c r="B14" s="148" t="s">
        <v>1550</v>
      </c>
    </row>
    <row r="15" spans="1:12" ht="15.75" thickBot="1" x14ac:dyDescent="0.3">
      <c r="A15" s="147">
        <v>160103</v>
      </c>
      <c r="B15" s="148" t="s">
        <v>1582</v>
      </c>
    </row>
    <row r="16" spans="1:12" ht="15.75" thickBot="1" x14ac:dyDescent="0.3">
      <c r="A16" s="147">
        <v>160104</v>
      </c>
      <c r="B16" s="148" t="s">
        <v>1584</v>
      </c>
    </row>
    <row r="17" spans="1:2" ht="15.75" thickBot="1" x14ac:dyDescent="0.3">
      <c r="A17" s="147">
        <v>160106</v>
      </c>
      <c r="B17" s="148" t="s">
        <v>1592</v>
      </c>
    </row>
    <row r="18" spans="1:2" ht="15.75" thickBot="1" x14ac:dyDescent="0.3">
      <c r="A18" s="147">
        <v>160107</v>
      </c>
      <c r="B18" s="148" t="s">
        <v>1551</v>
      </c>
    </row>
    <row r="19" spans="1:2" ht="15.75" thickBot="1" x14ac:dyDescent="0.3">
      <c r="A19" s="147">
        <v>160112</v>
      </c>
      <c r="B19" s="148" t="s">
        <v>1552</v>
      </c>
    </row>
    <row r="20" spans="1:2" ht="15.75" thickBot="1" x14ac:dyDescent="0.3">
      <c r="A20" s="147">
        <v>160117</v>
      </c>
      <c r="B20" s="148" t="s">
        <v>1557</v>
      </c>
    </row>
    <row r="21" spans="1:2" ht="15.75" thickBot="1" x14ac:dyDescent="0.3">
      <c r="A21" s="147">
        <v>160118</v>
      </c>
      <c r="B21" s="148" t="s">
        <v>3269</v>
      </c>
    </row>
    <row r="22" spans="1:2" ht="15.75" thickBot="1" x14ac:dyDescent="0.3">
      <c r="A22" s="147">
        <v>160119</v>
      </c>
      <c r="B22" s="148" t="s">
        <v>1560</v>
      </c>
    </row>
    <row r="23" spans="1:2" ht="15.75" thickBot="1" x14ac:dyDescent="0.3">
      <c r="A23" s="147">
        <v>160120</v>
      </c>
      <c r="B23" s="148" t="s">
        <v>1561</v>
      </c>
    </row>
    <row r="24" spans="1:2" ht="15.75" thickBot="1" x14ac:dyDescent="0.3">
      <c r="A24" s="147">
        <v>160121</v>
      </c>
      <c r="B24" s="148" t="s">
        <v>1576</v>
      </c>
    </row>
    <row r="25" spans="1:2" ht="15.75" thickBot="1" x14ac:dyDescent="0.3">
      <c r="A25" s="147">
        <v>160121</v>
      </c>
      <c r="B25" s="148" t="s">
        <v>3249</v>
      </c>
    </row>
    <row r="26" spans="1:2" ht="15.75" thickBot="1" x14ac:dyDescent="0.3">
      <c r="A26" s="147">
        <v>160122</v>
      </c>
      <c r="B26" s="148" t="s">
        <v>3250</v>
      </c>
    </row>
    <row r="27" spans="1:2" ht="15.75" thickBot="1" x14ac:dyDescent="0.3">
      <c r="A27" s="147">
        <v>160199</v>
      </c>
      <c r="B27" s="148" t="s">
        <v>1562</v>
      </c>
    </row>
    <row r="28" spans="1:2" ht="15.75" thickBot="1" x14ac:dyDescent="0.3">
      <c r="A28" s="147">
        <v>160214</v>
      </c>
      <c r="B28" s="148" t="s">
        <v>3280</v>
      </c>
    </row>
    <row r="29" spans="1:2" ht="15.75" thickBot="1" x14ac:dyDescent="0.3">
      <c r="A29" s="147">
        <v>160216</v>
      </c>
      <c r="B29" s="148" t="s">
        <v>3190</v>
      </c>
    </row>
    <row r="30" spans="1:2" ht="15.75" thickBot="1" x14ac:dyDescent="0.3">
      <c r="A30" s="147">
        <v>160216</v>
      </c>
      <c r="B30" s="148" t="s">
        <v>3253</v>
      </c>
    </row>
    <row r="31" spans="1:2" ht="15.75" thickBot="1" x14ac:dyDescent="0.3">
      <c r="A31" s="147">
        <v>160504</v>
      </c>
      <c r="B31" s="148" t="s">
        <v>3266</v>
      </c>
    </row>
    <row r="32" spans="1:2" ht="15.75" thickBot="1" x14ac:dyDescent="0.3">
      <c r="A32" s="147">
        <v>160601</v>
      </c>
      <c r="B32" s="148" t="s">
        <v>1563</v>
      </c>
    </row>
    <row r="33" spans="1:2" ht="15.75" thickBot="1" x14ac:dyDescent="0.3">
      <c r="A33" s="147">
        <v>170107</v>
      </c>
      <c r="B33" s="148" t="s">
        <v>3267</v>
      </c>
    </row>
    <row r="34" spans="1:2" ht="15.75" thickBot="1" x14ac:dyDescent="0.3">
      <c r="A34" s="147">
        <v>170302</v>
      </c>
      <c r="B34" s="148" t="s">
        <v>3270</v>
      </c>
    </row>
    <row r="35" spans="1:2" ht="15.75" thickBot="1" x14ac:dyDescent="0.3">
      <c r="A35" s="147">
        <v>180101</v>
      </c>
      <c r="B35" s="148" t="s">
        <v>3255</v>
      </c>
    </row>
    <row r="36" spans="1:2" ht="15.75" thickBot="1" x14ac:dyDescent="0.3">
      <c r="A36" s="147">
        <v>180103</v>
      </c>
      <c r="B36" s="148" t="s">
        <v>3256</v>
      </c>
    </row>
    <row r="37" spans="1:2" ht="15.75" thickBot="1" x14ac:dyDescent="0.3">
      <c r="A37" s="147">
        <v>190805</v>
      </c>
      <c r="B37" s="148" t="s">
        <v>1577</v>
      </c>
    </row>
    <row r="38" spans="1:2" ht="15.75" thickBot="1" x14ac:dyDescent="0.3">
      <c r="A38" s="147">
        <v>200101</v>
      </c>
      <c r="B38" s="148" t="s">
        <v>1597</v>
      </c>
    </row>
    <row r="39" spans="1:2" ht="15.75" thickBot="1" x14ac:dyDescent="0.3">
      <c r="A39" s="147">
        <v>200102</v>
      </c>
      <c r="B39" s="148" t="s">
        <v>1561</v>
      </c>
    </row>
    <row r="40" spans="1:2" ht="15.75" thickBot="1" x14ac:dyDescent="0.3">
      <c r="A40" s="147">
        <v>200121</v>
      </c>
      <c r="B40" s="148" t="s">
        <v>1564</v>
      </c>
    </row>
    <row r="41" spans="1:2" ht="15.75" thickBot="1" x14ac:dyDescent="0.3">
      <c r="A41" s="147">
        <v>200125</v>
      </c>
      <c r="B41" s="148" t="s">
        <v>1565</v>
      </c>
    </row>
    <row r="42" spans="1:2" ht="15.75" thickBot="1" x14ac:dyDescent="0.3">
      <c r="A42" s="147">
        <v>200127</v>
      </c>
      <c r="B42" s="148" t="s">
        <v>3263</v>
      </c>
    </row>
    <row r="43" spans="1:2" ht="15.75" thickBot="1" x14ac:dyDescent="0.3">
      <c r="A43" s="147">
        <v>200136</v>
      </c>
      <c r="B43" s="148" t="s">
        <v>1568</v>
      </c>
    </row>
    <row r="44" spans="1:2" ht="15.75" thickBot="1" x14ac:dyDescent="0.3">
      <c r="A44" s="147">
        <v>200139</v>
      </c>
      <c r="B44" s="148" t="s">
        <v>3264</v>
      </c>
    </row>
    <row r="45" spans="1:2" ht="15.75" thickBot="1" x14ac:dyDescent="0.3">
      <c r="A45" s="147">
        <v>200140</v>
      </c>
      <c r="B45" s="148" t="s">
        <v>1658</v>
      </c>
    </row>
    <row r="46" spans="1:2" ht="15.75" thickBot="1" x14ac:dyDescent="0.3">
      <c r="A46" s="147">
        <v>200202</v>
      </c>
      <c r="B46" s="148" t="s">
        <v>3271</v>
      </c>
    </row>
    <row r="47" spans="1:2" ht="15.75" thickBot="1" x14ac:dyDescent="0.3">
      <c r="A47" s="147">
        <v>200301</v>
      </c>
      <c r="B47" s="148" t="s">
        <v>1610</v>
      </c>
    </row>
    <row r="48" spans="1:2" ht="15.75" thickBot="1" x14ac:dyDescent="0.3">
      <c r="A48" s="147">
        <v>200306</v>
      </c>
      <c r="B48" s="148" t="s">
        <v>3268</v>
      </c>
    </row>
    <row r="49" spans="1:2" ht="15.75" thickBot="1" x14ac:dyDescent="0.3">
      <c r="A49" s="147">
        <v>200307</v>
      </c>
      <c r="B49" s="148" t="s">
        <v>3273</v>
      </c>
    </row>
    <row r="50" spans="1:2" ht="15.75" thickBot="1" x14ac:dyDescent="0.3">
      <c r="A50" s="147">
        <v>200399</v>
      </c>
      <c r="B50" s="148" t="s">
        <v>3274</v>
      </c>
    </row>
    <row r="51" spans="1:2" ht="15.75" thickBot="1" x14ac:dyDescent="0.3">
      <c r="A51" s="147">
        <v>202121</v>
      </c>
      <c r="B51" s="148" t="s">
        <v>3258</v>
      </c>
    </row>
    <row r="52" spans="1:2" ht="15.75" thickBot="1" x14ac:dyDescent="0.3">
      <c r="A52" s="321" t="s">
        <v>1579</v>
      </c>
      <c r="B52" s="148" t="s">
        <v>1580</v>
      </c>
    </row>
    <row r="53" spans="1:2" ht="15.75" thickBot="1" x14ac:dyDescent="0.3">
      <c r="A53" s="321" t="s">
        <v>3203</v>
      </c>
      <c r="B53" s="148" t="s">
        <v>3276</v>
      </c>
    </row>
    <row r="54" spans="1:2" ht="15.75" thickBot="1" x14ac:dyDescent="0.3">
      <c r="A54" s="147" t="s">
        <v>1588</v>
      </c>
      <c r="B54" s="148" t="s">
        <v>1589</v>
      </c>
    </row>
    <row r="55" spans="1:2" ht="15.75" thickBot="1" x14ac:dyDescent="0.3">
      <c r="A55" s="147" t="s">
        <v>3225</v>
      </c>
      <c r="B55" s="148" t="s">
        <v>3226</v>
      </c>
    </row>
    <row r="56" spans="1:2" ht="15.75" thickBot="1" x14ac:dyDescent="0.3">
      <c r="A56" s="147" t="s">
        <v>3204</v>
      </c>
      <c r="B56" s="148" t="s">
        <v>3279</v>
      </c>
    </row>
    <row r="57" spans="1:2" ht="15.75" thickBot="1" x14ac:dyDescent="0.3">
      <c r="A57" s="147" t="s">
        <v>3223</v>
      </c>
      <c r="B57" s="148" t="s">
        <v>1542</v>
      </c>
    </row>
    <row r="58" spans="1:2" ht="15.75" thickBot="1" x14ac:dyDescent="0.3">
      <c r="A58" s="147" t="s">
        <v>1868</v>
      </c>
      <c r="B58" s="148" t="s">
        <v>3259</v>
      </c>
    </row>
    <row r="59" spans="1:2" ht="15.75" thickBot="1" x14ac:dyDescent="0.3">
      <c r="A59" s="147" t="s">
        <v>1606</v>
      </c>
      <c r="B59" s="148" t="s">
        <v>1607</v>
      </c>
    </row>
    <row r="60" spans="1:2" ht="15.75" thickBot="1" x14ac:dyDescent="0.3">
      <c r="A60" s="147" t="s">
        <v>3205</v>
      </c>
      <c r="B60" s="148" t="s">
        <v>3278</v>
      </c>
    </row>
    <row r="61" spans="1:2" ht="15.75" thickBot="1" x14ac:dyDescent="0.3">
      <c r="A61" s="147" t="s">
        <v>1872</v>
      </c>
      <c r="B61" s="148" t="s">
        <v>3242</v>
      </c>
    </row>
    <row r="62" spans="1:2" ht="15.75" thickBot="1" x14ac:dyDescent="0.3">
      <c r="A62" s="147" t="s">
        <v>1873</v>
      </c>
      <c r="B62" s="148" t="s">
        <v>3260</v>
      </c>
    </row>
    <row r="63" spans="1:2" ht="15.75" thickBot="1" x14ac:dyDescent="0.3">
      <c r="A63" s="147" t="s">
        <v>3206</v>
      </c>
      <c r="B63" s="148" t="s">
        <v>3277</v>
      </c>
    </row>
    <row r="64" spans="1:2" ht="15.75" thickBot="1" x14ac:dyDescent="0.3">
      <c r="A64" s="147" t="s">
        <v>3240</v>
      </c>
      <c r="B64" s="148" t="s">
        <v>3241</v>
      </c>
    </row>
    <row r="65" spans="1:2" ht="15.75" thickBot="1" x14ac:dyDescent="0.3">
      <c r="A65" s="147" t="s">
        <v>3222</v>
      </c>
      <c r="B65" s="148" t="s">
        <v>1557</v>
      </c>
    </row>
    <row r="66" spans="1:2" ht="15.75" thickBot="1" x14ac:dyDescent="0.3">
      <c r="A66" s="147" t="s">
        <v>3224</v>
      </c>
      <c r="B66" s="148" t="s">
        <v>3004</v>
      </c>
    </row>
    <row r="67" spans="1:2" ht="15.75" thickBot="1" x14ac:dyDescent="0.3">
      <c r="A67" s="147" t="s">
        <v>1609</v>
      </c>
      <c r="B67" s="148" t="s">
        <v>3238</v>
      </c>
    </row>
  </sheetData>
  <pageMargins left="0.7" right="0.7" top="0.75" bottom="0.75" header="0.3" footer="0.3"/>
  <customProperties>
    <customPr name="GUID" r:id="rId1"/>
  </customProperties>
  <tableParts count="1">
    <tablePart r:id="rId2"/>
  </tablePar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4"/>
  <dimension ref="B6:X49"/>
  <sheetViews>
    <sheetView topLeftCell="A16" workbookViewId="0">
      <selection activeCell="C48" sqref="C48"/>
    </sheetView>
    <sheetView workbookViewId="1"/>
  </sheetViews>
  <sheetFormatPr defaultRowHeight="15" x14ac:dyDescent="0.25"/>
  <cols>
    <col min="2" max="2" width="56.28515625" customWidth="1"/>
    <col min="3" max="3" width="37.7109375" customWidth="1"/>
    <col min="4" max="4" width="36.85546875" customWidth="1"/>
    <col min="5" max="5" width="37.85546875" customWidth="1"/>
    <col min="6" max="6" width="24.42578125" customWidth="1"/>
    <col min="7" max="7" width="27.5703125" customWidth="1"/>
    <col min="8" max="8" width="41.7109375" customWidth="1"/>
    <col min="9" max="9" width="29.28515625" customWidth="1"/>
  </cols>
  <sheetData>
    <row r="6" spans="2:24" ht="15.75" thickBot="1" x14ac:dyDescent="0.3"/>
    <row r="7" spans="2:24" x14ac:dyDescent="0.25">
      <c r="B7" s="78" t="s">
        <v>118</v>
      </c>
      <c r="C7" s="79"/>
    </row>
    <row r="9" spans="2:24" x14ac:dyDescent="0.25">
      <c r="B9" s="516" t="str">
        <f>"Grupo Barraqueiro: "&amp;'Folha de Rosto'!C6&amp;" "&amp;'Folha de Rosto'!I6&amp;" - Emissões de GEE de Âmbito 3"</f>
        <v>Grupo Barraqueiro: PEGADA DE CARBONO 2022 - Emissões de GEE de Âmbito 3</v>
      </c>
      <c r="C9" s="516"/>
      <c r="D9" s="516"/>
      <c r="E9" s="516"/>
      <c r="F9" s="516"/>
      <c r="G9" s="516"/>
      <c r="H9" s="516"/>
      <c r="I9" s="516"/>
      <c r="J9" s="516"/>
      <c r="K9" s="516"/>
      <c r="L9" s="516"/>
      <c r="M9" s="516"/>
      <c r="N9" s="516"/>
      <c r="O9" s="516"/>
      <c r="P9" s="516"/>
      <c r="Q9" s="516"/>
      <c r="R9" s="516"/>
      <c r="S9" s="516"/>
      <c r="T9" s="516"/>
      <c r="U9" s="516"/>
      <c r="V9" s="516"/>
      <c r="W9" s="516"/>
      <c r="X9" s="516"/>
    </row>
    <row r="10" spans="2:24" ht="15.75" thickBot="1" x14ac:dyDescent="0.3"/>
    <row r="11" spans="2:24" ht="33.6" customHeight="1" thickBot="1" x14ac:dyDescent="0.3">
      <c r="B11" s="512" t="s">
        <v>119</v>
      </c>
      <c r="C11" s="512"/>
      <c r="D11" s="518" t="s">
        <v>522</v>
      </c>
      <c r="E11" s="518"/>
      <c r="F11" s="518"/>
      <c r="G11" s="518"/>
      <c r="H11" s="519"/>
      <c r="I11" s="519"/>
      <c r="J11" s="519"/>
      <c r="K11" s="519"/>
      <c r="L11" s="519"/>
      <c r="M11" s="519"/>
      <c r="N11" s="519"/>
      <c r="O11" s="519"/>
      <c r="P11" s="519"/>
      <c r="Q11" s="520"/>
    </row>
    <row r="12" spans="2:24" ht="60.95" customHeight="1" thickBot="1" x14ac:dyDescent="0.3">
      <c r="B12" s="512" t="s">
        <v>120</v>
      </c>
      <c r="C12" s="512"/>
      <c r="D12" s="521" t="s">
        <v>530</v>
      </c>
      <c r="E12" s="521"/>
      <c r="F12" s="521"/>
      <c r="G12" s="521"/>
      <c r="H12" s="522"/>
      <c r="I12" s="522"/>
      <c r="J12" s="522"/>
      <c r="K12" s="522"/>
      <c r="L12" s="522"/>
      <c r="M12" s="522"/>
      <c r="N12" s="522"/>
      <c r="O12" s="522"/>
      <c r="P12" s="522"/>
      <c r="Q12" s="523"/>
    </row>
    <row r="13" spans="2:24" ht="60.95" customHeight="1" thickBot="1" x14ac:dyDescent="0.3">
      <c r="B13" s="512" t="s">
        <v>121</v>
      </c>
      <c r="C13" s="512"/>
      <c r="D13" s="547" t="s">
        <v>1529</v>
      </c>
      <c r="E13" s="548"/>
      <c r="F13" s="548"/>
      <c r="G13" s="548"/>
      <c r="H13" s="548"/>
      <c r="I13" s="548"/>
      <c r="J13" s="548"/>
      <c r="K13" s="548"/>
      <c r="L13" s="548"/>
      <c r="M13" s="548"/>
      <c r="N13" s="548"/>
      <c r="O13" s="548"/>
      <c r="P13" s="548"/>
      <c r="Q13" s="557"/>
    </row>
    <row r="14" spans="2:24" ht="60.95" customHeight="1" thickBot="1" x14ac:dyDescent="0.3">
      <c r="B14" s="512" t="s">
        <v>122</v>
      </c>
      <c r="C14" s="512"/>
      <c r="D14" s="513" t="s">
        <v>123</v>
      </c>
      <c r="E14" s="513"/>
      <c r="F14" s="513"/>
      <c r="G14" s="513"/>
      <c r="H14" s="514"/>
      <c r="I14" s="514"/>
      <c r="J14" s="514"/>
      <c r="K14" s="514"/>
      <c r="L14" s="514"/>
      <c r="M14" s="514"/>
      <c r="N14" s="514"/>
      <c r="O14" s="514"/>
      <c r="P14" s="514"/>
      <c r="Q14" s="515"/>
    </row>
    <row r="15" spans="2:24" ht="60" customHeight="1" thickBot="1" x14ac:dyDescent="0.3">
      <c r="B15" s="512" t="s">
        <v>128</v>
      </c>
      <c r="C15" s="512"/>
      <c r="D15" s="547" t="s">
        <v>129</v>
      </c>
      <c r="E15" s="548"/>
      <c r="F15" s="548"/>
      <c r="G15" s="548"/>
      <c r="H15" s="548"/>
      <c r="I15" s="548"/>
      <c r="J15" s="548"/>
      <c r="K15" s="548"/>
      <c r="L15" s="548"/>
      <c r="M15" s="548"/>
      <c r="N15" s="548"/>
      <c r="O15" s="548"/>
      <c r="P15" s="548"/>
      <c r="Q15" s="513"/>
    </row>
    <row r="17" spans="2:24" x14ac:dyDescent="0.25">
      <c r="B17" s="516" t="s">
        <v>1814</v>
      </c>
      <c r="C17" s="516"/>
      <c r="D17" s="516"/>
      <c r="E17" s="516"/>
      <c r="F17" s="516"/>
      <c r="G17" s="516"/>
      <c r="H17" s="516"/>
      <c r="I17" s="516"/>
      <c r="J17" s="516"/>
      <c r="K17" s="516"/>
      <c r="L17" s="516"/>
      <c r="M17" s="516"/>
      <c r="N17" s="516"/>
      <c r="O17" s="516"/>
      <c r="P17" s="516"/>
      <c r="Q17" s="516"/>
      <c r="R17" s="516"/>
      <c r="S17" s="516"/>
      <c r="T17" s="516"/>
      <c r="U17" s="516"/>
      <c r="V17" s="516"/>
      <c r="W17" s="516"/>
      <c r="X17" s="516"/>
    </row>
    <row r="18" spans="2:24" x14ac:dyDescent="0.25">
      <c r="B18" t="s">
        <v>130</v>
      </c>
    </row>
    <row r="20" spans="2:24" x14ac:dyDescent="0.25">
      <c r="B20" s="81" t="s">
        <v>135</v>
      </c>
    </row>
    <row r="21" spans="2:24" x14ac:dyDescent="0.25">
      <c r="B21" s="517"/>
      <c r="C21" s="517"/>
      <c r="D21" s="517"/>
      <c r="E21" s="517"/>
      <c r="F21" s="517"/>
      <c r="G21" s="517"/>
      <c r="H21" s="517"/>
      <c r="I21" s="517"/>
      <c r="J21" s="517"/>
      <c r="K21" s="517"/>
      <c r="L21" s="517"/>
      <c r="M21" s="517"/>
      <c r="N21" s="517"/>
      <c r="O21" s="517"/>
      <c r="P21" s="517"/>
      <c r="Q21" s="517"/>
      <c r="R21" s="517"/>
      <c r="S21" s="517"/>
      <c r="T21" s="517"/>
      <c r="U21" s="517"/>
      <c r="V21" s="517"/>
    </row>
    <row r="22" spans="2:24" x14ac:dyDescent="0.25">
      <c r="B22" s="517"/>
      <c r="C22" s="517"/>
      <c r="D22" s="517"/>
      <c r="E22" s="517"/>
      <c r="F22" s="517"/>
      <c r="G22" s="517"/>
      <c r="H22" s="517"/>
      <c r="I22" s="517"/>
      <c r="J22" s="517"/>
      <c r="K22" s="517"/>
      <c r="L22" s="517"/>
      <c r="M22" s="517"/>
      <c r="N22" s="517"/>
      <c r="O22" s="517"/>
      <c r="P22" s="517"/>
      <c r="Q22" s="517"/>
      <c r="R22" s="517"/>
      <c r="S22" s="517"/>
      <c r="T22" s="517"/>
      <c r="U22" s="517"/>
      <c r="V22" s="517"/>
    </row>
    <row r="24" spans="2:24" ht="15" customHeight="1" x14ac:dyDescent="0.25">
      <c r="B24" s="81" t="s">
        <v>136</v>
      </c>
    </row>
    <row r="25" spans="2:24" x14ac:dyDescent="0.25">
      <c r="B25" s="517"/>
      <c r="C25" s="517"/>
      <c r="D25" s="517"/>
      <c r="E25" s="517"/>
      <c r="F25" s="517"/>
      <c r="G25" s="517"/>
      <c r="H25" s="517"/>
      <c r="I25" s="517"/>
      <c r="J25" s="517"/>
      <c r="K25" s="517"/>
      <c r="L25" s="517"/>
      <c r="M25" s="517"/>
      <c r="N25" s="517"/>
      <c r="O25" s="517"/>
      <c r="P25" s="517"/>
      <c r="Q25" s="517"/>
      <c r="R25" s="517"/>
      <c r="S25" s="517"/>
      <c r="T25" s="517"/>
      <c r="U25" s="517"/>
      <c r="V25" s="517"/>
    </row>
    <row r="26" spans="2:24" x14ac:dyDescent="0.25">
      <c r="B26" s="517"/>
      <c r="C26" s="517"/>
      <c r="D26" s="517"/>
      <c r="E26" s="517"/>
      <c r="F26" s="517"/>
      <c r="G26" s="517"/>
      <c r="H26" s="517"/>
      <c r="I26" s="517"/>
      <c r="J26" s="517"/>
      <c r="K26" s="517"/>
      <c r="L26" s="517"/>
      <c r="M26" s="517"/>
      <c r="N26" s="517"/>
      <c r="O26" s="517"/>
      <c r="P26" s="517"/>
      <c r="Q26" s="517"/>
      <c r="R26" s="517"/>
      <c r="S26" s="517"/>
      <c r="T26" s="517"/>
      <c r="U26" s="517"/>
      <c r="V26" s="517"/>
    </row>
    <row r="27" spans="2:24" ht="15.75" thickBot="1" x14ac:dyDescent="0.3"/>
    <row r="28" spans="2:24" s="94" customFormat="1" ht="30.75" customHeight="1" x14ac:dyDescent="0.25">
      <c r="B28" s="508" t="s">
        <v>131</v>
      </c>
      <c r="C28" s="508" t="s">
        <v>531</v>
      </c>
      <c r="D28" s="508" t="s">
        <v>533</v>
      </c>
      <c r="E28" s="508" t="s">
        <v>532</v>
      </c>
      <c r="F28" s="508" t="s">
        <v>141</v>
      </c>
      <c r="G28" s="508" t="s">
        <v>528</v>
      </c>
      <c r="H28" s="529" t="s">
        <v>134</v>
      </c>
    </row>
    <row r="29" spans="2:24" s="94" customFormat="1" ht="15" customHeight="1" thickBot="1" x14ac:dyDescent="0.3">
      <c r="B29" s="509"/>
      <c r="C29" s="509"/>
      <c r="D29" s="509"/>
      <c r="E29" s="509"/>
      <c r="F29" s="509"/>
      <c r="G29" s="509"/>
      <c r="H29" s="530"/>
    </row>
    <row r="30" spans="2:24" ht="15.75" thickBot="1" x14ac:dyDescent="0.3">
      <c r="B30" s="83" t="s">
        <v>535</v>
      </c>
      <c r="C30" s="83" t="s">
        <v>1616</v>
      </c>
      <c r="D30" s="152">
        <f t="array" ref="D30">SUMPRODUCT(IF('A3.9.2.1'!B$30:B$270='A3.9.2'!B30,1,0),IF('A3.9.2.1'!C$30:C$270='A3.9.2'!C30,1,0),IF('A3.9.2.1'!F$30:F$270='A3.9.2'!F30,1,0),IF('A3.9.2.1'!G$30:G$270='A3.9.2'!G30,1,0),'A3.9.2.1'!D$30:D$270)</f>
        <v>482.64245987605273</v>
      </c>
      <c r="E30" s="139">
        <f t="array" ref="E30">SUMPRODUCT(IF('A3.9.2.1'!B$30:B$270='A3.9.2'!B30,1,0),IF('A3.9.2.1'!C$30:C$270='A3.9.2'!C30,1,0),IF('A3.9.2.1'!F$30:F$270='A3.9.2'!F30,1,0),IF('A3.9.2.1'!G$30:G$270='A3.9.2'!G30,1,0),'A3.9.2.1'!E$30:E$270)</f>
        <v>482.64245987605273</v>
      </c>
      <c r="F30" s="85" t="s">
        <v>1618</v>
      </c>
      <c r="G30" s="91" t="s">
        <v>1619</v>
      </c>
      <c r="H30" s="91"/>
    </row>
    <row r="31" spans="2:24" ht="15.75" thickBot="1" x14ac:dyDescent="0.3">
      <c r="B31" s="83" t="s">
        <v>534</v>
      </c>
      <c r="C31" s="83" t="s">
        <v>1616</v>
      </c>
      <c r="D31" s="152">
        <f>D34+D37+D38+D39+D40+D41</f>
        <v>0</v>
      </c>
      <c r="E31" s="152">
        <f>E34+E37+E38+E39+E40+E41</f>
        <v>0</v>
      </c>
      <c r="F31" s="85" t="s">
        <v>1618</v>
      </c>
      <c r="G31" s="91" t="s">
        <v>1619</v>
      </c>
      <c r="H31" s="91"/>
    </row>
    <row r="32" spans="2:24" ht="15.75" thickBot="1" x14ac:dyDescent="0.3">
      <c r="B32" s="83" t="s">
        <v>534</v>
      </c>
      <c r="C32" s="83" t="s">
        <v>1616</v>
      </c>
      <c r="D32" s="152">
        <f>D36</f>
        <v>0</v>
      </c>
      <c r="E32" s="139">
        <f>D36:E36</f>
        <v>0</v>
      </c>
      <c r="F32" s="85" t="s">
        <v>1618</v>
      </c>
      <c r="G32" s="91" t="s">
        <v>1620</v>
      </c>
      <c r="H32" s="91"/>
    </row>
    <row r="33" spans="2:8" ht="15.75" thickBot="1" x14ac:dyDescent="0.3">
      <c r="B33" s="83" t="s">
        <v>534</v>
      </c>
      <c r="C33" s="83" t="s">
        <v>1617</v>
      </c>
      <c r="D33" s="152">
        <f>D35</f>
        <v>0</v>
      </c>
      <c r="E33" s="139">
        <f>E35</f>
        <v>0</v>
      </c>
      <c r="F33" s="85" t="s">
        <v>1618</v>
      </c>
      <c r="G33" s="91" t="s">
        <v>1619</v>
      </c>
      <c r="H33" s="91"/>
    </row>
    <row r="34" spans="2:8" ht="15.75" thickBot="1" x14ac:dyDescent="0.3">
      <c r="B34" s="83" t="s">
        <v>543</v>
      </c>
      <c r="C34" s="83" t="s">
        <v>1616</v>
      </c>
      <c r="D34" s="152">
        <f t="array" ref="D34">SUMPRODUCT(IF('A3.9.2.1'!B$30:B$270='A3.9.2'!B34,1,0),IF('A3.9.2.1'!C$30:C$270='A3.9.2'!C34,1,0),IF('A3.9.2.1'!F$30:F$270='A3.9.2'!F34,1,0),IF('A3.9.2.1'!G$30:G$270='A3.9.2'!G34,1,0),'A3.9.2.1'!D$30:D$270)</f>
        <v>0</v>
      </c>
      <c r="E34" s="139">
        <f t="array" ref="E34">SUMPRODUCT(IF('A3.9.2.1'!B$30:B$270='A3.9.2'!B34,1,0),IF('A3.9.2.1'!C$30:C$270='A3.9.2'!C34,1,0),IF('A3.9.2.1'!F$30:F$270='A3.9.2'!F34,1,0),IF('A3.9.2.1'!G$30:G$270='A3.9.2'!G34,1,0),'A3.9.2.1'!E$30:E$270)</f>
        <v>0</v>
      </c>
      <c r="F34" s="85" t="s">
        <v>1618</v>
      </c>
      <c r="G34" s="91" t="s">
        <v>1619</v>
      </c>
      <c r="H34" s="91"/>
    </row>
    <row r="35" spans="2:8" ht="15.75" thickBot="1" x14ac:dyDescent="0.3">
      <c r="B35" s="83" t="s">
        <v>543</v>
      </c>
      <c r="C35" s="83" t="s">
        <v>1617</v>
      </c>
      <c r="D35" s="152">
        <f t="array" ref="D35">SUMPRODUCT(IF('A3.9.2.1'!B$30:B$270='A3.9.2'!B35,1,0),IF('A3.9.2.1'!C$30:C$270='A3.9.2'!C35,1,0),IF('A3.9.2.1'!F$30:F$270='A3.9.2'!F35,1,0),IF('A3.9.2.1'!G$30:G$270='A3.9.2'!G35,1,0),'A3.9.2.1'!D$30:D$270)</f>
        <v>0</v>
      </c>
      <c r="E35" s="139">
        <f t="array" ref="E35">SUMPRODUCT(IF('A3.9.2.1'!B$30:B$270='A3.9.2'!B35,1,0),IF('A3.9.2.1'!C$30:C$270='A3.9.2'!C35,1,0),IF('A3.9.2.1'!F$30:F$270='A3.9.2'!F35,1,0),IF('A3.9.2.1'!G$30:G$270='A3.9.2'!G35,1,0),'A3.9.2.1'!E$30:E$270)</f>
        <v>0</v>
      </c>
      <c r="F35" s="85" t="s">
        <v>1618</v>
      </c>
      <c r="G35" s="91" t="s">
        <v>1619</v>
      </c>
      <c r="H35" s="91"/>
    </row>
    <row r="36" spans="2:8" ht="15.75" thickBot="1" x14ac:dyDescent="0.3">
      <c r="B36" s="83" t="s">
        <v>542</v>
      </c>
      <c r="C36" s="83" t="s">
        <v>1616</v>
      </c>
      <c r="D36" s="152">
        <f t="array" ref="D36">SUMPRODUCT(IF('A3.9.2.1'!B$30:B$270='A3.9.2'!B36,1,0),IF('A3.9.2.1'!C$30:C$270='A3.9.2'!C36,1,0),IF('A3.9.2.1'!F$30:F$270='A3.9.2'!F36,1,0),IF('A3.9.2.1'!G$30:G$270='A3.9.2'!G36,1,0),'A3.9.2.1'!D$30:D$270)</f>
        <v>0</v>
      </c>
      <c r="E36" s="139">
        <f t="array" ref="E36">SUMPRODUCT(IF('A3.9.2.1'!B$30:B$270='A3.9.2'!B36,1,0),IF('A3.9.2.1'!C$30:C$270='A3.9.2'!C36,1,0),IF('A3.9.2.1'!F$30:F$270='A3.9.2'!F36,1,0),IF('A3.9.2.1'!G$30:G$270='A3.9.2'!G36,1,0),'A3.9.2.1'!E$30:E$270)</f>
        <v>0</v>
      </c>
      <c r="F36" s="85" t="s">
        <v>1618</v>
      </c>
      <c r="G36" s="91" t="s">
        <v>1620</v>
      </c>
      <c r="H36" s="91"/>
    </row>
    <row r="37" spans="2:8" ht="15.75" thickBot="1" x14ac:dyDescent="0.3">
      <c r="B37" s="83" t="s">
        <v>544</v>
      </c>
      <c r="C37" s="83" t="s">
        <v>1616</v>
      </c>
      <c r="D37" s="152">
        <f t="array" ref="D37">SUMPRODUCT(IF('A3.9.2.1'!B$30:B$270='A3.9.2'!B37,1,0),IF('A3.9.2.1'!C$30:C$270='A3.9.2'!C37,1,0),IF('A3.9.2.1'!F$30:F$270='A3.9.2'!F37,1,0),IF('A3.9.2.1'!G$30:G$270='A3.9.2'!G37,1,0),'A3.9.2.1'!D$30:D$270)</f>
        <v>0</v>
      </c>
      <c r="E37" s="139">
        <f t="array" ref="E37">SUMPRODUCT(IF('A3.9.2.1'!B$30:B$270='A3.9.2'!B37,1,0),IF('A3.9.2.1'!C$30:C$270='A3.9.2'!C37,1,0),IF('A3.9.2.1'!F$30:F$270='A3.9.2'!F37,1,0),IF('A3.9.2.1'!G$30:G$270='A3.9.2'!G37,1,0),'A3.9.2.1'!E$30:E$270)</f>
        <v>0</v>
      </c>
      <c r="F37" s="85" t="s">
        <v>1618</v>
      </c>
      <c r="G37" s="91" t="s">
        <v>1619</v>
      </c>
      <c r="H37" s="91"/>
    </row>
    <row r="38" spans="2:8" ht="15.75" thickBot="1" x14ac:dyDescent="0.3">
      <c r="B38" s="83" t="s">
        <v>541</v>
      </c>
      <c r="C38" s="83" t="s">
        <v>1616</v>
      </c>
      <c r="D38" s="152">
        <f t="array" ref="D38">SUMPRODUCT(IF('A3.9.2.1'!B$30:B$270='A3.9.2'!B38,1,0),IF('A3.9.2.1'!C$30:C$270='A3.9.2'!C38,1,0),IF('A3.9.2.1'!F$30:F$270='A3.9.2'!F38,1,0),IF('A3.9.2.1'!G$30:G$270='A3.9.2'!G38,1,0),'A3.9.2.1'!D$30:D$270)</f>
        <v>0</v>
      </c>
      <c r="E38" s="139">
        <f t="array" ref="E38">SUMPRODUCT(IF('A3.9.2.1'!B$30:B$270='A3.9.2'!B38,1,0),IF('A3.9.2.1'!C$30:C$270='A3.9.2'!C38,1,0),IF('A3.9.2.1'!F$30:F$270='A3.9.2'!F38,1,0),IF('A3.9.2.1'!G$30:G$270='A3.9.2'!G38,1,0),'A3.9.2.1'!E$30:E$270)</f>
        <v>0</v>
      </c>
      <c r="F38" s="85" t="s">
        <v>1618</v>
      </c>
      <c r="G38" s="91" t="s">
        <v>1619</v>
      </c>
      <c r="H38" s="91"/>
    </row>
    <row r="39" spans="2:8" ht="15.75" thickBot="1" x14ac:dyDescent="0.3">
      <c r="B39" s="83" t="s">
        <v>1613</v>
      </c>
      <c r="C39" s="83" t="s">
        <v>1616</v>
      </c>
      <c r="D39" s="152">
        <f t="array" ref="D39">SUMPRODUCT(IF('A3.9.2.1'!B$30:B$270='A3.9.2'!B39,1,0),IF('A3.9.2.1'!C$30:C$270='A3.9.2'!C39,1,0),IF('A3.9.2.1'!F$30:F$270='A3.9.2'!F39,1,0),IF('A3.9.2.1'!G$30:G$270='A3.9.2'!G39,1,0),'A3.9.2.1'!D$30:D$270)</f>
        <v>0</v>
      </c>
      <c r="E39" s="139">
        <f t="array" ref="E39">SUMPRODUCT(IF('A3.9.2.1'!B$30:B$270='A3.9.2'!B39,1,0),IF('A3.9.2.1'!C$30:C$270='A3.9.2'!C39,1,0),IF('A3.9.2.1'!F$30:F$270='A3.9.2'!F39,1,0),IF('A3.9.2.1'!G$30:G$270='A3.9.2'!G39,1,0),'A3.9.2.1'!E$30:E$270)</f>
        <v>0</v>
      </c>
      <c r="F39" s="85" t="s">
        <v>1618</v>
      </c>
      <c r="G39" s="91" t="s">
        <v>1619</v>
      </c>
      <c r="H39" s="91"/>
    </row>
    <row r="40" spans="2:8" ht="15.75" thickBot="1" x14ac:dyDescent="0.3">
      <c r="B40" s="83" t="s">
        <v>1614</v>
      </c>
      <c r="C40" s="83" t="s">
        <v>1616</v>
      </c>
      <c r="D40" s="152">
        <f t="array" ref="D40">SUMPRODUCT(IF('A3.9.2.1'!B$30:B$270='A3.9.2'!B40,1,0),IF('A3.9.2.1'!C$30:C$270='A3.9.2'!C40,1,0),IF('A3.9.2.1'!F$30:F$270='A3.9.2'!F40,1,0),IF('A3.9.2.1'!G$30:G$270='A3.9.2'!G40,1,0),'A3.9.2.1'!D$30:D$270)</f>
        <v>0</v>
      </c>
      <c r="E40" s="139">
        <f t="array" ref="E40">SUMPRODUCT(IF('A3.9.2.1'!B$30:B$270='A3.9.2'!B40,1,0),IF('A3.9.2.1'!C$30:C$270='A3.9.2'!C40,1,0),IF('A3.9.2.1'!F$30:F$270='A3.9.2'!F40,1,0),IF('A3.9.2.1'!G$30:G$270='A3.9.2'!G40,1,0),'A3.9.2.1'!E$30:E$270)</f>
        <v>0</v>
      </c>
      <c r="F40" s="85" t="s">
        <v>1618</v>
      </c>
      <c r="G40" s="91" t="s">
        <v>1619</v>
      </c>
      <c r="H40" s="91" t="s">
        <v>1634</v>
      </c>
    </row>
    <row r="41" spans="2:8" ht="15.75" thickBot="1" x14ac:dyDescent="0.3">
      <c r="B41" s="83" t="s">
        <v>1615</v>
      </c>
      <c r="C41" s="83" t="s">
        <v>1616</v>
      </c>
      <c r="D41" s="152">
        <f t="array" ref="D41">SUMPRODUCT(IF('A3.9.2.1'!B$30:B$270='A3.9.2'!B41,1,0),IF('A3.9.2.1'!C$30:C$270='A3.9.2'!C41,1,0),IF('A3.9.2.1'!F$30:F$270='A3.9.2'!F41,1,0),IF('A3.9.2.1'!G$30:G$270='A3.9.2'!G41,1,0),'A3.9.2.1'!D$30:D$270)</f>
        <v>0</v>
      </c>
      <c r="E41" s="139">
        <f t="array" ref="E41">SUMPRODUCT(IF('A3.9.2.1'!B$30:B$270='A3.9.2'!B41,1,0),IF('A3.9.2.1'!C$30:C$270='A3.9.2'!C41,1,0),IF('A3.9.2.1'!F$30:F$270='A3.9.2'!F41,1,0),IF('A3.9.2.1'!G$30:G$270='A3.9.2'!G41,1,0),'A3.9.2.1'!E$30:E$270)</f>
        <v>0</v>
      </c>
      <c r="F41" s="85" t="s">
        <v>1618</v>
      </c>
      <c r="G41" s="91" t="s">
        <v>1619</v>
      </c>
      <c r="H41" s="91" t="s">
        <v>1633</v>
      </c>
    </row>
    <row r="42" spans="2:8" ht="15.75" thickBot="1" x14ac:dyDescent="0.3">
      <c r="B42" s="83" t="s">
        <v>1635</v>
      </c>
      <c r="C42" s="83" t="s">
        <v>1616</v>
      </c>
      <c r="D42" s="152">
        <f>D34+D40*0.2</f>
        <v>0</v>
      </c>
      <c r="E42" s="139">
        <f t="array" ref="E42">SUMPRODUCT(IF('A3.9.2.1'!B$30:B$270='A3.9.2'!B42,1,0),IF('A3.9.2.1'!C$30:C$270='A3.9.2'!C42,1,0),IF('A3.9.2.1'!F$30:F$270='A3.9.2'!F42,1,0),IF('A3.9.2.1'!G$30:G$270='A3.9.2'!G42,1,0),'A3.9.2.1'!E$30:E$270)</f>
        <v>0</v>
      </c>
      <c r="F42" s="85" t="s">
        <v>1618</v>
      </c>
      <c r="G42" s="91" t="s">
        <v>1619</v>
      </c>
      <c r="H42" s="91"/>
    </row>
    <row r="43" spans="2:8" ht="15.75" thickBot="1" x14ac:dyDescent="0.3">
      <c r="B43" s="83" t="s">
        <v>1636</v>
      </c>
      <c r="C43" s="83" t="s">
        <v>1616</v>
      </c>
      <c r="D43" s="152">
        <f>D40+D37+0.4*D41</f>
        <v>0</v>
      </c>
      <c r="E43" s="152">
        <f>E40+E37+0.4*E41</f>
        <v>0</v>
      </c>
      <c r="F43" s="85" t="s">
        <v>1618</v>
      </c>
      <c r="G43" s="91" t="s">
        <v>1619</v>
      </c>
      <c r="H43" s="91"/>
    </row>
    <row r="44" spans="2:8" ht="15.75" thickBot="1" x14ac:dyDescent="0.3">
      <c r="B44" s="83" t="s">
        <v>540</v>
      </c>
      <c r="C44" s="83" t="s">
        <v>1616</v>
      </c>
      <c r="D44" s="152">
        <f>0.15*D39</f>
        <v>0</v>
      </c>
      <c r="E44" s="152">
        <f>0.15*E39</f>
        <v>0</v>
      </c>
      <c r="F44" s="85" t="s">
        <v>1618</v>
      </c>
      <c r="G44" s="91" t="s">
        <v>1619</v>
      </c>
      <c r="H44" s="91"/>
    </row>
    <row r="45" spans="2:8" ht="15.75" thickBot="1" x14ac:dyDescent="0.3">
      <c r="B45" s="83" t="s">
        <v>545</v>
      </c>
      <c r="C45" s="83" t="s">
        <v>1616</v>
      </c>
      <c r="D45" s="152">
        <f>0.85*D39</f>
        <v>0</v>
      </c>
      <c r="E45" s="152">
        <f>0.85*E39</f>
        <v>0</v>
      </c>
      <c r="F45" s="85" t="s">
        <v>1618</v>
      </c>
      <c r="G45" s="91" t="s">
        <v>1619</v>
      </c>
      <c r="H45" s="91"/>
    </row>
    <row r="46" spans="2:8" ht="15.75" thickBot="1" x14ac:dyDescent="0.3">
      <c r="B46" s="83" t="s">
        <v>542</v>
      </c>
      <c r="C46" s="83" t="s">
        <v>1616</v>
      </c>
      <c r="D46" s="152">
        <f>D36</f>
        <v>0</v>
      </c>
      <c r="E46" s="152">
        <f>E36</f>
        <v>0</v>
      </c>
      <c r="F46" s="85" t="s">
        <v>1618</v>
      </c>
      <c r="G46" s="91" t="s">
        <v>1620</v>
      </c>
      <c r="H46" s="91"/>
    </row>
    <row r="47" spans="2:8" ht="15.75" thickBot="1" x14ac:dyDescent="0.3">
      <c r="B47" s="83" t="s">
        <v>542</v>
      </c>
      <c r="C47" s="83" t="s">
        <v>1616</v>
      </c>
      <c r="D47" s="152">
        <f>D40*0.4</f>
        <v>0</v>
      </c>
      <c r="E47" s="152">
        <f>E40*0.4</f>
        <v>0</v>
      </c>
      <c r="F47" s="85" t="s">
        <v>1618</v>
      </c>
      <c r="G47" s="91" t="s">
        <v>1619</v>
      </c>
      <c r="H47" s="91"/>
    </row>
    <row r="48" spans="2:8" ht="15.75" thickBot="1" x14ac:dyDescent="0.3">
      <c r="B48" s="82" t="s">
        <v>601</v>
      </c>
      <c r="C48" s="83" t="s">
        <v>1616</v>
      </c>
      <c r="D48" s="152">
        <v>344.5138879456706</v>
      </c>
      <c r="E48" s="152">
        <v>344.5138879456706</v>
      </c>
      <c r="F48" s="85" t="s">
        <v>1618</v>
      </c>
      <c r="G48" s="91" t="s">
        <v>1619</v>
      </c>
      <c r="H48" s="201" t="s">
        <v>1841</v>
      </c>
    </row>
    <row r="49" spans="2:8" ht="15.75" thickBot="1" x14ac:dyDescent="0.3">
      <c r="B49" s="82" t="s">
        <v>537</v>
      </c>
      <c r="C49" s="83" t="s">
        <v>1616</v>
      </c>
      <c r="D49" s="152">
        <v>229.67592529711374</v>
      </c>
      <c r="E49" s="152">
        <v>229.67592529711374</v>
      </c>
      <c r="F49" s="85" t="s">
        <v>1618</v>
      </c>
      <c r="G49" s="91" t="s">
        <v>1619</v>
      </c>
      <c r="H49" s="91" t="s">
        <v>1841</v>
      </c>
    </row>
  </sheetData>
  <mergeCells count="21">
    <mergeCell ref="B25:V26"/>
    <mergeCell ref="B28:B29"/>
    <mergeCell ref="C28:C29"/>
    <mergeCell ref="D28:D29"/>
    <mergeCell ref="E28:E29"/>
    <mergeCell ref="F28:F29"/>
    <mergeCell ref="G28:G29"/>
    <mergeCell ref="H28:H29"/>
    <mergeCell ref="B21:V22"/>
    <mergeCell ref="B9:X9"/>
    <mergeCell ref="B11:C11"/>
    <mergeCell ref="D11:Q11"/>
    <mergeCell ref="B12:C12"/>
    <mergeCell ref="D12:Q12"/>
    <mergeCell ref="B13:C13"/>
    <mergeCell ref="D13:Q13"/>
    <mergeCell ref="B14:C14"/>
    <mergeCell ref="D14:Q14"/>
    <mergeCell ref="B15:C15"/>
    <mergeCell ref="D15:Q15"/>
    <mergeCell ref="B17:X17"/>
  </mergeCells>
  <dataValidations count="3">
    <dataValidation type="list" allowBlank="1" showInputMessage="1" showErrorMessage="1" sqref="G30:G49">
      <formula1>"ETAR Rede Pública, ETAR Industrial Propietária"</formula1>
    </dataValidation>
    <dataValidation type="list" allowBlank="1" showInputMessage="1" showErrorMessage="1" sqref="F30:F49">
      <formula1>"m3 (metros cúbicos), l (litros), ton (toneladas)"</formula1>
    </dataValidation>
    <dataValidation type="list" allowBlank="1" showInputMessage="1" showErrorMessage="1" sqref="C30:C49">
      <mc:AlternateContent xmlns:x12ac="http://schemas.microsoft.com/office/spreadsheetml/2011/1/ac" xmlns:mc="http://schemas.openxmlformats.org/markup-compatibility/2006">
        <mc:Choice Requires="x12ac">
          <x12ac:list>Rede Pública," Captação (Furo, Poço, etc.)", Águas Pluviais</x12ac:list>
        </mc:Choice>
        <mc:Fallback>
          <formula1>"Rede Pública, Captação (Furo, Poço, etc.), Águas Pluviais"</formula1>
        </mc:Fallback>
      </mc:AlternateContent>
    </dataValidation>
  </dataValidations>
  <pageMargins left="0.7" right="0.7" top="0.75" bottom="0.75" header="0.3" footer="0.3"/>
  <customProperties>
    <customPr name="GUID" r:id="rId1"/>
  </customProperties>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5"/>
  <dimension ref="A1:Q52"/>
  <sheetViews>
    <sheetView zoomScale="70" zoomScaleNormal="70" workbookViewId="0">
      <selection activeCell="A3" sqref="A3"/>
    </sheetView>
    <sheetView workbookViewId="1">
      <selection sqref="A1:A2"/>
    </sheetView>
  </sheetViews>
  <sheetFormatPr defaultRowHeight="15" x14ac:dyDescent="0.25"/>
  <cols>
    <col min="1" max="2" width="67.7109375" bestFit="1" customWidth="1"/>
    <col min="3" max="3" width="56.28515625" customWidth="1"/>
    <col min="4" max="5" width="37.7109375" customWidth="1"/>
    <col min="6" max="8" width="36.85546875" customWidth="1"/>
    <col min="9" max="9" width="37.85546875" customWidth="1"/>
    <col min="10" max="11" width="24.42578125" customWidth="1"/>
    <col min="12" max="12" width="27.5703125" customWidth="1"/>
    <col min="13" max="13" width="37.28515625" bestFit="1" customWidth="1"/>
    <col min="14" max="14" width="83.140625" bestFit="1" customWidth="1"/>
    <col min="15" max="15" width="20.5703125" customWidth="1"/>
    <col min="16" max="16" width="13.42578125" customWidth="1"/>
  </cols>
  <sheetData>
    <row r="1" spans="1:17" s="89" customFormat="1" ht="30.75" customHeight="1" thickBot="1" x14ac:dyDescent="0.3">
      <c r="A1" s="529" t="s">
        <v>1851</v>
      </c>
      <c r="B1" s="529" t="s">
        <v>131</v>
      </c>
      <c r="C1" s="529" t="s">
        <v>1852</v>
      </c>
      <c r="D1" s="529" t="s">
        <v>531</v>
      </c>
      <c r="E1" s="398" t="s">
        <v>1856</v>
      </c>
      <c r="F1" s="529" t="s">
        <v>533</v>
      </c>
      <c r="G1" s="398" t="s">
        <v>3922</v>
      </c>
      <c r="H1" s="398" t="s">
        <v>3923</v>
      </c>
      <c r="I1" s="529" t="s">
        <v>532</v>
      </c>
      <c r="J1" s="529" t="s">
        <v>141</v>
      </c>
      <c r="K1" s="529" t="s">
        <v>1889</v>
      </c>
      <c r="L1" s="529" t="s">
        <v>528</v>
      </c>
      <c r="M1" s="398" t="s">
        <v>1887</v>
      </c>
      <c r="N1" s="529" t="s">
        <v>134</v>
      </c>
      <c r="O1" s="528" t="s">
        <v>2831</v>
      </c>
      <c r="P1" s="528" t="s">
        <v>3628</v>
      </c>
      <c r="Q1" s="528" t="s">
        <v>3723</v>
      </c>
    </row>
    <row r="2" spans="1:17" s="89" customFormat="1" ht="15" customHeight="1" thickBot="1" x14ac:dyDescent="0.3">
      <c r="A2" s="530"/>
      <c r="B2" s="530"/>
      <c r="C2" s="530"/>
      <c r="D2" s="530"/>
      <c r="E2" s="399"/>
      <c r="F2" s="530"/>
      <c r="G2" s="399"/>
      <c r="H2" s="399"/>
      <c r="I2" s="530"/>
      <c r="J2" s="530"/>
      <c r="K2" s="530"/>
      <c r="L2" s="530"/>
      <c r="M2" s="399"/>
      <c r="N2" s="530"/>
      <c r="O2" s="528"/>
      <c r="P2" s="528"/>
      <c r="Q2" s="528"/>
    </row>
    <row r="3" spans="1:17" ht="30.75" thickBot="1" x14ac:dyDescent="0.3">
      <c r="A3" s="83" t="s">
        <v>4683</v>
      </c>
      <c r="B3" s="82" t="s">
        <v>4683</v>
      </c>
      <c r="C3" s="82" t="str">
        <f>IF(A3=B3,"X",RIGHT(A3,LEN(A3)-LEN(B3)-3))</f>
        <v>X</v>
      </c>
      <c r="D3" s="83" t="s">
        <v>1616</v>
      </c>
      <c r="E3" s="91">
        <v>2022</v>
      </c>
      <c r="F3" s="152">
        <f t="array" ref="F3">SUMPRODUCT(IF('A3.9.2.1'!B$30:B$270='A3.9.2 copy'!A3,1,0),IF('A3.9.2.1'!C$30:C$270='A3.9.2 copy'!D3,1,0),IF('A3.9.2.1'!F$30:F$270='A3.9.2 copy'!J3,1,0),IF('A3.9.2.1'!G$30:G$270='A3.9.2 copy'!L3,1,0),'A3.9.2.1'!D$30:D$270)</f>
        <v>0</v>
      </c>
      <c r="G3" s="139" t="s">
        <v>42</v>
      </c>
      <c r="H3" s="414">
        <v>1</v>
      </c>
      <c r="I3" s="139">
        <f t="array" ref="I3">SUMPRODUCT(IF('A3.9.2.1'!B$30:B$270='A3.9.2 copy'!A3,1,0),IF('A3.9.2.1'!C$30:C$270='A3.9.2 copy'!D3,1,0),IF('A3.9.2.1'!F$30:F$270='A3.9.2 copy'!J3,1,0),IF('A3.9.2.1'!G$30:G$270='A3.9.2 copy'!L3,1,0),'A3.9.2.1'!E$30:E$270)</f>
        <v>0</v>
      </c>
      <c r="J3" s="85" t="s">
        <v>1618</v>
      </c>
      <c r="K3" s="91" t="s">
        <v>1918</v>
      </c>
      <c r="L3" s="91" t="s">
        <v>1619</v>
      </c>
      <c r="M3" s="91" t="str">
        <f>"DEFRA: Água: Consumo + TAR: "&amp;TEXT(E3,"0000")</f>
        <v>DEFRA: Água: Consumo + TAR: 2022</v>
      </c>
      <c r="N3" s="91"/>
      <c r="O3" s="261" t="s">
        <v>3535</v>
      </c>
      <c r="P3" s="261" t="s">
        <v>3607</v>
      </c>
      <c r="Q3" t="s">
        <v>42</v>
      </c>
    </row>
    <row r="4" spans="1:17" ht="15.75" thickBot="1" x14ac:dyDescent="0.3">
      <c r="A4" s="83" t="s">
        <v>45</v>
      </c>
      <c r="B4" s="82" t="str">
        <f t="shared" ref="B4:B20" si="0">LEFT(A4,IFERROR(FIND(" - ",A4)-1,LEN(A4)))</f>
        <v>Barraqueiro Transportes, S.A.</v>
      </c>
      <c r="C4" s="82" t="str">
        <f t="shared" ref="C4:C52" si="1">IF(A4=B4,"X",RIGHT(A4,LEN(A4)-LEN(B4)-3))</f>
        <v>X</v>
      </c>
      <c r="D4" s="83" t="s">
        <v>1616</v>
      </c>
      <c r="E4" s="91">
        <v>2022</v>
      </c>
      <c r="F4" s="152">
        <f>F7+F10+F11+F12+F13+F14</f>
        <v>7004.1304695874205</v>
      </c>
      <c r="G4" s="139" t="s">
        <v>42</v>
      </c>
      <c r="H4" s="414">
        <v>1</v>
      </c>
      <c r="I4" s="152">
        <f>I7+I10+I11+I12+I13+I14</f>
        <v>7004.1304695874205</v>
      </c>
      <c r="J4" s="85" t="s">
        <v>1618</v>
      </c>
      <c r="K4" s="91" t="s">
        <v>1918</v>
      </c>
      <c r="L4" s="91" t="s">
        <v>1619</v>
      </c>
      <c r="M4" s="91" t="str">
        <f t="shared" ref="M4:M41" si="2">"DEFRA: Água: Consumo + TAR: "&amp;TEXT(E4,"0000")</f>
        <v>DEFRA: Água: Consumo + TAR: 2022</v>
      </c>
      <c r="N4" s="91"/>
      <c r="O4" s="261" t="s">
        <v>3535</v>
      </c>
      <c r="P4" s="261" t="s">
        <v>3607</v>
      </c>
      <c r="Q4" t="s">
        <v>42</v>
      </c>
    </row>
    <row r="5" spans="1:17" ht="15.75" customHeight="1" thickBot="1" x14ac:dyDescent="0.3">
      <c r="A5" s="83" t="s">
        <v>45</v>
      </c>
      <c r="B5" s="82" t="str">
        <f t="shared" si="0"/>
        <v>Barraqueiro Transportes, S.A.</v>
      </c>
      <c r="C5" s="82" t="str">
        <f t="shared" si="1"/>
        <v>X</v>
      </c>
      <c r="D5" s="83" t="s">
        <v>1616</v>
      </c>
      <c r="E5" s="91">
        <v>2022</v>
      </c>
      <c r="F5" s="152">
        <f>F9</f>
        <v>1378.4205128205128</v>
      </c>
      <c r="G5" s="139" t="s">
        <v>42</v>
      </c>
      <c r="H5" s="414">
        <v>1</v>
      </c>
      <c r="I5" s="139">
        <f>I9</f>
        <v>1378.4205128205128</v>
      </c>
      <c r="J5" s="85" t="s">
        <v>1618</v>
      </c>
      <c r="K5" s="91" t="s">
        <v>1918</v>
      </c>
      <c r="L5" s="415" t="s">
        <v>1620</v>
      </c>
      <c r="M5" s="415" t="str">
        <f t="shared" si="2"/>
        <v>DEFRA: Água: Consumo + TAR: 2022</v>
      </c>
      <c r="N5" s="91"/>
      <c r="O5" s="261" t="s">
        <v>3535</v>
      </c>
      <c r="P5" s="261" t="s">
        <v>3607</v>
      </c>
      <c r="Q5" t="s">
        <v>42</v>
      </c>
    </row>
    <row r="6" spans="1:17" ht="15.75" thickBot="1" x14ac:dyDescent="0.3">
      <c r="A6" s="83" t="s">
        <v>45</v>
      </c>
      <c r="B6" s="82" t="str">
        <f t="shared" si="0"/>
        <v>Barraqueiro Transportes, S.A.</v>
      </c>
      <c r="C6" s="82" t="str">
        <f t="shared" si="1"/>
        <v>X</v>
      </c>
      <c r="D6" s="83" t="s">
        <v>1617</v>
      </c>
      <c r="E6" s="91">
        <v>2022</v>
      </c>
      <c r="F6" s="152">
        <f>F8</f>
        <v>1188.3266129032259</v>
      </c>
      <c r="G6" s="139" t="s">
        <v>42</v>
      </c>
      <c r="H6" s="414">
        <v>1</v>
      </c>
      <c r="I6" s="139">
        <f>I8</f>
        <v>1188.3266129032259</v>
      </c>
      <c r="J6" s="85" t="s">
        <v>1618</v>
      </c>
      <c r="K6" s="91" t="s">
        <v>1918</v>
      </c>
      <c r="L6" s="91" t="s">
        <v>1619</v>
      </c>
      <c r="M6" s="91" t="str">
        <f t="shared" si="2"/>
        <v>DEFRA: Água: Consumo + TAR: 2022</v>
      </c>
      <c r="N6" s="91"/>
      <c r="O6" s="261" t="s">
        <v>3535</v>
      </c>
      <c r="P6" s="261" t="s">
        <v>3607</v>
      </c>
      <c r="Q6" t="s">
        <v>42</v>
      </c>
    </row>
    <row r="7" spans="1:17" ht="15.75" thickBot="1" x14ac:dyDescent="0.3">
      <c r="A7" s="83" t="s">
        <v>3510</v>
      </c>
      <c r="B7" s="82" t="str">
        <f t="shared" si="0"/>
        <v>Barraqueiro Transportes, S.A.</v>
      </c>
      <c r="C7" s="82" t="str">
        <f t="shared" si="1"/>
        <v>Boa Viagem</v>
      </c>
      <c r="D7" s="83" t="s">
        <v>1616</v>
      </c>
      <c r="E7" s="91">
        <v>2022</v>
      </c>
      <c r="F7" s="152">
        <f t="array" ref="F7">SUMPRODUCT(IF('A3.9.2.1'!B$30:B$270='A3.9.2 copy'!A7,1,0),IF('A3.9.2.1'!C$30:C$270='A3.9.2 copy'!D7,1,0),IF('A3.9.2.1'!F$30:F$270='A3.9.2 copy'!J7,1,0),IF('A3.9.2.1'!G$30:G$270='A3.9.2 copy'!L7,1,0),'A3.9.2.1'!D$30:D$270)</f>
        <v>700.27600111234699</v>
      </c>
      <c r="G7" s="139" t="s">
        <v>42</v>
      </c>
      <c r="H7" s="414">
        <v>1</v>
      </c>
      <c r="I7" s="139">
        <f t="array" ref="I7">SUMPRODUCT(IF('A3.9.2.1'!B$30:B$270='A3.9.2 copy'!A7,1,0),IF('A3.9.2.1'!C$30:C$270='A3.9.2 copy'!D7,1,0),IF('A3.9.2.1'!F$30:F$270='A3.9.2 copy'!J7,1,0),IF('A3.9.2.1'!G$30:G$270='A3.9.2 copy'!L7,1,0),'A3.9.2.1'!E$30:E$270)</f>
        <v>700.27600111234699</v>
      </c>
      <c r="J7" s="85" t="s">
        <v>1618</v>
      </c>
      <c r="K7" s="91" t="s">
        <v>1918</v>
      </c>
      <c r="L7" s="91" t="s">
        <v>1619</v>
      </c>
      <c r="M7" s="91" t="str">
        <f t="shared" si="2"/>
        <v>DEFRA: Água: Consumo + TAR: 2022</v>
      </c>
      <c r="N7" s="91"/>
      <c r="O7" s="261" t="s">
        <v>3535</v>
      </c>
      <c r="P7" s="261" t="s">
        <v>3607</v>
      </c>
      <c r="Q7" t="s">
        <v>42</v>
      </c>
    </row>
    <row r="8" spans="1:17" ht="15.75" thickBot="1" x14ac:dyDescent="0.3">
      <c r="A8" s="83" t="s">
        <v>3510</v>
      </c>
      <c r="B8" s="82" t="str">
        <f t="shared" si="0"/>
        <v>Barraqueiro Transportes, S.A.</v>
      </c>
      <c r="C8" s="82" t="str">
        <f t="shared" si="1"/>
        <v>Boa Viagem</v>
      </c>
      <c r="D8" s="83" t="s">
        <v>1617</v>
      </c>
      <c r="E8" s="91">
        <v>2022</v>
      </c>
      <c r="F8" s="152">
        <f t="array" ref="F8">SUMPRODUCT(IF('A3.9.2.1'!B$30:B$270='A3.9.2 copy'!A8,1,0),IF('A3.9.2.1'!C$30:C$270='A3.9.2 copy'!D8,1,0),IF('A3.9.2.1'!F$30:F$270='A3.9.2 copy'!J8,1,0),IF('A3.9.2.1'!G$30:G$270='A3.9.2 copy'!L8,1,0),'A3.9.2.1'!D$30:D$270)</f>
        <v>1188.3266129032259</v>
      </c>
      <c r="G8" s="139" t="s">
        <v>42</v>
      </c>
      <c r="H8" s="414">
        <v>1</v>
      </c>
      <c r="I8" s="139">
        <f t="array" ref="I8">SUMPRODUCT(IF('A3.9.2.1'!B$30:B$270='A3.9.2 copy'!A8,1,0),IF('A3.9.2.1'!C$30:C$270='A3.9.2 copy'!D8,1,0),IF('A3.9.2.1'!F$30:F$270='A3.9.2 copy'!J8,1,0),IF('A3.9.2.1'!G$30:G$270='A3.9.2 copy'!L8,1,0),'A3.9.2.1'!E$30:E$270)</f>
        <v>1188.3266129032259</v>
      </c>
      <c r="J8" s="85" t="s">
        <v>1618</v>
      </c>
      <c r="K8" s="91" t="s">
        <v>1918</v>
      </c>
      <c r="L8" s="91" t="s">
        <v>1619</v>
      </c>
      <c r="M8" s="91" t="str">
        <f t="shared" si="2"/>
        <v>DEFRA: Água: Consumo + TAR: 2022</v>
      </c>
      <c r="N8" s="91"/>
      <c r="O8" s="261" t="s">
        <v>3535</v>
      </c>
      <c r="P8" s="261" t="s">
        <v>3607</v>
      </c>
      <c r="Q8" t="s">
        <v>42</v>
      </c>
    </row>
    <row r="9" spans="1:17" ht="15.75" customHeight="1" thickBot="1" x14ac:dyDescent="0.3">
      <c r="A9" s="83" t="s">
        <v>3509</v>
      </c>
      <c r="B9" s="82" t="str">
        <f t="shared" si="0"/>
        <v>Barraqueiro Transportes, S.A.</v>
      </c>
      <c r="C9" s="82" t="str">
        <f t="shared" si="1"/>
        <v>Barraqueiro Oeste</v>
      </c>
      <c r="D9" s="83" t="s">
        <v>1616</v>
      </c>
      <c r="E9" s="91">
        <v>2022</v>
      </c>
      <c r="F9" s="152">
        <f t="array" ref="F9">SUMPRODUCT(IF('A3.9.2.1'!B$30:B$270='A3.9.2 copy'!A9,1,0),IF('A3.9.2.1'!C$30:C$270='A3.9.2 copy'!D9,1,0),IF('A3.9.2.1'!F$30:F$270='A3.9.2 copy'!J9,1,0),IF('A3.9.2.1'!G$30:G$270='A3.9.2 copy'!L9,1,0),'A3.9.2.1'!D$30:D$270)</f>
        <v>1378.4205128205128</v>
      </c>
      <c r="G9" s="139" t="s">
        <v>42</v>
      </c>
      <c r="H9" s="414">
        <v>1</v>
      </c>
      <c r="I9" s="139">
        <f t="array" ref="I9">SUMPRODUCT(IF('A3.9.2.1'!B$30:B$270='A3.9.2 copy'!A9,1,0),IF('A3.9.2.1'!C$30:C$270='A3.9.2 copy'!D9,1,0),IF('A3.9.2.1'!F$30:F$270='A3.9.2 copy'!J9,1,0),IF('A3.9.2.1'!G$30:G$270='A3.9.2 copy'!L9,1,0),'A3.9.2.1'!E$30:E$270)</f>
        <v>1378.4205128205128</v>
      </c>
      <c r="J9" s="85" t="s">
        <v>1618</v>
      </c>
      <c r="K9" s="91" t="s">
        <v>1918</v>
      </c>
      <c r="L9" s="415" t="s">
        <v>1620</v>
      </c>
      <c r="M9" s="415" t="str">
        <f t="shared" si="2"/>
        <v>DEFRA: Água: Consumo + TAR: 2022</v>
      </c>
      <c r="N9" s="91"/>
      <c r="O9" s="261" t="s">
        <v>3535</v>
      </c>
      <c r="P9" s="261" t="s">
        <v>3607</v>
      </c>
      <c r="Q9" t="s">
        <v>42</v>
      </c>
    </row>
    <row r="10" spans="1:17" ht="15.75" thickBot="1" x14ac:dyDescent="0.3">
      <c r="A10" s="83" t="s">
        <v>3506</v>
      </c>
      <c r="B10" s="82" t="str">
        <f t="shared" si="0"/>
        <v>Barraqueiro Transportes, S.A.</v>
      </c>
      <c r="C10" s="82" t="str">
        <f t="shared" si="1"/>
        <v>Mafrense</v>
      </c>
      <c r="D10" s="83" t="s">
        <v>1616</v>
      </c>
      <c r="E10" s="91">
        <v>2022</v>
      </c>
      <c r="F10" s="152">
        <f t="array" ref="F10">SUMPRODUCT(IF('A3.9.2.1'!B$30:B$270='A3.9.2 copy'!A10,1,0),IF('A3.9.2.1'!C$30:C$270='A3.9.2 copy'!D10,1,0),IF('A3.9.2.1'!F$30:F$270='A3.9.2 copy'!J10,1,0),IF('A3.9.2.1'!G$30:G$270='A3.9.2 copy'!L10,1,0),'A3.9.2.1'!D$30:D$270)</f>
        <v>1772.8888117930453</v>
      </c>
      <c r="G10" s="139" t="s">
        <v>42</v>
      </c>
      <c r="H10" s="414">
        <v>1</v>
      </c>
      <c r="I10" s="139">
        <f t="array" ref="I10">SUMPRODUCT(IF('A3.9.2.1'!B$30:B$270='A3.9.2 copy'!A10,1,0),IF('A3.9.2.1'!C$30:C$270='A3.9.2 copy'!D10,1,0),IF('A3.9.2.1'!F$30:F$270='A3.9.2 copy'!J10,1,0),IF('A3.9.2.1'!G$30:G$270='A3.9.2 copy'!L10,1,0),'A3.9.2.1'!E$30:E$270)</f>
        <v>1772.8888117930453</v>
      </c>
      <c r="J10" s="85" t="s">
        <v>1618</v>
      </c>
      <c r="K10" s="91" t="s">
        <v>1918</v>
      </c>
      <c r="L10" s="91" t="s">
        <v>1619</v>
      </c>
      <c r="M10" s="91" t="str">
        <f t="shared" si="2"/>
        <v>DEFRA: Água: Consumo + TAR: 2022</v>
      </c>
      <c r="N10" s="91"/>
      <c r="O10" s="261" t="s">
        <v>3535</v>
      </c>
      <c r="P10" s="261" t="s">
        <v>3607</v>
      </c>
      <c r="Q10" t="s">
        <v>42</v>
      </c>
    </row>
    <row r="11" spans="1:17" ht="15.75" thickBot="1" x14ac:dyDescent="0.3">
      <c r="A11" s="83" t="s">
        <v>3314</v>
      </c>
      <c r="B11" s="82" t="str">
        <f t="shared" si="0"/>
        <v>Barraqueiro Transportes, S.A.</v>
      </c>
      <c r="C11" s="82" t="str">
        <f t="shared" si="1"/>
        <v>Barraqueiro Alugueres</v>
      </c>
      <c r="D11" s="83" t="s">
        <v>1616</v>
      </c>
      <c r="E11" s="91">
        <v>2022</v>
      </c>
      <c r="F11" s="152">
        <f t="array" ref="F11">SUMPRODUCT(IF('A3.9.2.1'!B$30:B$270='A3.9.2 copy'!A11,1,0),IF('A3.9.2.1'!C$30:C$270='A3.9.2 copy'!D11,1,0),IF('A3.9.2.1'!F$30:F$270='A3.9.2 copy'!J11,1,0),IF('A3.9.2.1'!G$30:G$270='A3.9.2 copy'!L11,1,0),'A3.9.2.1'!D$30:D$270)</f>
        <v>26.35483870967742</v>
      </c>
      <c r="G11" s="139" t="s">
        <v>42</v>
      </c>
      <c r="H11" s="414">
        <v>1</v>
      </c>
      <c r="I11" s="139">
        <f t="array" ref="I11">SUMPRODUCT(IF('A3.9.2.1'!B$30:B$270='A3.9.2 copy'!A11,1,0),IF('A3.9.2.1'!C$30:C$270='A3.9.2 copy'!D11,1,0),IF('A3.9.2.1'!F$30:F$270='A3.9.2 copy'!J11,1,0),IF('A3.9.2.1'!G$30:G$270='A3.9.2 copy'!L11,1,0),'A3.9.2.1'!E$30:E$270)</f>
        <v>26.35483870967742</v>
      </c>
      <c r="J11" s="85" t="s">
        <v>1618</v>
      </c>
      <c r="K11" s="91" t="s">
        <v>1918</v>
      </c>
      <c r="L11" s="91" t="s">
        <v>1619</v>
      </c>
      <c r="M11" s="91" t="str">
        <f t="shared" si="2"/>
        <v>DEFRA: Água: Consumo + TAR: 2022</v>
      </c>
      <c r="N11" s="91"/>
      <c r="O11" s="261" t="s">
        <v>3535</v>
      </c>
      <c r="P11" s="261" t="s">
        <v>3607</v>
      </c>
      <c r="Q11" t="s">
        <v>42</v>
      </c>
    </row>
    <row r="12" spans="1:17" ht="15.75" thickBot="1" x14ac:dyDescent="0.3">
      <c r="A12" s="83" t="s">
        <v>3726</v>
      </c>
      <c r="B12" s="82" t="str">
        <f t="shared" si="0"/>
        <v>Barraqueiro Transportes, S.A.</v>
      </c>
      <c r="C12" s="82" t="str">
        <f t="shared" si="1"/>
        <v>Sede + Estremadura</v>
      </c>
      <c r="D12" s="83" t="s">
        <v>1616</v>
      </c>
      <c r="E12" s="91">
        <v>2022</v>
      </c>
      <c r="F12" s="152">
        <f t="array" ref="F12">SUMPRODUCT(IF('A3.9.2.1'!B$30:B$270='A3.9.2 copy'!A12,1,0),IF('A3.9.2.1'!C$30:C$270='A3.9.2 copy'!D12,1,0),IF('A3.9.2.1'!F$30:F$270='A3.9.2 copy'!J12,1,0),IF('A3.9.2.1'!G$30:G$270='A3.9.2 copy'!L12,1,0),'A3.9.2.1'!D$30:D$270)</f>
        <v>4309.6973548387095</v>
      </c>
      <c r="G12" s="139" t="s">
        <v>42</v>
      </c>
      <c r="H12" s="414">
        <v>1</v>
      </c>
      <c r="I12" s="139">
        <f t="array" ref="I12">SUMPRODUCT(IF('A3.9.2.1'!B$30:B$270='A3.9.2 copy'!A12,1,0),IF('A3.9.2.1'!C$30:C$270='A3.9.2 copy'!D12,1,0),IF('A3.9.2.1'!F$30:F$270='A3.9.2 copy'!J12,1,0),IF('A3.9.2.1'!G$30:G$270='A3.9.2 copy'!L12,1,0),'A3.9.2.1'!E$30:E$270)</f>
        <v>4309.6973548387095</v>
      </c>
      <c r="J12" s="85" t="s">
        <v>1618</v>
      </c>
      <c r="K12" s="91" t="s">
        <v>1918</v>
      </c>
      <c r="L12" s="91" t="s">
        <v>1619</v>
      </c>
      <c r="M12" s="91" t="str">
        <f t="shared" si="2"/>
        <v>DEFRA: Água: Consumo + TAR: 2022</v>
      </c>
      <c r="N12" s="91"/>
      <c r="O12" s="261" t="s">
        <v>3535</v>
      </c>
      <c r="P12" s="261" t="s">
        <v>3607</v>
      </c>
      <c r="Q12" t="s">
        <v>42</v>
      </c>
    </row>
    <row r="13" spans="1:17" ht="15.75" customHeight="1" thickBot="1" x14ac:dyDescent="0.3">
      <c r="A13" s="83" t="s">
        <v>3727</v>
      </c>
      <c r="B13" s="82" t="str">
        <f t="shared" si="0"/>
        <v>Barraqueiro Transportes, S.A.</v>
      </c>
      <c r="C13" s="82" t="str">
        <f t="shared" si="1"/>
        <v>CG (Mafrense; BO; BV)</v>
      </c>
      <c r="D13" s="83" t="s">
        <v>1616</v>
      </c>
      <c r="E13" s="91">
        <v>2022</v>
      </c>
      <c r="F13" s="152">
        <f t="array" ref="F13">SUMPRODUCT(IF('A3.9.2.1'!B$30:B$270='A3.9.2 copy'!A13,1,0),IF('A3.9.2.1'!C$30:C$270='A3.9.2 copy'!D13,1,0),IF('A3.9.2.1'!F$30:F$270='A3.9.2 copy'!J13,1,0),IF('A3.9.2.1'!G$30:G$270='A3.9.2 copy'!L13,1,0),'A3.9.2.1'!D$30:D$270)</f>
        <v>194.84678571428569</v>
      </c>
      <c r="G13" s="139" t="s">
        <v>42</v>
      </c>
      <c r="H13" s="414">
        <v>1</v>
      </c>
      <c r="I13" s="139">
        <f t="array" ref="I13">SUMPRODUCT(IF('A3.9.2.1'!B$30:B$270='A3.9.2 copy'!A13,1,0),IF('A3.9.2.1'!C$30:C$270='A3.9.2 copy'!D13,1,0),IF('A3.9.2.1'!F$30:F$270='A3.9.2 copy'!J13,1,0),IF('A3.9.2.1'!G$30:G$270='A3.9.2 copy'!L13,1,0),'A3.9.2.1'!E$30:E$270)</f>
        <v>194.84678571428569</v>
      </c>
      <c r="J13" s="85" t="s">
        <v>1618</v>
      </c>
      <c r="K13" s="91" t="s">
        <v>1918</v>
      </c>
      <c r="L13" s="91" t="s">
        <v>1619</v>
      </c>
      <c r="M13" s="91" t="str">
        <f t="shared" si="2"/>
        <v>DEFRA: Água: Consumo + TAR: 2022</v>
      </c>
      <c r="N13" s="91" t="s">
        <v>1634</v>
      </c>
      <c r="O13" s="261" t="s">
        <v>3535</v>
      </c>
      <c r="P13" s="261" t="s">
        <v>3607</v>
      </c>
      <c r="Q13" t="s">
        <v>42</v>
      </c>
    </row>
    <row r="14" spans="1:17" ht="15.75" thickBot="1" x14ac:dyDescent="0.3">
      <c r="A14" s="83" t="s">
        <v>3728</v>
      </c>
      <c r="B14" s="82" t="str">
        <f t="shared" si="0"/>
        <v>Barraqueiro Transportes, S.A.</v>
      </c>
      <c r="C14" s="82" t="str">
        <f t="shared" si="1"/>
        <v>Calc. Desterro (Isidoro?)</v>
      </c>
      <c r="D14" s="83" t="s">
        <v>1616</v>
      </c>
      <c r="E14" s="91">
        <v>2022</v>
      </c>
      <c r="F14" s="152">
        <f t="array" ref="F14">SUMPRODUCT(IF('A3.9.2.1'!B$30:B$270='A3.9.2 copy'!A14,1,0),IF('A3.9.2.1'!C$30:C$270='A3.9.2 copy'!D14,1,0),IF('A3.9.2.1'!F$30:F$270='A3.9.2 copy'!J14,1,0),IF('A3.9.2.1'!G$30:G$270='A3.9.2 copy'!L14,1,0),'A3.9.2.1'!D$30:D$270)</f>
        <v>6.6677419354838716E-2</v>
      </c>
      <c r="G14" s="139" t="s">
        <v>42</v>
      </c>
      <c r="H14" s="414">
        <v>1</v>
      </c>
      <c r="I14" s="139">
        <f t="array" ref="I14">SUMPRODUCT(IF('A3.9.2.1'!B$30:B$270='A3.9.2 copy'!A14,1,0),IF('A3.9.2.1'!C$30:C$270='A3.9.2 copy'!D14,1,0),IF('A3.9.2.1'!F$30:F$270='A3.9.2 copy'!J14,1,0),IF('A3.9.2.1'!G$30:G$270='A3.9.2 copy'!L14,1,0),'A3.9.2.1'!E$30:E$270)</f>
        <v>6.6677419354838716E-2</v>
      </c>
      <c r="J14" s="85" t="s">
        <v>1618</v>
      </c>
      <c r="K14" s="91" t="s">
        <v>1918</v>
      </c>
      <c r="L14" s="91" t="s">
        <v>1619</v>
      </c>
      <c r="M14" s="91" t="str">
        <f t="shared" si="2"/>
        <v>DEFRA: Água: Consumo + TAR: 2022</v>
      </c>
      <c r="N14" s="91" t="s">
        <v>1633</v>
      </c>
      <c r="O14" s="261" t="s">
        <v>3535</v>
      </c>
      <c r="P14" s="261" t="s">
        <v>3607</v>
      </c>
      <c r="Q14" t="s">
        <v>42</v>
      </c>
    </row>
    <row r="15" spans="1:17" ht="15.75" thickBot="1" x14ac:dyDescent="0.3">
      <c r="A15" s="83" t="s">
        <v>3729</v>
      </c>
      <c r="B15" s="82" t="str">
        <f t="shared" si="0"/>
        <v>Barraqueiro Transportes, S.A.</v>
      </c>
      <c r="C15" s="82" t="str">
        <f t="shared" si="1"/>
        <v>Boa Viagem agr</v>
      </c>
      <c r="D15" s="83" t="s">
        <v>1616</v>
      </c>
      <c r="E15" s="91">
        <v>2022</v>
      </c>
      <c r="F15" s="152">
        <f>F7+F13*0.2</f>
        <v>739.24535825520411</v>
      </c>
      <c r="G15" s="139" t="s">
        <v>42</v>
      </c>
      <c r="H15" s="414">
        <v>1</v>
      </c>
      <c r="I15" s="139">
        <f>F15</f>
        <v>739.24535825520411</v>
      </c>
      <c r="J15" s="85" t="s">
        <v>1618</v>
      </c>
      <c r="K15" s="91" t="s">
        <v>1918</v>
      </c>
      <c r="L15" s="91" t="s">
        <v>1619</v>
      </c>
      <c r="M15" s="91" t="str">
        <f t="shared" si="2"/>
        <v>DEFRA: Água: Consumo + TAR: 2022</v>
      </c>
      <c r="N15" s="91"/>
      <c r="O15" s="261" t="s">
        <v>3535</v>
      </c>
      <c r="P15" s="261" t="s">
        <v>3607</v>
      </c>
      <c r="Q15" t="s">
        <v>42</v>
      </c>
    </row>
    <row r="16" spans="1:17" ht="15.75" thickBot="1" x14ac:dyDescent="0.3">
      <c r="A16" s="83" t="s">
        <v>3730</v>
      </c>
      <c r="B16" s="82" t="str">
        <f t="shared" si="0"/>
        <v>Barraqueiro Transportes, S.A.</v>
      </c>
      <c r="C16" s="82" t="str">
        <f t="shared" si="1"/>
        <v>Mafrense agr</v>
      </c>
      <c r="D16" s="83" t="s">
        <v>1616</v>
      </c>
      <c r="E16" s="91">
        <v>2022</v>
      </c>
      <c r="F16" s="152">
        <f>F13+F10+0.4*F14</f>
        <v>1967.7622684750729</v>
      </c>
      <c r="G16" s="139" t="s">
        <v>42</v>
      </c>
      <c r="H16" s="414">
        <v>1</v>
      </c>
      <c r="I16" s="152">
        <f>I13+I10+0.4*I14</f>
        <v>1967.7622684750729</v>
      </c>
      <c r="J16" s="85" t="s">
        <v>1618</v>
      </c>
      <c r="K16" s="91" t="s">
        <v>1918</v>
      </c>
      <c r="L16" s="91" t="s">
        <v>1619</v>
      </c>
      <c r="M16" s="91" t="str">
        <f t="shared" si="2"/>
        <v>DEFRA: Água: Consumo + TAR: 2022</v>
      </c>
      <c r="N16" s="91"/>
      <c r="O16" s="261" t="s">
        <v>3535</v>
      </c>
      <c r="P16" s="261" t="s">
        <v>3607</v>
      </c>
      <c r="Q16" t="s">
        <v>42</v>
      </c>
    </row>
    <row r="17" spans="1:17" ht="15.75" customHeight="1" thickBot="1" x14ac:dyDescent="0.3">
      <c r="A17" s="83" t="s">
        <v>3514</v>
      </c>
      <c r="B17" s="82" t="str">
        <f t="shared" si="0"/>
        <v>Barraqueiro Transportes, S.A.</v>
      </c>
      <c r="C17" s="82" t="str">
        <f t="shared" si="1"/>
        <v>Sede</v>
      </c>
      <c r="D17" s="83" t="s">
        <v>1616</v>
      </c>
      <c r="E17" s="91">
        <v>2022</v>
      </c>
      <c r="F17" s="152">
        <f>0.15*F12</f>
        <v>646.45460322580641</v>
      </c>
      <c r="G17" s="139" t="s">
        <v>42</v>
      </c>
      <c r="H17" s="414">
        <v>1</v>
      </c>
      <c r="I17" s="152">
        <f>0.15*I12</f>
        <v>646.45460322580641</v>
      </c>
      <c r="J17" s="85" t="s">
        <v>1618</v>
      </c>
      <c r="K17" s="91" t="s">
        <v>1918</v>
      </c>
      <c r="L17" s="91" t="s">
        <v>1619</v>
      </c>
      <c r="M17" s="91" t="str">
        <f t="shared" si="2"/>
        <v>DEFRA: Água: Consumo + TAR: 2022</v>
      </c>
      <c r="N17" s="91"/>
      <c r="O17" s="261" t="s">
        <v>3535</v>
      </c>
      <c r="P17" s="261" t="s">
        <v>3607</v>
      </c>
      <c r="Q17" t="s">
        <v>42</v>
      </c>
    </row>
    <row r="18" spans="1:17" ht="15.75" thickBot="1" x14ac:dyDescent="0.3">
      <c r="A18" s="83" t="s">
        <v>3507</v>
      </c>
      <c r="B18" s="82" t="str">
        <f t="shared" si="0"/>
        <v>Barraqueiro Transportes, S.A.</v>
      </c>
      <c r="C18" s="82" t="str">
        <f t="shared" si="1"/>
        <v>Estremadura</v>
      </c>
      <c r="D18" s="83" t="s">
        <v>1616</v>
      </c>
      <c r="E18" s="91">
        <v>2022</v>
      </c>
      <c r="F18" s="152">
        <f>0.85*F12</f>
        <v>3663.2427516129028</v>
      </c>
      <c r="G18" s="139" t="s">
        <v>42</v>
      </c>
      <c r="H18" s="414">
        <v>1</v>
      </c>
      <c r="I18" s="152">
        <f>0.85*I12</f>
        <v>3663.2427516129028</v>
      </c>
      <c r="J18" s="85" t="s">
        <v>1618</v>
      </c>
      <c r="K18" s="91" t="s">
        <v>1918</v>
      </c>
      <c r="L18" s="91" t="s">
        <v>1619</v>
      </c>
      <c r="M18" s="91" t="str">
        <f t="shared" si="2"/>
        <v>DEFRA: Água: Consumo + TAR: 2022</v>
      </c>
      <c r="N18" s="91"/>
      <c r="O18" s="261" t="s">
        <v>3535</v>
      </c>
      <c r="P18" s="261" t="s">
        <v>3607</v>
      </c>
      <c r="Q18" t="s">
        <v>42</v>
      </c>
    </row>
    <row r="19" spans="1:17" ht="15.75" thickBot="1" x14ac:dyDescent="0.3">
      <c r="A19" s="83" t="s">
        <v>3509</v>
      </c>
      <c r="B19" s="82" t="str">
        <f t="shared" si="0"/>
        <v>Barraqueiro Transportes, S.A.</v>
      </c>
      <c r="C19" s="82" t="str">
        <f t="shared" si="1"/>
        <v>Barraqueiro Oeste</v>
      </c>
      <c r="D19" s="83" t="s">
        <v>1616</v>
      </c>
      <c r="E19" s="91">
        <v>2022</v>
      </c>
      <c r="F19" s="152">
        <f>F9</f>
        <v>1378.4205128205128</v>
      </c>
      <c r="G19" s="139" t="s">
        <v>42</v>
      </c>
      <c r="H19" s="414">
        <v>1</v>
      </c>
      <c r="I19" s="152">
        <f>I9</f>
        <v>1378.4205128205128</v>
      </c>
      <c r="J19" s="85" t="s">
        <v>1618</v>
      </c>
      <c r="K19" s="91" t="s">
        <v>1918</v>
      </c>
      <c r="L19" s="415" t="s">
        <v>1620</v>
      </c>
      <c r="M19" s="415" t="str">
        <f t="shared" si="2"/>
        <v>DEFRA: Água: Consumo + TAR: 2022</v>
      </c>
      <c r="N19" s="91"/>
      <c r="O19" s="261" t="s">
        <v>3535</v>
      </c>
      <c r="P19" s="261" t="s">
        <v>3607</v>
      </c>
      <c r="Q19" t="s">
        <v>42</v>
      </c>
    </row>
    <row r="20" spans="1:17" ht="15.75" thickBot="1" x14ac:dyDescent="0.3">
      <c r="A20" s="83" t="s">
        <v>3509</v>
      </c>
      <c r="B20" s="82" t="str">
        <f t="shared" si="0"/>
        <v>Barraqueiro Transportes, S.A.</v>
      </c>
      <c r="C20" s="82" t="str">
        <f t="shared" si="1"/>
        <v>Barraqueiro Oeste</v>
      </c>
      <c r="D20" s="83" t="s">
        <v>1616</v>
      </c>
      <c r="E20" s="91">
        <v>2022</v>
      </c>
      <c r="F20" s="152">
        <f>F13*0.4</f>
        <v>77.938714285714283</v>
      </c>
      <c r="G20" s="139" t="s">
        <v>42</v>
      </c>
      <c r="H20" s="414">
        <v>1</v>
      </c>
      <c r="I20" s="152">
        <f>I13*0.4</f>
        <v>77.938714285714283</v>
      </c>
      <c r="J20" s="85" t="s">
        <v>1618</v>
      </c>
      <c r="K20" s="91" t="s">
        <v>1918</v>
      </c>
      <c r="L20" s="91" t="s">
        <v>1619</v>
      </c>
      <c r="M20" s="91" t="str">
        <f t="shared" si="2"/>
        <v>DEFRA: Água: Consumo + TAR: 2022</v>
      </c>
      <c r="N20" s="91"/>
      <c r="O20" s="261" t="s">
        <v>3535</v>
      </c>
      <c r="P20" s="261" t="s">
        <v>3607</v>
      </c>
      <c r="Q20" t="s">
        <v>42</v>
      </c>
    </row>
    <row r="21" spans="1:17" ht="15.75" customHeight="1" thickBot="1" x14ac:dyDescent="0.3">
      <c r="A21" s="82" t="s">
        <v>4684</v>
      </c>
      <c r="B21" s="82" t="s">
        <v>4684</v>
      </c>
      <c r="C21" s="82" t="str">
        <f t="shared" si="1"/>
        <v>X</v>
      </c>
      <c r="D21" s="83" t="s">
        <v>1616</v>
      </c>
      <c r="E21" s="91">
        <v>2022</v>
      </c>
      <c r="F21" s="152">
        <v>344.5138879456706</v>
      </c>
      <c r="G21" s="139" t="s">
        <v>42</v>
      </c>
      <c r="H21" s="414">
        <v>1</v>
      </c>
      <c r="I21" s="152">
        <v>344.5138879456706</v>
      </c>
      <c r="J21" s="85" t="s">
        <v>1618</v>
      </c>
      <c r="K21" s="91" t="s">
        <v>1918</v>
      </c>
      <c r="L21" s="91" t="s">
        <v>1619</v>
      </c>
      <c r="M21" s="91" t="str">
        <f t="shared" si="2"/>
        <v>DEFRA: Água: Consumo + TAR: 2022</v>
      </c>
      <c r="N21" s="201" t="s">
        <v>1841</v>
      </c>
      <c r="O21" s="261" t="s">
        <v>3535</v>
      </c>
      <c r="P21" s="261" t="s">
        <v>3607</v>
      </c>
      <c r="Q21" t="s">
        <v>42</v>
      </c>
    </row>
    <row r="22" spans="1:17" ht="15.75" thickBot="1" x14ac:dyDescent="0.3">
      <c r="A22" s="82" t="s">
        <v>4685</v>
      </c>
      <c r="B22" s="82" t="s">
        <v>4685</v>
      </c>
      <c r="C22" s="82" t="str">
        <f t="shared" si="1"/>
        <v>X</v>
      </c>
      <c r="D22" s="83" t="s">
        <v>1616</v>
      </c>
      <c r="E22" s="91">
        <v>2022</v>
      </c>
      <c r="F22" s="152">
        <v>229.67592529711374</v>
      </c>
      <c r="G22" s="139" t="s">
        <v>42</v>
      </c>
      <c r="H22" s="414">
        <v>1</v>
      </c>
      <c r="I22" s="152">
        <v>229.67592529711374</v>
      </c>
      <c r="J22" s="85" t="s">
        <v>1618</v>
      </c>
      <c r="K22" s="91" t="s">
        <v>1918</v>
      </c>
      <c r="L22" s="91" t="s">
        <v>1619</v>
      </c>
      <c r="M22" s="91" t="str">
        <f t="shared" si="2"/>
        <v>DEFRA: Água: Consumo + TAR: 2022</v>
      </c>
      <c r="N22" s="91" t="s">
        <v>1841</v>
      </c>
      <c r="O22" s="261" t="s">
        <v>3535</v>
      </c>
      <c r="P22" s="261" t="s">
        <v>3607</v>
      </c>
      <c r="Q22" t="s">
        <v>42</v>
      </c>
    </row>
    <row r="23" spans="1:17" ht="15.75" thickBot="1" x14ac:dyDescent="0.3">
      <c r="A23" s="83" t="s">
        <v>1929</v>
      </c>
      <c r="B23" s="83" t="s">
        <v>1929</v>
      </c>
      <c r="C23" s="82" t="str">
        <f t="shared" si="1"/>
        <v>X</v>
      </c>
      <c r="D23" s="83" t="s">
        <v>1616</v>
      </c>
      <c r="E23" s="91">
        <v>2022</v>
      </c>
      <c r="F23" s="278">
        <v>4393</v>
      </c>
      <c r="G23" s="139" t="s">
        <v>42</v>
      </c>
      <c r="H23" s="414">
        <v>1</v>
      </c>
      <c r="I23" s="278">
        <v>4393</v>
      </c>
      <c r="J23" s="85" t="s">
        <v>1618</v>
      </c>
      <c r="K23" s="91" t="s">
        <v>1918</v>
      </c>
      <c r="L23" s="91" t="s">
        <v>1619</v>
      </c>
      <c r="M23" s="91" t="str">
        <f t="shared" si="2"/>
        <v>DEFRA: Água: Consumo + TAR: 2022</v>
      </c>
      <c r="N23" s="91" t="s">
        <v>2981</v>
      </c>
      <c r="O23" s="261" t="s">
        <v>3535</v>
      </c>
      <c r="P23" s="261" t="s">
        <v>3607</v>
      </c>
      <c r="Q23" t="s">
        <v>42</v>
      </c>
    </row>
    <row r="24" spans="1:17" ht="15.75" thickBot="1" x14ac:dyDescent="0.3">
      <c r="A24" s="83" t="s">
        <v>1929</v>
      </c>
      <c r="B24" s="83" t="s">
        <v>1929</v>
      </c>
      <c r="C24" s="82" t="str">
        <f t="shared" si="1"/>
        <v>X</v>
      </c>
      <c r="D24" s="83" t="s">
        <v>1617</v>
      </c>
      <c r="E24" s="91">
        <v>2022</v>
      </c>
      <c r="F24" s="278">
        <v>7550</v>
      </c>
      <c r="G24" s="139" t="s">
        <v>42</v>
      </c>
      <c r="H24" s="414">
        <v>1</v>
      </c>
      <c r="I24" s="278">
        <v>7550</v>
      </c>
      <c r="J24" s="85" t="s">
        <v>1618</v>
      </c>
      <c r="K24" s="91" t="s">
        <v>1918</v>
      </c>
      <c r="L24" s="91" t="s">
        <v>1619</v>
      </c>
      <c r="M24" s="91" t="str">
        <f t="shared" si="2"/>
        <v>DEFRA: Água: Consumo + TAR: 2022</v>
      </c>
      <c r="N24" s="91" t="s">
        <v>2981</v>
      </c>
      <c r="O24" s="261" t="s">
        <v>3535</v>
      </c>
      <c r="P24" s="261" t="s">
        <v>3607</v>
      </c>
      <c r="Q24" t="s">
        <v>42</v>
      </c>
    </row>
    <row r="25" spans="1:17" ht="15.75" customHeight="1" thickBot="1" x14ac:dyDescent="0.3">
      <c r="A25" s="83" t="s">
        <v>1930</v>
      </c>
      <c r="B25" s="83" t="s">
        <v>1930</v>
      </c>
      <c r="C25" s="82" t="str">
        <f t="shared" si="1"/>
        <v>X</v>
      </c>
      <c r="D25" s="83" t="s">
        <v>1616</v>
      </c>
      <c r="E25" s="91">
        <v>2022</v>
      </c>
      <c r="F25" s="152">
        <v>122</v>
      </c>
      <c r="G25" s="139" t="s">
        <v>42</v>
      </c>
      <c r="H25" s="414">
        <v>1</v>
      </c>
      <c r="I25" s="139">
        <v>122</v>
      </c>
      <c r="J25" s="85" t="s">
        <v>1618</v>
      </c>
      <c r="K25" s="91" t="s">
        <v>1918</v>
      </c>
      <c r="L25" s="91" t="s">
        <v>1619</v>
      </c>
      <c r="M25" s="91" t="str">
        <f t="shared" si="2"/>
        <v>DEFRA: Água: Consumo + TAR: 2022</v>
      </c>
      <c r="N25" s="91"/>
      <c r="O25" s="261" t="s">
        <v>3535</v>
      </c>
      <c r="P25" s="261" t="s">
        <v>3607</v>
      </c>
      <c r="Q25" t="s">
        <v>42</v>
      </c>
    </row>
    <row r="26" spans="1:17" ht="15.75" thickBot="1" x14ac:dyDescent="0.3">
      <c r="A26" s="83" t="s">
        <v>1930</v>
      </c>
      <c r="B26" s="83" t="s">
        <v>1930</v>
      </c>
      <c r="C26" s="82" t="str">
        <f t="shared" si="1"/>
        <v>X</v>
      </c>
      <c r="D26" s="83" t="s">
        <v>1617</v>
      </c>
      <c r="E26" s="91">
        <v>2022</v>
      </c>
      <c r="F26" s="152">
        <v>402</v>
      </c>
      <c r="G26" s="139" t="s">
        <v>42</v>
      </c>
      <c r="H26" s="414">
        <v>1</v>
      </c>
      <c r="I26" s="152">
        <v>402</v>
      </c>
      <c r="J26" s="85" t="s">
        <v>1618</v>
      </c>
      <c r="K26" s="91" t="s">
        <v>1918</v>
      </c>
      <c r="L26" s="91" t="s">
        <v>1619</v>
      </c>
      <c r="M26" s="91" t="str">
        <f t="shared" si="2"/>
        <v>DEFRA: Água: Consumo + TAR: 2022</v>
      </c>
      <c r="N26" s="91"/>
      <c r="O26" s="261" t="s">
        <v>3535</v>
      </c>
      <c r="P26" s="261" t="s">
        <v>3607</v>
      </c>
      <c r="Q26" t="s">
        <v>42</v>
      </c>
    </row>
    <row r="27" spans="1:17" ht="15.75" thickBot="1" x14ac:dyDescent="0.3">
      <c r="A27" s="83" t="s">
        <v>1933</v>
      </c>
      <c r="B27" s="83" t="s">
        <v>1933</v>
      </c>
      <c r="C27" s="82" t="str">
        <f t="shared" si="1"/>
        <v>X</v>
      </c>
      <c r="D27" s="83" t="s">
        <v>1616</v>
      </c>
      <c r="E27" s="91">
        <v>2022</v>
      </c>
      <c r="F27" s="152">
        <v>6212</v>
      </c>
      <c r="G27" s="139" t="s">
        <v>42</v>
      </c>
      <c r="H27" s="414">
        <v>1</v>
      </c>
      <c r="I27" s="139">
        <v>6212</v>
      </c>
      <c r="J27" s="85" t="s">
        <v>1618</v>
      </c>
      <c r="K27" s="91" t="s">
        <v>1918</v>
      </c>
      <c r="L27" s="91" t="s">
        <v>1619</v>
      </c>
      <c r="M27" s="91" t="str">
        <f t="shared" si="2"/>
        <v>DEFRA: Água: Consumo + TAR: 2022</v>
      </c>
      <c r="N27" s="91"/>
      <c r="O27" s="261" t="s">
        <v>3535</v>
      </c>
      <c r="P27" s="261" t="s">
        <v>3607</v>
      </c>
      <c r="Q27" t="s">
        <v>42</v>
      </c>
    </row>
    <row r="28" spans="1:17" ht="15.75" thickBot="1" x14ac:dyDescent="0.3">
      <c r="A28" s="83" t="s">
        <v>4686</v>
      </c>
      <c r="B28" s="83" t="s">
        <v>4686</v>
      </c>
      <c r="C28" s="82" t="str">
        <f t="shared" si="1"/>
        <v>X</v>
      </c>
      <c r="D28" s="83" t="s">
        <v>1616</v>
      </c>
      <c r="E28" s="91">
        <v>2022</v>
      </c>
      <c r="F28" s="152">
        <v>38064</v>
      </c>
      <c r="G28" s="139" t="s">
        <v>42</v>
      </c>
      <c r="H28" s="414">
        <v>1</v>
      </c>
      <c r="I28" s="139">
        <v>38064</v>
      </c>
      <c r="J28" s="85" t="s">
        <v>1618</v>
      </c>
      <c r="K28" s="91" t="s">
        <v>1918</v>
      </c>
      <c r="L28" s="91" t="s">
        <v>1619</v>
      </c>
      <c r="M28" s="91" t="str">
        <f t="shared" si="2"/>
        <v>DEFRA: Água: Consumo + TAR: 2022</v>
      </c>
      <c r="N28" s="91"/>
      <c r="O28" s="261" t="s">
        <v>3535</v>
      </c>
      <c r="P28" s="261" t="s">
        <v>3607</v>
      </c>
      <c r="Q28" t="s">
        <v>42</v>
      </c>
    </row>
    <row r="29" spans="1:17" ht="15.75" customHeight="1" thickBot="1" x14ac:dyDescent="0.3">
      <c r="A29" s="83" t="s">
        <v>4686</v>
      </c>
      <c r="B29" s="83" t="s">
        <v>4686</v>
      </c>
      <c r="C29" s="82" t="str">
        <f t="shared" si="1"/>
        <v>X</v>
      </c>
      <c r="D29" s="83" t="s">
        <v>1616</v>
      </c>
      <c r="E29" s="91">
        <v>2022</v>
      </c>
      <c r="F29" s="152">
        <v>76</v>
      </c>
      <c r="G29" s="139" t="s">
        <v>42</v>
      </c>
      <c r="H29" s="414">
        <v>1</v>
      </c>
      <c r="I29" s="152">
        <v>76</v>
      </c>
      <c r="J29" s="85" t="s">
        <v>1618</v>
      </c>
      <c r="K29" s="91" t="s">
        <v>1918</v>
      </c>
      <c r="L29" s="91" t="s">
        <v>1619</v>
      </c>
      <c r="M29" s="91" t="str">
        <f t="shared" si="2"/>
        <v>DEFRA: Água: Consumo + TAR: 2022</v>
      </c>
      <c r="N29" s="91"/>
      <c r="O29" s="261" t="s">
        <v>3535</v>
      </c>
      <c r="P29" s="261" t="s">
        <v>3607</v>
      </c>
      <c r="Q29" t="s">
        <v>42</v>
      </c>
    </row>
    <row r="30" spans="1:17" ht="15.75" thickBot="1" x14ac:dyDescent="0.3">
      <c r="A30" s="83" t="s">
        <v>4687</v>
      </c>
      <c r="B30" s="83" t="s">
        <v>4687</v>
      </c>
      <c r="C30" s="82" t="str">
        <f t="shared" si="1"/>
        <v>X</v>
      </c>
      <c r="D30" s="83" t="s">
        <v>1616</v>
      </c>
      <c r="E30" s="91">
        <v>2022</v>
      </c>
      <c r="F30" s="152">
        <v>1367</v>
      </c>
      <c r="G30" s="139" t="s">
        <v>42</v>
      </c>
      <c r="H30" s="414">
        <v>1</v>
      </c>
      <c r="I30" s="139">
        <v>1367</v>
      </c>
      <c r="J30" s="85" t="s">
        <v>1618</v>
      </c>
      <c r="K30" s="91" t="s">
        <v>1918</v>
      </c>
      <c r="L30" s="91" t="s">
        <v>1619</v>
      </c>
      <c r="M30" s="91" t="str">
        <f t="shared" si="2"/>
        <v>DEFRA: Água: Consumo + TAR: 2022</v>
      </c>
      <c r="N30" s="91"/>
      <c r="O30" s="261" t="s">
        <v>3535</v>
      </c>
      <c r="P30" s="261" t="s">
        <v>3607</v>
      </c>
      <c r="Q30" t="s">
        <v>42</v>
      </c>
    </row>
    <row r="31" spans="1:17" ht="15.75" thickBot="1" x14ac:dyDescent="0.3">
      <c r="A31" s="83" t="s">
        <v>2980</v>
      </c>
      <c r="B31" s="83" t="s">
        <v>2980</v>
      </c>
      <c r="C31" s="82" t="str">
        <f t="shared" si="1"/>
        <v>X</v>
      </c>
      <c r="D31" s="83" t="s">
        <v>1616</v>
      </c>
      <c r="E31" s="91">
        <v>2022</v>
      </c>
      <c r="F31" s="152">
        <v>711</v>
      </c>
      <c r="G31" s="139" t="s">
        <v>42</v>
      </c>
      <c r="H31" s="414">
        <v>1</v>
      </c>
      <c r="I31" s="139">
        <v>711</v>
      </c>
      <c r="J31" s="85" t="s">
        <v>1618</v>
      </c>
      <c r="K31" s="91" t="s">
        <v>1918</v>
      </c>
      <c r="L31" s="91" t="s">
        <v>1619</v>
      </c>
      <c r="M31" s="91" t="str">
        <f t="shared" si="2"/>
        <v>DEFRA: Água: Consumo + TAR: 2022</v>
      </c>
      <c r="N31" s="91"/>
      <c r="O31" s="261" t="s">
        <v>3535</v>
      </c>
      <c r="P31" s="261" t="s">
        <v>3607</v>
      </c>
      <c r="Q31" t="s">
        <v>42</v>
      </c>
    </row>
    <row r="32" spans="1:17" ht="15.75" thickBot="1" x14ac:dyDescent="0.3">
      <c r="A32" s="83" t="s">
        <v>4693</v>
      </c>
      <c r="B32" s="83" t="s">
        <v>4693</v>
      </c>
      <c r="C32" s="82" t="str">
        <f t="shared" si="1"/>
        <v>X</v>
      </c>
      <c r="D32" s="83" t="s">
        <v>1616</v>
      </c>
      <c r="E32" s="91">
        <v>2022</v>
      </c>
      <c r="F32" s="278">
        <v>5468</v>
      </c>
      <c r="G32" s="139" t="s">
        <v>42</v>
      </c>
      <c r="H32" s="414">
        <v>1</v>
      </c>
      <c r="I32" s="278">
        <v>5468</v>
      </c>
      <c r="J32" s="85" t="s">
        <v>1618</v>
      </c>
      <c r="K32" s="91" t="s">
        <v>1918</v>
      </c>
      <c r="L32" s="91" t="s">
        <v>1619</v>
      </c>
      <c r="M32" s="91" t="str">
        <f t="shared" si="2"/>
        <v>DEFRA: Água: Consumo + TAR: 2022</v>
      </c>
      <c r="N32" s="91"/>
      <c r="O32" s="261" t="s">
        <v>3535</v>
      </c>
      <c r="P32" s="261" t="s">
        <v>3607</v>
      </c>
      <c r="Q32" t="s">
        <v>42</v>
      </c>
    </row>
    <row r="33" spans="1:17" ht="15.75" customHeight="1" thickBot="1" x14ac:dyDescent="0.3">
      <c r="A33" s="83" t="s">
        <v>4709</v>
      </c>
      <c r="B33" s="83" t="s">
        <v>4709</v>
      </c>
      <c r="C33" s="82" t="str">
        <f t="shared" si="1"/>
        <v>X</v>
      </c>
      <c r="D33" s="83" t="s">
        <v>1616</v>
      </c>
      <c r="E33" s="91">
        <v>2022</v>
      </c>
      <c r="F33" s="152">
        <v>56.94</v>
      </c>
      <c r="G33" s="139" t="s">
        <v>42</v>
      </c>
      <c r="H33" s="414">
        <v>1</v>
      </c>
      <c r="I33" s="139">
        <v>56.94</v>
      </c>
      <c r="J33" s="85" t="s">
        <v>1618</v>
      </c>
      <c r="K33" s="91" t="s">
        <v>1918</v>
      </c>
      <c r="L33" s="91" t="s">
        <v>1619</v>
      </c>
      <c r="M33" s="91" t="str">
        <f t="shared" si="2"/>
        <v>DEFRA: Água: Consumo + TAR: 2022</v>
      </c>
      <c r="N33" s="91" t="s">
        <v>2982</v>
      </c>
      <c r="O33" s="261" t="s">
        <v>3535</v>
      </c>
      <c r="P33" s="261" t="s">
        <v>3607</v>
      </c>
      <c r="Q33" t="s">
        <v>42</v>
      </c>
    </row>
    <row r="34" spans="1:17" ht="15.75" thickBot="1" x14ac:dyDescent="0.3">
      <c r="A34" s="82" t="s">
        <v>2836</v>
      </c>
      <c r="B34" s="82" t="s">
        <v>2836</v>
      </c>
      <c r="C34" s="82" t="str">
        <f t="shared" si="1"/>
        <v>X</v>
      </c>
      <c r="D34" s="83" t="s">
        <v>1616</v>
      </c>
      <c r="E34" s="91">
        <v>2022</v>
      </c>
      <c r="F34" s="152">
        <v>2473</v>
      </c>
      <c r="G34" s="139" t="s">
        <v>42</v>
      </c>
      <c r="H34" s="414">
        <v>1</v>
      </c>
      <c r="I34" s="130">
        <v>2473</v>
      </c>
      <c r="J34" s="85" t="s">
        <v>1618</v>
      </c>
      <c r="K34" s="91" t="s">
        <v>1918</v>
      </c>
      <c r="L34" s="279" t="s">
        <v>1620</v>
      </c>
      <c r="M34" s="91" t="str">
        <f t="shared" si="2"/>
        <v>DEFRA: Água: Consumo + TAR: 2022</v>
      </c>
      <c r="N34" s="91" t="s">
        <v>2983</v>
      </c>
      <c r="O34" s="261" t="s">
        <v>3535</v>
      </c>
      <c r="P34" s="261" t="s">
        <v>3607</v>
      </c>
      <c r="Q34" t="s">
        <v>42</v>
      </c>
    </row>
    <row r="35" spans="1:17" ht="15.75" thickBot="1" x14ac:dyDescent="0.3">
      <c r="A35" s="83" t="s">
        <v>2889</v>
      </c>
      <c r="B35" s="83" t="s">
        <v>2889</v>
      </c>
      <c r="C35" s="82" t="str">
        <f t="shared" si="1"/>
        <v>X</v>
      </c>
      <c r="D35" s="83" t="s">
        <v>1616</v>
      </c>
      <c r="E35" s="91">
        <v>2022</v>
      </c>
      <c r="F35" s="152">
        <v>570</v>
      </c>
      <c r="G35" s="139" t="s">
        <v>42</v>
      </c>
      <c r="H35" s="414">
        <v>1</v>
      </c>
      <c r="I35" s="139">
        <v>570</v>
      </c>
      <c r="J35" s="85" t="s">
        <v>1618</v>
      </c>
      <c r="K35" s="91" t="s">
        <v>1918</v>
      </c>
      <c r="L35" s="91" t="s">
        <v>1619</v>
      </c>
      <c r="M35" s="91" t="str">
        <f t="shared" si="2"/>
        <v>DEFRA: Água: Consumo + TAR: 2022</v>
      </c>
      <c r="N35" s="91"/>
      <c r="O35" s="261" t="s">
        <v>3535</v>
      </c>
      <c r="P35" s="261" t="s">
        <v>3607</v>
      </c>
      <c r="Q35" t="s">
        <v>42</v>
      </c>
    </row>
    <row r="36" spans="1:17" ht="15.75" thickBot="1" x14ac:dyDescent="0.3">
      <c r="A36" s="83" t="s">
        <v>4695</v>
      </c>
      <c r="B36" s="83" t="s">
        <v>4695</v>
      </c>
      <c r="C36" s="82" t="str">
        <f t="shared" si="1"/>
        <v>X</v>
      </c>
      <c r="D36" s="83" t="s">
        <v>1616</v>
      </c>
      <c r="E36" s="91">
        <v>2022</v>
      </c>
      <c r="F36" s="152">
        <v>1546</v>
      </c>
      <c r="G36" s="139" t="s">
        <v>42</v>
      </c>
      <c r="H36" s="414">
        <v>1</v>
      </c>
      <c r="I36" s="152">
        <v>1546</v>
      </c>
      <c r="J36" s="85" t="s">
        <v>1618</v>
      </c>
      <c r="K36" s="91" t="s">
        <v>1918</v>
      </c>
      <c r="L36" s="91" t="s">
        <v>1619</v>
      </c>
      <c r="M36" s="91" t="str">
        <f t="shared" si="2"/>
        <v>DEFRA: Água: Consumo + TAR: 2022</v>
      </c>
      <c r="N36" s="91"/>
      <c r="O36" s="261" t="s">
        <v>3535</v>
      </c>
      <c r="P36" s="261" t="s">
        <v>3607</v>
      </c>
      <c r="Q36" t="s">
        <v>42</v>
      </c>
    </row>
    <row r="37" spans="1:17" ht="15.75" customHeight="1" thickBot="1" x14ac:dyDescent="0.3">
      <c r="A37" s="83" t="s">
        <v>4696</v>
      </c>
      <c r="B37" s="83" t="s">
        <v>4696</v>
      </c>
      <c r="C37" s="82" t="str">
        <f t="shared" si="1"/>
        <v>X</v>
      </c>
      <c r="D37" s="83" t="s">
        <v>1616</v>
      </c>
      <c r="E37" s="91">
        <v>2022</v>
      </c>
      <c r="F37" s="152">
        <v>5449</v>
      </c>
      <c r="G37" s="139" t="s">
        <v>42</v>
      </c>
      <c r="H37" s="414">
        <v>1</v>
      </c>
      <c r="I37" s="139">
        <v>5449</v>
      </c>
      <c r="J37" s="85" t="s">
        <v>1618</v>
      </c>
      <c r="K37" s="91" t="s">
        <v>1918</v>
      </c>
      <c r="L37" s="91" t="s">
        <v>1619</v>
      </c>
      <c r="M37" s="91" t="str">
        <f t="shared" si="2"/>
        <v>DEFRA: Água: Consumo + TAR: 2022</v>
      </c>
      <c r="N37" s="91"/>
      <c r="O37" s="261" t="s">
        <v>3535</v>
      </c>
      <c r="P37" s="261" t="s">
        <v>3607</v>
      </c>
      <c r="Q37" t="s">
        <v>42</v>
      </c>
    </row>
    <row r="38" spans="1:17" ht="15.75" thickBot="1" x14ac:dyDescent="0.3">
      <c r="A38" s="83" t="s">
        <v>4698</v>
      </c>
      <c r="B38" s="83" t="s">
        <v>4698</v>
      </c>
      <c r="C38" s="82" t="str">
        <f t="shared" si="1"/>
        <v>X</v>
      </c>
      <c r="D38" s="83" t="s">
        <v>1616</v>
      </c>
      <c r="E38" s="91">
        <v>2022</v>
      </c>
      <c r="F38" s="152">
        <v>4554</v>
      </c>
      <c r="G38" s="139" t="s">
        <v>42</v>
      </c>
      <c r="H38" s="414">
        <v>1</v>
      </c>
      <c r="I38" s="139">
        <v>4554</v>
      </c>
      <c r="J38" s="85" t="s">
        <v>1618</v>
      </c>
      <c r="K38" s="91" t="s">
        <v>1918</v>
      </c>
      <c r="L38" s="91" t="s">
        <v>1619</v>
      </c>
      <c r="M38" s="91" t="str">
        <f t="shared" si="2"/>
        <v>DEFRA: Água: Consumo + TAR: 2022</v>
      </c>
      <c r="N38" s="91"/>
      <c r="O38" s="261" t="s">
        <v>3535</v>
      </c>
      <c r="P38" s="261" t="s">
        <v>3607</v>
      </c>
      <c r="Q38" t="s">
        <v>42</v>
      </c>
    </row>
    <row r="39" spans="1:17" ht="15.75" thickBot="1" x14ac:dyDescent="0.3">
      <c r="A39" s="83" t="s">
        <v>4697</v>
      </c>
      <c r="B39" s="83" t="s">
        <v>4697</v>
      </c>
      <c r="C39" s="82" t="str">
        <f t="shared" si="1"/>
        <v>X</v>
      </c>
      <c r="D39" s="83" t="s">
        <v>1616</v>
      </c>
      <c r="E39" s="91">
        <v>2022</v>
      </c>
      <c r="F39" s="152">
        <v>2771</v>
      </c>
      <c r="G39" s="139" t="s">
        <v>42</v>
      </c>
      <c r="H39" s="414">
        <v>1</v>
      </c>
      <c r="I39" s="139">
        <v>2771</v>
      </c>
      <c r="J39" s="85" t="s">
        <v>1618</v>
      </c>
      <c r="K39" s="91" t="s">
        <v>1918</v>
      </c>
      <c r="L39" s="91" t="s">
        <v>1619</v>
      </c>
      <c r="M39" s="91" t="str">
        <f t="shared" si="2"/>
        <v>DEFRA: Água: Consumo + TAR: 2022</v>
      </c>
      <c r="N39" s="91"/>
      <c r="O39" s="261" t="s">
        <v>3535</v>
      </c>
      <c r="P39" s="261" t="s">
        <v>3607</v>
      </c>
      <c r="Q39" t="s">
        <v>42</v>
      </c>
    </row>
    <row r="40" spans="1:17" ht="15.75" thickBot="1" x14ac:dyDescent="0.3">
      <c r="A40" s="82" t="s">
        <v>4705</v>
      </c>
      <c r="B40" s="82" t="s">
        <v>4705</v>
      </c>
      <c r="C40" s="82" t="str">
        <f t="shared" si="1"/>
        <v>X</v>
      </c>
      <c r="D40" s="83" t="s">
        <v>1617</v>
      </c>
      <c r="E40" s="91">
        <v>2022</v>
      </c>
      <c r="F40" s="370">
        <v>34151</v>
      </c>
      <c r="G40" s="139" t="s">
        <v>34</v>
      </c>
      <c r="H40" s="414">
        <v>0</v>
      </c>
      <c r="I40" s="371">
        <v>0</v>
      </c>
      <c r="J40" s="253" t="s">
        <v>1618</v>
      </c>
      <c r="K40" s="91" t="s">
        <v>1918</v>
      </c>
      <c r="L40" s="372" t="s">
        <v>76</v>
      </c>
      <c r="M40" s="279" t="str">
        <f t="shared" si="2"/>
        <v>DEFRA: Água: Consumo + TAR: 2022</v>
      </c>
      <c r="N40" s="374" t="s">
        <v>3690</v>
      </c>
      <c r="O40" s="261" t="s">
        <v>3535</v>
      </c>
      <c r="P40" s="261" t="s">
        <v>3607</v>
      </c>
      <c r="Q40" t="s">
        <v>42</v>
      </c>
    </row>
    <row r="41" spans="1:17" ht="15.75" thickBot="1" x14ac:dyDescent="0.3">
      <c r="A41" s="82" t="s">
        <v>4705</v>
      </c>
      <c r="B41" s="82" t="s">
        <v>4705</v>
      </c>
      <c r="C41" s="82" t="str">
        <f t="shared" si="1"/>
        <v>X</v>
      </c>
      <c r="D41" s="83" t="s">
        <v>1616</v>
      </c>
      <c r="E41" s="91">
        <v>2022</v>
      </c>
      <c r="F41" s="370">
        <v>88080</v>
      </c>
      <c r="G41" s="139" t="s">
        <v>34</v>
      </c>
      <c r="H41" s="414">
        <v>0</v>
      </c>
      <c r="I41" s="371">
        <v>0</v>
      </c>
      <c r="J41" s="253" t="s">
        <v>1618</v>
      </c>
      <c r="K41" s="91" t="s">
        <v>1918</v>
      </c>
      <c r="L41" s="372" t="s">
        <v>76</v>
      </c>
      <c r="M41" s="279" t="str">
        <f t="shared" si="2"/>
        <v>DEFRA: Água: Consumo + TAR: 2022</v>
      </c>
      <c r="N41" s="279" t="s">
        <v>3694</v>
      </c>
      <c r="O41" s="261" t="s">
        <v>3535</v>
      </c>
      <c r="P41" s="261" t="s">
        <v>3607</v>
      </c>
      <c r="Q41" t="s">
        <v>42</v>
      </c>
    </row>
    <row r="42" spans="1:17" ht="15.75" thickBot="1" x14ac:dyDescent="0.3">
      <c r="A42" s="82" t="s">
        <v>4705</v>
      </c>
      <c r="B42" s="82" t="s">
        <v>4705</v>
      </c>
      <c r="C42" s="82" t="str">
        <f t="shared" si="1"/>
        <v>X</v>
      </c>
      <c r="D42" s="83" t="s">
        <v>1616</v>
      </c>
      <c r="E42" s="91">
        <v>2022</v>
      </c>
      <c r="F42" s="370">
        <v>6524</v>
      </c>
      <c r="G42" s="139" t="s">
        <v>42</v>
      </c>
      <c r="H42" s="414">
        <v>1</v>
      </c>
      <c r="I42" s="370">
        <v>6524</v>
      </c>
      <c r="J42" s="85" t="s">
        <v>1618</v>
      </c>
      <c r="K42" s="91" t="s">
        <v>1918</v>
      </c>
      <c r="L42" s="91" t="s">
        <v>1619</v>
      </c>
      <c r="M42" s="91" t="str">
        <f>"DEFRA: Água: Consumo + TAR: "&amp;TEXT(E42,"0000")</f>
        <v>DEFRA: Água: Consumo + TAR: 2022</v>
      </c>
      <c r="N42" s="91" t="s">
        <v>3691</v>
      </c>
      <c r="O42" s="261" t="s">
        <v>3535</v>
      </c>
      <c r="P42" s="261" t="s">
        <v>3607</v>
      </c>
      <c r="Q42" t="s">
        <v>42</v>
      </c>
    </row>
    <row r="43" spans="1:17" ht="15.75" thickBot="1" x14ac:dyDescent="0.3">
      <c r="A43" s="82" t="s">
        <v>4705</v>
      </c>
      <c r="B43" s="82" t="s">
        <v>4705</v>
      </c>
      <c r="C43" s="82" t="str">
        <f t="shared" si="1"/>
        <v>X</v>
      </c>
      <c r="D43" s="83" t="s">
        <v>1616</v>
      </c>
      <c r="E43" s="91">
        <v>2022</v>
      </c>
      <c r="F43" s="370">
        <v>1048</v>
      </c>
      <c r="G43" s="139" t="s">
        <v>42</v>
      </c>
      <c r="H43" s="414">
        <v>1</v>
      </c>
      <c r="I43" s="370">
        <v>1048</v>
      </c>
      <c r="J43" s="85" t="s">
        <v>1618</v>
      </c>
      <c r="K43" s="91" t="s">
        <v>1918</v>
      </c>
      <c r="L43" s="91" t="s">
        <v>1619</v>
      </c>
      <c r="M43" s="91" t="str">
        <f>"DEFRA: Água: Consumo + TAR: "&amp;TEXT(E43,"0000")</f>
        <v>DEFRA: Água: Consumo + TAR: 2022</v>
      </c>
      <c r="N43" s="91" t="s">
        <v>3692</v>
      </c>
      <c r="O43" s="261" t="s">
        <v>3535</v>
      </c>
      <c r="P43" s="261" t="s">
        <v>3607</v>
      </c>
      <c r="Q43" t="s">
        <v>42</v>
      </c>
    </row>
    <row r="44" spans="1:17" ht="15.75" thickBot="1" x14ac:dyDescent="0.3">
      <c r="A44" s="82" t="s">
        <v>4705</v>
      </c>
      <c r="B44" s="82" t="s">
        <v>4705</v>
      </c>
      <c r="C44" s="82" t="str">
        <f t="shared" si="1"/>
        <v>X</v>
      </c>
      <c r="D44" s="83" t="s">
        <v>1617</v>
      </c>
      <c r="E44" s="91">
        <v>2022</v>
      </c>
      <c r="F44" s="370">
        <v>4607</v>
      </c>
      <c r="G44" s="139" t="s">
        <v>42</v>
      </c>
      <c r="H44" s="414">
        <v>1</v>
      </c>
      <c r="I44" s="370">
        <v>4607</v>
      </c>
      <c r="J44" s="85" t="s">
        <v>1618</v>
      </c>
      <c r="K44" s="91" t="s">
        <v>1918</v>
      </c>
      <c r="L44" s="91" t="s">
        <v>1619</v>
      </c>
      <c r="M44" s="91" t="str">
        <f>"DEFRA: Água: Consumo + TAR: "&amp;TEXT(E44,"0000")</f>
        <v>DEFRA: Água: Consumo + TAR: 2022</v>
      </c>
      <c r="N44" s="373" t="s">
        <v>3695</v>
      </c>
      <c r="O44" s="261" t="s">
        <v>3535</v>
      </c>
      <c r="P44" s="261" t="s">
        <v>3607</v>
      </c>
      <c r="Q44" t="s">
        <v>42</v>
      </c>
    </row>
    <row r="45" spans="1:17" ht="15.75" thickBot="1" x14ac:dyDescent="0.3">
      <c r="A45" s="82" t="s">
        <v>4705</v>
      </c>
      <c r="B45" s="82" t="s">
        <v>4705</v>
      </c>
      <c r="C45" s="82" t="str">
        <f t="shared" si="1"/>
        <v>X</v>
      </c>
      <c r="D45" s="83" t="s">
        <v>1616</v>
      </c>
      <c r="E45" s="91">
        <v>2022</v>
      </c>
      <c r="F45" s="370">
        <v>1665</v>
      </c>
      <c r="G45" s="139" t="s">
        <v>42</v>
      </c>
      <c r="H45" s="414">
        <v>1</v>
      </c>
      <c r="I45" s="370">
        <v>1665</v>
      </c>
      <c r="J45" s="85" t="s">
        <v>1618</v>
      </c>
      <c r="K45" s="91" t="s">
        <v>1918</v>
      </c>
      <c r="L45" s="91" t="s">
        <v>1619</v>
      </c>
      <c r="M45" s="91" t="str">
        <f>"DEFRA: Água: Consumo + TAR: "&amp;TEXT(E45,"0000")</f>
        <v>DEFRA: Água: Consumo + TAR: 2022</v>
      </c>
      <c r="N45" s="373" t="s">
        <v>3693</v>
      </c>
      <c r="O45" s="261" t="s">
        <v>3535</v>
      </c>
      <c r="P45" s="261" t="s">
        <v>3607</v>
      </c>
      <c r="Q45" t="s">
        <v>42</v>
      </c>
    </row>
    <row r="46" spans="1:17" ht="15.75" thickBot="1" x14ac:dyDescent="0.3">
      <c r="A46" s="82" t="s">
        <v>4701</v>
      </c>
      <c r="B46" s="82" t="s">
        <v>4701</v>
      </c>
      <c r="C46" s="82" t="str">
        <f t="shared" si="1"/>
        <v>X</v>
      </c>
      <c r="D46" s="83" t="s">
        <v>1616</v>
      </c>
      <c r="E46" s="91">
        <v>2022</v>
      </c>
      <c r="F46" s="370">
        <v>32</v>
      </c>
      <c r="G46" s="139" t="s">
        <v>42</v>
      </c>
      <c r="H46" s="414">
        <v>1</v>
      </c>
      <c r="I46" s="370">
        <v>32</v>
      </c>
      <c r="J46" s="85" t="s">
        <v>1618</v>
      </c>
      <c r="K46" s="91" t="s">
        <v>1918</v>
      </c>
      <c r="L46" s="91" t="s">
        <v>1619</v>
      </c>
      <c r="M46" s="91" t="str">
        <f t="shared" ref="M46:M48" si="3">"DEFRA: Água: Consumo + TAR: "&amp;TEXT(E46,"0000")</f>
        <v>DEFRA: Água: Consumo + TAR: 2022</v>
      </c>
      <c r="N46" s="91"/>
      <c r="O46" s="261" t="s">
        <v>3535</v>
      </c>
      <c r="P46" s="261" t="s">
        <v>3607</v>
      </c>
      <c r="Q46" t="s">
        <v>42</v>
      </c>
    </row>
    <row r="47" spans="1:17" ht="15.75" thickBot="1" x14ac:dyDescent="0.3">
      <c r="A47" s="82" t="s">
        <v>3734</v>
      </c>
      <c r="B47" s="82" t="s">
        <v>3734</v>
      </c>
      <c r="C47" s="82" t="str">
        <f t="shared" si="1"/>
        <v>X</v>
      </c>
      <c r="D47" s="83" t="s">
        <v>1616</v>
      </c>
      <c r="E47" s="91">
        <v>2022</v>
      </c>
      <c r="F47" s="370">
        <v>21.9</v>
      </c>
      <c r="G47" s="139" t="s">
        <v>42</v>
      </c>
      <c r="H47" s="414">
        <v>1</v>
      </c>
      <c r="I47" s="370">
        <v>21.9</v>
      </c>
      <c r="J47" s="85" t="s">
        <v>1618</v>
      </c>
      <c r="K47" s="91" t="s">
        <v>1918</v>
      </c>
      <c r="L47" s="91" t="s">
        <v>1619</v>
      </c>
      <c r="M47" s="91" t="str">
        <f t="shared" si="3"/>
        <v>DEFRA: Água: Consumo + TAR: 2022</v>
      </c>
      <c r="N47" s="91"/>
      <c r="O47" s="261" t="s">
        <v>3535</v>
      </c>
      <c r="P47" s="261" t="s">
        <v>3607</v>
      </c>
      <c r="Q47" t="s">
        <v>42</v>
      </c>
    </row>
    <row r="48" spans="1:17" ht="15.75" thickBot="1" x14ac:dyDescent="0.3">
      <c r="A48" s="82" t="s">
        <v>3735</v>
      </c>
      <c r="B48" s="82" t="s">
        <v>3735</v>
      </c>
      <c r="C48" s="82" t="str">
        <f t="shared" si="1"/>
        <v>X</v>
      </c>
      <c r="D48" s="83" t="s">
        <v>1616</v>
      </c>
      <c r="E48" s="91">
        <v>2022</v>
      </c>
      <c r="F48" s="370">
        <v>18</v>
      </c>
      <c r="G48" s="139" t="s">
        <v>42</v>
      </c>
      <c r="H48" s="414">
        <v>1</v>
      </c>
      <c r="I48" s="370">
        <v>18</v>
      </c>
      <c r="J48" s="85" t="s">
        <v>1618</v>
      </c>
      <c r="K48" s="91" t="s">
        <v>1918</v>
      </c>
      <c r="L48" s="91" t="s">
        <v>1619</v>
      </c>
      <c r="M48" s="91" t="str">
        <f t="shared" si="3"/>
        <v>DEFRA: Água: Consumo + TAR: 2022</v>
      </c>
      <c r="N48" s="91"/>
      <c r="O48" s="261" t="s">
        <v>3535</v>
      </c>
      <c r="P48" s="261" t="s">
        <v>3607</v>
      </c>
      <c r="Q48" t="s">
        <v>42</v>
      </c>
    </row>
    <row r="49" spans="1:17" ht="15.75" thickBot="1" x14ac:dyDescent="0.3">
      <c r="A49" t="s">
        <v>4704</v>
      </c>
      <c r="B49" t="s">
        <v>4704</v>
      </c>
      <c r="C49" s="82" t="str">
        <f t="shared" si="1"/>
        <v>X</v>
      </c>
      <c r="D49" t="s">
        <v>1616</v>
      </c>
      <c r="E49" s="91">
        <v>2022</v>
      </c>
      <c r="F49" s="370">
        <v>9293</v>
      </c>
      <c r="G49" s="139" t="s">
        <v>42</v>
      </c>
      <c r="H49" s="414">
        <v>1</v>
      </c>
      <c r="I49" s="370">
        <v>9293</v>
      </c>
      <c r="J49" s="85" t="s">
        <v>1618</v>
      </c>
      <c r="K49" s="91" t="s">
        <v>1918</v>
      </c>
      <c r="L49" s="91" t="s">
        <v>1619</v>
      </c>
      <c r="M49" s="91" t="str">
        <f t="shared" ref="M49:M50" si="4">"DEFRA: Água: Consumo + TAR: "&amp;TEXT(E49,"0000")</f>
        <v>DEFRA: Água: Consumo + TAR: 2022</v>
      </c>
      <c r="N49" s="91"/>
      <c r="O49" s="261" t="s">
        <v>3535</v>
      </c>
      <c r="P49" s="261" t="s">
        <v>3607</v>
      </c>
      <c r="Q49" t="s">
        <v>42</v>
      </c>
    </row>
    <row r="50" spans="1:17" ht="15.75" thickBot="1" x14ac:dyDescent="0.3">
      <c r="A50" t="s">
        <v>4704</v>
      </c>
      <c r="B50" t="s">
        <v>4704</v>
      </c>
      <c r="C50" s="82" t="str">
        <f t="shared" si="1"/>
        <v>X</v>
      </c>
      <c r="D50" t="s">
        <v>1617</v>
      </c>
      <c r="E50" s="91">
        <v>2022</v>
      </c>
      <c r="F50" s="370">
        <v>13923</v>
      </c>
      <c r="G50" s="139" t="s">
        <v>42</v>
      </c>
      <c r="H50" s="414">
        <v>1</v>
      </c>
      <c r="I50" s="370">
        <v>13923</v>
      </c>
      <c r="J50" s="85" t="s">
        <v>1618</v>
      </c>
      <c r="K50" s="91" t="s">
        <v>1918</v>
      </c>
      <c r="L50" s="91" t="s">
        <v>1619</v>
      </c>
      <c r="M50" s="91" t="str">
        <f t="shared" si="4"/>
        <v>DEFRA: Água: Consumo + TAR: 2022</v>
      </c>
      <c r="N50" s="91"/>
      <c r="O50" s="261" t="s">
        <v>3535</v>
      </c>
      <c r="P50" s="261" t="s">
        <v>3607</v>
      </c>
      <c r="Q50" t="s">
        <v>42</v>
      </c>
    </row>
    <row r="51" spans="1:17" ht="15.75" thickBot="1" x14ac:dyDescent="0.3">
      <c r="A51" t="s">
        <v>4704</v>
      </c>
      <c r="B51" t="s">
        <v>4704</v>
      </c>
      <c r="C51" s="82" t="str">
        <f t="shared" si="1"/>
        <v>X</v>
      </c>
      <c r="D51" t="s">
        <v>1616</v>
      </c>
      <c r="E51" s="91">
        <v>2022</v>
      </c>
      <c r="F51" s="370">
        <v>1423</v>
      </c>
      <c r="G51" s="139" t="s">
        <v>42</v>
      </c>
      <c r="H51" s="414">
        <v>1</v>
      </c>
      <c r="I51" s="370">
        <v>1423</v>
      </c>
      <c r="J51" s="85" t="s">
        <v>1618</v>
      </c>
      <c r="K51" s="91" t="s">
        <v>1918</v>
      </c>
      <c r="L51" s="415" t="s">
        <v>1620</v>
      </c>
      <c r="M51" s="415" t="str">
        <f t="shared" ref="M51:M52" si="5">"DEFRA: Água: Consumo + TAR: "&amp;TEXT(E51,"0000")</f>
        <v>DEFRA: Água: Consumo + TAR: 2022</v>
      </c>
      <c r="N51" s="91"/>
      <c r="O51" s="261" t="s">
        <v>3535</v>
      </c>
      <c r="P51" s="261" t="s">
        <v>3607</v>
      </c>
      <c r="Q51" t="s">
        <v>42</v>
      </c>
    </row>
    <row r="52" spans="1:17" ht="15.75" thickBot="1" x14ac:dyDescent="0.3">
      <c r="A52" t="s">
        <v>4704</v>
      </c>
      <c r="B52" t="s">
        <v>4704</v>
      </c>
      <c r="C52" s="82" t="str">
        <f t="shared" si="1"/>
        <v>X</v>
      </c>
      <c r="D52" t="s">
        <v>1617</v>
      </c>
      <c r="E52" s="91">
        <v>2022</v>
      </c>
      <c r="F52" s="370">
        <v>4712</v>
      </c>
      <c r="G52" s="139" t="s">
        <v>42</v>
      </c>
      <c r="H52" s="414">
        <v>1</v>
      </c>
      <c r="I52" s="370">
        <v>4712</v>
      </c>
      <c r="J52" s="85" t="s">
        <v>1618</v>
      </c>
      <c r="K52" s="91" t="s">
        <v>1918</v>
      </c>
      <c r="L52" s="415" t="s">
        <v>1620</v>
      </c>
      <c r="M52" s="415" t="str">
        <f t="shared" si="5"/>
        <v>DEFRA: Água: Consumo + TAR: 2022</v>
      </c>
      <c r="N52" s="91"/>
      <c r="O52" s="261" t="s">
        <v>3535</v>
      </c>
      <c r="P52" s="261" t="s">
        <v>3607</v>
      </c>
      <c r="Q52" t="s">
        <v>42</v>
      </c>
    </row>
  </sheetData>
  <mergeCells count="13">
    <mergeCell ref="Q1:Q2"/>
    <mergeCell ref="A1:A2"/>
    <mergeCell ref="C1:C2"/>
    <mergeCell ref="B1:B2"/>
    <mergeCell ref="D1:D2"/>
    <mergeCell ref="F1:F2"/>
    <mergeCell ref="O1:O2"/>
    <mergeCell ref="P1:P2"/>
    <mergeCell ref="I1:I2"/>
    <mergeCell ref="J1:J2"/>
    <mergeCell ref="L1:L2"/>
    <mergeCell ref="N1:N2"/>
    <mergeCell ref="K1:K2"/>
  </mergeCells>
  <dataValidations count="3">
    <dataValidation type="list" allowBlank="1" showInputMessage="1" showErrorMessage="1" sqref="D3:D48">
      <formula1>"Rede Pública, Captação (Furo, Poço, etc.), Águas Pluviais"</formula1>
    </dataValidation>
    <dataValidation type="list" allowBlank="1" showInputMessage="1" showErrorMessage="1" sqref="J3:J52">
      <formula1>"m3 (metros cúbicos), l (litros), ton (toneladas)"</formula1>
    </dataValidation>
    <dataValidation type="list" allowBlank="1" showInputMessage="1" showErrorMessage="1" sqref="L3:L39 L42:L52">
      <formula1>"ETAR Rede Pública, ETAR Industrial Propietária"</formula1>
    </dataValidation>
  </dataValidations>
  <pageMargins left="0.7" right="0.7" top="0.75" bottom="0.75" header="0.3" footer="0.3"/>
  <customProperties>
    <customPr name="GUID" r:id="rId1"/>
  </customPropertie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6"/>
  <dimension ref="B6:AA283"/>
  <sheetViews>
    <sheetView topLeftCell="A115" zoomScale="55" zoomScaleNormal="55" workbookViewId="0">
      <selection activeCell="H151" sqref="H151"/>
    </sheetView>
    <sheetView workbookViewId="1"/>
  </sheetViews>
  <sheetFormatPr defaultRowHeight="15" x14ac:dyDescent="0.25"/>
  <cols>
    <col min="2" max="2" width="49.28515625" customWidth="1"/>
    <col min="3" max="3" width="37.7109375" customWidth="1"/>
    <col min="4" max="4" width="36.85546875" style="151" customWidth="1"/>
    <col min="5" max="5" width="34.5703125" style="151" customWidth="1"/>
    <col min="6" max="6" width="24.42578125" customWidth="1"/>
    <col min="7" max="10" width="27.5703125" customWidth="1"/>
    <col min="11" max="11" width="41.7109375" style="151" customWidth="1"/>
    <col min="12" max="12" width="34.85546875" style="1" bestFit="1" customWidth="1"/>
  </cols>
  <sheetData>
    <row r="6" spans="2:27" ht="15.75" thickBot="1" x14ac:dyDescent="0.3"/>
    <row r="7" spans="2:27" x14ac:dyDescent="0.25">
      <c r="B7" s="78" t="s">
        <v>118</v>
      </c>
      <c r="C7" s="79"/>
    </row>
    <row r="9" spans="2:27" x14ac:dyDescent="0.25">
      <c r="B9" s="516" t="str">
        <f>"Grupo Barraqueiro: "&amp;'Folha de Rosto'!C6&amp;" "&amp;'Folha de Rosto'!I6&amp;" - Emissões de GEE de Âmbito 3"</f>
        <v>Grupo Barraqueiro: PEGADA DE CARBONO 2022 - Emissões de GEE de Âmbito 3</v>
      </c>
      <c r="C9" s="516"/>
      <c r="D9" s="516"/>
      <c r="E9" s="516"/>
      <c r="F9" s="516"/>
      <c r="G9" s="516"/>
      <c r="H9" s="516"/>
      <c r="I9" s="516"/>
      <c r="J9" s="516"/>
      <c r="K9" s="516"/>
      <c r="L9" s="516"/>
      <c r="M9" s="516"/>
      <c r="N9" s="516"/>
      <c r="O9" s="516"/>
      <c r="P9" s="516"/>
      <c r="Q9" s="516"/>
      <c r="R9" s="516"/>
      <c r="S9" s="516"/>
      <c r="T9" s="516"/>
      <c r="U9" s="516"/>
      <c r="V9" s="516"/>
      <c r="W9" s="516"/>
      <c r="X9" s="516"/>
      <c r="Y9" s="516"/>
      <c r="Z9" s="516"/>
      <c r="AA9" s="516"/>
    </row>
    <row r="10" spans="2:27" ht="15.75" thickBot="1" x14ac:dyDescent="0.3"/>
    <row r="11" spans="2:27" ht="33.6" customHeight="1" thickBot="1" x14ac:dyDescent="0.3">
      <c r="B11" s="512" t="s">
        <v>119</v>
      </c>
      <c r="C11" s="512"/>
      <c r="D11" s="518" t="s">
        <v>522</v>
      </c>
      <c r="E11" s="518"/>
      <c r="F11" s="518"/>
      <c r="G11" s="518"/>
      <c r="H11" s="518"/>
      <c r="I11" s="518"/>
      <c r="J11" s="518"/>
      <c r="K11" s="519"/>
      <c r="L11" s="519"/>
      <c r="M11" s="519"/>
      <c r="N11" s="519"/>
      <c r="O11" s="519"/>
      <c r="P11" s="519"/>
      <c r="Q11" s="519"/>
      <c r="R11" s="519"/>
      <c r="S11" s="519"/>
      <c r="T11" s="520"/>
    </row>
    <row r="12" spans="2:27" ht="60.95" customHeight="1" thickBot="1" x14ac:dyDescent="0.3">
      <c r="B12" s="512" t="s">
        <v>120</v>
      </c>
      <c r="C12" s="512"/>
      <c r="D12" s="521" t="s">
        <v>530</v>
      </c>
      <c r="E12" s="521"/>
      <c r="F12" s="521"/>
      <c r="G12" s="521"/>
      <c r="H12" s="521"/>
      <c r="I12" s="521"/>
      <c r="J12" s="521"/>
      <c r="K12" s="522"/>
      <c r="L12" s="522"/>
      <c r="M12" s="522"/>
      <c r="N12" s="522"/>
      <c r="O12" s="522"/>
      <c r="P12" s="522"/>
      <c r="Q12" s="522"/>
      <c r="R12" s="522"/>
      <c r="S12" s="522"/>
      <c r="T12" s="523"/>
    </row>
    <row r="13" spans="2:27" ht="60.95" customHeight="1" thickBot="1" x14ac:dyDescent="0.3">
      <c r="B13" s="512" t="s">
        <v>121</v>
      </c>
      <c r="C13" s="512"/>
      <c r="D13" s="547" t="s">
        <v>1529</v>
      </c>
      <c r="E13" s="548"/>
      <c r="F13" s="548"/>
      <c r="G13" s="548"/>
      <c r="H13" s="548"/>
      <c r="I13" s="548"/>
      <c r="J13" s="548"/>
      <c r="K13" s="548"/>
      <c r="L13" s="548"/>
      <c r="M13" s="548"/>
      <c r="N13" s="548"/>
      <c r="O13" s="548"/>
      <c r="P13" s="548"/>
      <c r="Q13" s="548"/>
      <c r="R13" s="548"/>
      <c r="S13" s="548"/>
      <c r="T13" s="557"/>
    </row>
    <row r="14" spans="2:27" ht="60.95" customHeight="1" thickBot="1" x14ac:dyDescent="0.3">
      <c r="B14" s="512" t="s">
        <v>122</v>
      </c>
      <c r="C14" s="512"/>
      <c r="D14" s="513" t="s">
        <v>123</v>
      </c>
      <c r="E14" s="513"/>
      <c r="F14" s="513"/>
      <c r="G14" s="513"/>
      <c r="H14" s="513"/>
      <c r="I14" s="513"/>
      <c r="J14" s="513"/>
      <c r="K14" s="514"/>
      <c r="L14" s="514"/>
      <c r="M14" s="514"/>
      <c r="N14" s="514"/>
      <c r="O14" s="514"/>
      <c r="P14" s="514"/>
      <c r="Q14" s="514"/>
      <c r="R14" s="514"/>
      <c r="S14" s="514"/>
      <c r="T14" s="515"/>
    </row>
    <row r="15" spans="2:27" ht="60" customHeight="1" thickBot="1" x14ac:dyDescent="0.3">
      <c r="B15" s="512" t="s">
        <v>128</v>
      </c>
      <c r="C15" s="512"/>
      <c r="D15" s="547" t="s">
        <v>129</v>
      </c>
      <c r="E15" s="548"/>
      <c r="F15" s="548"/>
      <c r="G15" s="548"/>
      <c r="H15" s="548"/>
      <c r="I15" s="548"/>
      <c r="J15" s="548"/>
      <c r="K15" s="548"/>
      <c r="L15" s="548"/>
      <c r="M15" s="548"/>
      <c r="N15" s="548"/>
      <c r="O15" s="548"/>
      <c r="P15" s="548"/>
      <c r="Q15" s="548"/>
      <c r="R15" s="548"/>
      <c r="S15" s="548"/>
      <c r="T15" s="513"/>
    </row>
    <row r="17" spans="2:27" x14ac:dyDescent="0.25">
      <c r="B17" s="516" t="s">
        <v>1814</v>
      </c>
      <c r="C17" s="516"/>
      <c r="D17" s="516"/>
      <c r="E17" s="516"/>
      <c r="F17" s="516"/>
      <c r="G17" s="516"/>
      <c r="H17" s="516"/>
      <c r="I17" s="516"/>
      <c r="J17" s="516"/>
      <c r="K17" s="516"/>
      <c r="L17" s="516"/>
      <c r="M17" s="516"/>
      <c r="N17" s="516"/>
      <c r="O17" s="516"/>
      <c r="P17" s="516"/>
      <c r="Q17" s="516"/>
      <c r="R17" s="516"/>
      <c r="S17" s="516"/>
      <c r="T17" s="516"/>
      <c r="U17" s="516"/>
      <c r="V17" s="516"/>
      <c r="W17" s="516"/>
      <c r="X17" s="516"/>
      <c r="Y17" s="516"/>
      <c r="Z17" s="516"/>
      <c r="AA17" s="516"/>
    </row>
    <row r="18" spans="2:27" x14ac:dyDescent="0.25">
      <c r="B18" t="s">
        <v>130</v>
      </c>
    </row>
    <row r="20" spans="2:27" x14ac:dyDescent="0.25">
      <c r="B20" s="81" t="s">
        <v>135</v>
      </c>
    </row>
    <row r="21" spans="2:27" x14ac:dyDescent="0.25">
      <c r="B21" s="517"/>
      <c r="C21" s="517"/>
      <c r="D21" s="517"/>
      <c r="E21" s="517"/>
      <c r="F21" s="517"/>
      <c r="G21" s="517"/>
      <c r="H21" s="517"/>
      <c r="I21" s="517"/>
      <c r="J21" s="517"/>
      <c r="K21" s="517"/>
      <c r="L21" s="517"/>
      <c r="M21" s="517"/>
      <c r="N21" s="517"/>
      <c r="O21" s="517"/>
      <c r="P21" s="517"/>
      <c r="Q21" s="517"/>
      <c r="R21" s="517"/>
      <c r="S21" s="517"/>
      <c r="T21" s="517"/>
      <c r="U21" s="517"/>
      <c r="V21" s="517"/>
      <c r="W21" s="517"/>
      <c r="X21" s="517"/>
      <c r="Y21" s="517"/>
    </row>
    <row r="22" spans="2:27" x14ac:dyDescent="0.25">
      <c r="B22" s="517"/>
      <c r="C22" s="517"/>
      <c r="D22" s="517"/>
      <c r="E22" s="517"/>
      <c r="F22" s="517"/>
      <c r="G22" s="517"/>
      <c r="H22" s="517"/>
      <c r="I22" s="517"/>
      <c r="J22" s="517"/>
      <c r="K22" s="517"/>
      <c r="L22" s="517"/>
      <c r="M22" s="517"/>
      <c r="N22" s="517"/>
      <c r="O22" s="517"/>
      <c r="P22" s="517"/>
      <c r="Q22" s="517"/>
      <c r="R22" s="517"/>
      <c r="S22" s="517"/>
      <c r="T22" s="517"/>
      <c r="U22" s="517"/>
      <c r="V22" s="517"/>
      <c r="W22" s="517"/>
      <c r="X22" s="517"/>
      <c r="Y22" s="517"/>
    </row>
    <row r="24" spans="2:27" ht="15" customHeight="1" x14ac:dyDescent="0.25">
      <c r="B24" s="81" t="s">
        <v>136</v>
      </c>
    </row>
    <row r="25" spans="2:27" x14ac:dyDescent="0.25">
      <c r="B25" s="517"/>
      <c r="C25" s="517"/>
      <c r="D25" s="517"/>
      <c r="E25" s="517"/>
      <c r="F25" s="517"/>
      <c r="G25" s="517"/>
      <c r="H25" s="517"/>
      <c r="I25" s="517"/>
      <c r="J25" s="517"/>
      <c r="K25" s="517"/>
      <c r="L25" s="517"/>
      <c r="M25" s="517"/>
      <c r="N25" s="517"/>
      <c r="O25" s="517"/>
      <c r="P25" s="517"/>
      <c r="Q25" s="517"/>
      <c r="R25" s="517"/>
      <c r="S25" s="517"/>
      <c r="T25" s="517"/>
      <c r="U25" s="517"/>
      <c r="V25" s="517"/>
      <c r="W25" s="517"/>
      <c r="X25" s="517"/>
      <c r="Y25" s="517"/>
    </row>
    <row r="26" spans="2:27" x14ac:dyDescent="0.25">
      <c r="B26" s="517"/>
      <c r="C26" s="517"/>
      <c r="D26" s="517"/>
      <c r="E26" s="517"/>
      <c r="F26" s="517"/>
      <c r="G26" s="517"/>
      <c r="H26" s="517"/>
      <c r="I26" s="517"/>
      <c r="J26" s="517"/>
      <c r="K26" s="517"/>
      <c r="L26" s="517"/>
      <c r="M26" s="517"/>
      <c r="N26" s="517"/>
      <c r="O26" s="517"/>
      <c r="P26" s="517"/>
      <c r="Q26" s="517"/>
      <c r="R26" s="517"/>
      <c r="S26" s="517"/>
      <c r="T26" s="517"/>
      <c r="U26" s="517"/>
      <c r="V26" s="517"/>
      <c r="W26" s="517"/>
      <c r="X26" s="517"/>
      <c r="Y26" s="517"/>
    </row>
    <row r="27" spans="2:27" ht="15.75" thickBot="1" x14ac:dyDescent="0.3"/>
    <row r="28" spans="2:27" s="94" customFormat="1" ht="30.75" customHeight="1" x14ac:dyDescent="0.25">
      <c r="B28" s="508" t="s">
        <v>131</v>
      </c>
      <c r="C28" s="508" t="s">
        <v>531</v>
      </c>
      <c r="D28" s="579" t="s">
        <v>533</v>
      </c>
      <c r="E28" s="579" t="s">
        <v>532</v>
      </c>
      <c r="F28" s="508" t="s">
        <v>141</v>
      </c>
      <c r="G28" s="508" t="s">
        <v>528</v>
      </c>
      <c r="H28" s="508" t="s">
        <v>1611</v>
      </c>
      <c r="I28" s="508" t="s">
        <v>1612</v>
      </c>
      <c r="J28" s="529" t="s">
        <v>1623</v>
      </c>
      <c r="K28" s="581" t="s">
        <v>1621</v>
      </c>
      <c r="L28" s="529" t="s">
        <v>1622</v>
      </c>
    </row>
    <row r="29" spans="2:27" s="94" customFormat="1" ht="15" customHeight="1" thickBot="1" x14ac:dyDescent="0.3">
      <c r="B29" s="509"/>
      <c r="C29" s="509"/>
      <c r="D29" s="580"/>
      <c r="E29" s="580"/>
      <c r="F29" s="509"/>
      <c r="G29" s="509"/>
      <c r="H29" s="509"/>
      <c r="I29" s="509"/>
      <c r="J29" s="530"/>
      <c r="K29" s="582"/>
      <c r="L29" s="530"/>
    </row>
    <row r="30" spans="2:27" ht="15.75" thickBot="1" x14ac:dyDescent="0.3">
      <c r="B30" s="83" t="s">
        <v>3510</v>
      </c>
      <c r="C30" s="83" t="s">
        <v>1617</v>
      </c>
      <c r="D30" s="152">
        <v>10.875</v>
      </c>
      <c r="E30" s="139">
        <v>10.875</v>
      </c>
      <c r="F30" s="85" t="s">
        <v>1618</v>
      </c>
      <c r="G30" s="91" t="s">
        <v>1619</v>
      </c>
      <c r="H30" s="153">
        <v>44533</v>
      </c>
      <c r="I30" s="153">
        <v>44564</v>
      </c>
      <c r="J30" s="153" t="s">
        <v>1624</v>
      </c>
      <c r="K30" s="139">
        <v>116</v>
      </c>
      <c r="L30" s="125">
        <v>3</v>
      </c>
    </row>
    <row r="31" spans="2:27" ht="15.75" thickBot="1" x14ac:dyDescent="0.3">
      <c r="B31" s="83" t="s">
        <v>3510</v>
      </c>
      <c r="C31" s="83" t="s">
        <v>1616</v>
      </c>
      <c r="D31" s="152">
        <v>11.379310344827585</v>
      </c>
      <c r="E31" s="139">
        <v>11.379310344827585</v>
      </c>
      <c r="F31" s="85" t="s">
        <v>1618</v>
      </c>
      <c r="G31" s="91" t="s">
        <v>1619</v>
      </c>
      <c r="H31" s="153">
        <v>44544</v>
      </c>
      <c r="I31" s="153">
        <v>44572</v>
      </c>
      <c r="J31" s="153" t="s">
        <v>1624</v>
      </c>
      <c r="K31" s="139">
        <v>30</v>
      </c>
      <c r="L31" s="125">
        <v>11</v>
      </c>
    </row>
    <row r="32" spans="2:27" ht="15.75" thickBot="1" x14ac:dyDescent="0.3">
      <c r="B32" s="83" t="s">
        <v>3510</v>
      </c>
      <c r="C32" s="83" t="s">
        <v>1616</v>
      </c>
      <c r="D32" s="152">
        <v>0</v>
      </c>
      <c r="E32" s="139">
        <v>0</v>
      </c>
      <c r="F32" s="85" t="s">
        <v>1618</v>
      </c>
      <c r="G32" s="91" t="s">
        <v>1619</v>
      </c>
      <c r="H32" s="153">
        <v>44551</v>
      </c>
      <c r="I32" s="153">
        <v>44579</v>
      </c>
      <c r="J32" s="153" t="s">
        <v>1624</v>
      </c>
      <c r="K32" s="139">
        <v>0</v>
      </c>
      <c r="L32" s="125">
        <v>18</v>
      </c>
    </row>
    <row r="33" spans="2:12" ht="15.75" thickBot="1" x14ac:dyDescent="0.3">
      <c r="B33" s="83" t="s">
        <v>3510</v>
      </c>
      <c r="C33" s="83" t="s">
        <v>1617</v>
      </c>
      <c r="D33" s="152">
        <v>110</v>
      </c>
      <c r="E33" s="139">
        <v>110</v>
      </c>
      <c r="F33" s="85" t="s">
        <v>1618</v>
      </c>
      <c r="G33" s="91" t="s">
        <v>1619</v>
      </c>
      <c r="H33" s="153">
        <v>44565</v>
      </c>
      <c r="I33" s="153">
        <v>44593</v>
      </c>
      <c r="J33" s="153" t="s">
        <v>1624</v>
      </c>
      <c r="K33" s="139">
        <v>110</v>
      </c>
      <c r="L33" s="125">
        <v>29</v>
      </c>
    </row>
    <row r="34" spans="2:12" ht="15.75" thickBot="1" x14ac:dyDescent="0.3">
      <c r="B34" s="83" t="s">
        <v>3510</v>
      </c>
      <c r="C34" s="83" t="s">
        <v>1616</v>
      </c>
      <c r="D34" s="152">
        <v>43</v>
      </c>
      <c r="E34" s="139">
        <v>43</v>
      </c>
      <c r="F34" s="85" t="s">
        <v>1618</v>
      </c>
      <c r="G34" s="91" t="s">
        <v>1619</v>
      </c>
      <c r="H34" s="153">
        <v>44573</v>
      </c>
      <c r="I34" s="153">
        <v>44601</v>
      </c>
      <c r="J34" s="153" t="s">
        <v>1624</v>
      </c>
      <c r="K34" s="139">
        <v>43</v>
      </c>
      <c r="L34" s="125">
        <v>29</v>
      </c>
    </row>
    <row r="35" spans="2:12" ht="15.75" thickBot="1" x14ac:dyDescent="0.3">
      <c r="B35" s="83" t="s">
        <v>3510</v>
      </c>
      <c r="C35" s="83" t="s">
        <v>1616</v>
      </c>
      <c r="D35" s="152">
        <v>1</v>
      </c>
      <c r="E35" s="139">
        <v>1</v>
      </c>
      <c r="F35" s="85" t="s">
        <v>1618</v>
      </c>
      <c r="G35" s="91" t="s">
        <v>1619</v>
      </c>
      <c r="H35" s="153">
        <v>44580</v>
      </c>
      <c r="I35" s="153">
        <v>44608</v>
      </c>
      <c r="J35" s="153" t="s">
        <v>1624</v>
      </c>
      <c r="K35" s="139">
        <v>1</v>
      </c>
      <c r="L35" s="125">
        <v>29</v>
      </c>
    </row>
    <row r="36" spans="2:12" ht="15.75" thickBot="1" x14ac:dyDescent="0.3">
      <c r="B36" s="83" t="s">
        <v>3510</v>
      </c>
      <c r="C36" s="83" t="s">
        <v>1617</v>
      </c>
      <c r="D36" s="152">
        <v>164</v>
      </c>
      <c r="E36" s="139">
        <v>164</v>
      </c>
      <c r="F36" s="85" t="s">
        <v>1618</v>
      </c>
      <c r="G36" s="91" t="s">
        <v>1619</v>
      </c>
      <c r="H36" s="153">
        <v>44594</v>
      </c>
      <c r="I36" s="153">
        <v>44622</v>
      </c>
      <c r="J36" s="153" t="s">
        <v>1624</v>
      </c>
      <c r="K36" s="139">
        <v>164</v>
      </c>
      <c r="L36" s="125">
        <v>29</v>
      </c>
    </row>
    <row r="37" spans="2:12" ht="15.75" thickBot="1" x14ac:dyDescent="0.3">
      <c r="B37" s="83" t="s">
        <v>3510</v>
      </c>
      <c r="C37" s="83" t="s">
        <v>1616</v>
      </c>
      <c r="D37" s="152">
        <v>25</v>
      </c>
      <c r="E37" s="139">
        <v>25</v>
      </c>
      <c r="F37" s="85" t="s">
        <v>1618</v>
      </c>
      <c r="G37" s="91" t="s">
        <v>1619</v>
      </c>
      <c r="H37" s="153">
        <v>44602</v>
      </c>
      <c r="I37" s="153">
        <v>44630</v>
      </c>
      <c r="J37" s="153" t="s">
        <v>1624</v>
      </c>
      <c r="K37" s="139">
        <v>25</v>
      </c>
      <c r="L37" s="125">
        <v>29</v>
      </c>
    </row>
    <row r="38" spans="2:12" ht="15.75" thickBot="1" x14ac:dyDescent="0.3">
      <c r="B38" s="83" t="s">
        <v>3510</v>
      </c>
      <c r="C38" s="83" t="s">
        <v>1616</v>
      </c>
      <c r="D38" s="152">
        <v>1</v>
      </c>
      <c r="E38" s="139">
        <v>1</v>
      </c>
      <c r="F38" s="85" t="s">
        <v>1618</v>
      </c>
      <c r="G38" s="91" t="s">
        <v>1619</v>
      </c>
      <c r="H38" s="153">
        <v>44609</v>
      </c>
      <c r="I38" s="153">
        <v>44637</v>
      </c>
      <c r="J38" s="153" t="s">
        <v>1624</v>
      </c>
      <c r="K38" s="139">
        <v>1</v>
      </c>
      <c r="L38" s="125">
        <v>29</v>
      </c>
    </row>
    <row r="39" spans="2:12" ht="15.75" thickBot="1" x14ac:dyDescent="0.3">
      <c r="B39" s="83" t="s">
        <v>3510</v>
      </c>
      <c r="C39" s="83" t="s">
        <v>1617</v>
      </c>
      <c r="D39" s="152">
        <v>40</v>
      </c>
      <c r="E39" s="139">
        <v>40</v>
      </c>
      <c r="F39" s="85" t="s">
        <v>1618</v>
      </c>
      <c r="G39" s="91" t="s">
        <v>1619</v>
      </c>
      <c r="H39" s="153">
        <v>44623</v>
      </c>
      <c r="I39" s="153">
        <v>44652</v>
      </c>
      <c r="J39" s="153" t="s">
        <v>1624</v>
      </c>
      <c r="K39" s="139">
        <v>40</v>
      </c>
      <c r="L39" s="125">
        <v>30</v>
      </c>
    </row>
    <row r="40" spans="2:12" ht="15.75" thickBot="1" x14ac:dyDescent="0.3">
      <c r="B40" s="83" t="s">
        <v>3510</v>
      </c>
      <c r="C40" s="83" t="s">
        <v>1616</v>
      </c>
      <c r="D40" s="152">
        <v>50</v>
      </c>
      <c r="E40" s="139">
        <v>50</v>
      </c>
      <c r="F40" s="85" t="s">
        <v>1618</v>
      </c>
      <c r="G40" s="91" t="s">
        <v>1619</v>
      </c>
      <c r="H40" s="153">
        <v>44631</v>
      </c>
      <c r="I40" s="153">
        <v>44662</v>
      </c>
      <c r="J40" s="153" t="s">
        <v>1624</v>
      </c>
      <c r="K40" s="139">
        <v>50</v>
      </c>
      <c r="L40" s="125">
        <v>32</v>
      </c>
    </row>
    <row r="41" spans="2:12" ht="15.75" thickBot="1" x14ac:dyDescent="0.3">
      <c r="B41" s="83" t="s">
        <v>3510</v>
      </c>
      <c r="C41" s="83" t="s">
        <v>1616</v>
      </c>
      <c r="D41" s="152">
        <v>1</v>
      </c>
      <c r="E41" s="139">
        <v>1</v>
      </c>
      <c r="F41" s="85" t="s">
        <v>1618</v>
      </c>
      <c r="G41" s="91" t="s">
        <v>1619</v>
      </c>
      <c r="H41" s="153">
        <v>44638</v>
      </c>
      <c r="I41" s="153">
        <v>44670</v>
      </c>
      <c r="J41" s="153" t="s">
        <v>1624</v>
      </c>
      <c r="K41" s="139">
        <v>1</v>
      </c>
      <c r="L41" s="125">
        <v>33</v>
      </c>
    </row>
    <row r="42" spans="2:12" ht="15.75" thickBot="1" x14ac:dyDescent="0.3">
      <c r="B42" s="83" t="s">
        <v>3510</v>
      </c>
      <c r="C42" s="83" t="s">
        <v>1617</v>
      </c>
      <c r="D42" s="152">
        <v>113</v>
      </c>
      <c r="E42" s="139">
        <v>113</v>
      </c>
      <c r="F42" s="85" t="s">
        <v>1618</v>
      </c>
      <c r="G42" s="91" t="s">
        <v>1619</v>
      </c>
      <c r="H42" s="153">
        <v>44655</v>
      </c>
      <c r="I42" s="153">
        <v>44683</v>
      </c>
      <c r="J42" s="153" t="s">
        <v>1624</v>
      </c>
      <c r="K42" s="139">
        <v>113</v>
      </c>
      <c r="L42" s="125">
        <v>29</v>
      </c>
    </row>
    <row r="43" spans="2:12" ht="15.75" thickBot="1" x14ac:dyDescent="0.3">
      <c r="B43" s="83" t="s">
        <v>3510</v>
      </c>
      <c r="C43" s="83" t="s">
        <v>1616</v>
      </c>
      <c r="D43" s="152">
        <v>31</v>
      </c>
      <c r="E43" s="139">
        <v>31</v>
      </c>
      <c r="F43" s="85" t="s">
        <v>1618</v>
      </c>
      <c r="G43" s="91" t="s">
        <v>1619</v>
      </c>
      <c r="H43" s="153">
        <v>44663</v>
      </c>
      <c r="I43" s="153">
        <v>44691</v>
      </c>
      <c r="J43" s="153" t="s">
        <v>1624</v>
      </c>
      <c r="K43" s="139">
        <v>31</v>
      </c>
      <c r="L43" s="125">
        <v>29</v>
      </c>
    </row>
    <row r="44" spans="2:12" ht="15.75" thickBot="1" x14ac:dyDescent="0.3">
      <c r="B44" s="83" t="s">
        <v>3510</v>
      </c>
      <c r="C44" s="83" t="s">
        <v>1616</v>
      </c>
      <c r="D44" s="152">
        <v>1</v>
      </c>
      <c r="E44" s="139">
        <v>1</v>
      </c>
      <c r="F44" s="85" t="s">
        <v>1618</v>
      </c>
      <c r="G44" s="91" t="s">
        <v>1619</v>
      </c>
      <c r="H44" s="153">
        <v>44671</v>
      </c>
      <c r="I44" s="153">
        <v>44698</v>
      </c>
      <c r="J44" s="153" t="s">
        <v>1624</v>
      </c>
      <c r="K44" s="139">
        <v>1</v>
      </c>
      <c r="L44" s="125">
        <v>28</v>
      </c>
    </row>
    <row r="45" spans="2:12" ht="15.75" thickBot="1" x14ac:dyDescent="0.3">
      <c r="B45" s="83" t="s">
        <v>3510</v>
      </c>
      <c r="C45" s="83" t="s">
        <v>1617</v>
      </c>
      <c r="D45" s="152">
        <v>146</v>
      </c>
      <c r="E45" s="139">
        <v>146</v>
      </c>
      <c r="F45" s="85" t="s">
        <v>1618</v>
      </c>
      <c r="G45" s="91" t="s">
        <v>1619</v>
      </c>
      <c r="H45" s="153">
        <v>44684</v>
      </c>
      <c r="I45" s="153">
        <v>44713</v>
      </c>
      <c r="J45" s="153" t="s">
        <v>1624</v>
      </c>
      <c r="K45" s="139">
        <v>146</v>
      </c>
      <c r="L45" s="125">
        <v>30</v>
      </c>
    </row>
    <row r="46" spans="2:12" ht="15.75" thickBot="1" x14ac:dyDescent="0.3">
      <c r="B46" s="83" t="s">
        <v>3510</v>
      </c>
      <c r="C46" s="83" t="s">
        <v>1616</v>
      </c>
      <c r="D46" s="152">
        <v>64</v>
      </c>
      <c r="E46" s="139">
        <v>64</v>
      </c>
      <c r="F46" s="85" t="s">
        <v>1618</v>
      </c>
      <c r="G46" s="91" t="s">
        <v>1619</v>
      </c>
      <c r="H46" s="153">
        <v>44692</v>
      </c>
      <c r="I46" s="153">
        <v>44721</v>
      </c>
      <c r="J46" s="153" t="s">
        <v>1624</v>
      </c>
      <c r="K46" s="139">
        <v>64</v>
      </c>
      <c r="L46" s="125">
        <v>30</v>
      </c>
    </row>
    <row r="47" spans="2:12" ht="15.75" thickBot="1" x14ac:dyDescent="0.3">
      <c r="B47" s="83" t="s">
        <v>3510</v>
      </c>
      <c r="C47" s="83" t="s">
        <v>1616</v>
      </c>
      <c r="D47" s="152">
        <v>0</v>
      </c>
      <c r="E47" s="139">
        <v>0</v>
      </c>
      <c r="F47" s="85" t="s">
        <v>1618</v>
      </c>
      <c r="G47" s="91" t="s">
        <v>1619</v>
      </c>
      <c r="H47" s="153">
        <v>44699</v>
      </c>
      <c r="I47" s="153">
        <v>44732</v>
      </c>
      <c r="J47" s="153" t="s">
        <v>1624</v>
      </c>
      <c r="K47" s="139">
        <v>0</v>
      </c>
      <c r="L47" s="125">
        <v>34</v>
      </c>
    </row>
    <row r="48" spans="2:12" ht="15.75" thickBot="1" x14ac:dyDescent="0.3">
      <c r="B48" s="83" t="s">
        <v>3510</v>
      </c>
      <c r="C48" s="83" t="s">
        <v>1617</v>
      </c>
      <c r="D48" s="152">
        <v>166</v>
      </c>
      <c r="E48" s="139">
        <v>166</v>
      </c>
      <c r="F48" s="85" t="s">
        <v>1618</v>
      </c>
      <c r="G48" s="91" t="s">
        <v>1619</v>
      </c>
      <c r="H48" s="153">
        <v>44714</v>
      </c>
      <c r="I48" s="153">
        <v>44743</v>
      </c>
      <c r="J48" s="153" t="s">
        <v>1624</v>
      </c>
      <c r="K48" s="139">
        <v>166</v>
      </c>
      <c r="L48" s="125">
        <v>30</v>
      </c>
    </row>
    <row r="49" spans="2:12" ht="15.75" thickBot="1" x14ac:dyDescent="0.3">
      <c r="B49" s="83" t="s">
        <v>3510</v>
      </c>
      <c r="C49" s="83" t="s">
        <v>1616</v>
      </c>
      <c r="D49" s="152">
        <v>68</v>
      </c>
      <c r="E49" s="139">
        <v>68</v>
      </c>
      <c r="F49" s="85" t="s">
        <v>1618</v>
      </c>
      <c r="G49" s="91" t="s">
        <v>1619</v>
      </c>
      <c r="H49" s="153">
        <v>44722</v>
      </c>
      <c r="I49" s="153">
        <v>44753</v>
      </c>
      <c r="J49" s="153" t="s">
        <v>1624</v>
      </c>
      <c r="K49" s="139">
        <v>68</v>
      </c>
      <c r="L49" s="125">
        <v>32</v>
      </c>
    </row>
    <row r="50" spans="2:12" ht="15.75" thickBot="1" x14ac:dyDescent="0.3">
      <c r="B50" s="83" t="s">
        <v>3510</v>
      </c>
      <c r="C50" s="83" t="s">
        <v>1616</v>
      </c>
      <c r="D50" s="152">
        <v>0</v>
      </c>
      <c r="E50" s="139">
        <v>0</v>
      </c>
      <c r="F50" s="85" t="s">
        <v>1618</v>
      </c>
      <c r="G50" s="91" t="s">
        <v>1619</v>
      </c>
      <c r="H50" s="153">
        <v>44733</v>
      </c>
      <c r="I50" s="153">
        <v>44760</v>
      </c>
      <c r="J50" s="153" t="s">
        <v>1624</v>
      </c>
      <c r="K50" s="139">
        <v>0</v>
      </c>
      <c r="L50" s="125">
        <v>28</v>
      </c>
    </row>
    <row r="51" spans="2:12" ht="15.75" thickBot="1" x14ac:dyDescent="0.3">
      <c r="B51" s="83" t="s">
        <v>3510</v>
      </c>
      <c r="C51" s="83" t="s">
        <v>1617</v>
      </c>
      <c r="D51" s="152">
        <v>107</v>
      </c>
      <c r="E51" s="139">
        <v>107</v>
      </c>
      <c r="F51" s="85" t="s">
        <v>1618</v>
      </c>
      <c r="G51" s="91" t="s">
        <v>1619</v>
      </c>
      <c r="H51" s="153">
        <v>44744</v>
      </c>
      <c r="I51" s="153">
        <v>44774</v>
      </c>
      <c r="J51" s="153" t="s">
        <v>1624</v>
      </c>
      <c r="K51" s="139">
        <v>107</v>
      </c>
      <c r="L51" s="125">
        <v>31</v>
      </c>
    </row>
    <row r="52" spans="2:12" ht="15.75" thickBot="1" x14ac:dyDescent="0.3">
      <c r="B52" s="83" t="s">
        <v>3510</v>
      </c>
      <c r="C52" s="83" t="s">
        <v>1616</v>
      </c>
      <c r="D52" s="152">
        <v>-15</v>
      </c>
      <c r="E52" s="139">
        <v>-15</v>
      </c>
      <c r="F52" s="85" t="s">
        <v>1618</v>
      </c>
      <c r="G52" s="91" t="s">
        <v>1619</v>
      </c>
      <c r="H52" s="153">
        <v>44754</v>
      </c>
      <c r="I52" s="153">
        <v>44782</v>
      </c>
      <c r="J52" s="153" t="s">
        <v>1624</v>
      </c>
      <c r="K52" s="139">
        <v>-15</v>
      </c>
      <c r="L52" s="125">
        <v>29</v>
      </c>
    </row>
    <row r="53" spans="2:12" ht="15.75" thickBot="1" x14ac:dyDescent="0.3">
      <c r="B53" s="83" t="s">
        <v>3510</v>
      </c>
      <c r="C53" s="83" t="s">
        <v>1616</v>
      </c>
      <c r="D53" s="152">
        <v>11</v>
      </c>
      <c r="E53" s="139">
        <v>11</v>
      </c>
      <c r="F53" s="85" t="s">
        <v>1618</v>
      </c>
      <c r="G53" s="91" t="s">
        <v>1619</v>
      </c>
      <c r="H53" s="153">
        <v>44761</v>
      </c>
      <c r="I53" s="153">
        <v>44790</v>
      </c>
      <c r="J53" s="153" t="s">
        <v>1624</v>
      </c>
      <c r="K53" s="139">
        <v>11</v>
      </c>
      <c r="L53" s="125">
        <v>30</v>
      </c>
    </row>
    <row r="54" spans="2:12" ht="15.75" thickBot="1" x14ac:dyDescent="0.3">
      <c r="B54" s="83" t="s">
        <v>3510</v>
      </c>
      <c r="C54" s="83" t="s">
        <v>1617</v>
      </c>
      <c r="D54" s="152">
        <v>96</v>
      </c>
      <c r="E54" s="139">
        <v>96</v>
      </c>
      <c r="F54" s="85" t="s">
        <v>1618</v>
      </c>
      <c r="G54" s="91" t="s">
        <v>1619</v>
      </c>
      <c r="H54" s="153">
        <v>44775</v>
      </c>
      <c r="I54" s="153">
        <v>44805</v>
      </c>
      <c r="J54" s="153" t="s">
        <v>1624</v>
      </c>
      <c r="K54" s="139">
        <v>96</v>
      </c>
      <c r="L54" s="125">
        <v>31</v>
      </c>
    </row>
    <row r="55" spans="2:12" ht="15.75" thickBot="1" x14ac:dyDescent="0.3">
      <c r="B55" s="83" t="s">
        <v>3510</v>
      </c>
      <c r="C55" s="83" t="s">
        <v>1616</v>
      </c>
      <c r="D55" s="152">
        <v>13</v>
      </c>
      <c r="E55" s="139">
        <v>13</v>
      </c>
      <c r="F55" s="85" t="s">
        <v>1618</v>
      </c>
      <c r="G55" s="91" t="s">
        <v>1619</v>
      </c>
      <c r="H55" s="153">
        <v>44783</v>
      </c>
      <c r="I55" s="153">
        <v>44813</v>
      </c>
      <c r="J55" s="153" t="s">
        <v>1624</v>
      </c>
      <c r="K55" s="139">
        <v>13</v>
      </c>
      <c r="L55" s="125">
        <v>31</v>
      </c>
    </row>
    <row r="56" spans="2:12" ht="15.75" thickBot="1" x14ac:dyDescent="0.3">
      <c r="B56" s="83" t="s">
        <v>3510</v>
      </c>
      <c r="C56" s="83" t="s">
        <v>1616</v>
      </c>
      <c r="D56" s="152">
        <v>6</v>
      </c>
      <c r="E56" s="139">
        <v>6</v>
      </c>
      <c r="F56" s="85" t="s">
        <v>1618</v>
      </c>
      <c r="G56" s="91" t="s">
        <v>1619</v>
      </c>
      <c r="H56" s="153">
        <v>44791</v>
      </c>
      <c r="I56" s="153">
        <v>44820</v>
      </c>
      <c r="J56" s="153" t="s">
        <v>1624</v>
      </c>
      <c r="K56" s="139">
        <v>6</v>
      </c>
      <c r="L56" s="125">
        <v>30</v>
      </c>
    </row>
    <row r="57" spans="2:12" ht="15.75" thickBot="1" x14ac:dyDescent="0.3">
      <c r="B57" s="83" t="s">
        <v>3510</v>
      </c>
      <c r="C57" s="83" t="s">
        <v>1617</v>
      </c>
      <c r="D57" s="152">
        <v>102</v>
      </c>
      <c r="E57" s="139">
        <v>102</v>
      </c>
      <c r="F57" s="85" t="s">
        <v>1618</v>
      </c>
      <c r="G57" s="91" t="s">
        <v>1619</v>
      </c>
      <c r="H57" s="153">
        <v>44806</v>
      </c>
      <c r="I57" s="153">
        <v>44837</v>
      </c>
      <c r="J57" s="153" t="s">
        <v>1624</v>
      </c>
      <c r="K57" s="139">
        <v>102</v>
      </c>
      <c r="L57" s="125">
        <v>32</v>
      </c>
    </row>
    <row r="58" spans="2:12" ht="15.75" thickBot="1" x14ac:dyDescent="0.3">
      <c r="B58" s="83" t="s">
        <v>3510</v>
      </c>
      <c r="C58" s="83" t="s">
        <v>1616</v>
      </c>
      <c r="D58" s="152">
        <v>28</v>
      </c>
      <c r="E58" s="139">
        <v>28</v>
      </c>
      <c r="F58" s="85" t="s">
        <v>1618</v>
      </c>
      <c r="G58" s="91" t="s">
        <v>1619</v>
      </c>
      <c r="H58" s="153">
        <v>44814</v>
      </c>
      <c r="I58" s="153">
        <v>44846</v>
      </c>
      <c r="J58" s="153" t="s">
        <v>1624</v>
      </c>
      <c r="K58" s="139">
        <v>28</v>
      </c>
      <c r="L58" s="125">
        <v>33</v>
      </c>
    </row>
    <row r="59" spans="2:12" ht="15.75" thickBot="1" x14ac:dyDescent="0.3">
      <c r="B59" s="83" t="s">
        <v>3510</v>
      </c>
      <c r="C59" s="83" t="s">
        <v>1616</v>
      </c>
      <c r="D59" s="152">
        <v>13</v>
      </c>
      <c r="E59" s="139">
        <v>13</v>
      </c>
      <c r="F59" s="85" t="s">
        <v>1618</v>
      </c>
      <c r="G59" s="91" t="s">
        <v>1619</v>
      </c>
      <c r="H59" s="153">
        <v>44821</v>
      </c>
      <c r="I59" s="153">
        <v>44853</v>
      </c>
      <c r="J59" s="153" t="s">
        <v>1624</v>
      </c>
      <c r="K59" s="139">
        <v>13</v>
      </c>
      <c r="L59" s="125">
        <v>33</v>
      </c>
    </row>
    <row r="60" spans="2:12" ht="15.75" thickBot="1" x14ac:dyDescent="0.3">
      <c r="B60" s="83" t="s">
        <v>3510</v>
      </c>
      <c r="C60" s="83" t="s">
        <v>1617</v>
      </c>
      <c r="D60" s="152">
        <v>41</v>
      </c>
      <c r="E60" s="139">
        <v>41</v>
      </c>
      <c r="F60" s="85" t="s">
        <v>1618</v>
      </c>
      <c r="G60" s="91" t="s">
        <v>1619</v>
      </c>
      <c r="H60" s="153">
        <v>44838</v>
      </c>
      <c r="I60" s="153">
        <v>44867</v>
      </c>
      <c r="J60" s="153" t="s">
        <v>1624</v>
      </c>
      <c r="K60" s="139">
        <v>41</v>
      </c>
      <c r="L60" s="125">
        <v>30</v>
      </c>
    </row>
    <row r="61" spans="2:12" ht="15.75" thickBot="1" x14ac:dyDescent="0.3">
      <c r="B61" s="83" t="s">
        <v>3510</v>
      </c>
      <c r="C61" s="83" t="s">
        <v>1616</v>
      </c>
      <c r="D61" s="152">
        <v>40</v>
      </c>
      <c r="E61" s="139">
        <v>40</v>
      </c>
      <c r="F61" s="85" t="s">
        <v>1618</v>
      </c>
      <c r="G61" s="91" t="s">
        <v>1619</v>
      </c>
      <c r="H61" s="153">
        <v>44847</v>
      </c>
      <c r="I61" s="153">
        <v>44875</v>
      </c>
      <c r="J61" s="153" t="s">
        <v>1624</v>
      </c>
      <c r="K61" s="139">
        <v>40</v>
      </c>
      <c r="L61" s="125">
        <v>29</v>
      </c>
    </row>
    <row r="62" spans="2:12" ht="15.75" thickBot="1" x14ac:dyDescent="0.3">
      <c r="B62" s="83" t="s">
        <v>3510</v>
      </c>
      <c r="C62" s="83" t="s">
        <v>1616</v>
      </c>
      <c r="D62" s="152">
        <v>9</v>
      </c>
      <c r="E62" s="139">
        <v>9</v>
      </c>
      <c r="F62" s="85" t="s">
        <v>1618</v>
      </c>
      <c r="G62" s="91" t="s">
        <v>1619</v>
      </c>
      <c r="H62" s="153">
        <v>44854</v>
      </c>
      <c r="I62" s="153">
        <v>44882</v>
      </c>
      <c r="J62" s="153" t="s">
        <v>1624</v>
      </c>
      <c r="K62" s="139">
        <v>9</v>
      </c>
      <c r="L62" s="125">
        <v>29</v>
      </c>
    </row>
    <row r="63" spans="2:12" ht="15.75" thickBot="1" x14ac:dyDescent="0.3">
      <c r="B63" s="83" t="s">
        <v>3510</v>
      </c>
      <c r="C63" s="83" t="s">
        <v>1617</v>
      </c>
      <c r="D63" s="152">
        <v>70</v>
      </c>
      <c r="E63" s="139">
        <v>70</v>
      </c>
      <c r="F63" s="85" t="s">
        <v>1618</v>
      </c>
      <c r="G63" s="91" t="s">
        <v>1619</v>
      </c>
      <c r="H63" s="153">
        <v>44868</v>
      </c>
      <c r="I63" s="153">
        <v>44897</v>
      </c>
      <c r="J63" s="153" t="s">
        <v>1624</v>
      </c>
      <c r="K63" s="139">
        <v>70</v>
      </c>
      <c r="L63" s="125">
        <v>30</v>
      </c>
    </row>
    <row r="64" spans="2:12" ht="15.75" thickBot="1" x14ac:dyDescent="0.3">
      <c r="B64" s="83" t="s">
        <v>3510</v>
      </c>
      <c r="C64" s="83" t="s">
        <v>1616</v>
      </c>
      <c r="D64" s="152">
        <v>17</v>
      </c>
      <c r="E64" s="139">
        <v>17</v>
      </c>
      <c r="F64" s="85" t="s">
        <v>1618</v>
      </c>
      <c r="G64" s="91" t="s">
        <v>1619</v>
      </c>
      <c r="H64" s="153">
        <v>44876</v>
      </c>
      <c r="I64" s="153">
        <v>44908</v>
      </c>
      <c r="J64" s="153" t="s">
        <v>1624</v>
      </c>
      <c r="K64" s="139">
        <v>17</v>
      </c>
      <c r="L64" s="125">
        <v>33</v>
      </c>
    </row>
    <row r="65" spans="2:12" ht="15.75" thickBot="1" x14ac:dyDescent="0.3">
      <c r="B65" s="83" t="s">
        <v>3510</v>
      </c>
      <c r="C65" s="83" t="s">
        <v>1616</v>
      </c>
      <c r="D65" s="152">
        <v>10</v>
      </c>
      <c r="E65" s="139">
        <v>10</v>
      </c>
      <c r="F65" s="85" t="s">
        <v>1618</v>
      </c>
      <c r="G65" s="91" t="s">
        <v>1619</v>
      </c>
      <c r="H65" s="153">
        <v>44883</v>
      </c>
      <c r="I65" s="153">
        <v>44915</v>
      </c>
      <c r="J65" s="153" t="s">
        <v>1624</v>
      </c>
      <c r="K65" s="139">
        <v>10</v>
      </c>
      <c r="L65" s="125">
        <v>33</v>
      </c>
    </row>
    <row r="66" spans="2:12" ht="15.75" thickBot="1" x14ac:dyDescent="0.3">
      <c r="B66" s="83" t="s">
        <v>3510</v>
      </c>
      <c r="C66" s="83" t="s">
        <v>1617</v>
      </c>
      <c r="D66" s="152">
        <v>22.451612903225808</v>
      </c>
      <c r="E66" s="139">
        <v>22.451612903225808</v>
      </c>
      <c r="F66" s="85" t="s">
        <v>1618</v>
      </c>
      <c r="G66" s="91" t="s">
        <v>1619</v>
      </c>
      <c r="H66" s="153">
        <v>44898</v>
      </c>
      <c r="I66" s="153">
        <v>44928</v>
      </c>
      <c r="J66" s="153" t="s">
        <v>1624</v>
      </c>
      <c r="K66" s="139">
        <v>24</v>
      </c>
      <c r="L66" s="125">
        <v>29</v>
      </c>
    </row>
    <row r="67" spans="2:12" ht="15.75" thickBot="1" x14ac:dyDescent="0.3">
      <c r="B67" s="83" t="s">
        <v>3510</v>
      </c>
      <c r="C67" s="83" t="s">
        <v>1616</v>
      </c>
      <c r="D67" s="152">
        <v>8.3571428571428577</v>
      </c>
      <c r="E67" s="139">
        <v>8.3571428571428577</v>
      </c>
      <c r="F67" s="85" t="s">
        <v>1618</v>
      </c>
      <c r="G67" s="91" t="s">
        <v>1619</v>
      </c>
      <c r="H67" s="153">
        <v>44909</v>
      </c>
      <c r="I67" s="153">
        <v>44936</v>
      </c>
      <c r="J67" s="153" t="s">
        <v>1624</v>
      </c>
      <c r="K67" s="139">
        <v>13</v>
      </c>
      <c r="L67" s="125">
        <v>18</v>
      </c>
    </row>
    <row r="68" spans="2:12" ht="15.75" thickBot="1" x14ac:dyDescent="0.3">
      <c r="B68" s="83" t="s">
        <v>3510</v>
      </c>
      <c r="C68" s="83" t="s">
        <v>1616</v>
      </c>
      <c r="D68" s="152">
        <v>3.1428571428571428</v>
      </c>
      <c r="E68" s="139">
        <v>3.1428571428571428</v>
      </c>
      <c r="F68" s="85" t="s">
        <v>1618</v>
      </c>
      <c r="G68" s="91" t="s">
        <v>1619</v>
      </c>
      <c r="H68" s="153">
        <v>44916</v>
      </c>
      <c r="I68" s="153">
        <v>44943</v>
      </c>
      <c r="J68" s="153" t="s">
        <v>1624</v>
      </c>
      <c r="K68" s="139">
        <v>8</v>
      </c>
      <c r="L68" s="125">
        <v>11</v>
      </c>
    </row>
    <row r="69" spans="2:12" ht="15.75" thickBot="1" x14ac:dyDescent="0.3">
      <c r="B69" s="83" t="s">
        <v>3509</v>
      </c>
      <c r="C69" s="83" t="s">
        <v>1616</v>
      </c>
      <c r="D69" s="152">
        <v>26.153846153846153</v>
      </c>
      <c r="E69" s="139">
        <v>26.153846153846153</v>
      </c>
      <c r="F69" s="85" t="s">
        <v>1618</v>
      </c>
      <c r="G69" s="91" t="s">
        <v>1620</v>
      </c>
      <c r="H69" s="153">
        <v>44546</v>
      </c>
      <c r="I69" s="153">
        <v>44571</v>
      </c>
      <c r="J69" s="153" t="s">
        <v>1625</v>
      </c>
      <c r="K69" s="139">
        <v>68</v>
      </c>
      <c r="L69" s="125">
        <v>10</v>
      </c>
    </row>
    <row r="70" spans="2:12" ht="15.75" thickBot="1" x14ac:dyDescent="0.3">
      <c r="B70" s="83" t="s">
        <v>3509</v>
      </c>
      <c r="C70" s="83" t="s">
        <v>1616</v>
      </c>
      <c r="D70" s="152">
        <v>148</v>
      </c>
      <c r="E70" s="139">
        <v>148</v>
      </c>
      <c r="F70" s="85" t="s">
        <v>1618</v>
      </c>
      <c r="G70" s="91" t="s">
        <v>1620</v>
      </c>
      <c r="H70" s="153">
        <v>44572</v>
      </c>
      <c r="I70" s="153">
        <v>44602</v>
      </c>
      <c r="J70" s="153" t="s">
        <v>1625</v>
      </c>
      <c r="K70" s="139">
        <v>148</v>
      </c>
      <c r="L70" s="125">
        <v>31</v>
      </c>
    </row>
    <row r="71" spans="2:12" ht="15.75" thickBot="1" x14ac:dyDescent="0.3">
      <c r="B71" s="83" t="s">
        <v>3509</v>
      </c>
      <c r="C71" s="83" t="s">
        <v>1616</v>
      </c>
      <c r="D71" s="152">
        <v>106</v>
      </c>
      <c r="E71" s="139">
        <v>106</v>
      </c>
      <c r="F71" s="85" t="s">
        <v>1618</v>
      </c>
      <c r="G71" s="91" t="s">
        <v>1620</v>
      </c>
      <c r="H71" s="153">
        <v>44603</v>
      </c>
      <c r="I71" s="153">
        <v>44630</v>
      </c>
      <c r="J71" s="153" t="s">
        <v>1625</v>
      </c>
      <c r="K71" s="139">
        <v>106</v>
      </c>
      <c r="L71" s="125">
        <v>28</v>
      </c>
    </row>
    <row r="72" spans="2:12" ht="15.75" thickBot="1" x14ac:dyDescent="0.3">
      <c r="B72" s="83" t="s">
        <v>3509</v>
      </c>
      <c r="C72" s="83" t="s">
        <v>1616</v>
      </c>
      <c r="D72" s="152">
        <v>130</v>
      </c>
      <c r="E72" s="139">
        <v>130</v>
      </c>
      <c r="F72" s="85" t="s">
        <v>1618</v>
      </c>
      <c r="G72" s="91" t="s">
        <v>1620</v>
      </c>
      <c r="H72" s="153">
        <v>44631</v>
      </c>
      <c r="I72" s="153">
        <v>44663</v>
      </c>
      <c r="J72" s="153" t="s">
        <v>1625</v>
      </c>
      <c r="K72" s="139">
        <v>130</v>
      </c>
      <c r="L72" s="125">
        <v>33</v>
      </c>
    </row>
    <row r="73" spans="2:12" ht="15.75" thickBot="1" x14ac:dyDescent="0.3">
      <c r="B73" s="83" t="s">
        <v>3509</v>
      </c>
      <c r="C73" s="83" t="s">
        <v>1616</v>
      </c>
      <c r="D73" s="152">
        <v>116</v>
      </c>
      <c r="E73" s="139">
        <v>116</v>
      </c>
      <c r="F73" s="85" t="s">
        <v>1618</v>
      </c>
      <c r="G73" s="91" t="s">
        <v>1620</v>
      </c>
      <c r="H73" s="153">
        <v>44664</v>
      </c>
      <c r="I73" s="153">
        <v>44693</v>
      </c>
      <c r="J73" s="153" t="s">
        <v>1625</v>
      </c>
      <c r="K73" s="139">
        <v>116</v>
      </c>
      <c r="L73" s="125">
        <v>30</v>
      </c>
    </row>
    <row r="74" spans="2:12" ht="15.75" thickBot="1" x14ac:dyDescent="0.3">
      <c r="B74" s="83" t="s">
        <v>3509</v>
      </c>
      <c r="C74" s="83" t="s">
        <v>1616</v>
      </c>
      <c r="D74" s="152">
        <v>107</v>
      </c>
      <c r="E74" s="139">
        <v>107</v>
      </c>
      <c r="F74" s="85" t="s">
        <v>1618</v>
      </c>
      <c r="G74" s="91" t="s">
        <v>1620</v>
      </c>
      <c r="H74" s="153">
        <v>44694</v>
      </c>
      <c r="I74" s="153">
        <v>44726</v>
      </c>
      <c r="J74" s="153" t="s">
        <v>1625</v>
      </c>
      <c r="K74" s="139">
        <v>107</v>
      </c>
      <c r="L74" s="125">
        <v>33</v>
      </c>
    </row>
    <row r="75" spans="2:12" ht="15.75" thickBot="1" x14ac:dyDescent="0.3">
      <c r="B75" s="83" t="s">
        <v>3509</v>
      </c>
      <c r="C75" s="83" t="s">
        <v>1616</v>
      </c>
      <c r="D75" s="152">
        <v>99</v>
      </c>
      <c r="E75" s="139">
        <v>99</v>
      </c>
      <c r="F75" s="85" t="s">
        <v>1618</v>
      </c>
      <c r="G75" s="91" t="s">
        <v>1620</v>
      </c>
      <c r="H75" s="153">
        <v>44727</v>
      </c>
      <c r="I75" s="153">
        <v>44755</v>
      </c>
      <c r="J75" s="153" t="s">
        <v>1625</v>
      </c>
      <c r="K75" s="139">
        <v>99</v>
      </c>
      <c r="L75" s="125">
        <v>29</v>
      </c>
    </row>
    <row r="76" spans="2:12" ht="15.75" thickBot="1" x14ac:dyDescent="0.3">
      <c r="B76" s="83" t="s">
        <v>3509</v>
      </c>
      <c r="C76" s="83" t="s">
        <v>1616</v>
      </c>
      <c r="D76" s="152">
        <v>94</v>
      </c>
      <c r="E76" s="139">
        <v>94</v>
      </c>
      <c r="F76" s="85" t="s">
        <v>1618</v>
      </c>
      <c r="G76" s="91" t="s">
        <v>1620</v>
      </c>
      <c r="H76" s="153">
        <v>44756</v>
      </c>
      <c r="I76" s="153">
        <v>44784</v>
      </c>
      <c r="J76" s="153" t="s">
        <v>1625</v>
      </c>
      <c r="K76" s="139">
        <v>94</v>
      </c>
      <c r="L76" s="125">
        <v>29</v>
      </c>
    </row>
    <row r="77" spans="2:12" ht="15.75" thickBot="1" x14ac:dyDescent="0.3">
      <c r="B77" s="83" t="s">
        <v>3509</v>
      </c>
      <c r="C77" s="83" t="s">
        <v>1616</v>
      </c>
      <c r="D77" s="152">
        <v>100</v>
      </c>
      <c r="E77" s="139">
        <v>100</v>
      </c>
      <c r="F77" s="85" t="s">
        <v>1618</v>
      </c>
      <c r="G77" s="91" t="s">
        <v>1620</v>
      </c>
      <c r="H77" s="153">
        <v>44785</v>
      </c>
      <c r="I77" s="153">
        <v>44815</v>
      </c>
      <c r="J77" s="153" t="s">
        <v>1625</v>
      </c>
      <c r="K77" s="139">
        <v>100</v>
      </c>
      <c r="L77" s="125">
        <v>31</v>
      </c>
    </row>
    <row r="78" spans="2:12" ht="15.75" thickBot="1" x14ac:dyDescent="0.3">
      <c r="B78" s="83" t="s">
        <v>3509</v>
      </c>
      <c r="C78" s="83" t="s">
        <v>1616</v>
      </c>
      <c r="D78" s="152">
        <v>195</v>
      </c>
      <c r="E78" s="139">
        <v>195</v>
      </c>
      <c r="F78" s="85" t="s">
        <v>1618</v>
      </c>
      <c r="G78" s="91" t="s">
        <v>1620</v>
      </c>
      <c r="H78" s="153">
        <v>44816</v>
      </c>
      <c r="I78" s="153">
        <v>44852</v>
      </c>
      <c r="J78" s="153" t="s">
        <v>1625</v>
      </c>
      <c r="K78" s="139">
        <v>195</v>
      </c>
      <c r="L78" s="125">
        <v>37</v>
      </c>
    </row>
    <row r="79" spans="2:12" ht="15.75" thickBot="1" x14ac:dyDescent="0.3">
      <c r="B79" s="83" t="s">
        <v>3509</v>
      </c>
      <c r="C79" s="83" t="s">
        <v>1616</v>
      </c>
      <c r="D79" s="152">
        <v>103</v>
      </c>
      <c r="E79" s="139">
        <v>103</v>
      </c>
      <c r="F79" s="85" t="s">
        <v>1618</v>
      </c>
      <c r="G79" s="91" t="s">
        <v>1620</v>
      </c>
      <c r="H79" s="153">
        <v>44853</v>
      </c>
      <c r="I79" s="153">
        <v>44878</v>
      </c>
      <c r="J79" s="153" t="s">
        <v>1625</v>
      </c>
      <c r="K79" s="139">
        <v>103</v>
      </c>
      <c r="L79" s="125">
        <v>26</v>
      </c>
    </row>
    <row r="80" spans="2:12" ht="15.75" thickBot="1" x14ac:dyDescent="0.3">
      <c r="B80" s="83" t="s">
        <v>3509</v>
      </c>
      <c r="C80" s="83" t="s">
        <v>1616</v>
      </c>
      <c r="D80" s="152">
        <v>102</v>
      </c>
      <c r="E80" s="139">
        <v>102</v>
      </c>
      <c r="F80" s="85" t="s">
        <v>1618</v>
      </c>
      <c r="G80" s="91" t="s">
        <v>1620</v>
      </c>
      <c r="H80" s="153">
        <v>44879</v>
      </c>
      <c r="I80" s="153">
        <v>44910</v>
      </c>
      <c r="J80" s="153" t="s">
        <v>1625</v>
      </c>
      <c r="K80" s="139">
        <v>102</v>
      </c>
      <c r="L80" s="125">
        <v>32</v>
      </c>
    </row>
    <row r="81" spans="2:12" ht="15.75" thickBot="1" x14ac:dyDescent="0.3">
      <c r="B81" s="83" t="s">
        <v>3509</v>
      </c>
      <c r="C81" s="83" t="s">
        <v>1616</v>
      </c>
      <c r="D81" s="152">
        <v>52.266666666666666</v>
      </c>
      <c r="E81" s="139">
        <v>52.266666666666666</v>
      </c>
      <c r="F81" s="85" t="s">
        <v>1618</v>
      </c>
      <c r="G81" s="91" t="s">
        <v>1620</v>
      </c>
      <c r="H81" s="153">
        <v>44911</v>
      </c>
      <c r="I81" s="153">
        <v>44940</v>
      </c>
      <c r="J81" s="153" t="s">
        <v>1625</v>
      </c>
      <c r="K81" s="139">
        <v>98</v>
      </c>
      <c r="L81" s="125">
        <v>16</v>
      </c>
    </row>
    <row r="82" spans="2:12" ht="15.75" thickBot="1" x14ac:dyDescent="0.3">
      <c r="B82" s="83" t="s">
        <v>535</v>
      </c>
      <c r="C82" s="83" t="s">
        <v>1616</v>
      </c>
      <c r="D82" s="152">
        <v>0</v>
      </c>
      <c r="E82" s="139">
        <v>0</v>
      </c>
      <c r="F82" s="85" t="s">
        <v>1618</v>
      </c>
      <c r="G82" s="91" t="s">
        <v>1619</v>
      </c>
      <c r="H82" s="153">
        <v>44543</v>
      </c>
      <c r="I82" s="153">
        <v>44574</v>
      </c>
      <c r="J82" s="153" t="s">
        <v>1626</v>
      </c>
      <c r="K82" s="139">
        <v>0</v>
      </c>
      <c r="L82" s="125">
        <v>13</v>
      </c>
    </row>
    <row r="83" spans="2:12" ht="15.75" thickBot="1" x14ac:dyDescent="0.3">
      <c r="B83" s="83" t="s">
        <v>535</v>
      </c>
      <c r="C83" s="83" t="s">
        <v>1616</v>
      </c>
      <c r="D83" s="152">
        <v>0</v>
      </c>
      <c r="E83" s="139">
        <v>0</v>
      </c>
      <c r="F83" s="85" t="s">
        <v>1618</v>
      </c>
      <c r="G83" s="91" t="s">
        <v>1619</v>
      </c>
      <c r="H83" s="153">
        <v>44575</v>
      </c>
      <c r="I83" s="153">
        <v>44605</v>
      </c>
      <c r="J83" s="153" t="s">
        <v>1626</v>
      </c>
      <c r="K83" s="139">
        <v>0</v>
      </c>
      <c r="L83" s="125">
        <v>31</v>
      </c>
    </row>
    <row r="84" spans="2:12" ht="15.75" thickBot="1" x14ac:dyDescent="0.3">
      <c r="B84" s="83" t="s">
        <v>535</v>
      </c>
      <c r="C84" s="83" t="s">
        <v>1616</v>
      </c>
      <c r="D84" s="152">
        <v>0</v>
      </c>
      <c r="E84" s="139">
        <v>0</v>
      </c>
      <c r="F84" s="85" t="s">
        <v>1618</v>
      </c>
      <c r="G84" s="91" t="s">
        <v>1619</v>
      </c>
      <c r="H84" s="153">
        <v>44606</v>
      </c>
      <c r="I84" s="153">
        <v>44634</v>
      </c>
      <c r="J84" s="153" t="s">
        <v>1626</v>
      </c>
      <c r="K84" s="139">
        <v>0</v>
      </c>
      <c r="L84" s="125">
        <v>29</v>
      </c>
    </row>
    <row r="85" spans="2:12" ht="15.75" thickBot="1" x14ac:dyDescent="0.3">
      <c r="B85" s="83" t="s">
        <v>535</v>
      </c>
      <c r="C85" s="83" t="s">
        <v>1616</v>
      </c>
      <c r="D85" s="152">
        <v>0</v>
      </c>
      <c r="E85" s="139">
        <v>0</v>
      </c>
      <c r="F85" s="85" t="s">
        <v>1618</v>
      </c>
      <c r="G85" s="91" t="s">
        <v>1619</v>
      </c>
      <c r="H85" s="153">
        <v>44635</v>
      </c>
      <c r="I85" s="153">
        <v>44662</v>
      </c>
      <c r="J85" s="153" t="s">
        <v>1626</v>
      </c>
      <c r="K85" s="139">
        <v>0</v>
      </c>
      <c r="L85" s="125">
        <v>28</v>
      </c>
    </row>
    <row r="86" spans="2:12" ht="15.75" thickBot="1" x14ac:dyDescent="0.3">
      <c r="B86" s="83" t="s">
        <v>535</v>
      </c>
      <c r="C86" s="83" t="s">
        <v>1616</v>
      </c>
      <c r="D86" s="152">
        <v>1</v>
      </c>
      <c r="E86" s="139">
        <v>1</v>
      </c>
      <c r="F86" s="85" t="s">
        <v>1618</v>
      </c>
      <c r="G86" s="91" t="s">
        <v>1619</v>
      </c>
      <c r="H86" s="153">
        <v>44663</v>
      </c>
      <c r="I86" s="153">
        <v>44693</v>
      </c>
      <c r="J86" s="153" t="s">
        <v>1626</v>
      </c>
      <c r="K86" s="139">
        <v>1</v>
      </c>
      <c r="L86" s="125">
        <v>31</v>
      </c>
    </row>
    <row r="87" spans="2:12" ht="15.75" thickBot="1" x14ac:dyDescent="0.3">
      <c r="B87" s="83" t="s">
        <v>535</v>
      </c>
      <c r="C87" s="83" t="s">
        <v>1616</v>
      </c>
      <c r="D87" s="152">
        <v>1</v>
      </c>
      <c r="E87" s="139">
        <v>1</v>
      </c>
      <c r="F87" s="85" t="s">
        <v>1618</v>
      </c>
      <c r="G87" s="91" t="s">
        <v>1619</v>
      </c>
      <c r="H87" s="153">
        <v>44694</v>
      </c>
      <c r="I87" s="153">
        <v>44724</v>
      </c>
      <c r="J87" s="153" t="s">
        <v>1626</v>
      </c>
      <c r="K87" s="139">
        <v>1</v>
      </c>
      <c r="L87" s="125">
        <v>31</v>
      </c>
    </row>
    <row r="88" spans="2:12" ht="15.75" thickBot="1" x14ac:dyDescent="0.3">
      <c r="B88" s="83" t="s">
        <v>535</v>
      </c>
      <c r="C88" s="83" t="s">
        <v>1616</v>
      </c>
      <c r="D88" s="152">
        <v>1</v>
      </c>
      <c r="E88" s="139">
        <v>1</v>
      </c>
      <c r="F88" s="85" t="s">
        <v>1618</v>
      </c>
      <c r="G88" s="91" t="s">
        <v>1619</v>
      </c>
      <c r="H88" s="153">
        <v>44725</v>
      </c>
      <c r="I88" s="153">
        <v>44756</v>
      </c>
      <c r="J88" s="153" t="s">
        <v>1626</v>
      </c>
      <c r="K88" s="139">
        <v>1</v>
      </c>
      <c r="L88" s="125">
        <v>32</v>
      </c>
    </row>
    <row r="89" spans="2:12" ht="15.75" thickBot="1" x14ac:dyDescent="0.3">
      <c r="B89" s="83" t="s">
        <v>535</v>
      </c>
      <c r="C89" s="83" t="s">
        <v>1616</v>
      </c>
      <c r="D89" s="152">
        <v>0</v>
      </c>
      <c r="E89" s="139">
        <v>0</v>
      </c>
      <c r="F89" s="85" t="s">
        <v>1618</v>
      </c>
      <c r="G89" s="91" t="s">
        <v>1619</v>
      </c>
      <c r="H89" s="153">
        <v>44757</v>
      </c>
      <c r="I89" s="153">
        <v>44787</v>
      </c>
      <c r="J89" s="153" t="s">
        <v>1626</v>
      </c>
      <c r="K89" s="139">
        <v>0</v>
      </c>
      <c r="L89" s="125">
        <v>31</v>
      </c>
    </row>
    <row r="90" spans="2:12" ht="15.75" thickBot="1" x14ac:dyDescent="0.3">
      <c r="B90" s="83" t="s">
        <v>535</v>
      </c>
      <c r="C90" s="83" t="s">
        <v>1616</v>
      </c>
      <c r="D90" s="152">
        <v>1</v>
      </c>
      <c r="E90" s="139">
        <v>1</v>
      </c>
      <c r="F90" s="85" t="s">
        <v>1618</v>
      </c>
      <c r="G90" s="91" t="s">
        <v>1619</v>
      </c>
      <c r="H90" s="153">
        <v>44788</v>
      </c>
      <c r="I90" s="153">
        <v>44817</v>
      </c>
      <c r="J90" s="153" t="s">
        <v>1626</v>
      </c>
      <c r="K90" s="139">
        <v>1</v>
      </c>
      <c r="L90" s="125">
        <v>30</v>
      </c>
    </row>
    <row r="91" spans="2:12" ht="15.75" thickBot="1" x14ac:dyDescent="0.3">
      <c r="B91" s="83" t="s">
        <v>535</v>
      </c>
      <c r="C91" s="83" t="s">
        <v>1616</v>
      </c>
      <c r="D91" s="152">
        <v>0</v>
      </c>
      <c r="E91" s="139">
        <v>0</v>
      </c>
      <c r="F91" s="85" t="s">
        <v>1618</v>
      </c>
      <c r="G91" s="91" t="s">
        <v>1619</v>
      </c>
      <c r="H91" s="153">
        <v>44818</v>
      </c>
      <c r="I91" s="153">
        <v>44848</v>
      </c>
      <c r="J91" s="153" t="s">
        <v>1626</v>
      </c>
      <c r="K91" s="139">
        <v>0</v>
      </c>
      <c r="L91" s="125">
        <v>31</v>
      </c>
    </row>
    <row r="92" spans="2:12" ht="15.75" thickBot="1" x14ac:dyDescent="0.3">
      <c r="B92" s="83" t="s">
        <v>535</v>
      </c>
      <c r="C92" s="83" t="s">
        <v>1616</v>
      </c>
      <c r="D92" s="152">
        <v>0</v>
      </c>
      <c r="E92" s="139">
        <v>0</v>
      </c>
      <c r="F92" s="85" t="s">
        <v>1618</v>
      </c>
      <c r="G92" s="91" t="s">
        <v>1619</v>
      </c>
      <c r="H92" s="153">
        <v>44849</v>
      </c>
      <c r="I92" s="153">
        <v>44879</v>
      </c>
      <c r="J92" s="153" t="s">
        <v>1626</v>
      </c>
      <c r="K92" s="139">
        <v>0</v>
      </c>
      <c r="L92" s="125">
        <v>31</v>
      </c>
    </row>
    <row r="93" spans="2:12" ht="15.75" thickBot="1" x14ac:dyDescent="0.3">
      <c r="B93" s="83" t="s">
        <v>535</v>
      </c>
      <c r="C93" s="83" t="s">
        <v>1616</v>
      </c>
      <c r="D93" s="152">
        <v>0</v>
      </c>
      <c r="E93" s="139">
        <v>0</v>
      </c>
      <c r="F93" s="85" t="s">
        <v>1618</v>
      </c>
      <c r="G93" s="91" t="s">
        <v>1619</v>
      </c>
      <c r="H93" s="153">
        <v>44880</v>
      </c>
      <c r="I93" s="153">
        <v>44909</v>
      </c>
      <c r="J93" s="153" t="s">
        <v>1626</v>
      </c>
      <c r="K93" s="139">
        <v>0</v>
      </c>
      <c r="L93" s="125">
        <v>30</v>
      </c>
    </row>
    <row r="94" spans="2:12" ht="15.75" thickBot="1" x14ac:dyDescent="0.3">
      <c r="B94" s="83" t="s">
        <v>535</v>
      </c>
      <c r="C94" s="83" t="s">
        <v>1616</v>
      </c>
      <c r="D94" s="152">
        <v>1.1724137931034482</v>
      </c>
      <c r="E94" s="139">
        <v>1.1724137931034482</v>
      </c>
      <c r="F94" s="85" t="s">
        <v>1618</v>
      </c>
      <c r="G94" s="91" t="s">
        <v>1619</v>
      </c>
      <c r="H94" s="153">
        <v>44910</v>
      </c>
      <c r="I94" s="153">
        <v>44938</v>
      </c>
      <c r="J94" s="153" t="s">
        <v>1626</v>
      </c>
      <c r="K94" s="139">
        <v>2</v>
      </c>
      <c r="L94" s="125">
        <v>17</v>
      </c>
    </row>
    <row r="95" spans="2:12" ht="15.75" thickBot="1" x14ac:dyDescent="0.3">
      <c r="B95" s="83" t="s">
        <v>535</v>
      </c>
      <c r="C95" s="83" t="s">
        <v>1616</v>
      </c>
      <c r="D95" s="152">
        <v>8.129032258064516</v>
      </c>
      <c r="E95" s="139">
        <v>8.129032258064516</v>
      </c>
      <c r="F95" s="85" t="s">
        <v>1618</v>
      </c>
      <c r="G95" s="91" t="s">
        <v>1619</v>
      </c>
      <c r="H95" s="153">
        <v>44540</v>
      </c>
      <c r="I95" s="153">
        <v>44570</v>
      </c>
      <c r="J95" s="153" t="s">
        <v>1626</v>
      </c>
      <c r="K95" s="139">
        <v>28</v>
      </c>
      <c r="L95" s="125">
        <v>9</v>
      </c>
    </row>
    <row r="96" spans="2:12" ht="15.75" thickBot="1" x14ac:dyDescent="0.3">
      <c r="B96" s="83" t="s">
        <v>535</v>
      </c>
      <c r="C96" s="83" t="s">
        <v>1616</v>
      </c>
      <c r="D96" s="152">
        <v>42</v>
      </c>
      <c r="E96" s="139">
        <v>42</v>
      </c>
      <c r="F96" s="85" t="s">
        <v>1618</v>
      </c>
      <c r="G96" s="91" t="s">
        <v>1619</v>
      </c>
      <c r="H96" s="153">
        <v>44571</v>
      </c>
      <c r="I96" s="153">
        <v>44599</v>
      </c>
      <c r="J96" s="153" t="s">
        <v>1626</v>
      </c>
      <c r="K96" s="139">
        <v>42</v>
      </c>
      <c r="L96" s="125">
        <v>29</v>
      </c>
    </row>
    <row r="97" spans="2:12" ht="15.75" thickBot="1" x14ac:dyDescent="0.3">
      <c r="B97" s="83" t="s">
        <v>535</v>
      </c>
      <c r="C97" s="83" t="s">
        <v>1616</v>
      </c>
      <c r="D97" s="152">
        <v>27</v>
      </c>
      <c r="E97" s="139">
        <v>27</v>
      </c>
      <c r="F97" s="85" t="s">
        <v>1618</v>
      </c>
      <c r="G97" s="91" t="s">
        <v>1619</v>
      </c>
      <c r="H97" s="153">
        <v>44600</v>
      </c>
      <c r="I97" s="153">
        <v>44630</v>
      </c>
      <c r="J97" s="153" t="s">
        <v>1626</v>
      </c>
      <c r="K97" s="139">
        <v>27</v>
      </c>
      <c r="L97" s="125">
        <v>31</v>
      </c>
    </row>
    <row r="98" spans="2:12" ht="15.75" thickBot="1" x14ac:dyDescent="0.3">
      <c r="B98" s="83" t="s">
        <v>535</v>
      </c>
      <c r="C98" s="83" t="s">
        <v>1616</v>
      </c>
      <c r="D98" s="152">
        <v>23</v>
      </c>
      <c r="E98" s="139">
        <v>23</v>
      </c>
      <c r="F98" s="85" t="s">
        <v>1618</v>
      </c>
      <c r="G98" s="91" t="s">
        <v>1619</v>
      </c>
      <c r="H98" s="153">
        <v>44631</v>
      </c>
      <c r="I98" s="153">
        <v>44657</v>
      </c>
      <c r="J98" s="153" t="s">
        <v>1626</v>
      </c>
      <c r="K98" s="139">
        <v>23</v>
      </c>
      <c r="L98" s="125">
        <v>27</v>
      </c>
    </row>
    <row r="99" spans="2:12" ht="15.75" thickBot="1" x14ac:dyDescent="0.3">
      <c r="B99" s="83" t="s">
        <v>535</v>
      </c>
      <c r="C99" s="83" t="s">
        <v>1616</v>
      </c>
      <c r="D99" s="152">
        <v>26</v>
      </c>
      <c r="E99" s="139">
        <v>26</v>
      </c>
      <c r="F99" s="85" t="s">
        <v>1618</v>
      </c>
      <c r="G99" s="91" t="s">
        <v>1619</v>
      </c>
      <c r="H99" s="153">
        <v>44658</v>
      </c>
      <c r="I99" s="153">
        <v>44687</v>
      </c>
      <c r="J99" s="153" t="s">
        <v>1626</v>
      </c>
      <c r="K99" s="139">
        <v>26</v>
      </c>
      <c r="L99" s="125">
        <v>30</v>
      </c>
    </row>
    <row r="100" spans="2:12" ht="15.75" thickBot="1" x14ac:dyDescent="0.3">
      <c r="B100" s="83" t="s">
        <v>535</v>
      </c>
      <c r="C100" s="83" t="s">
        <v>1616</v>
      </c>
      <c r="D100" s="152">
        <v>58</v>
      </c>
      <c r="E100" s="139">
        <v>58</v>
      </c>
      <c r="F100" s="85" t="s">
        <v>1618</v>
      </c>
      <c r="G100" s="91" t="s">
        <v>1619</v>
      </c>
      <c r="H100" s="153">
        <v>44688</v>
      </c>
      <c r="I100" s="153">
        <v>44719</v>
      </c>
      <c r="J100" s="153" t="s">
        <v>1626</v>
      </c>
      <c r="K100" s="139">
        <v>58</v>
      </c>
      <c r="L100" s="125">
        <v>32</v>
      </c>
    </row>
    <row r="101" spans="2:12" ht="15.75" thickBot="1" x14ac:dyDescent="0.3">
      <c r="B101" s="83" t="s">
        <v>535</v>
      </c>
      <c r="C101" s="83" t="s">
        <v>1616</v>
      </c>
      <c r="D101" s="152">
        <v>16</v>
      </c>
      <c r="E101" s="139">
        <v>16</v>
      </c>
      <c r="F101" s="85" t="s">
        <v>1618</v>
      </c>
      <c r="G101" s="91" t="s">
        <v>1619</v>
      </c>
      <c r="H101" s="153">
        <v>44720</v>
      </c>
      <c r="I101" s="153">
        <v>44750</v>
      </c>
      <c r="J101" s="153" t="s">
        <v>1626</v>
      </c>
      <c r="K101" s="139">
        <v>16</v>
      </c>
      <c r="L101" s="125">
        <v>31</v>
      </c>
    </row>
    <row r="102" spans="2:12" ht="15.75" thickBot="1" x14ac:dyDescent="0.3">
      <c r="B102" s="83" t="s">
        <v>535</v>
      </c>
      <c r="C102" s="83" t="s">
        <v>1616</v>
      </c>
      <c r="D102" s="152">
        <v>15</v>
      </c>
      <c r="E102" s="139">
        <v>15</v>
      </c>
      <c r="F102" s="85" t="s">
        <v>1618</v>
      </c>
      <c r="G102" s="91" t="s">
        <v>1619</v>
      </c>
      <c r="H102" s="153">
        <v>44751</v>
      </c>
      <c r="I102" s="153">
        <v>44778</v>
      </c>
      <c r="J102" s="153" t="s">
        <v>1626</v>
      </c>
      <c r="K102" s="139">
        <v>15</v>
      </c>
      <c r="L102" s="125">
        <v>28</v>
      </c>
    </row>
    <row r="103" spans="2:12" ht="15.75" thickBot="1" x14ac:dyDescent="0.3">
      <c r="B103" s="83" t="s">
        <v>535</v>
      </c>
      <c r="C103" s="83" t="s">
        <v>1616</v>
      </c>
      <c r="D103" s="152">
        <v>17</v>
      </c>
      <c r="E103" s="139">
        <v>17</v>
      </c>
      <c r="F103" s="85" t="s">
        <v>1618</v>
      </c>
      <c r="G103" s="91" t="s">
        <v>1619</v>
      </c>
      <c r="H103" s="153">
        <v>44779</v>
      </c>
      <c r="I103" s="153">
        <v>44809</v>
      </c>
      <c r="J103" s="153" t="s">
        <v>1626</v>
      </c>
      <c r="K103" s="139">
        <v>17</v>
      </c>
      <c r="L103" s="125">
        <v>31</v>
      </c>
    </row>
    <row r="104" spans="2:12" ht="15.75" thickBot="1" x14ac:dyDescent="0.3">
      <c r="B104" s="83" t="s">
        <v>535</v>
      </c>
      <c r="C104" s="83" t="s">
        <v>1616</v>
      </c>
      <c r="D104" s="152">
        <v>37</v>
      </c>
      <c r="E104" s="139">
        <v>37</v>
      </c>
      <c r="F104" s="85" t="s">
        <v>1618</v>
      </c>
      <c r="G104" s="91" t="s">
        <v>1619</v>
      </c>
      <c r="H104" s="153">
        <v>44810</v>
      </c>
      <c r="I104" s="153">
        <v>44844</v>
      </c>
      <c r="J104" s="153" t="s">
        <v>1626</v>
      </c>
      <c r="K104" s="139">
        <v>37</v>
      </c>
      <c r="L104" s="125">
        <v>35</v>
      </c>
    </row>
    <row r="105" spans="2:12" ht="15.75" thickBot="1" x14ac:dyDescent="0.3">
      <c r="B105" s="83" t="s">
        <v>535</v>
      </c>
      <c r="C105" s="83" t="s">
        <v>1616</v>
      </c>
      <c r="D105" s="152">
        <v>18</v>
      </c>
      <c r="E105" s="139">
        <v>18</v>
      </c>
      <c r="F105" s="85" t="s">
        <v>1618</v>
      </c>
      <c r="G105" s="91" t="s">
        <v>1619</v>
      </c>
      <c r="H105" s="153">
        <v>44845</v>
      </c>
      <c r="I105" s="153">
        <v>44875</v>
      </c>
      <c r="J105" s="153" t="s">
        <v>1626</v>
      </c>
      <c r="K105" s="139">
        <v>18</v>
      </c>
      <c r="L105" s="125">
        <v>31</v>
      </c>
    </row>
    <row r="106" spans="2:12" ht="15.75" thickBot="1" x14ac:dyDescent="0.3">
      <c r="B106" s="83" t="s">
        <v>535</v>
      </c>
      <c r="C106" s="83" t="s">
        <v>1616</v>
      </c>
      <c r="D106" s="152">
        <v>16</v>
      </c>
      <c r="E106" s="139">
        <v>16</v>
      </c>
      <c r="F106" s="85" t="s">
        <v>1618</v>
      </c>
      <c r="G106" s="91" t="s">
        <v>1619</v>
      </c>
      <c r="H106" s="153">
        <v>44876</v>
      </c>
      <c r="I106" s="153">
        <v>44904</v>
      </c>
      <c r="J106" s="153" t="s">
        <v>1626</v>
      </c>
      <c r="K106" s="139">
        <v>16</v>
      </c>
      <c r="L106" s="125">
        <v>29</v>
      </c>
    </row>
    <row r="107" spans="2:12" ht="15.75" thickBot="1" x14ac:dyDescent="0.3">
      <c r="B107" s="83" t="s">
        <v>535</v>
      </c>
      <c r="C107" s="83" t="s">
        <v>1616</v>
      </c>
      <c r="D107" s="152">
        <v>12.774193548387096</v>
      </c>
      <c r="E107" s="139">
        <v>12.774193548387096</v>
      </c>
      <c r="F107" s="85" t="s">
        <v>1618</v>
      </c>
      <c r="G107" s="91" t="s">
        <v>1619</v>
      </c>
      <c r="H107" s="153">
        <v>44905</v>
      </c>
      <c r="I107" s="153">
        <v>44935</v>
      </c>
      <c r="J107" s="153" t="s">
        <v>1626</v>
      </c>
      <c r="K107" s="139">
        <v>18</v>
      </c>
      <c r="L107" s="125">
        <v>22</v>
      </c>
    </row>
    <row r="108" spans="2:12" ht="15.75" thickBot="1" x14ac:dyDescent="0.3">
      <c r="B108" s="83" t="s">
        <v>3506</v>
      </c>
      <c r="C108" s="83" t="s">
        <v>1616</v>
      </c>
      <c r="D108" s="152">
        <v>6.53125</v>
      </c>
      <c r="E108" s="139">
        <v>6.53125</v>
      </c>
      <c r="F108" s="85" t="s">
        <v>1618</v>
      </c>
      <c r="G108" s="91" t="s">
        <v>1619</v>
      </c>
      <c r="H108" s="153">
        <v>44541</v>
      </c>
      <c r="I108" s="153">
        <v>44572</v>
      </c>
      <c r="J108" s="153" t="s">
        <v>1627</v>
      </c>
      <c r="K108" s="139">
        <v>19</v>
      </c>
      <c r="L108" s="125">
        <v>11</v>
      </c>
    </row>
    <row r="109" spans="2:12" ht="15.75" thickBot="1" x14ac:dyDescent="0.3">
      <c r="B109" s="83" t="s">
        <v>3506</v>
      </c>
      <c r="C109" s="83" t="s">
        <v>1616</v>
      </c>
      <c r="D109" s="152">
        <v>18</v>
      </c>
      <c r="E109" s="139">
        <v>18</v>
      </c>
      <c r="F109" s="85" t="s">
        <v>1618</v>
      </c>
      <c r="G109" s="91" t="s">
        <v>1619</v>
      </c>
      <c r="H109" s="153">
        <v>44573</v>
      </c>
      <c r="I109" s="153">
        <v>44601</v>
      </c>
      <c r="J109" s="153" t="s">
        <v>1627</v>
      </c>
      <c r="K109" s="139">
        <v>18</v>
      </c>
      <c r="L109" s="125">
        <v>29</v>
      </c>
    </row>
    <row r="110" spans="2:12" ht="15.75" thickBot="1" x14ac:dyDescent="0.3">
      <c r="B110" s="83" t="s">
        <v>3506</v>
      </c>
      <c r="C110" s="83" t="s">
        <v>1616</v>
      </c>
      <c r="D110" s="152">
        <v>11</v>
      </c>
      <c r="E110" s="139">
        <v>11</v>
      </c>
      <c r="F110" s="85" t="s">
        <v>1618</v>
      </c>
      <c r="G110" s="91" t="s">
        <v>1619</v>
      </c>
      <c r="H110" s="153">
        <v>44602</v>
      </c>
      <c r="I110" s="153">
        <v>44630</v>
      </c>
      <c r="J110" s="153" t="s">
        <v>1627</v>
      </c>
      <c r="K110" s="139">
        <v>11</v>
      </c>
      <c r="L110" s="125">
        <v>29</v>
      </c>
    </row>
    <row r="111" spans="2:12" ht="15.75" thickBot="1" x14ac:dyDescent="0.3">
      <c r="B111" s="83" t="s">
        <v>3506</v>
      </c>
      <c r="C111" s="83" t="s">
        <v>1616</v>
      </c>
      <c r="D111" s="152">
        <v>17</v>
      </c>
      <c r="E111" s="139">
        <v>17</v>
      </c>
      <c r="F111" s="85" t="s">
        <v>1618</v>
      </c>
      <c r="G111" s="91" t="s">
        <v>1619</v>
      </c>
      <c r="H111" s="153">
        <v>44631</v>
      </c>
      <c r="I111" s="153">
        <v>44662</v>
      </c>
      <c r="J111" s="153" t="s">
        <v>1627</v>
      </c>
      <c r="K111" s="139">
        <v>17</v>
      </c>
      <c r="L111" s="125">
        <v>32</v>
      </c>
    </row>
    <row r="112" spans="2:12" ht="15.75" thickBot="1" x14ac:dyDescent="0.3">
      <c r="B112" s="83" t="s">
        <v>3506</v>
      </c>
      <c r="C112" s="83" t="s">
        <v>1616</v>
      </c>
      <c r="D112" s="152">
        <v>16</v>
      </c>
      <c r="E112" s="139">
        <v>16</v>
      </c>
      <c r="F112" s="85" t="s">
        <v>1618</v>
      </c>
      <c r="G112" s="91" t="s">
        <v>1619</v>
      </c>
      <c r="H112" s="153">
        <v>44663</v>
      </c>
      <c r="I112" s="153">
        <v>44691</v>
      </c>
      <c r="J112" s="153" t="s">
        <v>1627</v>
      </c>
      <c r="K112" s="139">
        <v>16</v>
      </c>
      <c r="L112" s="125">
        <v>29</v>
      </c>
    </row>
    <row r="113" spans="2:12" ht="15.75" thickBot="1" x14ac:dyDescent="0.3">
      <c r="B113" s="83" t="s">
        <v>3506</v>
      </c>
      <c r="C113" s="83" t="s">
        <v>1616</v>
      </c>
      <c r="D113" s="152">
        <v>22</v>
      </c>
      <c r="E113" s="139">
        <v>22</v>
      </c>
      <c r="F113" s="85" t="s">
        <v>1618</v>
      </c>
      <c r="G113" s="91" t="s">
        <v>1619</v>
      </c>
      <c r="H113" s="153">
        <v>44692</v>
      </c>
      <c r="I113" s="153">
        <v>44721</v>
      </c>
      <c r="J113" s="153" t="s">
        <v>1627</v>
      </c>
      <c r="K113" s="139">
        <v>22</v>
      </c>
      <c r="L113" s="125">
        <v>30</v>
      </c>
    </row>
    <row r="114" spans="2:12" ht="15.75" thickBot="1" x14ac:dyDescent="0.3">
      <c r="B114" s="83" t="s">
        <v>3506</v>
      </c>
      <c r="C114" s="83" t="s">
        <v>1616</v>
      </c>
      <c r="D114" s="152">
        <v>19</v>
      </c>
      <c r="E114" s="139">
        <v>19</v>
      </c>
      <c r="F114" s="85" t="s">
        <v>1618</v>
      </c>
      <c r="G114" s="91" t="s">
        <v>1619</v>
      </c>
      <c r="H114" s="153">
        <v>44722</v>
      </c>
      <c r="I114" s="153">
        <v>44753</v>
      </c>
      <c r="J114" s="153" t="s">
        <v>1627</v>
      </c>
      <c r="K114" s="139">
        <v>19</v>
      </c>
      <c r="L114" s="125">
        <v>32</v>
      </c>
    </row>
    <row r="115" spans="2:12" ht="15.75" thickBot="1" x14ac:dyDescent="0.3">
      <c r="B115" s="83" t="s">
        <v>3506</v>
      </c>
      <c r="C115" s="83" t="s">
        <v>1616</v>
      </c>
      <c r="D115" s="152">
        <v>18</v>
      </c>
      <c r="E115" s="139">
        <v>18</v>
      </c>
      <c r="F115" s="85" t="s">
        <v>1618</v>
      </c>
      <c r="G115" s="91" t="s">
        <v>1619</v>
      </c>
      <c r="H115" s="153">
        <v>44754</v>
      </c>
      <c r="I115" s="153">
        <v>44782</v>
      </c>
      <c r="J115" s="153" t="s">
        <v>1627</v>
      </c>
      <c r="K115" s="139">
        <v>18</v>
      </c>
      <c r="L115" s="125">
        <v>29</v>
      </c>
    </row>
    <row r="116" spans="2:12" ht="15.75" thickBot="1" x14ac:dyDescent="0.3">
      <c r="B116" s="83" t="s">
        <v>3506</v>
      </c>
      <c r="C116" s="83" t="s">
        <v>1616</v>
      </c>
      <c r="D116" s="152">
        <v>27</v>
      </c>
      <c r="E116" s="139">
        <v>27</v>
      </c>
      <c r="F116" s="85" t="s">
        <v>1618</v>
      </c>
      <c r="G116" s="91" t="s">
        <v>1619</v>
      </c>
      <c r="H116" s="153">
        <v>44783</v>
      </c>
      <c r="I116" s="153">
        <v>44813</v>
      </c>
      <c r="J116" s="153" t="s">
        <v>1627</v>
      </c>
      <c r="K116" s="139">
        <v>27</v>
      </c>
      <c r="L116" s="125">
        <v>31</v>
      </c>
    </row>
    <row r="117" spans="2:12" ht="15.75" thickBot="1" x14ac:dyDescent="0.3">
      <c r="B117" s="83" t="s">
        <v>3506</v>
      </c>
      <c r="C117" s="83" t="s">
        <v>1616</v>
      </c>
      <c r="D117" s="152">
        <v>23</v>
      </c>
      <c r="E117" s="139">
        <v>23</v>
      </c>
      <c r="F117" s="85" t="s">
        <v>1618</v>
      </c>
      <c r="G117" s="91" t="s">
        <v>1619</v>
      </c>
      <c r="H117" s="153">
        <v>44814</v>
      </c>
      <c r="I117" s="153">
        <v>44846</v>
      </c>
      <c r="J117" s="153" t="s">
        <v>1627</v>
      </c>
      <c r="K117" s="139">
        <v>23</v>
      </c>
      <c r="L117" s="125">
        <v>33</v>
      </c>
    </row>
    <row r="118" spans="2:12" ht="15.75" thickBot="1" x14ac:dyDescent="0.3">
      <c r="B118" s="83" t="s">
        <v>3506</v>
      </c>
      <c r="C118" s="83" t="s">
        <v>1616</v>
      </c>
      <c r="D118" s="152">
        <v>20</v>
      </c>
      <c r="E118" s="139">
        <v>20</v>
      </c>
      <c r="F118" s="85" t="s">
        <v>1618</v>
      </c>
      <c r="G118" s="91" t="s">
        <v>1619</v>
      </c>
      <c r="H118" s="153">
        <v>44847</v>
      </c>
      <c r="I118" s="153">
        <v>44875</v>
      </c>
      <c r="J118" s="153" t="s">
        <v>1627</v>
      </c>
      <c r="K118" s="139">
        <v>20</v>
      </c>
      <c r="L118" s="125">
        <v>29</v>
      </c>
    </row>
    <row r="119" spans="2:12" ht="15.75" thickBot="1" x14ac:dyDescent="0.3">
      <c r="B119" s="83" t="s">
        <v>3506</v>
      </c>
      <c r="C119" s="83" t="s">
        <v>1616</v>
      </c>
      <c r="D119" s="152">
        <v>56</v>
      </c>
      <c r="E119" s="139">
        <v>56</v>
      </c>
      <c r="F119" s="85" t="s">
        <v>1618</v>
      </c>
      <c r="G119" s="91" t="s">
        <v>1619</v>
      </c>
      <c r="H119" s="153">
        <v>44876</v>
      </c>
      <c r="I119" s="153">
        <v>44908</v>
      </c>
      <c r="J119" s="153" t="s">
        <v>1627</v>
      </c>
      <c r="K119" s="139">
        <v>56</v>
      </c>
      <c r="L119" s="125">
        <v>33</v>
      </c>
    </row>
    <row r="120" spans="2:12" ht="15.75" thickBot="1" x14ac:dyDescent="0.3">
      <c r="B120" s="83" t="s">
        <v>3506</v>
      </c>
      <c r="C120" s="83" t="s">
        <v>1616</v>
      </c>
      <c r="D120" s="152">
        <v>10.928571428571429</v>
      </c>
      <c r="E120" s="139">
        <v>10.928571428571429</v>
      </c>
      <c r="F120" s="85" t="s">
        <v>1618</v>
      </c>
      <c r="G120" s="91" t="s">
        <v>1619</v>
      </c>
      <c r="H120" s="153">
        <v>44909</v>
      </c>
      <c r="I120" s="153">
        <v>44936</v>
      </c>
      <c r="J120" s="153" t="s">
        <v>1627</v>
      </c>
      <c r="K120" s="139">
        <v>17</v>
      </c>
      <c r="L120" s="125">
        <v>18</v>
      </c>
    </row>
    <row r="121" spans="2:12" ht="15.75" thickBot="1" x14ac:dyDescent="0.3">
      <c r="B121" s="83" t="s">
        <v>3506</v>
      </c>
      <c r="C121" s="83" t="s">
        <v>1616</v>
      </c>
      <c r="D121" s="152">
        <v>75.63636363636364</v>
      </c>
      <c r="E121" s="139">
        <v>75.63636363636364</v>
      </c>
      <c r="F121" s="85" t="s">
        <v>1618</v>
      </c>
      <c r="G121" s="91" t="s">
        <v>1619</v>
      </c>
      <c r="H121" s="153">
        <v>44553</v>
      </c>
      <c r="I121" s="153">
        <v>44585</v>
      </c>
      <c r="J121" s="153" t="s">
        <v>1627</v>
      </c>
      <c r="K121" s="139">
        <v>104</v>
      </c>
      <c r="L121" s="125">
        <v>24</v>
      </c>
    </row>
    <row r="122" spans="2:12" ht="15.75" thickBot="1" x14ac:dyDescent="0.3">
      <c r="B122" s="83" t="s">
        <v>3506</v>
      </c>
      <c r="C122" s="83" t="s">
        <v>1616</v>
      </c>
      <c r="D122" s="152">
        <v>119</v>
      </c>
      <c r="E122" s="139">
        <v>119</v>
      </c>
      <c r="F122" s="85" t="s">
        <v>1618</v>
      </c>
      <c r="G122" s="91" t="s">
        <v>1619</v>
      </c>
      <c r="H122" s="153">
        <v>44586</v>
      </c>
      <c r="I122" s="153">
        <v>44615</v>
      </c>
      <c r="J122" s="153" t="s">
        <v>1627</v>
      </c>
      <c r="K122" s="139">
        <v>119</v>
      </c>
      <c r="L122" s="125">
        <v>30</v>
      </c>
    </row>
    <row r="123" spans="2:12" ht="15.75" thickBot="1" x14ac:dyDescent="0.3">
      <c r="B123" s="83" t="s">
        <v>3506</v>
      </c>
      <c r="C123" s="83" t="s">
        <v>1616</v>
      </c>
      <c r="D123" s="152">
        <v>140</v>
      </c>
      <c r="E123" s="139">
        <v>140</v>
      </c>
      <c r="F123" s="85" t="s">
        <v>1618</v>
      </c>
      <c r="G123" s="91" t="s">
        <v>1619</v>
      </c>
      <c r="H123" s="153">
        <v>44616</v>
      </c>
      <c r="I123" s="153">
        <v>44645</v>
      </c>
      <c r="J123" s="153" t="s">
        <v>1627</v>
      </c>
      <c r="K123" s="139">
        <v>140</v>
      </c>
      <c r="L123" s="125">
        <v>30</v>
      </c>
    </row>
    <row r="124" spans="2:12" ht="15.75" thickBot="1" x14ac:dyDescent="0.3">
      <c r="B124" s="83" t="s">
        <v>3506</v>
      </c>
      <c r="C124" s="83" t="s">
        <v>1616</v>
      </c>
      <c r="D124" s="152">
        <v>139</v>
      </c>
      <c r="E124" s="139">
        <v>139</v>
      </c>
      <c r="F124" s="85" t="s">
        <v>1618</v>
      </c>
      <c r="G124" s="91" t="s">
        <v>1619</v>
      </c>
      <c r="H124" s="153">
        <v>44646</v>
      </c>
      <c r="I124" s="153">
        <v>44678</v>
      </c>
      <c r="J124" s="153" t="s">
        <v>1627</v>
      </c>
      <c r="K124" s="139">
        <v>139</v>
      </c>
      <c r="L124" s="125">
        <v>33</v>
      </c>
    </row>
    <row r="125" spans="2:12" ht="15.75" thickBot="1" x14ac:dyDescent="0.3">
      <c r="B125" s="83" t="s">
        <v>3506</v>
      </c>
      <c r="C125" s="83" t="s">
        <v>1616</v>
      </c>
      <c r="D125" s="152">
        <v>130</v>
      </c>
      <c r="E125" s="139">
        <v>130</v>
      </c>
      <c r="F125" s="85" t="s">
        <v>1618</v>
      </c>
      <c r="G125" s="91" t="s">
        <v>1619</v>
      </c>
      <c r="H125" s="153">
        <v>44678</v>
      </c>
      <c r="I125" s="153">
        <v>44705</v>
      </c>
      <c r="J125" s="153" t="s">
        <v>1627</v>
      </c>
      <c r="K125" s="139">
        <v>130</v>
      </c>
      <c r="L125" s="125">
        <v>28</v>
      </c>
    </row>
    <row r="126" spans="2:12" ht="15.75" thickBot="1" x14ac:dyDescent="0.3">
      <c r="B126" s="83" t="s">
        <v>3506</v>
      </c>
      <c r="C126" s="83" t="s">
        <v>1616</v>
      </c>
      <c r="D126" s="152">
        <v>143</v>
      </c>
      <c r="E126" s="139">
        <v>143</v>
      </c>
      <c r="F126" s="85" t="s">
        <v>1618</v>
      </c>
      <c r="G126" s="91" t="s">
        <v>1619</v>
      </c>
      <c r="H126" s="153">
        <v>44706</v>
      </c>
      <c r="I126" s="153">
        <v>44736</v>
      </c>
      <c r="J126" s="153" t="s">
        <v>1627</v>
      </c>
      <c r="K126" s="139">
        <v>143</v>
      </c>
      <c r="L126" s="125">
        <v>31</v>
      </c>
    </row>
    <row r="127" spans="2:12" ht="15.75" thickBot="1" x14ac:dyDescent="0.3">
      <c r="B127" s="83" t="s">
        <v>3506</v>
      </c>
      <c r="C127" s="83" t="s">
        <v>1616</v>
      </c>
      <c r="D127" s="152">
        <v>158</v>
      </c>
      <c r="E127" s="139">
        <v>158</v>
      </c>
      <c r="F127" s="85" t="s">
        <v>1618</v>
      </c>
      <c r="G127" s="91" t="s">
        <v>1619</v>
      </c>
      <c r="H127" s="153">
        <v>44737</v>
      </c>
      <c r="I127" s="153">
        <v>44768</v>
      </c>
      <c r="J127" s="153" t="s">
        <v>1627</v>
      </c>
      <c r="K127" s="139">
        <v>158</v>
      </c>
      <c r="L127" s="125">
        <v>32</v>
      </c>
    </row>
    <row r="128" spans="2:12" ht="15.75" thickBot="1" x14ac:dyDescent="0.3">
      <c r="B128" s="83" t="s">
        <v>3506</v>
      </c>
      <c r="C128" s="83" t="s">
        <v>1616</v>
      </c>
      <c r="D128" s="152">
        <v>111</v>
      </c>
      <c r="E128" s="139">
        <v>111</v>
      </c>
      <c r="F128" s="85" t="s">
        <v>1618</v>
      </c>
      <c r="G128" s="91" t="s">
        <v>1619</v>
      </c>
      <c r="H128" s="153">
        <v>44769</v>
      </c>
      <c r="I128" s="153">
        <v>44797</v>
      </c>
      <c r="J128" s="153" t="s">
        <v>1627</v>
      </c>
      <c r="K128" s="139">
        <v>111</v>
      </c>
      <c r="L128" s="125">
        <v>29</v>
      </c>
    </row>
    <row r="129" spans="2:12" ht="15.75" thickBot="1" x14ac:dyDescent="0.3">
      <c r="B129" s="83" t="s">
        <v>3506</v>
      </c>
      <c r="C129" s="83" t="s">
        <v>1616</v>
      </c>
      <c r="D129" s="152">
        <v>50</v>
      </c>
      <c r="E129" s="139">
        <v>50</v>
      </c>
      <c r="F129" s="85" t="s">
        <v>1618</v>
      </c>
      <c r="G129" s="91" t="s">
        <v>1619</v>
      </c>
      <c r="H129" s="153">
        <v>44798</v>
      </c>
      <c r="I129" s="153">
        <v>44830</v>
      </c>
      <c r="J129" s="153" t="s">
        <v>1627</v>
      </c>
      <c r="K129" s="139">
        <v>50</v>
      </c>
      <c r="L129" s="125">
        <v>33</v>
      </c>
    </row>
    <row r="130" spans="2:12" ht="15.75" thickBot="1" x14ac:dyDescent="0.3">
      <c r="B130" s="83" t="s">
        <v>3506</v>
      </c>
      <c r="C130" s="83" t="s">
        <v>1616</v>
      </c>
      <c r="D130" s="152">
        <v>129</v>
      </c>
      <c r="E130" s="139">
        <v>129</v>
      </c>
      <c r="F130" s="85" t="s">
        <v>1618</v>
      </c>
      <c r="G130" s="91" t="s">
        <v>1619</v>
      </c>
      <c r="H130" s="153">
        <v>44831</v>
      </c>
      <c r="I130" s="153">
        <v>44859</v>
      </c>
      <c r="J130" s="153" t="s">
        <v>1627</v>
      </c>
      <c r="K130" s="139">
        <v>129</v>
      </c>
      <c r="L130" s="125">
        <v>29</v>
      </c>
    </row>
    <row r="131" spans="2:12" ht="15.75" thickBot="1" x14ac:dyDescent="0.3">
      <c r="B131" s="83" t="s">
        <v>3506</v>
      </c>
      <c r="C131" s="83" t="s">
        <v>1616</v>
      </c>
      <c r="D131" s="152">
        <v>129</v>
      </c>
      <c r="E131" s="139">
        <v>129</v>
      </c>
      <c r="F131" s="85" t="s">
        <v>1618</v>
      </c>
      <c r="G131" s="91" t="s">
        <v>1619</v>
      </c>
      <c r="H131" s="153">
        <v>44860</v>
      </c>
      <c r="I131" s="153">
        <v>44888</v>
      </c>
      <c r="J131" s="153" t="s">
        <v>1627</v>
      </c>
      <c r="K131" s="139">
        <v>129</v>
      </c>
      <c r="L131" s="125">
        <v>29</v>
      </c>
    </row>
    <row r="132" spans="2:12" ht="15.75" thickBot="1" x14ac:dyDescent="0.3">
      <c r="B132" s="83" t="s">
        <v>3506</v>
      </c>
      <c r="C132" s="83" t="s">
        <v>1616</v>
      </c>
      <c r="D132" s="152">
        <v>124</v>
      </c>
      <c r="E132" s="139">
        <v>124</v>
      </c>
      <c r="F132" s="85" t="s">
        <v>1618</v>
      </c>
      <c r="G132" s="91" t="s">
        <v>1619</v>
      </c>
      <c r="H132" s="153">
        <v>44889</v>
      </c>
      <c r="I132" s="153">
        <v>44918</v>
      </c>
      <c r="J132" s="153" t="s">
        <v>1627</v>
      </c>
      <c r="K132" s="139">
        <v>124</v>
      </c>
      <c r="L132" s="125">
        <v>30</v>
      </c>
    </row>
    <row r="133" spans="2:12" ht="15.75" thickBot="1" x14ac:dyDescent="0.3">
      <c r="B133" s="83" t="s">
        <v>3506</v>
      </c>
      <c r="C133" s="83" t="s">
        <v>1616</v>
      </c>
      <c r="D133" s="152">
        <v>46.25</v>
      </c>
      <c r="E133" s="139">
        <v>46.25</v>
      </c>
      <c r="F133" s="85" t="s">
        <v>1618</v>
      </c>
      <c r="G133" s="91" t="s">
        <v>1619</v>
      </c>
      <c r="H133" s="153">
        <v>44919</v>
      </c>
      <c r="I133" s="153">
        <v>44950</v>
      </c>
      <c r="J133" s="153" t="s">
        <v>1627</v>
      </c>
      <c r="K133" s="139">
        <v>185</v>
      </c>
      <c r="L133" s="125">
        <v>8</v>
      </c>
    </row>
    <row r="134" spans="2:12" ht="15.75" thickBot="1" x14ac:dyDescent="0.3">
      <c r="B134" s="83" t="s">
        <v>3506</v>
      </c>
      <c r="C134" s="83" t="s">
        <v>1616</v>
      </c>
      <c r="D134" s="152">
        <v>0.6785714285714286</v>
      </c>
      <c r="E134" s="139">
        <v>0.6785714285714286</v>
      </c>
      <c r="F134" s="85" t="s">
        <v>1618</v>
      </c>
      <c r="G134" s="91" t="s">
        <v>1619</v>
      </c>
      <c r="H134" s="153">
        <v>44553</v>
      </c>
      <c r="I134" s="153">
        <v>44580</v>
      </c>
      <c r="J134" s="153" t="s">
        <v>1627</v>
      </c>
      <c r="K134" s="139">
        <v>1</v>
      </c>
      <c r="L134" s="125">
        <v>19</v>
      </c>
    </row>
    <row r="135" spans="2:12" ht="15.75" thickBot="1" x14ac:dyDescent="0.3">
      <c r="B135" s="83" t="s">
        <v>3506</v>
      </c>
      <c r="C135" s="83" t="s">
        <v>1616</v>
      </c>
      <c r="D135" s="152">
        <v>0</v>
      </c>
      <c r="E135" s="139">
        <v>0</v>
      </c>
      <c r="F135" s="85" t="s">
        <v>1618</v>
      </c>
      <c r="G135" s="91" t="s">
        <v>1619</v>
      </c>
      <c r="H135" s="153">
        <v>44581</v>
      </c>
      <c r="I135" s="153">
        <v>44610</v>
      </c>
      <c r="J135" s="153" t="s">
        <v>1627</v>
      </c>
      <c r="K135" s="139">
        <v>0</v>
      </c>
      <c r="L135" s="125">
        <v>30</v>
      </c>
    </row>
    <row r="136" spans="2:12" ht="15.75" thickBot="1" x14ac:dyDescent="0.3">
      <c r="B136" s="83" t="s">
        <v>3506</v>
      </c>
      <c r="C136" s="83" t="s">
        <v>1616</v>
      </c>
      <c r="D136" s="152">
        <v>0</v>
      </c>
      <c r="E136" s="139">
        <v>0</v>
      </c>
      <c r="F136" s="85" t="s">
        <v>1618</v>
      </c>
      <c r="G136" s="91" t="s">
        <v>1619</v>
      </c>
      <c r="H136" s="153">
        <v>44611</v>
      </c>
      <c r="I136" s="153">
        <v>44638</v>
      </c>
      <c r="J136" s="153" t="s">
        <v>1627</v>
      </c>
      <c r="K136" s="139">
        <v>0</v>
      </c>
      <c r="L136" s="125">
        <v>28</v>
      </c>
    </row>
    <row r="137" spans="2:12" ht="15.75" thickBot="1" x14ac:dyDescent="0.3">
      <c r="B137" s="83" t="s">
        <v>3506</v>
      </c>
      <c r="C137" s="83" t="s">
        <v>1616</v>
      </c>
      <c r="D137" s="152">
        <v>1</v>
      </c>
      <c r="E137" s="139">
        <v>1</v>
      </c>
      <c r="F137" s="85" t="s">
        <v>1618</v>
      </c>
      <c r="G137" s="91" t="s">
        <v>1619</v>
      </c>
      <c r="H137" s="153">
        <v>44639</v>
      </c>
      <c r="I137" s="153">
        <v>44672</v>
      </c>
      <c r="J137" s="153" t="s">
        <v>1627</v>
      </c>
      <c r="K137" s="139">
        <v>1</v>
      </c>
      <c r="L137" s="125">
        <v>34</v>
      </c>
    </row>
    <row r="138" spans="2:12" ht="15.75" thickBot="1" x14ac:dyDescent="0.3">
      <c r="B138" s="83" t="s">
        <v>3506</v>
      </c>
      <c r="C138" s="83" t="s">
        <v>1616</v>
      </c>
      <c r="D138" s="152">
        <v>0</v>
      </c>
      <c r="E138" s="139">
        <v>0</v>
      </c>
      <c r="F138" s="85" t="s">
        <v>1618</v>
      </c>
      <c r="G138" s="91" t="s">
        <v>1619</v>
      </c>
      <c r="H138" s="153">
        <v>44673</v>
      </c>
      <c r="I138" s="153">
        <v>44700</v>
      </c>
      <c r="J138" s="153" t="s">
        <v>1627</v>
      </c>
      <c r="K138" s="139">
        <v>0</v>
      </c>
      <c r="L138" s="125">
        <v>28</v>
      </c>
    </row>
    <row r="139" spans="2:12" ht="15.75" thickBot="1" x14ac:dyDescent="0.3">
      <c r="B139" s="83" t="s">
        <v>3506</v>
      </c>
      <c r="C139" s="83" t="s">
        <v>1616</v>
      </c>
      <c r="D139" s="152">
        <v>1</v>
      </c>
      <c r="E139" s="139">
        <v>1</v>
      </c>
      <c r="F139" s="85" t="s">
        <v>1618</v>
      </c>
      <c r="G139" s="91" t="s">
        <v>1619</v>
      </c>
      <c r="H139" s="153">
        <v>44701</v>
      </c>
      <c r="I139" s="153">
        <v>44733</v>
      </c>
      <c r="J139" s="153" t="s">
        <v>1627</v>
      </c>
      <c r="K139" s="139">
        <v>1</v>
      </c>
      <c r="L139" s="125">
        <v>33</v>
      </c>
    </row>
    <row r="140" spans="2:12" ht="15.75" thickBot="1" x14ac:dyDescent="0.3">
      <c r="B140" s="83" t="s">
        <v>3506</v>
      </c>
      <c r="C140" s="83" t="s">
        <v>1616</v>
      </c>
      <c r="D140" s="152">
        <v>0</v>
      </c>
      <c r="E140" s="139">
        <v>0</v>
      </c>
      <c r="F140" s="85" t="s">
        <v>1618</v>
      </c>
      <c r="G140" s="91" t="s">
        <v>1619</v>
      </c>
      <c r="H140" s="153">
        <v>44734</v>
      </c>
      <c r="I140" s="153">
        <v>44762</v>
      </c>
      <c r="J140" s="153" t="s">
        <v>1627</v>
      </c>
      <c r="K140" s="139">
        <v>0</v>
      </c>
      <c r="L140" s="125">
        <v>29</v>
      </c>
    </row>
    <row r="141" spans="2:12" ht="15.75" thickBot="1" x14ac:dyDescent="0.3">
      <c r="B141" s="83" t="s">
        <v>3506</v>
      </c>
      <c r="C141" s="83" t="s">
        <v>1616</v>
      </c>
      <c r="D141" s="152">
        <v>0</v>
      </c>
      <c r="E141" s="139">
        <v>0</v>
      </c>
      <c r="F141" s="85" t="s">
        <v>1618</v>
      </c>
      <c r="G141" s="91" t="s">
        <v>1619</v>
      </c>
      <c r="H141" s="153">
        <v>44763</v>
      </c>
      <c r="I141" s="153">
        <v>44792</v>
      </c>
      <c r="J141" s="153" t="s">
        <v>1627</v>
      </c>
      <c r="K141" s="139">
        <v>0</v>
      </c>
      <c r="L141" s="125">
        <v>30</v>
      </c>
    </row>
    <row r="142" spans="2:12" ht="15.75" thickBot="1" x14ac:dyDescent="0.3">
      <c r="B142" s="83" t="s">
        <v>3506</v>
      </c>
      <c r="C142" s="83" t="s">
        <v>1616</v>
      </c>
      <c r="D142" s="152">
        <v>0</v>
      </c>
      <c r="E142" s="139">
        <v>0</v>
      </c>
      <c r="F142" s="85" t="s">
        <v>1618</v>
      </c>
      <c r="G142" s="91" t="s">
        <v>1619</v>
      </c>
      <c r="H142" s="153">
        <v>44793</v>
      </c>
      <c r="I142" s="153">
        <v>44824</v>
      </c>
      <c r="J142" s="153" t="s">
        <v>1627</v>
      </c>
      <c r="K142" s="139">
        <v>0</v>
      </c>
      <c r="L142" s="125">
        <v>32</v>
      </c>
    </row>
    <row r="143" spans="2:12" ht="15.75" thickBot="1" x14ac:dyDescent="0.3">
      <c r="B143" s="83" t="s">
        <v>3506</v>
      </c>
      <c r="C143" s="83" t="s">
        <v>1616</v>
      </c>
      <c r="D143" s="152">
        <v>0</v>
      </c>
      <c r="E143" s="139">
        <v>0</v>
      </c>
      <c r="F143" s="85" t="s">
        <v>1618</v>
      </c>
      <c r="G143" s="91" t="s">
        <v>1619</v>
      </c>
      <c r="H143" s="153">
        <v>44825</v>
      </c>
      <c r="I143" s="153">
        <v>44855</v>
      </c>
      <c r="J143" s="153" t="s">
        <v>1627</v>
      </c>
      <c r="K143" s="139">
        <v>0</v>
      </c>
      <c r="L143" s="125">
        <v>31</v>
      </c>
    </row>
    <row r="144" spans="2:12" ht="15.75" thickBot="1" x14ac:dyDescent="0.3">
      <c r="B144" s="83" t="s">
        <v>3506</v>
      </c>
      <c r="C144" s="83" t="s">
        <v>1616</v>
      </c>
      <c r="D144" s="152">
        <v>0</v>
      </c>
      <c r="E144" s="139">
        <v>0</v>
      </c>
      <c r="F144" s="85" t="s">
        <v>1618</v>
      </c>
      <c r="G144" s="91" t="s">
        <v>1619</v>
      </c>
      <c r="H144" s="153">
        <v>44856</v>
      </c>
      <c r="I144" s="153">
        <v>44886</v>
      </c>
      <c r="J144" s="153" t="s">
        <v>1627</v>
      </c>
      <c r="K144" s="139">
        <v>0</v>
      </c>
      <c r="L144" s="125">
        <v>31</v>
      </c>
    </row>
    <row r="145" spans="2:12" ht="15.75" thickBot="1" x14ac:dyDescent="0.3">
      <c r="B145" s="83" t="s">
        <v>3506</v>
      </c>
      <c r="C145" s="83" t="s">
        <v>1616</v>
      </c>
      <c r="D145" s="152">
        <v>0</v>
      </c>
      <c r="E145" s="139">
        <v>0</v>
      </c>
      <c r="F145" s="85" t="s">
        <v>1618</v>
      </c>
      <c r="G145" s="91" t="s">
        <v>1619</v>
      </c>
      <c r="H145" s="153">
        <v>44887</v>
      </c>
      <c r="I145" s="153">
        <v>44917</v>
      </c>
      <c r="J145" s="153" t="s">
        <v>1627</v>
      </c>
      <c r="K145" s="139">
        <v>0</v>
      </c>
      <c r="L145" s="125">
        <v>31</v>
      </c>
    </row>
    <row r="146" spans="2:12" ht="15.75" thickBot="1" x14ac:dyDescent="0.3">
      <c r="B146" s="83" t="s">
        <v>3506</v>
      </c>
      <c r="C146" s="83" t="s">
        <v>1616</v>
      </c>
      <c r="D146" s="152">
        <v>1.9285714285714286</v>
      </c>
      <c r="E146" s="139">
        <v>1.9285714285714286</v>
      </c>
      <c r="F146" s="85" t="s">
        <v>1618</v>
      </c>
      <c r="G146" s="91" t="s">
        <v>1619</v>
      </c>
      <c r="H146" s="153">
        <v>44918</v>
      </c>
      <c r="I146" s="153">
        <v>44945</v>
      </c>
      <c r="J146" s="153" t="s">
        <v>1627</v>
      </c>
      <c r="K146" s="139">
        <v>6</v>
      </c>
      <c r="L146" s="125">
        <v>9</v>
      </c>
    </row>
    <row r="147" spans="2:12" ht="15.75" thickBot="1" x14ac:dyDescent="0.3">
      <c r="B147" s="83" t="s">
        <v>3506</v>
      </c>
      <c r="C147" s="83" t="s">
        <v>1616</v>
      </c>
      <c r="D147" s="152">
        <v>9.6774193548387094E-2</v>
      </c>
      <c r="E147" s="139">
        <v>9.6774193548387094E-2</v>
      </c>
      <c r="F147" s="85" t="s">
        <v>1618</v>
      </c>
      <c r="G147" s="91" t="s">
        <v>1619</v>
      </c>
      <c r="H147" s="153">
        <v>44534</v>
      </c>
      <c r="I147" s="153">
        <v>44564</v>
      </c>
      <c r="J147" s="153" t="s">
        <v>1628</v>
      </c>
      <c r="K147" s="139">
        <v>1</v>
      </c>
      <c r="L147" s="125">
        <v>3</v>
      </c>
    </row>
    <row r="148" spans="2:12" ht="15.75" thickBot="1" x14ac:dyDescent="0.3">
      <c r="B148" s="83" t="s">
        <v>3506</v>
      </c>
      <c r="C148" s="83" t="s">
        <v>1616</v>
      </c>
      <c r="D148" s="152">
        <v>1</v>
      </c>
      <c r="E148" s="139">
        <v>1</v>
      </c>
      <c r="F148" s="85" t="s">
        <v>1618</v>
      </c>
      <c r="G148" s="91" t="s">
        <v>1619</v>
      </c>
      <c r="H148" s="153">
        <v>44565</v>
      </c>
      <c r="I148" s="153">
        <v>44594</v>
      </c>
      <c r="J148" s="153" t="s">
        <v>1628</v>
      </c>
      <c r="K148" s="139">
        <v>1</v>
      </c>
      <c r="L148" s="125">
        <v>30</v>
      </c>
    </row>
    <row r="149" spans="2:12" ht="15.75" thickBot="1" x14ac:dyDescent="0.3">
      <c r="B149" s="83" t="s">
        <v>3506</v>
      </c>
      <c r="C149" s="83" t="s">
        <v>1616</v>
      </c>
      <c r="D149" s="152">
        <v>0</v>
      </c>
      <c r="E149" s="139">
        <v>0</v>
      </c>
      <c r="F149" s="85" t="s">
        <v>1618</v>
      </c>
      <c r="G149" s="91" t="s">
        <v>1619</v>
      </c>
      <c r="H149" s="153">
        <v>44595</v>
      </c>
      <c r="I149" s="153">
        <v>44622</v>
      </c>
      <c r="J149" s="153" t="s">
        <v>1628</v>
      </c>
      <c r="K149" s="139">
        <v>0</v>
      </c>
      <c r="L149" s="125">
        <v>28</v>
      </c>
    </row>
    <row r="150" spans="2:12" ht="15.75" thickBot="1" x14ac:dyDescent="0.3">
      <c r="B150" s="83" t="s">
        <v>3506</v>
      </c>
      <c r="C150" s="83" t="s">
        <v>1616</v>
      </c>
      <c r="D150" s="152">
        <v>1</v>
      </c>
      <c r="E150" s="139">
        <v>1</v>
      </c>
      <c r="F150" s="85" t="s">
        <v>1618</v>
      </c>
      <c r="G150" s="91" t="s">
        <v>1619</v>
      </c>
      <c r="H150" s="153">
        <v>44623</v>
      </c>
      <c r="I150" s="153">
        <v>44655</v>
      </c>
      <c r="J150" s="153" t="s">
        <v>1628</v>
      </c>
      <c r="K150" s="139">
        <v>1</v>
      </c>
      <c r="L150" s="125">
        <v>33</v>
      </c>
    </row>
    <row r="151" spans="2:12" ht="15.75" thickBot="1" x14ac:dyDescent="0.3">
      <c r="B151" s="83" t="s">
        <v>3506</v>
      </c>
      <c r="C151" s="83" t="s">
        <v>1616</v>
      </c>
      <c r="D151" s="152">
        <v>1</v>
      </c>
      <c r="E151" s="139">
        <v>1</v>
      </c>
      <c r="F151" s="85" t="s">
        <v>1618</v>
      </c>
      <c r="G151" s="91" t="s">
        <v>1619</v>
      </c>
      <c r="H151" s="153">
        <v>44656</v>
      </c>
      <c r="I151" s="153">
        <v>44685</v>
      </c>
      <c r="J151" s="153" t="s">
        <v>1628</v>
      </c>
      <c r="K151" s="139">
        <v>1</v>
      </c>
      <c r="L151" s="125">
        <v>30</v>
      </c>
    </row>
    <row r="152" spans="2:12" ht="15.75" thickBot="1" x14ac:dyDescent="0.3">
      <c r="B152" s="83" t="s">
        <v>3506</v>
      </c>
      <c r="C152" s="83" t="s">
        <v>1616</v>
      </c>
      <c r="D152" s="152">
        <v>1</v>
      </c>
      <c r="E152" s="139">
        <v>1</v>
      </c>
      <c r="F152" s="85" t="s">
        <v>1618</v>
      </c>
      <c r="G152" s="91" t="s">
        <v>1619</v>
      </c>
      <c r="H152" s="153">
        <v>44686</v>
      </c>
      <c r="I152" s="153">
        <v>44714</v>
      </c>
      <c r="J152" s="153" t="s">
        <v>1628</v>
      </c>
      <c r="K152" s="139">
        <v>1</v>
      </c>
      <c r="L152" s="125">
        <v>29</v>
      </c>
    </row>
    <row r="153" spans="2:12" ht="15.75" thickBot="1" x14ac:dyDescent="0.3">
      <c r="B153" s="83" t="s">
        <v>3506</v>
      </c>
      <c r="C153" s="83" t="s">
        <v>1616</v>
      </c>
      <c r="D153" s="152">
        <v>1</v>
      </c>
      <c r="E153" s="139">
        <v>1</v>
      </c>
      <c r="F153" s="85" t="s">
        <v>1618</v>
      </c>
      <c r="G153" s="91" t="s">
        <v>1619</v>
      </c>
      <c r="H153" s="153">
        <v>44715</v>
      </c>
      <c r="I153" s="153">
        <v>44744</v>
      </c>
      <c r="J153" s="153" t="s">
        <v>1628</v>
      </c>
      <c r="K153" s="139">
        <v>1</v>
      </c>
      <c r="L153" s="125">
        <v>30</v>
      </c>
    </row>
    <row r="154" spans="2:12" ht="15.75" thickBot="1" x14ac:dyDescent="0.3">
      <c r="B154" s="83" t="s">
        <v>3506</v>
      </c>
      <c r="C154" s="83" t="s">
        <v>1616</v>
      </c>
      <c r="D154" s="152">
        <v>1</v>
      </c>
      <c r="E154" s="139">
        <v>1</v>
      </c>
      <c r="F154" s="85" t="s">
        <v>1618</v>
      </c>
      <c r="G154" s="91" t="s">
        <v>1619</v>
      </c>
      <c r="H154" s="153">
        <v>44745</v>
      </c>
      <c r="I154" s="153">
        <v>44775</v>
      </c>
      <c r="J154" s="153" t="s">
        <v>1628</v>
      </c>
      <c r="K154" s="139">
        <v>1</v>
      </c>
      <c r="L154" s="125">
        <v>31</v>
      </c>
    </row>
    <row r="155" spans="2:12" ht="15.75" thickBot="1" x14ac:dyDescent="0.3">
      <c r="B155" s="83" t="s">
        <v>3506</v>
      </c>
      <c r="C155" s="83" t="s">
        <v>1616</v>
      </c>
      <c r="D155" s="152">
        <v>1</v>
      </c>
      <c r="E155" s="139">
        <v>1</v>
      </c>
      <c r="F155" s="85" t="s">
        <v>1618</v>
      </c>
      <c r="G155" s="91" t="s">
        <v>1619</v>
      </c>
      <c r="H155" s="153">
        <v>44776</v>
      </c>
      <c r="I155" s="153">
        <v>44806</v>
      </c>
      <c r="J155" s="153" t="s">
        <v>1628</v>
      </c>
      <c r="K155" s="139">
        <v>1</v>
      </c>
      <c r="L155" s="125">
        <v>31</v>
      </c>
    </row>
    <row r="156" spans="2:12" ht="15.75" thickBot="1" x14ac:dyDescent="0.3">
      <c r="B156" s="83" t="s">
        <v>3506</v>
      </c>
      <c r="C156" s="83" t="s">
        <v>1616</v>
      </c>
      <c r="D156" s="152">
        <v>1</v>
      </c>
      <c r="E156" s="139">
        <v>1</v>
      </c>
      <c r="F156" s="85" t="s">
        <v>1618</v>
      </c>
      <c r="G156" s="91" t="s">
        <v>1619</v>
      </c>
      <c r="H156" s="153">
        <v>44807</v>
      </c>
      <c r="I156" s="153">
        <v>44838</v>
      </c>
      <c r="J156" s="153" t="s">
        <v>1628</v>
      </c>
      <c r="K156" s="139">
        <v>1</v>
      </c>
      <c r="L156" s="125">
        <v>32</v>
      </c>
    </row>
    <row r="157" spans="2:12" ht="15.75" thickBot="1" x14ac:dyDescent="0.3">
      <c r="B157" s="83" t="s">
        <v>3506</v>
      </c>
      <c r="C157" s="83" t="s">
        <v>1616</v>
      </c>
      <c r="D157" s="152">
        <v>1</v>
      </c>
      <c r="E157" s="139">
        <v>1</v>
      </c>
      <c r="F157" s="85" t="s">
        <v>1618</v>
      </c>
      <c r="G157" s="91" t="s">
        <v>1619</v>
      </c>
      <c r="H157" s="153">
        <v>44839</v>
      </c>
      <c r="I157" s="153">
        <v>44869</v>
      </c>
      <c r="J157" s="153" t="s">
        <v>1628</v>
      </c>
      <c r="K157" s="139">
        <v>1</v>
      </c>
      <c r="L157" s="125">
        <v>31</v>
      </c>
    </row>
    <row r="158" spans="2:12" ht="15.75" thickBot="1" x14ac:dyDescent="0.3">
      <c r="B158" s="83" t="s">
        <v>3506</v>
      </c>
      <c r="C158" s="83" t="s">
        <v>1616</v>
      </c>
      <c r="D158" s="152">
        <v>0</v>
      </c>
      <c r="E158" s="139">
        <v>0</v>
      </c>
      <c r="F158" s="85" t="s">
        <v>1618</v>
      </c>
      <c r="G158" s="91" t="s">
        <v>1619</v>
      </c>
      <c r="H158" s="153">
        <v>44870</v>
      </c>
      <c r="I158" s="153">
        <v>44900</v>
      </c>
      <c r="J158" s="153" t="s">
        <v>1628</v>
      </c>
      <c r="K158" s="139">
        <v>0</v>
      </c>
      <c r="L158" s="125">
        <v>31</v>
      </c>
    </row>
    <row r="159" spans="2:12" ht="15.75" thickBot="1" x14ac:dyDescent="0.3">
      <c r="B159" s="83" t="s">
        <v>3506</v>
      </c>
      <c r="C159" s="83" t="s">
        <v>1616</v>
      </c>
      <c r="D159" s="152">
        <v>0.83870967741935487</v>
      </c>
      <c r="E159" s="139">
        <v>0.83870967741935487</v>
      </c>
      <c r="F159" s="85" t="s">
        <v>1618</v>
      </c>
      <c r="G159" s="91" t="s">
        <v>1619</v>
      </c>
      <c r="H159" s="153">
        <v>44901</v>
      </c>
      <c r="I159" s="153">
        <v>44931</v>
      </c>
      <c r="J159" s="153" t="s">
        <v>1628</v>
      </c>
      <c r="K159" s="139">
        <v>1</v>
      </c>
      <c r="L159" s="125">
        <v>26</v>
      </c>
    </row>
    <row r="160" spans="2:12" ht="15.75" thickBot="1" x14ac:dyDescent="0.3">
      <c r="B160" s="83" t="s">
        <v>535</v>
      </c>
      <c r="C160" s="83" t="s">
        <v>1616</v>
      </c>
      <c r="D160" s="152">
        <v>0.48275862068965519</v>
      </c>
      <c r="E160" s="139">
        <v>0.48275862068965519</v>
      </c>
      <c r="F160" s="85" t="s">
        <v>1618</v>
      </c>
      <c r="G160" s="91" t="s">
        <v>1619</v>
      </c>
      <c r="H160" s="153">
        <v>44540</v>
      </c>
      <c r="I160" s="153">
        <v>44568</v>
      </c>
      <c r="J160" s="153" t="s">
        <v>1626</v>
      </c>
      <c r="K160" s="139">
        <v>2</v>
      </c>
      <c r="L160" s="125">
        <v>7</v>
      </c>
    </row>
    <row r="161" spans="2:12" ht="15.75" thickBot="1" x14ac:dyDescent="0.3">
      <c r="B161" s="83" t="s">
        <v>535</v>
      </c>
      <c r="C161" s="83" t="s">
        <v>1616</v>
      </c>
      <c r="D161" s="152">
        <v>1</v>
      </c>
      <c r="E161" s="139">
        <v>1</v>
      </c>
      <c r="F161" s="85" t="s">
        <v>1618</v>
      </c>
      <c r="G161" s="91" t="s">
        <v>1619</v>
      </c>
      <c r="H161" s="153">
        <v>44569</v>
      </c>
      <c r="I161" s="153">
        <v>44599</v>
      </c>
      <c r="J161" s="153" t="s">
        <v>1626</v>
      </c>
      <c r="K161" s="139">
        <v>1</v>
      </c>
      <c r="L161" s="125">
        <v>31</v>
      </c>
    </row>
    <row r="162" spans="2:12" ht="15.75" thickBot="1" x14ac:dyDescent="0.3">
      <c r="B162" s="83" t="s">
        <v>535</v>
      </c>
      <c r="C162" s="83" t="s">
        <v>1616</v>
      </c>
      <c r="D162" s="152">
        <v>6</v>
      </c>
      <c r="E162" s="139">
        <v>6</v>
      </c>
      <c r="F162" s="85" t="s">
        <v>1618</v>
      </c>
      <c r="G162" s="91" t="s">
        <v>1619</v>
      </c>
      <c r="H162" s="153">
        <v>44600</v>
      </c>
      <c r="I162" s="153">
        <v>44628</v>
      </c>
      <c r="J162" s="153" t="s">
        <v>1626</v>
      </c>
      <c r="K162" s="139">
        <v>6</v>
      </c>
      <c r="L162" s="125">
        <v>29</v>
      </c>
    </row>
    <row r="163" spans="2:12" ht="15.75" thickBot="1" x14ac:dyDescent="0.3">
      <c r="B163" s="83" t="s">
        <v>535</v>
      </c>
      <c r="C163" s="83" t="s">
        <v>1616</v>
      </c>
      <c r="D163" s="152">
        <v>3</v>
      </c>
      <c r="E163" s="139">
        <v>3</v>
      </c>
      <c r="F163" s="85" t="s">
        <v>1618</v>
      </c>
      <c r="G163" s="91" t="s">
        <v>1619</v>
      </c>
      <c r="H163" s="153">
        <v>44629</v>
      </c>
      <c r="I163" s="153">
        <v>44658</v>
      </c>
      <c r="J163" s="153" t="s">
        <v>1626</v>
      </c>
      <c r="K163" s="139">
        <v>3</v>
      </c>
      <c r="L163" s="125">
        <v>30</v>
      </c>
    </row>
    <row r="164" spans="2:12" ht="15.75" thickBot="1" x14ac:dyDescent="0.3">
      <c r="B164" s="83" t="s">
        <v>535</v>
      </c>
      <c r="C164" s="83" t="s">
        <v>1616</v>
      </c>
      <c r="D164" s="152">
        <v>2</v>
      </c>
      <c r="E164" s="139">
        <v>2</v>
      </c>
      <c r="F164" s="85" t="s">
        <v>1618</v>
      </c>
      <c r="G164" s="91" t="s">
        <v>1619</v>
      </c>
      <c r="H164" s="153">
        <v>44659</v>
      </c>
      <c r="I164" s="153">
        <v>44687</v>
      </c>
      <c r="J164" s="153" t="s">
        <v>1626</v>
      </c>
      <c r="K164" s="139">
        <v>2</v>
      </c>
      <c r="L164" s="125">
        <v>29</v>
      </c>
    </row>
    <row r="165" spans="2:12" ht="15.75" thickBot="1" x14ac:dyDescent="0.3">
      <c r="B165" s="83" t="s">
        <v>535</v>
      </c>
      <c r="C165" s="83" t="s">
        <v>1616</v>
      </c>
      <c r="D165" s="152">
        <v>1</v>
      </c>
      <c r="E165" s="139">
        <v>1</v>
      </c>
      <c r="F165" s="85" t="s">
        <v>1618</v>
      </c>
      <c r="G165" s="91" t="s">
        <v>1619</v>
      </c>
      <c r="H165" s="153">
        <v>44688</v>
      </c>
      <c r="I165" s="153">
        <v>44719</v>
      </c>
      <c r="J165" s="153" t="s">
        <v>1626</v>
      </c>
      <c r="K165" s="139">
        <v>1</v>
      </c>
      <c r="L165" s="125">
        <v>32</v>
      </c>
    </row>
    <row r="166" spans="2:12" ht="15.75" thickBot="1" x14ac:dyDescent="0.3">
      <c r="B166" s="83" t="s">
        <v>535</v>
      </c>
      <c r="C166" s="83" t="s">
        <v>1616</v>
      </c>
      <c r="D166" s="152">
        <v>3</v>
      </c>
      <c r="E166" s="139">
        <v>3</v>
      </c>
      <c r="F166" s="85" t="s">
        <v>1618</v>
      </c>
      <c r="G166" s="91" t="s">
        <v>1619</v>
      </c>
      <c r="H166" s="153">
        <v>44720</v>
      </c>
      <c r="I166" s="153">
        <v>44749</v>
      </c>
      <c r="J166" s="153" t="s">
        <v>1626</v>
      </c>
      <c r="K166" s="139">
        <v>3</v>
      </c>
      <c r="L166" s="125">
        <v>30</v>
      </c>
    </row>
    <row r="167" spans="2:12" ht="15.75" thickBot="1" x14ac:dyDescent="0.3">
      <c r="B167" s="83" t="s">
        <v>535</v>
      </c>
      <c r="C167" s="83" t="s">
        <v>1616</v>
      </c>
      <c r="D167" s="152">
        <v>1</v>
      </c>
      <c r="E167" s="139">
        <v>1</v>
      </c>
      <c r="F167" s="85" t="s">
        <v>1618</v>
      </c>
      <c r="G167" s="91" t="s">
        <v>1619</v>
      </c>
      <c r="H167" s="153">
        <v>44750</v>
      </c>
      <c r="I167" s="153">
        <v>44778</v>
      </c>
      <c r="J167" s="153" t="s">
        <v>1626</v>
      </c>
      <c r="K167" s="139">
        <v>1</v>
      </c>
      <c r="L167" s="125">
        <v>29</v>
      </c>
    </row>
    <row r="168" spans="2:12" ht="15.75" thickBot="1" x14ac:dyDescent="0.3">
      <c r="B168" s="83" t="s">
        <v>535</v>
      </c>
      <c r="C168" s="83" t="s">
        <v>1616</v>
      </c>
      <c r="D168" s="152">
        <v>1</v>
      </c>
      <c r="E168" s="139">
        <v>1</v>
      </c>
      <c r="F168" s="85" t="s">
        <v>1618</v>
      </c>
      <c r="G168" s="91" t="s">
        <v>1619</v>
      </c>
      <c r="H168" s="153">
        <v>44779</v>
      </c>
      <c r="I168" s="153">
        <v>44811</v>
      </c>
      <c r="J168" s="153" t="s">
        <v>1626</v>
      </c>
      <c r="K168" s="139">
        <v>1</v>
      </c>
      <c r="L168" s="125">
        <v>33</v>
      </c>
    </row>
    <row r="169" spans="2:12" ht="15.75" thickBot="1" x14ac:dyDescent="0.3">
      <c r="B169" s="83" t="s">
        <v>535</v>
      </c>
      <c r="C169" s="83" t="s">
        <v>1616</v>
      </c>
      <c r="D169" s="152">
        <v>12</v>
      </c>
      <c r="E169" s="139">
        <v>12</v>
      </c>
      <c r="F169" s="85" t="s">
        <v>1618</v>
      </c>
      <c r="G169" s="91" t="s">
        <v>1619</v>
      </c>
      <c r="H169" s="153">
        <v>44812</v>
      </c>
      <c r="I169" s="153">
        <v>44844</v>
      </c>
      <c r="J169" s="153" t="s">
        <v>1626</v>
      </c>
      <c r="K169" s="139">
        <v>12</v>
      </c>
      <c r="L169" s="125">
        <v>33</v>
      </c>
    </row>
    <row r="170" spans="2:12" ht="15.75" thickBot="1" x14ac:dyDescent="0.3">
      <c r="B170" s="83" t="s">
        <v>535</v>
      </c>
      <c r="C170" s="83" t="s">
        <v>1616</v>
      </c>
      <c r="D170" s="152">
        <v>4</v>
      </c>
      <c r="E170" s="139">
        <v>4</v>
      </c>
      <c r="F170" s="85" t="s">
        <v>1618</v>
      </c>
      <c r="G170" s="91" t="s">
        <v>1619</v>
      </c>
      <c r="H170" s="153">
        <v>44845</v>
      </c>
      <c r="I170" s="153">
        <v>44873</v>
      </c>
      <c r="J170" s="153" t="s">
        <v>1626</v>
      </c>
      <c r="K170" s="139">
        <v>4</v>
      </c>
      <c r="L170" s="125">
        <v>29</v>
      </c>
    </row>
    <row r="171" spans="2:12" ht="15.75" thickBot="1" x14ac:dyDescent="0.3">
      <c r="B171" s="83" t="s">
        <v>535</v>
      </c>
      <c r="C171" s="83" t="s">
        <v>1616</v>
      </c>
      <c r="D171" s="152">
        <v>3</v>
      </c>
      <c r="E171" s="139">
        <v>3</v>
      </c>
      <c r="F171" s="85" t="s">
        <v>1618</v>
      </c>
      <c r="G171" s="91" t="s">
        <v>1619</v>
      </c>
      <c r="H171" s="153">
        <v>44874</v>
      </c>
      <c r="I171" s="153">
        <v>44904</v>
      </c>
      <c r="J171" s="153" t="s">
        <v>1626</v>
      </c>
      <c r="K171" s="139">
        <v>3</v>
      </c>
      <c r="L171" s="125">
        <v>31</v>
      </c>
    </row>
    <row r="172" spans="2:12" ht="15.75" thickBot="1" x14ac:dyDescent="0.3">
      <c r="B172" s="83" t="s">
        <v>535</v>
      </c>
      <c r="C172" s="83" t="s">
        <v>1616</v>
      </c>
      <c r="D172" s="152">
        <v>1.5714285714285714</v>
      </c>
      <c r="E172" s="139">
        <v>1.5714285714285714</v>
      </c>
      <c r="F172" s="85" t="s">
        <v>1618</v>
      </c>
      <c r="G172" s="91" t="s">
        <v>1619</v>
      </c>
      <c r="H172" s="153">
        <v>44905</v>
      </c>
      <c r="I172" s="153">
        <v>44932</v>
      </c>
      <c r="J172" s="153" t="s">
        <v>1626</v>
      </c>
      <c r="K172" s="139">
        <v>2</v>
      </c>
      <c r="L172" s="125">
        <v>22</v>
      </c>
    </row>
    <row r="173" spans="2:12" ht="15.75" thickBot="1" x14ac:dyDescent="0.3">
      <c r="B173" s="83" t="s">
        <v>535</v>
      </c>
      <c r="C173" s="83" t="s">
        <v>1616</v>
      </c>
      <c r="D173" s="152">
        <v>1.5172413793103448</v>
      </c>
      <c r="E173" s="139">
        <v>1.5172413793103448</v>
      </c>
      <c r="F173" s="85" t="s">
        <v>1618</v>
      </c>
      <c r="G173" s="91" t="s">
        <v>1619</v>
      </c>
      <c r="H173" s="153">
        <v>44544</v>
      </c>
      <c r="I173" s="153">
        <v>44572</v>
      </c>
      <c r="J173" s="153" t="s">
        <v>1626</v>
      </c>
      <c r="K173" s="139">
        <v>4</v>
      </c>
      <c r="L173" s="125">
        <v>11</v>
      </c>
    </row>
    <row r="174" spans="2:12" ht="15.75" thickBot="1" x14ac:dyDescent="0.3">
      <c r="B174" s="83" t="s">
        <v>535</v>
      </c>
      <c r="C174" s="83" t="s">
        <v>1616</v>
      </c>
      <c r="D174" s="152">
        <v>2</v>
      </c>
      <c r="E174" s="139">
        <v>2</v>
      </c>
      <c r="F174" s="85" t="s">
        <v>1618</v>
      </c>
      <c r="G174" s="91" t="s">
        <v>1619</v>
      </c>
      <c r="H174" s="153">
        <v>44573</v>
      </c>
      <c r="I174" s="153">
        <v>44601</v>
      </c>
      <c r="J174" s="153" t="s">
        <v>1626</v>
      </c>
      <c r="K174" s="139">
        <v>2</v>
      </c>
      <c r="L174" s="125">
        <v>29</v>
      </c>
    </row>
    <row r="175" spans="2:12" ht="15.75" thickBot="1" x14ac:dyDescent="0.3">
      <c r="B175" s="83" t="s">
        <v>535</v>
      </c>
      <c r="C175" s="83" t="s">
        <v>1616</v>
      </c>
      <c r="D175" s="152">
        <v>3</v>
      </c>
      <c r="E175" s="139">
        <v>3</v>
      </c>
      <c r="F175" s="85" t="s">
        <v>1618</v>
      </c>
      <c r="G175" s="91" t="s">
        <v>1619</v>
      </c>
      <c r="H175" s="153">
        <v>44602</v>
      </c>
      <c r="I175" s="153">
        <v>44629</v>
      </c>
      <c r="J175" s="153" t="s">
        <v>1626</v>
      </c>
      <c r="K175" s="139">
        <v>3</v>
      </c>
      <c r="L175" s="125">
        <v>28</v>
      </c>
    </row>
    <row r="176" spans="2:12" ht="15.75" thickBot="1" x14ac:dyDescent="0.3">
      <c r="B176" s="83" t="s">
        <v>535</v>
      </c>
      <c r="C176" s="83" t="s">
        <v>1616</v>
      </c>
      <c r="D176" s="152">
        <v>2</v>
      </c>
      <c r="E176" s="139">
        <v>2</v>
      </c>
      <c r="F176" s="85" t="s">
        <v>1618</v>
      </c>
      <c r="G176" s="91" t="s">
        <v>1619</v>
      </c>
      <c r="H176" s="153">
        <v>44630</v>
      </c>
      <c r="I176" s="153">
        <v>44662</v>
      </c>
      <c r="J176" s="153" t="s">
        <v>1626</v>
      </c>
      <c r="K176" s="139">
        <v>2</v>
      </c>
      <c r="L176" s="125">
        <v>33</v>
      </c>
    </row>
    <row r="177" spans="2:12" ht="15.75" thickBot="1" x14ac:dyDescent="0.3">
      <c r="B177" s="83" t="s">
        <v>535</v>
      </c>
      <c r="C177" s="83" t="s">
        <v>1616</v>
      </c>
      <c r="D177" s="152">
        <v>5</v>
      </c>
      <c r="E177" s="139">
        <v>5</v>
      </c>
      <c r="F177" s="85" t="s">
        <v>1618</v>
      </c>
      <c r="G177" s="91" t="s">
        <v>1619</v>
      </c>
      <c r="H177" s="153">
        <v>44663</v>
      </c>
      <c r="I177" s="153">
        <v>44691</v>
      </c>
      <c r="J177" s="153" t="s">
        <v>1626</v>
      </c>
      <c r="K177" s="139">
        <v>5</v>
      </c>
      <c r="L177" s="125">
        <v>29</v>
      </c>
    </row>
    <row r="178" spans="2:12" ht="15.75" thickBot="1" x14ac:dyDescent="0.3">
      <c r="B178" s="83" t="s">
        <v>535</v>
      </c>
      <c r="C178" s="83" t="s">
        <v>1616</v>
      </c>
      <c r="D178" s="152">
        <v>2</v>
      </c>
      <c r="E178" s="139">
        <v>2</v>
      </c>
      <c r="F178" s="85" t="s">
        <v>1618</v>
      </c>
      <c r="G178" s="91" t="s">
        <v>1619</v>
      </c>
      <c r="H178" s="153">
        <v>44692</v>
      </c>
      <c r="I178" s="153">
        <v>44721</v>
      </c>
      <c r="J178" s="153" t="s">
        <v>1626</v>
      </c>
      <c r="K178" s="139">
        <v>2</v>
      </c>
      <c r="L178" s="125">
        <v>30</v>
      </c>
    </row>
    <row r="179" spans="2:12" ht="15.75" thickBot="1" x14ac:dyDescent="0.3">
      <c r="B179" s="83" t="s">
        <v>535</v>
      </c>
      <c r="C179" s="83" t="s">
        <v>1616</v>
      </c>
      <c r="D179" s="152">
        <v>2</v>
      </c>
      <c r="E179" s="139">
        <v>2</v>
      </c>
      <c r="F179" s="85" t="s">
        <v>1618</v>
      </c>
      <c r="G179" s="91" t="s">
        <v>1619</v>
      </c>
      <c r="H179" s="153">
        <v>44722</v>
      </c>
      <c r="I179" s="153">
        <v>44753</v>
      </c>
      <c r="J179" s="153" t="s">
        <v>1626</v>
      </c>
      <c r="K179" s="139">
        <v>2</v>
      </c>
      <c r="L179" s="125">
        <v>32</v>
      </c>
    </row>
    <row r="180" spans="2:12" ht="15.75" thickBot="1" x14ac:dyDescent="0.3">
      <c r="B180" s="83" t="s">
        <v>535</v>
      </c>
      <c r="C180" s="83" t="s">
        <v>1616</v>
      </c>
      <c r="D180" s="152">
        <v>2</v>
      </c>
      <c r="E180" s="139">
        <v>2</v>
      </c>
      <c r="F180" s="85" t="s">
        <v>1618</v>
      </c>
      <c r="G180" s="91" t="s">
        <v>1619</v>
      </c>
      <c r="H180" s="153">
        <v>44754</v>
      </c>
      <c r="I180" s="153">
        <v>44782</v>
      </c>
      <c r="J180" s="153" t="s">
        <v>1626</v>
      </c>
      <c r="K180" s="139">
        <v>2</v>
      </c>
      <c r="L180" s="125">
        <v>29</v>
      </c>
    </row>
    <row r="181" spans="2:12" ht="15.75" thickBot="1" x14ac:dyDescent="0.3">
      <c r="B181" s="83" t="s">
        <v>535</v>
      </c>
      <c r="C181" s="83" t="s">
        <v>1616</v>
      </c>
      <c r="D181" s="152">
        <v>13</v>
      </c>
      <c r="E181" s="139">
        <v>13</v>
      </c>
      <c r="F181" s="85" t="s">
        <v>1618</v>
      </c>
      <c r="G181" s="91" t="s">
        <v>1619</v>
      </c>
      <c r="H181" s="153">
        <v>44783</v>
      </c>
      <c r="I181" s="153">
        <v>44813</v>
      </c>
      <c r="J181" s="153" t="s">
        <v>1626</v>
      </c>
      <c r="K181" s="139">
        <v>13</v>
      </c>
      <c r="L181" s="125">
        <v>31</v>
      </c>
    </row>
    <row r="182" spans="2:12" ht="15.75" thickBot="1" x14ac:dyDescent="0.3">
      <c r="B182" s="83" t="s">
        <v>535</v>
      </c>
      <c r="C182" s="83" t="s">
        <v>1616</v>
      </c>
      <c r="D182" s="152">
        <v>3</v>
      </c>
      <c r="E182" s="139">
        <v>3</v>
      </c>
      <c r="F182" s="85" t="s">
        <v>1618</v>
      </c>
      <c r="G182" s="91" t="s">
        <v>1619</v>
      </c>
      <c r="H182" s="153">
        <v>44814</v>
      </c>
      <c r="I182" s="153">
        <v>44846</v>
      </c>
      <c r="J182" s="153" t="s">
        <v>1626</v>
      </c>
      <c r="K182" s="139">
        <v>3</v>
      </c>
      <c r="L182" s="125">
        <v>33</v>
      </c>
    </row>
    <row r="183" spans="2:12" ht="15.75" thickBot="1" x14ac:dyDescent="0.3">
      <c r="B183" s="83" t="s">
        <v>535</v>
      </c>
      <c r="C183" s="83" t="s">
        <v>1616</v>
      </c>
      <c r="D183" s="152">
        <v>5</v>
      </c>
      <c r="E183" s="139">
        <v>5</v>
      </c>
      <c r="F183" s="85" t="s">
        <v>1618</v>
      </c>
      <c r="G183" s="91" t="s">
        <v>1619</v>
      </c>
      <c r="H183" s="153">
        <v>44847</v>
      </c>
      <c r="I183" s="153">
        <v>44875</v>
      </c>
      <c r="J183" s="153" t="s">
        <v>1626</v>
      </c>
      <c r="K183" s="139">
        <v>5</v>
      </c>
      <c r="L183" s="125">
        <v>29</v>
      </c>
    </row>
    <row r="184" spans="2:12" ht="15.75" thickBot="1" x14ac:dyDescent="0.3">
      <c r="B184" s="83" t="s">
        <v>535</v>
      </c>
      <c r="C184" s="83" t="s">
        <v>1616</v>
      </c>
      <c r="D184" s="152">
        <v>2</v>
      </c>
      <c r="E184" s="139">
        <v>2</v>
      </c>
      <c r="F184" s="85" t="s">
        <v>1618</v>
      </c>
      <c r="G184" s="91" t="s">
        <v>1619</v>
      </c>
      <c r="H184" s="153">
        <v>44876</v>
      </c>
      <c r="I184" s="153">
        <v>44908</v>
      </c>
      <c r="J184" s="153" t="s">
        <v>1626</v>
      </c>
      <c r="K184" s="139">
        <v>2</v>
      </c>
      <c r="L184" s="125">
        <v>33</v>
      </c>
    </row>
    <row r="185" spans="2:12" ht="15.75" thickBot="1" x14ac:dyDescent="0.3">
      <c r="B185" s="83" t="s">
        <v>535</v>
      </c>
      <c r="C185" s="83" t="s">
        <v>1616</v>
      </c>
      <c r="D185" s="152">
        <v>10.285714285714286</v>
      </c>
      <c r="E185" s="139">
        <v>10.285714285714286</v>
      </c>
      <c r="F185" s="85" t="s">
        <v>1618</v>
      </c>
      <c r="G185" s="91" t="s">
        <v>1619</v>
      </c>
      <c r="H185" s="153">
        <v>44909</v>
      </c>
      <c r="I185" s="153">
        <v>44936</v>
      </c>
      <c r="J185" s="153" t="s">
        <v>1626</v>
      </c>
      <c r="K185" s="139">
        <v>16</v>
      </c>
      <c r="L185" s="125">
        <v>18</v>
      </c>
    </row>
    <row r="186" spans="2:12" ht="15.75" thickBot="1" x14ac:dyDescent="0.3">
      <c r="B186" s="83" t="s">
        <v>3314</v>
      </c>
      <c r="C186" s="83" t="s">
        <v>1616</v>
      </c>
      <c r="D186" s="152">
        <v>0.70967741935483875</v>
      </c>
      <c r="E186" s="139">
        <v>0.70967741935483875</v>
      </c>
      <c r="F186" s="85" t="s">
        <v>1618</v>
      </c>
      <c r="G186" s="91" t="s">
        <v>1619</v>
      </c>
      <c r="H186" s="153">
        <v>44553</v>
      </c>
      <c r="I186" s="153">
        <v>44583</v>
      </c>
      <c r="J186" s="153" t="s">
        <v>1629</v>
      </c>
      <c r="K186" s="139">
        <v>1</v>
      </c>
      <c r="L186" s="125">
        <v>22</v>
      </c>
    </row>
    <row r="187" spans="2:12" ht="15.75" thickBot="1" x14ac:dyDescent="0.3">
      <c r="B187" s="83" t="s">
        <v>3314</v>
      </c>
      <c r="C187" s="83" t="s">
        <v>1616</v>
      </c>
      <c r="D187" s="152">
        <v>3</v>
      </c>
      <c r="E187" s="139">
        <v>3</v>
      </c>
      <c r="F187" s="85" t="s">
        <v>1618</v>
      </c>
      <c r="G187" s="91" t="s">
        <v>1619</v>
      </c>
      <c r="H187" s="153">
        <v>44584</v>
      </c>
      <c r="I187" s="153">
        <v>44609</v>
      </c>
      <c r="J187" s="153" t="s">
        <v>1629</v>
      </c>
      <c r="K187" s="139">
        <v>3</v>
      </c>
      <c r="L187" s="125">
        <v>26</v>
      </c>
    </row>
    <row r="188" spans="2:12" ht="15.75" thickBot="1" x14ac:dyDescent="0.3">
      <c r="B188" s="83" t="s">
        <v>3314</v>
      </c>
      <c r="C188" s="83" t="s">
        <v>1616</v>
      </c>
      <c r="D188" s="152">
        <v>1</v>
      </c>
      <c r="E188" s="139">
        <v>1</v>
      </c>
      <c r="F188" s="85" t="s">
        <v>1618</v>
      </c>
      <c r="G188" s="91" t="s">
        <v>1619</v>
      </c>
      <c r="H188" s="153">
        <v>44610</v>
      </c>
      <c r="I188" s="153">
        <v>44637</v>
      </c>
      <c r="J188" s="153" t="s">
        <v>1629</v>
      </c>
      <c r="K188" s="139">
        <v>1</v>
      </c>
      <c r="L188" s="125">
        <v>28</v>
      </c>
    </row>
    <row r="189" spans="2:12" ht="15.75" thickBot="1" x14ac:dyDescent="0.3">
      <c r="B189" s="83" t="s">
        <v>3314</v>
      </c>
      <c r="C189" s="83" t="s">
        <v>1616</v>
      </c>
      <c r="D189" s="152">
        <v>3</v>
      </c>
      <c r="E189" s="139">
        <v>3</v>
      </c>
      <c r="F189" s="85" t="s">
        <v>1618</v>
      </c>
      <c r="G189" s="91" t="s">
        <v>1619</v>
      </c>
      <c r="H189" s="153">
        <v>44638</v>
      </c>
      <c r="I189" s="153">
        <v>44670</v>
      </c>
      <c r="J189" s="153" t="s">
        <v>1629</v>
      </c>
      <c r="K189" s="139">
        <v>3</v>
      </c>
      <c r="L189" s="125">
        <v>33</v>
      </c>
    </row>
    <row r="190" spans="2:12" ht="15.75" thickBot="1" x14ac:dyDescent="0.3">
      <c r="B190" s="83" t="s">
        <v>3314</v>
      </c>
      <c r="C190" s="83" t="s">
        <v>1616</v>
      </c>
      <c r="D190" s="152">
        <v>2</v>
      </c>
      <c r="E190" s="139">
        <v>2</v>
      </c>
      <c r="F190" s="85" t="s">
        <v>1618</v>
      </c>
      <c r="G190" s="91" t="s">
        <v>1619</v>
      </c>
      <c r="H190" s="153">
        <v>44671</v>
      </c>
      <c r="I190" s="153">
        <v>44700</v>
      </c>
      <c r="J190" s="153" t="s">
        <v>1629</v>
      </c>
      <c r="K190" s="139">
        <v>2</v>
      </c>
      <c r="L190" s="125">
        <v>30</v>
      </c>
    </row>
    <row r="191" spans="2:12" ht="15.75" thickBot="1" x14ac:dyDescent="0.3">
      <c r="B191" s="83" t="s">
        <v>3314</v>
      </c>
      <c r="C191" s="83" t="s">
        <v>1616</v>
      </c>
      <c r="D191" s="152">
        <v>2</v>
      </c>
      <c r="E191" s="139">
        <v>2</v>
      </c>
      <c r="F191" s="85" t="s">
        <v>1618</v>
      </c>
      <c r="G191" s="91" t="s">
        <v>1619</v>
      </c>
      <c r="H191" s="153">
        <v>44701</v>
      </c>
      <c r="I191" s="153">
        <v>44733</v>
      </c>
      <c r="J191" s="153" t="s">
        <v>1629</v>
      </c>
      <c r="K191" s="139">
        <v>2</v>
      </c>
      <c r="L191" s="125">
        <v>33</v>
      </c>
    </row>
    <row r="192" spans="2:12" ht="15.75" thickBot="1" x14ac:dyDescent="0.3">
      <c r="B192" s="83" t="s">
        <v>3314</v>
      </c>
      <c r="C192" s="83" t="s">
        <v>1616</v>
      </c>
      <c r="D192" s="152">
        <v>2</v>
      </c>
      <c r="E192" s="139">
        <v>2</v>
      </c>
      <c r="F192" s="85" t="s">
        <v>1618</v>
      </c>
      <c r="G192" s="91" t="s">
        <v>1619</v>
      </c>
      <c r="H192" s="153">
        <v>44734</v>
      </c>
      <c r="I192" s="153">
        <v>44763</v>
      </c>
      <c r="J192" s="153" t="s">
        <v>1629</v>
      </c>
      <c r="K192" s="139">
        <v>2</v>
      </c>
      <c r="L192" s="125">
        <v>30</v>
      </c>
    </row>
    <row r="193" spans="2:12" ht="15.75" thickBot="1" x14ac:dyDescent="0.3">
      <c r="B193" s="83" t="s">
        <v>3314</v>
      </c>
      <c r="C193" s="83" t="s">
        <v>1616</v>
      </c>
      <c r="D193" s="152">
        <v>3</v>
      </c>
      <c r="E193" s="139">
        <v>3</v>
      </c>
      <c r="F193" s="85" t="s">
        <v>1618</v>
      </c>
      <c r="G193" s="91" t="s">
        <v>1619</v>
      </c>
      <c r="H193" s="153">
        <v>44764</v>
      </c>
      <c r="I193" s="153">
        <v>44792</v>
      </c>
      <c r="J193" s="153" t="s">
        <v>1629</v>
      </c>
      <c r="K193" s="139">
        <v>3</v>
      </c>
      <c r="L193" s="125">
        <v>29</v>
      </c>
    </row>
    <row r="194" spans="2:12" ht="15.75" thickBot="1" x14ac:dyDescent="0.3">
      <c r="B194" s="83" t="s">
        <v>3314</v>
      </c>
      <c r="C194" s="83" t="s">
        <v>1616</v>
      </c>
      <c r="D194" s="152">
        <v>2</v>
      </c>
      <c r="E194" s="139">
        <v>2</v>
      </c>
      <c r="F194" s="85" t="s">
        <v>1618</v>
      </c>
      <c r="G194" s="91" t="s">
        <v>1619</v>
      </c>
      <c r="H194" s="153">
        <v>44793</v>
      </c>
      <c r="I194" s="153">
        <v>44823</v>
      </c>
      <c r="J194" s="153" t="s">
        <v>1629</v>
      </c>
      <c r="K194" s="139">
        <v>2</v>
      </c>
      <c r="L194" s="125">
        <v>31</v>
      </c>
    </row>
    <row r="195" spans="2:12" ht="15.75" thickBot="1" x14ac:dyDescent="0.3">
      <c r="B195" s="83" t="s">
        <v>3314</v>
      </c>
      <c r="C195" s="83" t="s">
        <v>1616</v>
      </c>
      <c r="D195" s="152">
        <v>3</v>
      </c>
      <c r="E195" s="139">
        <v>3</v>
      </c>
      <c r="F195" s="85" t="s">
        <v>1618</v>
      </c>
      <c r="G195" s="91" t="s">
        <v>1619</v>
      </c>
      <c r="H195" s="153">
        <v>44824</v>
      </c>
      <c r="I195" s="153">
        <v>44855</v>
      </c>
      <c r="J195" s="153" t="s">
        <v>1629</v>
      </c>
      <c r="K195" s="139">
        <v>3</v>
      </c>
      <c r="L195" s="125">
        <v>32</v>
      </c>
    </row>
    <row r="196" spans="2:12" ht="15.75" thickBot="1" x14ac:dyDescent="0.3">
      <c r="B196" s="83" t="s">
        <v>3314</v>
      </c>
      <c r="C196" s="83" t="s">
        <v>1616</v>
      </c>
      <c r="D196" s="152">
        <v>2</v>
      </c>
      <c r="E196" s="139">
        <v>2</v>
      </c>
      <c r="F196" s="85" t="s">
        <v>1618</v>
      </c>
      <c r="G196" s="91" t="s">
        <v>1619</v>
      </c>
      <c r="H196" s="153">
        <v>44856</v>
      </c>
      <c r="I196" s="153">
        <v>44885</v>
      </c>
      <c r="J196" s="153" t="s">
        <v>1629</v>
      </c>
      <c r="K196" s="139">
        <v>2</v>
      </c>
      <c r="L196" s="125">
        <v>30</v>
      </c>
    </row>
    <row r="197" spans="2:12" ht="15.75" thickBot="1" x14ac:dyDescent="0.3">
      <c r="B197" s="83" t="s">
        <v>3314</v>
      </c>
      <c r="C197" s="83" t="s">
        <v>1616</v>
      </c>
      <c r="D197" s="152">
        <v>2</v>
      </c>
      <c r="E197" s="139">
        <v>2</v>
      </c>
      <c r="F197" s="85" t="s">
        <v>1618</v>
      </c>
      <c r="G197" s="91" t="s">
        <v>1619</v>
      </c>
      <c r="H197" s="153">
        <v>44886</v>
      </c>
      <c r="I197" s="153">
        <v>44916</v>
      </c>
      <c r="J197" s="153" t="s">
        <v>1629</v>
      </c>
      <c r="K197" s="139">
        <v>2</v>
      </c>
      <c r="L197" s="125">
        <v>31</v>
      </c>
    </row>
    <row r="198" spans="2:12" ht="15.75" thickBot="1" x14ac:dyDescent="0.3">
      <c r="B198" s="83" t="s">
        <v>3314</v>
      </c>
      <c r="C198" s="83" t="s">
        <v>1616</v>
      </c>
      <c r="D198" s="152">
        <v>0.64516129032258063</v>
      </c>
      <c r="E198" s="139">
        <v>0.64516129032258063</v>
      </c>
      <c r="F198" s="85" t="s">
        <v>1618</v>
      </c>
      <c r="G198" s="91" t="s">
        <v>1619</v>
      </c>
      <c r="H198" s="153">
        <v>44917</v>
      </c>
      <c r="I198" s="153">
        <v>44947</v>
      </c>
      <c r="J198" s="153" t="s">
        <v>1629</v>
      </c>
      <c r="K198" s="139">
        <v>2</v>
      </c>
      <c r="L198" s="125">
        <v>10</v>
      </c>
    </row>
    <row r="199" spans="2:12" ht="15.75" thickBot="1" x14ac:dyDescent="0.3">
      <c r="B199" s="83" t="s">
        <v>535</v>
      </c>
      <c r="C199" s="83" t="s">
        <v>1616</v>
      </c>
      <c r="D199" s="152">
        <v>0.87096774193548387</v>
      </c>
      <c r="E199" s="139">
        <v>0.87096774193548387</v>
      </c>
      <c r="F199" s="85" t="s">
        <v>1618</v>
      </c>
      <c r="G199" s="91" t="s">
        <v>1619</v>
      </c>
      <c r="H199" s="153">
        <v>44540</v>
      </c>
      <c r="I199" s="153">
        <v>44570</v>
      </c>
      <c r="J199" s="153" t="s">
        <v>1626</v>
      </c>
      <c r="K199" s="139">
        <v>3</v>
      </c>
      <c r="L199" s="125">
        <v>9</v>
      </c>
    </row>
    <row r="200" spans="2:12" ht="15.75" thickBot="1" x14ac:dyDescent="0.3">
      <c r="B200" s="83" t="s">
        <v>535</v>
      </c>
      <c r="C200" s="83" t="s">
        <v>1616</v>
      </c>
      <c r="D200" s="152">
        <v>5</v>
      </c>
      <c r="E200" s="139">
        <v>5</v>
      </c>
      <c r="F200" s="85" t="s">
        <v>1618</v>
      </c>
      <c r="G200" s="91" t="s">
        <v>1619</v>
      </c>
      <c r="H200" s="153">
        <v>44571</v>
      </c>
      <c r="I200" s="153">
        <v>44599</v>
      </c>
      <c r="J200" s="153" t="s">
        <v>1626</v>
      </c>
      <c r="K200" s="139">
        <v>5</v>
      </c>
      <c r="L200" s="125">
        <v>29</v>
      </c>
    </row>
    <row r="201" spans="2:12" ht="15.75" thickBot="1" x14ac:dyDescent="0.3">
      <c r="B201" s="83" t="s">
        <v>535</v>
      </c>
      <c r="C201" s="83" t="s">
        <v>1616</v>
      </c>
      <c r="D201" s="152">
        <v>5</v>
      </c>
      <c r="E201" s="139">
        <v>5</v>
      </c>
      <c r="F201" s="85" t="s">
        <v>1618</v>
      </c>
      <c r="G201" s="91" t="s">
        <v>1619</v>
      </c>
      <c r="H201" s="153">
        <v>44600</v>
      </c>
      <c r="I201" s="153">
        <v>44630</v>
      </c>
      <c r="J201" s="153" t="s">
        <v>1626</v>
      </c>
      <c r="K201" s="139">
        <v>5</v>
      </c>
      <c r="L201" s="125">
        <v>31</v>
      </c>
    </row>
    <row r="202" spans="2:12" ht="15.75" thickBot="1" x14ac:dyDescent="0.3">
      <c r="B202" s="83" t="s">
        <v>535</v>
      </c>
      <c r="C202" s="83" t="s">
        <v>1616</v>
      </c>
      <c r="D202" s="152">
        <v>5</v>
      </c>
      <c r="E202" s="139">
        <v>5</v>
      </c>
      <c r="F202" s="85" t="s">
        <v>1618</v>
      </c>
      <c r="G202" s="91" t="s">
        <v>1619</v>
      </c>
      <c r="H202" s="153">
        <v>44631</v>
      </c>
      <c r="I202" s="153">
        <v>44657</v>
      </c>
      <c r="J202" s="153" t="s">
        <v>1626</v>
      </c>
      <c r="K202" s="139">
        <v>5</v>
      </c>
      <c r="L202" s="125">
        <v>27</v>
      </c>
    </row>
    <row r="203" spans="2:12" ht="15.75" thickBot="1" x14ac:dyDescent="0.3">
      <c r="B203" s="83" t="s">
        <v>535</v>
      </c>
      <c r="C203" s="83" t="s">
        <v>1616</v>
      </c>
      <c r="D203" s="152">
        <v>5</v>
      </c>
      <c r="E203" s="139">
        <v>5</v>
      </c>
      <c r="F203" s="85" t="s">
        <v>1618</v>
      </c>
      <c r="G203" s="91" t="s">
        <v>1619</v>
      </c>
      <c r="H203" s="153">
        <v>44658</v>
      </c>
      <c r="I203" s="153">
        <v>44687</v>
      </c>
      <c r="J203" s="153" t="s">
        <v>1626</v>
      </c>
      <c r="K203" s="139">
        <v>5</v>
      </c>
      <c r="L203" s="125">
        <v>30</v>
      </c>
    </row>
    <row r="204" spans="2:12" ht="15.75" thickBot="1" x14ac:dyDescent="0.3">
      <c r="B204" s="83" t="s">
        <v>535</v>
      </c>
      <c r="C204" s="83" t="s">
        <v>1616</v>
      </c>
      <c r="D204" s="152">
        <v>11</v>
      </c>
      <c r="E204" s="139">
        <v>11</v>
      </c>
      <c r="F204" s="85" t="s">
        <v>1618</v>
      </c>
      <c r="G204" s="91" t="s">
        <v>1619</v>
      </c>
      <c r="H204" s="153">
        <v>44688</v>
      </c>
      <c r="I204" s="153">
        <v>44719</v>
      </c>
      <c r="J204" s="153" t="s">
        <v>1626</v>
      </c>
      <c r="K204" s="139">
        <v>11</v>
      </c>
      <c r="L204" s="125">
        <v>32</v>
      </c>
    </row>
    <row r="205" spans="2:12" ht="15.75" thickBot="1" x14ac:dyDescent="0.3">
      <c r="B205" s="83" t="s">
        <v>535</v>
      </c>
      <c r="C205" s="83" t="s">
        <v>1616</v>
      </c>
      <c r="D205" s="152">
        <v>6</v>
      </c>
      <c r="E205" s="139">
        <v>6</v>
      </c>
      <c r="F205" s="85" t="s">
        <v>1618</v>
      </c>
      <c r="G205" s="91" t="s">
        <v>1619</v>
      </c>
      <c r="H205" s="153">
        <v>44720</v>
      </c>
      <c r="I205" s="153">
        <v>44750</v>
      </c>
      <c r="J205" s="153" t="s">
        <v>1626</v>
      </c>
      <c r="K205" s="139">
        <v>6</v>
      </c>
      <c r="L205" s="125">
        <v>31</v>
      </c>
    </row>
    <row r="206" spans="2:12" ht="15.75" thickBot="1" x14ac:dyDescent="0.3">
      <c r="B206" s="83" t="s">
        <v>535</v>
      </c>
      <c r="C206" s="83" t="s">
        <v>1616</v>
      </c>
      <c r="D206" s="152">
        <v>6</v>
      </c>
      <c r="E206" s="139">
        <v>6</v>
      </c>
      <c r="F206" s="85" t="s">
        <v>1618</v>
      </c>
      <c r="G206" s="91" t="s">
        <v>1619</v>
      </c>
      <c r="H206" s="153">
        <v>44751</v>
      </c>
      <c r="I206" s="153">
        <v>44778</v>
      </c>
      <c r="J206" s="153" t="s">
        <v>1626</v>
      </c>
      <c r="K206" s="139">
        <v>6</v>
      </c>
      <c r="L206" s="125">
        <v>28</v>
      </c>
    </row>
    <row r="207" spans="2:12" ht="15.75" thickBot="1" x14ac:dyDescent="0.3">
      <c r="B207" s="83" t="s">
        <v>535</v>
      </c>
      <c r="C207" s="83" t="s">
        <v>1616</v>
      </c>
      <c r="D207" s="152">
        <v>6</v>
      </c>
      <c r="E207" s="139">
        <v>6</v>
      </c>
      <c r="F207" s="85" t="s">
        <v>1618</v>
      </c>
      <c r="G207" s="91" t="s">
        <v>1619</v>
      </c>
      <c r="H207" s="153">
        <v>44779</v>
      </c>
      <c r="I207" s="153">
        <v>44809</v>
      </c>
      <c r="J207" s="153" t="s">
        <v>1626</v>
      </c>
      <c r="K207" s="139">
        <v>6</v>
      </c>
      <c r="L207" s="125">
        <v>31</v>
      </c>
    </row>
    <row r="208" spans="2:12" ht="15.75" thickBot="1" x14ac:dyDescent="0.3">
      <c r="B208" s="83" t="s">
        <v>535</v>
      </c>
      <c r="C208" s="83" t="s">
        <v>1616</v>
      </c>
      <c r="D208" s="152">
        <v>9</v>
      </c>
      <c r="E208" s="139">
        <v>9</v>
      </c>
      <c r="F208" s="85" t="s">
        <v>1618</v>
      </c>
      <c r="G208" s="91" t="s">
        <v>1619</v>
      </c>
      <c r="H208" s="153">
        <v>44810</v>
      </c>
      <c r="I208" s="153">
        <v>44844</v>
      </c>
      <c r="J208" s="153" t="s">
        <v>1626</v>
      </c>
      <c r="K208" s="139">
        <v>9</v>
      </c>
      <c r="L208" s="125">
        <v>35</v>
      </c>
    </row>
    <row r="209" spans="2:12" ht="15.75" thickBot="1" x14ac:dyDescent="0.3">
      <c r="B209" s="83" t="s">
        <v>535</v>
      </c>
      <c r="C209" s="83" t="s">
        <v>1616</v>
      </c>
      <c r="D209" s="152">
        <v>4</v>
      </c>
      <c r="E209" s="139">
        <v>4</v>
      </c>
      <c r="F209" s="85" t="s">
        <v>1618</v>
      </c>
      <c r="G209" s="91" t="s">
        <v>1619</v>
      </c>
      <c r="H209" s="153">
        <v>44845</v>
      </c>
      <c r="I209" s="153">
        <v>44875</v>
      </c>
      <c r="J209" s="153" t="s">
        <v>1626</v>
      </c>
      <c r="K209" s="139">
        <v>4</v>
      </c>
      <c r="L209" s="125">
        <v>31</v>
      </c>
    </row>
    <row r="210" spans="2:12" ht="15.75" thickBot="1" x14ac:dyDescent="0.3">
      <c r="B210" s="83" t="s">
        <v>535</v>
      </c>
      <c r="C210" s="83" t="s">
        <v>1616</v>
      </c>
      <c r="D210" s="152">
        <v>4</v>
      </c>
      <c r="E210" s="139">
        <v>4</v>
      </c>
      <c r="F210" s="85" t="s">
        <v>1618</v>
      </c>
      <c r="G210" s="91" t="s">
        <v>1619</v>
      </c>
      <c r="H210" s="153">
        <v>44876</v>
      </c>
      <c r="I210" s="153">
        <v>44904</v>
      </c>
      <c r="J210" s="153" t="s">
        <v>1626</v>
      </c>
      <c r="K210" s="139">
        <v>4</v>
      </c>
      <c r="L210" s="125">
        <v>29</v>
      </c>
    </row>
    <row r="211" spans="2:12" ht="15.75" thickBot="1" x14ac:dyDescent="0.3">
      <c r="B211" s="83" t="s">
        <v>535</v>
      </c>
      <c r="C211" s="83" t="s">
        <v>1616</v>
      </c>
      <c r="D211" s="152">
        <v>2.838709677419355</v>
      </c>
      <c r="E211" s="139">
        <v>2.838709677419355</v>
      </c>
      <c r="F211" s="85" t="s">
        <v>1618</v>
      </c>
      <c r="G211" s="91" t="s">
        <v>1619</v>
      </c>
      <c r="H211" s="153">
        <v>44905</v>
      </c>
      <c r="I211" s="153">
        <v>44935</v>
      </c>
      <c r="J211" s="153" t="s">
        <v>1626</v>
      </c>
      <c r="K211" s="139">
        <v>4</v>
      </c>
      <c r="L211" s="125">
        <v>22</v>
      </c>
    </row>
    <row r="212" spans="2:12" ht="15.75" thickBot="1" x14ac:dyDescent="0.3">
      <c r="B212" s="83" t="s">
        <v>3510</v>
      </c>
      <c r="C212" s="83" t="s">
        <v>1616</v>
      </c>
      <c r="D212" s="152">
        <v>11.586206896551724</v>
      </c>
      <c r="E212" s="139">
        <v>11.586206896551724</v>
      </c>
      <c r="F212" s="85" t="s">
        <v>1618</v>
      </c>
      <c r="G212" s="91" t="s">
        <v>1619</v>
      </c>
      <c r="H212" s="153">
        <v>44561</v>
      </c>
      <c r="I212" s="153">
        <v>44589</v>
      </c>
      <c r="J212" s="153" t="s">
        <v>1630</v>
      </c>
      <c r="K212" s="139">
        <v>12</v>
      </c>
      <c r="L212" s="125">
        <v>28</v>
      </c>
    </row>
    <row r="213" spans="2:12" ht="15.75" thickBot="1" x14ac:dyDescent="0.3">
      <c r="B213" s="83" t="s">
        <v>3510</v>
      </c>
      <c r="C213" s="83" t="s">
        <v>1616</v>
      </c>
      <c r="D213" s="152">
        <v>19</v>
      </c>
      <c r="E213" s="139">
        <v>19</v>
      </c>
      <c r="F213" s="85" t="s">
        <v>1618</v>
      </c>
      <c r="G213" s="91" t="s">
        <v>1619</v>
      </c>
      <c r="H213" s="153">
        <v>44590</v>
      </c>
      <c r="I213" s="153">
        <v>44622</v>
      </c>
      <c r="J213" s="153" t="s">
        <v>1630</v>
      </c>
      <c r="K213" s="139">
        <v>19</v>
      </c>
      <c r="L213" s="125">
        <v>33</v>
      </c>
    </row>
    <row r="214" spans="2:12" ht="15.75" thickBot="1" x14ac:dyDescent="0.3">
      <c r="B214" s="83" t="s">
        <v>3510</v>
      </c>
      <c r="C214" s="83" t="s">
        <v>1616</v>
      </c>
      <c r="D214" s="152">
        <v>16</v>
      </c>
      <c r="E214" s="139">
        <v>16</v>
      </c>
      <c r="F214" s="85" t="s">
        <v>1618</v>
      </c>
      <c r="G214" s="91" t="s">
        <v>1619</v>
      </c>
      <c r="H214" s="153">
        <v>44623</v>
      </c>
      <c r="I214" s="153">
        <v>44651</v>
      </c>
      <c r="J214" s="153" t="s">
        <v>1630</v>
      </c>
      <c r="K214" s="139">
        <v>16</v>
      </c>
      <c r="L214" s="125">
        <v>29</v>
      </c>
    </row>
    <row r="215" spans="2:12" ht="15.75" thickBot="1" x14ac:dyDescent="0.3">
      <c r="B215" s="83" t="s">
        <v>3510</v>
      </c>
      <c r="C215" s="83" t="s">
        <v>1616</v>
      </c>
      <c r="D215" s="152">
        <v>3</v>
      </c>
      <c r="E215" s="139">
        <v>3</v>
      </c>
      <c r="F215" s="85" t="s">
        <v>1618</v>
      </c>
      <c r="G215" s="91" t="s">
        <v>1619</v>
      </c>
      <c r="H215" s="153">
        <v>44652</v>
      </c>
      <c r="I215" s="153">
        <v>44680</v>
      </c>
      <c r="J215" s="153" t="s">
        <v>1630</v>
      </c>
      <c r="K215" s="139">
        <v>3</v>
      </c>
      <c r="L215" s="125">
        <v>29</v>
      </c>
    </row>
    <row r="216" spans="2:12" ht="15.75" thickBot="1" x14ac:dyDescent="0.3">
      <c r="B216" s="83" t="s">
        <v>3510</v>
      </c>
      <c r="C216" s="83" t="s">
        <v>1616</v>
      </c>
      <c r="D216" s="152">
        <v>4</v>
      </c>
      <c r="E216" s="139">
        <v>4</v>
      </c>
      <c r="F216" s="85" t="s">
        <v>1618</v>
      </c>
      <c r="G216" s="91" t="s">
        <v>1619</v>
      </c>
      <c r="H216" s="153">
        <v>44681</v>
      </c>
      <c r="I216" s="153">
        <v>44711</v>
      </c>
      <c r="J216" s="153" t="s">
        <v>1630</v>
      </c>
      <c r="K216" s="139">
        <v>4</v>
      </c>
      <c r="L216" s="125">
        <v>31</v>
      </c>
    </row>
    <row r="217" spans="2:12" ht="15.75" thickBot="1" x14ac:dyDescent="0.3">
      <c r="B217" s="83" t="s">
        <v>3510</v>
      </c>
      <c r="C217" s="83" t="s">
        <v>1616</v>
      </c>
      <c r="D217" s="152">
        <v>4</v>
      </c>
      <c r="E217" s="139">
        <v>4</v>
      </c>
      <c r="F217" s="85" t="s">
        <v>1618</v>
      </c>
      <c r="G217" s="91" t="s">
        <v>1619</v>
      </c>
      <c r="H217" s="153">
        <v>44712</v>
      </c>
      <c r="I217" s="153">
        <v>44742</v>
      </c>
      <c r="J217" s="153" t="s">
        <v>1630</v>
      </c>
      <c r="K217" s="139">
        <v>4</v>
      </c>
      <c r="L217" s="125">
        <v>31</v>
      </c>
    </row>
    <row r="218" spans="2:12" ht="15.75" thickBot="1" x14ac:dyDescent="0.3">
      <c r="B218" s="83" t="s">
        <v>3510</v>
      </c>
      <c r="C218" s="83" t="s">
        <v>1616</v>
      </c>
      <c r="D218" s="152">
        <v>8</v>
      </c>
      <c r="E218" s="139">
        <v>8</v>
      </c>
      <c r="F218" s="85" t="s">
        <v>1618</v>
      </c>
      <c r="G218" s="91" t="s">
        <v>1619</v>
      </c>
      <c r="H218" s="153">
        <v>44743</v>
      </c>
      <c r="I218" s="153">
        <v>44771</v>
      </c>
      <c r="J218" s="153" t="s">
        <v>1630</v>
      </c>
      <c r="K218" s="139">
        <v>8</v>
      </c>
      <c r="L218" s="125">
        <v>29</v>
      </c>
    </row>
    <row r="219" spans="2:12" ht="15.75" thickBot="1" x14ac:dyDescent="0.3">
      <c r="B219" s="83" t="s">
        <v>3510</v>
      </c>
      <c r="C219" s="83" t="s">
        <v>1616</v>
      </c>
      <c r="D219" s="152">
        <v>8</v>
      </c>
      <c r="E219" s="139">
        <v>8</v>
      </c>
      <c r="F219" s="85" t="s">
        <v>1618</v>
      </c>
      <c r="G219" s="91" t="s">
        <v>1619</v>
      </c>
      <c r="H219" s="153">
        <v>44772</v>
      </c>
      <c r="I219" s="153">
        <v>44803</v>
      </c>
      <c r="J219" s="153" t="s">
        <v>1630</v>
      </c>
      <c r="K219" s="139">
        <v>8</v>
      </c>
      <c r="L219" s="125">
        <v>32</v>
      </c>
    </row>
    <row r="220" spans="2:12" ht="15.75" thickBot="1" x14ac:dyDescent="0.3">
      <c r="B220" s="83" t="s">
        <v>3510</v>
      </c>
      <c r="C220" s="83" t="s">
        <v>1616</v>
      </c>
      <c r="D220" s="152">
        <v>12</v>
      </c>
      <c r="E220" s="139">
        <v>12</v>
      </c>
      <c r="F220" s="85" t="s">
        <v>1618</v>
      </c>
      <c r="G220" s="91" t="s">
        <v>1619</v>
      </c>
      <c r="H220" s="153">
        <v>44804</v>
      </c>
      <c r="I220" s="153">
        <v>44833</v>
      </c>
      <c r="J220" s="153" t="s">
        <v>1630</v>
      </c>
      <c r="K220" s="139">
        <v>12</v>
      </c>
      <c r="L220" s="125">
        <v>30</v>
      </c>
    </row>
    <row r="221" spans="2:12" ht="15.75" thickBot="1" x14ac:dyDescent="0.3">
      <c r="B221" s="83" t="s">
        <v>3510</v>
      </c>
      <c r="C221" s="83" t="s">
        <v>1616</v>
      </c>
      <c r="D221" s="152">
        <v>13</v>
      </c>
      <c r="E221" s="139">
        <v>13</v>
      </c>
      <c r="F221" s="85" t="s">
        <v>1618</v>
      </c>
      <c r="G221" s="91" t="s">
        <v>1619</v>
      </c>
      <c r="H221" s="153">
        <v>44834</v>
      </c>
      <c r="I221" s="153">
        <v>44862</v>
      </c>
      <c r="J221" s="153" t="s">
        <v>1630</v>
      </c>
      <c r="K221" s="139">
        <v>13</v>
      </c>
      <c r="L221" s="125">
        <v>29</v>
      </c>
    </row>
    <row r="222" spans="2:12" ht="15.75" thickBot="1" x14ac:dyDescent="0.3">
      <c r="B222" s="83" t="s">
        <v>3510</v>
      </c>
      <c r="C222" s="83" t="s">
        <v>1616</v>
      </c>
      <c r="D222" s="152">
        <v>18</v>
      </c>
      <c r="E222" s="139">
        <v>18</v>
      </c>
      <c r="F222" s="85" t="s">
        <v>1618</v>
      </c>
      <c r="G222" s="91" t="s">
        <v>1619</v>
      </c>
      <c r="H222" s="153">
        <v>44863</v>
      </c>
      <c r="I222" s="153">
        <v>44894</v>
      </c>
      <c r="J222" s="153" t="s">
        <v>1630</v>
      </c>
      <c r="K222" s="139">
        <v>18</v>
      </c>
      <c r="L222" s="125">
        <v>32</v>
      </c>
    </row>
    <row r="223" spans="2:12" ht="15.75" thickBot="1" x14ac:dyDescent="0.3">
      <c r="B223" s="83" t="s">
        <v>3510</v>
      </c>
      <c r="C223" s="83" t="s">
        <v>1616</v>
      </c>
      <c r="D223" s="152">
        <v>11</v>
      </c>
      <c r="E223" s="139">
        <v>11</v>
      </c>
      <c r="F223" s="85" t="s">
        <v>1618</v>
      </c>
      <c r="G223" s="91" t="s">
        <v>1619</v>
      </c>
      <c r="H223" s="153">
        <v>44895</v>
      </c>
      <c r="I223" s="153">
        <v>44924</v>
      </c>
      <c r="J223" s="153" t="s">
        <v>1630</v>
      </c>
      <c r="K223" s="139">
        <v>11</v>
      </c>
      <c r="L223" s="125">
        <v>30</v>
      </c>
    </row>
    <row r="224" spans="2:12" ht="15.75" thickBot="1" x14ac:dyDescent="0.3">
      <c r="B224" s="83" t="s">
        <v>3510</v>
      </c>
      <c r="C224" s="83" t="s">
        <v>1616</v>
      </c>
      <c r="D224" s="152">
        <v>0.875</v>
      </c>
      <c r="E224" s="139">
        <v>0.875</v>
      </c>
      <c r="F224" s="85" t="s">
        <v>1618</v>
      </c>
      <c r="G224" s="91" t="s">
        <v>1619</v>
      </c>
      <c r="H224" s="153">
        <v>44925</v>
      </c>
      <c r="I224" s="153">
        <v>44956</v>
      </c>
      <c r="J224" s="153" t="s">
        <v>1630</v>
      </c>
      <c r="K224" s="139">
        <v>14</v>
      </c>
      <c r="L224" s="125">
        <v>2</v>
      </c>
    </row>
    <row r="225" spans="2:12" ht="15.75" thickBot="1" x14ac:dyDescent="0.3">
      <c r="B225" s="83" t="s">
        <v>3510</v>
      </c>
      <c r="C225" s="83" t="s">
        <v>1616</v>
      </c>
      <c r="D225" s="152">
        <v>4.258064516129032</v>
      </c>
      <c r="E225" s="139">
        <v>4.258064516129032</v>
      </c>
      <c r="F225" s="85" t="s">
        <v>1618</v>
      </c>
      <c r="G225" s="91" t="s">
        <v>1619</v>
      </c>
      <c r="H225" s="153">
        <v>44543</v>
      </c>
      <c r="I225" s="153">
        <v>44573</v>
      </c>
      <c r="J225" s="153" t="s">
        <v>1631</v>
      </c>
      <c r="K225" s="139">
        <v>11</v>
      </c>
      <c r="L225" s="125">
        <v>12</v>
      </c>
    </row>
    <row r="226" spans="2:12" ht="15.75" thickBot="1" x14ac:dyDescent="0.3">
      <c r="B226" s="83" t="s">
        <v>3510</v>
      </c>
      <c r="C226" s="83" t="s">
        <v>1616</v>
      </c>
      <c r="D226" s="152">
        <v>2</v>
      </c>
      <c r="E226" s="139">
        <v>2</v>
      </c>
      <c r="F226" s="85" t="s">
        <v>1618</v>
      </c>
      <c r="G226" s="91" t="s">
        <v>1619</v>
      </c>
      <c r="H226" s="153">
        <v>44574</v>
      </c>
      <c r="I226" s="153">
        <v>44603</v>
      </c>
      <c r="J226" s="153" t="s">
        <v>1631</v>
      </c>
      <c r="K226" s="139">
        <v>2</v>
      </c>
      <c r="L226" s="125">
        <v>30</v>
      </c>
    </row>
    <row r="227" spans="2:12" ht="15.75" thickBot="1" x14ac:dyDescent="0.3">
      <c r="B227" s="83" t="s">
        <v>3510</v>
      </c>
      <c r="C227" s="83" t="s">
        <v>1616</v>
      </c>
      <c r="D227" s="152">
        <v>7</v>
      </c>
      <c r="E227" s="139">
        <v>7</v>
      </c>
      <c r="F227" s="85" t="s">
        <v>1618</v>
      </c>
      <c r="G227" s="91" t="s">
        <v>1619</v>
      </c>
      <c r="H227" s="153">
        <v>44604</v>
      </c>
      <c r="I227" s="153">
        <v>44631</v>
      </c>
      <c r="J227" s="153" t="s">
        <v>1631</v>
      </c>
      <c r="K227" s="139">
        <v>7</v>
      </c>
      <c r="L227" s="125">
        <v>28</v>
      </c>
    </row>
    <row r="228" spans="2:12" ht="15.75" thickBot="1" x14ac:dyDescent="0.3">
      <c r="B228" s="83" t="s">
        <v>3510</v>
      </c>
      <c r="C228" s="83" t="s">
        <v>1616</v>
      </c>
      <c r="D228" s="152">
        <v>8</v>
      </c>
      <c r="E228" s="139">
        <v>8</v>
      </c>
      <c r="F228" s="85" t="s">
        <v>1618</v>
      </c>
      <c r="G228" s="91" t="s">
        <v>1619</v>
      </c>
      <c r="H228" s="153">
        <v>44632</v>
      </c>
      <c r="I228" s="153">
        <v>44662</v>
      </c>
      <c r="J228" s="153" t="s">
        <v>1631</v>
      </c>
      <c r="K228" s="139">
        <v>8</v>
      </c>
      <c r="L228" s="125">
        <v>31</v>
      </c>
    </row>
    <row r="229" spans="2:12" ht="15.75" thickBot="1" x14ac:dyDescent="0.3">
      <c r="B229" s="83" t="s">
        <v>3510</v>
      </c>
      <c r="C229" s="83" t="s">
        <v>1616</v>
      </c>
      <c r="D229" s="152">
        <v>3</v>
      </c>
      <c r="E229" s="139">
        <v>3</v>
      </c>
      <c r="F229" s="85" t="s">
        <v>1618</v>
      </c>
      <c r="G229" s="91" t="s">
        <v>1619</v>
      </c>
      <c r="H229" s="153">
        <v>44663</v>
      </c>
      <c r="I229" s="153">
        <v>44693</v>
      </c>
      <c r="J229" s="153" t="s">
        <v>1631</v>
      </c>
      <c r="K229" s="139">
        <v>3</v>
      </c>
      <c r="L229" s="125">
        <v>31</v>
      </c>
    </row>
    <row r="230" spans="2:12" ht="15.75" thickBot="1" x14ac:dyDescent="0.3">
      <c r="B230" s="83" t="s">
        <v>3510</v>
      </c>
      <c r="C230" s="83" t="s">
        <v>1616</v>
      </c>
      <c r="D230" s="152">
        <v>6</v>
      </c>
      <c r="E230" s="139">
        <v>6</v>
      </c>
      <c r="F230" s="85" t="s">
        <v>1618</v>
      </c>
      <c r="G230" s="91" t="s">
        <v>1619</v>
      </c>
      <c r="H230" s="153">
        <v>44694</v>
      </c>
      <c r="I230" s="153">
        <v>44724</v>
      </c>
      <c r="J230" s="153" t="s">
        <v>1631</v>
      </c>
      <c r="K230" s="139">
        <v>6</v>
      </c>
      <c r="L230" s="125">
        <v>31</v>
      </c>
    </row>
    <row r="231" spans="2:12" ht="15.75" thickBot="1" x14ac:dyDescent="0.3">
      <c r="B231" s="83" t="s">
        <v>3510</v>
      </c>
      <c r="C231" s="83" t="s">
        <v>1616</v>
      </c>
      <c r="D231" s="152">
        <v>6</v>
      </c>
      <c r="E231" s="139">
        <v>6</v>
      </c>
      <c r="F231" s="85" t="s">
        <v>1618</v>
      </c>
      <c r="G231" s="91" t="s">
        <v>1619</v>
      </c>
      <c r="H231" s="153">
        <v>44725</v>
      </c>
      <c r="I231" s="153">
        <v>44754</v>
      </c>
      <c r="J231" s="153" t="s">
        <v>1631</v>
      </c>
      <c r="K231" s="139">
        <v>6</v>
      </c>
      <c r="L231" s="125">
        <v>30</v>
      </c>
    </row>
    <row r="232" spans="2:12" ht="15.75" thickBot="1" x14ac:dyDescent="0.3">
      <c r="B232" s="83" t="s">
        <v>3510</v>
      </c>
      <c r="C232" s="83" t="s">
        <v>1616</v>
      </c>
      <c r="D232" s="152">
        <v>31</v>
      </c>
      <c r="E232" s="139">
        <v>31</v>
      </c>
      <c r="F232" s="85" t="s">
        <v>1618</v>
      </c>
      <c r="G232" s="91" t="s">
        <v>1619</v>
      </c>
      <c r="H232" s="153">
        <v>44755</v>
      </c>
      <c r="I232" s="153">
        <v>44785</v>
      </c>
      <c r="J232" s="153" t="s">
        <v>1631</v>
      </c>
      <c r="K232" s="139">
        <v>31</v>
      </c>
      <c r="L232" s="125">
        <v>31</v>
      </c>
    </row>
    <row r="233" spans="2:12" ht="15.75" thickBot="1" x14ac:dyDescent="0.3">
      <c r="B233" s="83" t="s">
        <v>3510</v>
      </c>
      <c r="C233" s="83" t="s">
        <v>1616</v>
      </c>
      <c r="D233" s="152">
        <v>14</v>
      </c>
      <c r="E233" s="139">
        <v>14</v>
      </c>
      <c r="F233" s="85" t="s">
        <v>1618</v>
      </c>
      <c r="G233" s="91" t="s">
        <v>1619</v>
      </c>
      <c r="H233" s="153">
        <v>44786</v>
      </c>
      <c r="I233" s="153">
        <v>44816</v>
      </c>
      <c r="J233" s="153" t="s">
        <v>1631</v>
      </c>
      <c r="K233" s="139">
        <v>14</v>
      </c>
      <c r="L233" s="125">
        <v>31</v>
      </c>
    </row>
    <row r="234" spans="2:12" ht="15.75" thickBot="1" x14ac:dyDescent="0.3">
      <c r="B234" s="83" t="s">
        <v>3510</v>
      </c>
      <c r="C234" s="83" t="s">
        <v>1616</v>
      </c>
      <c r="D234" s="152">
        <v>14</v>
      </c>
      <c r="E234" s="139">
        <v>14</v>
      </c>
      <c r="F234" s="85" t="s">
        <v>1618</v>
      </c>
      <c r="G234" s="91" t="s">
        <v>1619</v>
      </c>
      <c r="H234" s="153">
        <v>44817</v>
      </c>
      <c r="I234" s="153">
        <v>44846</v>
      </c>
      <c r="J234" s="153" t="s">
        <v>1631</v>
      </c>
      <c r="K234" s="139">
        <v>14</v>
      </c>
      <c r="L234" s="125">
        <v>30</v>
      </c>
    </row>
    <row r="235" spans="2:12" ht="15.75" thickBot="1" x14ac:dyDescent="0.3">
      <c r="B235" s="83" t="s">
        <v>3510</v>
      </c>
      <c r="C235" s="83" t="s">
        <v>1616</v>
      </c>
      <c r="D235" s="152">
        <v>15</v>
      </c>
      <c r="E235" s="139">
        <v>15</v>
      </c>
      <c r="F235" s="85" t="s">
        <v>1618</v>
      </c>
      <c r="G235" s="91" t="s">
        <v>1619</v>
      </c>
      <c r="H235" s="153">
        <v>44847</v>
      </c>
      <c r="I235" s="153">
        <v>44879</v>
      </c>
      <c r="J235" s="153" t="s">
        <v>1631</v>
      </c>
      <c r="K235" s="139">
        <v>15</v>
      </c>
      <c r="L235" s="125">
        <v>33</v>
      </c>
    </row>
    <row r="236" spans="2:12" ht="15.75" thickBot="1" x14ac:dyDescent="0.3">
      <c r="B236" s="83" t="s">
        <v>3510</v>
      </c>
      <c r="C236" s="83" t="s">
        <v>1616</v>
      </c>
      <c r="D236" s="152">
        <v>14</v>
      </c>
      <c r="E236" s="139">
        <v>14</v>
      </c>
      <c r="F236" s="85" t="s">
        <v>1618</v>
      </c>
      <c r="G236" s="91" t="s">
        <v>1619</v>
      </c>
      <c r="H236" s="153">
        <v>44880</v>
      </c>
      <c r="I236" s="153">
        <v>44909</v>
      </c>
      <c r="J236" s="153" t="s">
        <v>1631</v>
      </c>
      <c r="K236" s="139">
        <v>14</v>
      </c>
      <c r="L236" s="125">
        <v>30</v>
      </c>
    </row>
    <row r="237" spans="2:12" ht="15.75" thickBot="1" x14ac:dyDescent="0.3">
      <c r="B237" s="83" t="s">
        <v>3510</v>
      </c>
      <c r="C237" s="83" t="s">
        <v>1616</v>
      </c>
      <c r="D237" s="152">
        <v>7.67741935483871</v>
      </c>
      <c r="E237" s="139">
        <v>7.67741935483871</v>
      </c>
      <c r="F237" s="85" t="s">
        <v>1618</v>
      </c>
      <c r="G237" s="91" t="s">
        <v>1619</v>
      </c>
      <c r="H237" s="153">
        <v>44910</v>
      </c>
      <c r="I237" s="153">
        <v>44940</v>
      </c>
      <c r="J237" s="153" t="s">
        <v>1631</v>
      </c>
      <c r="K237" s="139">
        <v>14</v>
      </c>
      <c r="L237" s="125">
        <v>17</v>
      </c>
    </row>
    <row r="238" spans="2:12" ht="15.75" thickBot="1" x14ac:dyDescent="0.3">
      <c r="B238" s="83" t="s">
        <v>3726</v>
      </c>
      <c r="C238" s="83" t="s">
        <v>1616</v>
      </c>
      <c r="D238" s="152">
        <v>386.81299999999999</v>
      </c>
      <c r="E238" s="139">
        <v>386.81299999999999</v>
      </c>
      <c r="F238" s="85" t="s">
        <v>1618</v>
      </c>
      <c r="G238" s="91" t="s">
        <v>1619</v>
      </c>
      <c r="H238" s="153">
        <v>44683</v>
      </c>
      <c r="I238" s="153">
        <v>44713</v>
      </c>
      <c r="J238" s="153" t="s">
        <v>1632</v>
      </c>
      <c r="K238" s="139">
        <v>386.81299999999999</v>
      </c>
      <c r="L238" s="125">
        <v>31</v>
      </c>
    </row>
    <row r="239" spans="2:12" ht="15.75" thickBot="1" x14ac:dyDescent="0.3">
      <c r="B239" s="83" t="s">
        <v>3726</v>
      </c>
      <c r="C239" s="83" t="s">
        <v>1616</v>
      </c>
      <c r="D239" s="152">
        <v>454.096</v>
      </c>
      <c r="E239" s="139">
        <v>454.096</v>
      </c>
      <c r="F239" s="85" t="s">
        <v>1618</v>
      </c>
      <c r="G239" s="91" t="s">
        <v>1619</v>
      </c>
      <c r="H239" s="153">
        <v>44836</v>
      </c>
      <c r="I239" s="153">
        <v>44866</v>
      </c>
      <c r="J239" s="153" t="s">
        <v>1632</v>
      </c>
      <c r="K239" s="139">
        <v>454.096</v>
      </c>
      <c r="L239" s="125">
        <v>31</v>
      </c>
    </row>
    <row r="240" spans="2:12" ht="15.75" thickBot="1" x14ac:dyDescent="0.3">
      <c r="B240" s="83" t="s">
        <v>3726</v>
      </c>
      <c r="C240" s="83" t="s">
        <v>1616</v>
      </c>
      <c r="D240" s="152">
        <v>270.77</v>
      </c>
      <c r="E240" s="139">
        <v>270.77</v>
      </c>
      <c r="F240" s="85" t="s">
        <v>1618</v>
      </c>
      <c r="G240" s="91" t="s">
        <v>1619</v>
      </c>
      <c r="H240" s="153">
        <v>44594</v>
      </c>
      <c r="I240" s="153">
        <v>44621</v>
      </c>
      <c r="J240" s="153" t="s">
        <v>1632</v>
      </c>
      <c r="K240" s="139">
        <v>270.77</v>
      </c>
      <c r="L240" s="125">
        <v>28</v>
      </c>
    </row>
    <row r="241" spans="2:12" ht="15.75" thickBot="1" x14ac:dyDescent="0.3">
      <c r="B241" s="83" t="s">
        <v>3726</v>
      </c>
      <c r="C241" s="83" t="s">
        <v>1616</v>
      </c>
      <c r="D241" s="152">
        <v>261.40600000000001</v>
      </c>
      <c r="E241" s="139">
        <v>261.40600000000001</v>
      </c>
      <c r="F241" s="85" t="s">
        <v>1618</v>
      </c>
      <c r="G241" s="91" t="s">
        <v>1619</v>
      </c>
      <c r="H241" s="153">
        <v>44653</v>
      </c>
      <c r="I241" s="153">
        <v>44682</v>
      </c>
      <c r="J241" s="153" t="s">
        <v>1632</v>
      </c>
      <c r="K241" s="139">
        <v>261.40600000000001</v>
      </c>
      <c r="L241" s="125">
        <v>30</v>
      </c>
    </row>
    <row r="242" spans="2:12" ht="15.75" thickBot="1" x14ac:dyDescent="0.3">
      <c r="B242" s="83" t="s">
        <v>3726</v>
      </c>
      <c r="C242" s="83" t="s">
        <v>1616</v>
      </c>
      <c r="D242" s="152">
        <v>250.917</v>
      </c>
      <c r="E242" s="139">
        <v>250.917</v>
      </c>
      <c r="F242" s="85" t="s">
        <v>1618</v>
      </c>
      <c r="G242" s="91" t="s">
        <v>1619</v>
      </c>
      <c r="H242" s="153">
        <v>44562</v>
      </c>
      <c r="I242" s="153">
        <v>44593</v>
      </c>
      <c r="J242" s="153" t="s">
        <v>1632</v>
      </c>
      <c r="K242" s="139">
        <v>250.917</v>
      </c>
      <c r="L242" s="125">
        <v>32</v>
      </c>
    </row>
    <row r="243" spans="2:12" ht="15.75" thickBot="1" x14ac:dyDescent="0.3">
      <c r="B243" s="83" t="s">
        <v>3726</v>
      </c>
      <c r="C243" s="83" t="s">
        <v>1616</v>
      </c>
      <c r="D243" s="152">
        <v>434.32400000000001</v>
      </c>
      <c r="E243" s="139">
        <v>434.32400000000001</v>
      </c>
      <c r="F243" s="85" t="s">
        <v>1618</v>
      </c>
      <c r="G243" s="91" t="s">
        <v>1619</v>
      </c>
      <c r="H243" s="153">
        <v>44775</v>
      </c>
      <c r="I243" s="153">
        <v>44805</v>
      </c>
      <c r="J243" s="153" t="s">
        <v>1632</v>
      </c>
      <c r="K243" s="139">
        <v>434.32400000000001</v>
      </c>
      <c r="L243" s="125">
        <v>31</v>
      </c>
    </row>
    <row r="244" spans="2:12" ht="15.75" thickBot="1" x14ac:dyDescent="0.3">
      <c r="B244" s="83" t="s">
        <v>3726</v>
      </c>
      <c r="C244" s="83" t="s">
        <v>1616</v>
      </c>
      <c r="D244" s="152">
        <v>281.08600000000001</v>
      </c>
      <c r="E244" s="139">
        <v>281.08600000000001</v>
      </c>
      <c r="F244" s="85" t="s">
        <v>1618</v>
      </c>
      <c r="G244" s="91" t="s">
        <v>1619</v>
      </c>
      <c r="H244" s="153">
        <v>44622</v>
      </c>
      <c r="I244" s="153">
        <v>44652</v>
      </c>
      <c r="J244" s="153" t="s">
        <v>1632</v>
      </c>
      <c r="K244" s="139">
        <v>281.08600000000001</v>
      </c>
      <c r="L244" s="125">
        <v>31</v>
      </c>
    </row>
    <row r="245" spans="2:12" ht="15.75" thickBot="1" x14ac:dyDescent="0.3">
      <c r="B245" s="83" t="s">
        <v>3726</v>
      </c>
      <c r="C245" s="83" t="s">
        <v>1616</v>
      </c>
      <c r="D245" s="152">
        <v>531.17499999999995</v>
      </c>
      <c r="E245" s="139">
        <v>531.17499999999995</v>
      </c>
      <c r="F245" s="85" t="s">
        <v>1618</v>
      </c>
      <c r="G245" s="91" t="s">
        <v>1619</v>
      </c>
      <c r="H245" s="153">
        <v>44714</v>
      </c>
      <c r="I245" s="153">
        <v>44743</v>
      </c>
      <c r="J245" s="153" t="s">
        <v>1632</v>
      </c>
      <c r="K245" s="139">
        <v>531.17499999999995</v>
      </c>
      <c r="L245" s="125">
        <v>30</v>
      </c>
    </row>
    <row r="246" spans="2:12" ht="15.75" thickBot="1" x14ac:dyDescent="0.3">
      <c r="B246" s="83" t="s">
        <v>3726</v>
      </c>
      <c r="C246" s="83" t="s">
        <v>1616</v>
      </c>
      <c r="D246" s="152">
        <v>686.35599999999999</v>
      </c>
      <c r="E246" s="139">
        <v>686.35599999999999</v>
      </c>
      <c r="F246" s="85" t="s">
        <v>1618</v>
      </c>
      <c r="G246" s="91" t="s">
        <v>1619</v>
      </c>
      <c r="H246" s="153">
        <v>44744</v>
      </c>
      <c r="I246" s="153">
        <v>44774</v>
      </c>
      <c r="J246" s="153" t="s">
        <v>1632</v>
      </c>
      <c r="K246" s="139">
        <v>686.35599999999999</v>
      </c>
      <c r="L246" s="125">
        <v>31</v>
      </c>
    </row>
    <row r="247" spans="2:12" ht="15.75" thickBot="1" x14ac:dyDescent="0.3">
      <c r="B247" s="83" t="s">
        <v>3726</v>
      </c>
      <c r="C247" s="83" t="s">
        <v>1616</v>
      </c>
      <c r="D247" s="152">
        <v>356.66399999999999</v>
      </c>
      <c r="E247" s="139">
        <v>356.66399999999999</v>
      </c>
      <c r="F247" s="85" t="s">
        <v>1618</v>
      </c>
      <c r="G247" s="91" t="s">
        <v>1619</v>
      </c>
      <c r="H247" s="153">
        <v>44806</v>
      </c>
      <c r="I247" s="153">
        <v>44835</v>
      </c>
      <c r="J247" s="153" t="s">
        <v>1632</v>
      </c>
      <c r="K247" s="139">
        <v>356.66399999999999</v>
      </c>
      <c r="L247" s="125">
        <v>30</v>
      </c>
    </row>
    <row r="248" spans="2:12" ht="15.75" thickBot="1" x14ac:dyDescent="0.3">
      <c r="B248" s="83" t="s">
        <v>3726</v>
      </c>
      <c r="C248" s="83" t="s">
        <v>1616</v>
      </c>
      <c r="D248" s="152">
        <v>225.64</v>
      </c>
      <c r="E248" s="139">
        <v>225.64</v>
      </c>
      <c r="F248" s="85" t="s">
        <v>1618</v>
      </c>
      <c r="G248" s="91" t="s">
        <v>1619</v>
      </c>
      <c r="H248" s="153">
        <v>44867</v>
      </c>
      <c r="I248" s="153">
        <v>44896</v>
      </c>
      <c r="J248" s="153" t="s">
        <v>1632</v>
      </c>
      <c r="K248" s="139">
        <v>225.64</v>
      </c>
      <c r="L248" s="125">
        <v>30</v>
      </c>
    </row>
    <row r="249" spans="2:12" ht="15.75" thickBot="1" x14ac:dyDescent="0.3">
      <c r="B249" s="83" t="s">
        <v>3726</v>
      </c>
      <c r="C249" s="83" t="s">
        <v>1616</v>
      </c>
      <c r="D249" s="152">
        <v>7.3277741935483869</v>
      </c>
      <c r="E249" s="139">
        <v>7.3277741935483869</v>
      </c>
      <c r="F249" s="85" t="s">
        <v>1618</v>
      </c>
      <c r="G249" s="91" t="s">
        <v>1619</v>
      </c>
      <c r="H249" s="153">
        <v>44532</v>
      </c>
      <c r="I249" s="153">
        <v>44562</v>
      </c>
      <c r="J249" s="153" t="s">
        <v>1632</v>
      </c>
      <c r="K249" s="139">
        <v>227.161</v>
      </c>
      <c r="L249" s="125">
        <v>1</v>
      </c>
    </row>
    <row r="250" spans="2:12" ht="15.75" thickBot="1" x14ac:dyDescent="0.3">
      <c r="B250" s="83" t="s">
        <v>3726</v>
      </c>
      <c r="C250" s="83" t="s">
        <v>1616</v>
      </c>
      <c r="D250" s="152">
        <v>163.12258064516129</v>
      </c>
      <c r="E250" s="139">
        <v>163.12258064516129</v>
      </c>
      <c r="F250" s="85" t="s">
        <v>1618</v>
      </c>
      <c r="G250" s="91" t="s">
        <v>1619</v>
      </c>
      <c r="H250" s="153">
        <v>44897</v>
      </c>
      <c r="I250" s="153">
        <v>44927</v>
      </c>
      <c r="J250" s="153" t="s">
        <v>1632</v>
      </c>
      <c r="K250" s="139">
        <v>168.56</v>
      </c>
      <c r="L250" s="125">
        <v>30</v>
      </c>
    </row>
    <row r="251" spans="2:12" ht="15.75" thickBot="1" x14ac:dyDescent="0.3">
      <c r="B251" s="83" t="s">
        <v>3727</v>
      </c>
      <c r="C251" s="83" t="s">
        <v>1616</v>
      </c>
      <c r="D251" s="152">
        <v>14.287000000000001</v>
      </c>
      <c r="E251" s="139">
        <v>14.287000000000001</v>
      </c>
      <c r="F251" s="85" t="s">
        <v>1618</v>
      </c>
      <c r="G251" s="91" t="s">
        <v>1619</v>
      </c>
      <c r="H251" s="153">
        <v>44762</v>
      </c>
      <c r="I251" s="153">
        <v>44791</v>
      </c>
      <c r="J251" s="153" t="s">
        <v>1632</v>
      </c>
      <c r="K251" s="139">
        <v>14.287000000000001</v>
      </c>
      <c r="L251" s="125">
        <v>30</v>
      </c>
    </row>
    <row r="252" spans="2:12" ht="15.75" thickBot="1" x14ac:dyDescent="0.3">
      <c r="B252" s="83" t="s">
        <v>3727</v>
      </c>
      <c r="C252" s="83" t="s">
        <v>1616</v>
      </c>
      <c r="D252" s="152">
        <v>11.125999999999999</v>
      </c>
      <c r="E252" s="139">
        <v>11.125999999999999</v>
      </c>
      <c r="F252" s="85" t="s">
        <v>1618</v>
      </c>
      <c r="G252" s="91" t="s">
        <v>1619</v>
      </c>
      <c r="H252" s="153">
        <v>44672</v>
      </c>
      <c r="I252" s="153">
        <v>44699</v>
      </c>
      <c r="J252" s="153" t="s">
        <v>1632</v>
      </c>
      <c r="K252" s="139">
        <v>11.125999999999999</v>
      </c>
      <c r="L252" s="125">
        <v>28</v>
      </c>
    </row>
    <row r="253" spans="2:12" ht="15.75" thickBot="1" x14ac:dyDescent="0.3">
      <c r="B253" s="83" t="s">
        <v>3727</v>
      </c>
      <c r="C253" s="83" t="s">
        <v>1616</v>
      </c>
      <c r="D253" s="152">
        <v>8.036999999999999</v>
      </c>
      <c r="E253" s="139">
        <v>8.036999999999999</v>
      </c>
      <c r="F253" s="85" t="s">
        <v>1618</v>
      </c>
      <c r="G253" s="91" t="s">
        <v>1619</v>
      </c>
      <c r="H253" s="153">
        <v>44552</v>
      </c>
      <c r="I253" s="153">
        <v>44580</v>
      </c>
      <c r="J253" s="153" t="s">
        <v>1632</v>
      </c>
      <c r="K253" s="139">
        <v>12.266999999999999</v>
      </c>
      <c r="L253" s="125">
        <v>19</v>
      </c>
    </row>
    <row r="254" spans="2:12" ht="15.75" thickBot="1" x14ac:dyDescent="0.3">
      <c r="B254" s="83" t="s">
        <v>3727</v>
      </c>
      <c r="C254" s="83" t="s">
        <v>1616</v>
      </c>
      <c r="D254" s="152">
        <v>12.981</v>
      </c>
      <c r="E254" s="139">
        <v>12.981</v>
      </c>
      <c r="F254" s="85" t="s">
        <v>1618</v>
      </c>
      <c r="G254" s="91" t="s">
        <v>1619</v>
      </c>
      <c r="H254" s="153">
        <v>44700</v>
      </c>
      <c r="I254" s="153">
        <v>44734</v>
      </c>
      <c r="J254" s="153" t="s">
        <v>1632</v>
      </c>
      <c r="K254" s="139">
        <v>12.981</v>
      </c>
      <c r="L254" s="125">
        <v>35</v>
      </c>
    </row>
    <row r="255" spans="2:12" ht="15.75" thickBot="1" x14ac:dyDescent="0.3">
      <c r="B255" s="83" t="s">
        <v>3727</v>
      </c>
      <c r="C255" s="83" t="s">
        <v>1616</v>
      </c>
      <c r="D255" s="152">
        <v>12.625999999999999</v>
      </c>
      <c r="E255" s="139">
        <v>12.625999999999999</v>
      </c>
      <c r="F255" s="85" t="s">
        <v>1618</v>
      </c>
      <c r="G255" s="91" t="s">
        <v>1619</v>
      </c>
      <c r="H255" s="153">
        <v>44581</v>
      </c>
      <c r="I255" s="153">
        <v>44609</v>
      </c>
      <c r="J255" s="153" t="s">
        <v>1632</v>
      </c>
      <c r="K255" s="139">
        <v>12.625999999999999</v>
      </c>
      <c r="L255" s="125">
        <v>29</v>
      </c>
    </row>
    <row r="256" spans="2:12" ht="15.75" thickBot="1" x14ac:dyDescent="0.3">
      <c r="B256" s="83" t="s">
        <v>3727</v>
      </c>
      <c r="C256" s="83" t="s">
        <v>1616</v>
      </c>
      <c r="D256" s="152">
        <v>13.069000000000001</v>
      </c>
      <c r="E256" s="139">
        <v>13.069000000000001</v>
      </c>
      <c r="F256" s="85" t="s">
        <v>1618</v>
      </c>
      <c r="G256" s="91" t="s">
        <v>1619</v>
      </c>
      <c r="H256" s="153">
        <v>44884</v>
      </c>
      <c r="I256" s="153">
        <v>44916</v>
      </c>
      <c r="J256" s="153" t="s">
        <v>1632</v>
      </c>
      <c r="K256" s="139">
        <v>13.069000000000001</v>
      </c>
      <c r="L256" s="125">
        <v>33</v>
      </c>
    </row>
    <row r="257" spans="2:12" ht="15.75" thickBot="1" x14ac:dyDescent="0.3">
      <c r="B257" s="83" t="s">
        <v>3727</v>
      </c>
      <c r="C257" s="83" t="s">
        <v>1616</v>
      </c>
      <c r="D257" s="152">
        <v>31.003</v>
      </c>
      <c r="E257" s="139">
        <v>31.003</v>
      </c>
      <c r="F257" s="85" t="s">
        <v>1618</v>
      </c>
      <c r="G257" s="91" t="s">
        <v>1619</v>
      </c>
      <c r="H257" s="153">
        <v>44792</v>
      </c>
      <c r="I257" s="153">
        <v>44823</v>
      </c>
      <c r="J257" s="153" t="s">
        <v>1632</v>
      </c>
      <c r="K257" s="139">
        <v>31.003</v>
      </c>
      <c r="L257" s="125">
        <v>32</v>
      </c>
    </row>
    <row r="258" spans="2:12" ht="15.75" thickBot="1" x14ac:dyDescent="0.3">
      <c r="B258" s="83" t="s">
        <v>3727</v>
      </c>
      <c r="C258" s="83" t="s">
        <v>1616</v>
      </c>
      <c r="D258" s="152">
        <v>16.733000000000001</v>
      </c>
      <c r="E258" s="139">
        <v>16.733000000000001</v>
      </c>
      <c r="F258" s="85" t="s">
        <v>1618</v>
      </c>
      <c r="G258" s="91" t="s">
        <v>1619</v>
      </c>
      <c r="H258" s="153">
        <v>44735</v>
      </c>
      <c r="I258" s="153">
        <v>44761</v>
      </c>
      <c r="J258" s="153" t="s">
        <v>1632</v>
      </c>
      <c r="K258" s="139">
        <v>16.733000000000001</v>
      </c>
      <c r="L258" s="125">
        <v>27</v>
      </c>
    </row>
    <row r="259" spans="2:12" ht="15.75" thickBot="1" x14ac:dyDescent="0.3">
      <c r="B259" s="83" t="s">
        <v>3727</v>
      </c>
      <c r="C259" s="83" t="s">
        <v>1616</v>
      </c>
      <c r="D259" s="152">
        <v>29.893000000000001</v>
      </c>
      <c r="E259" s="139">
        <v>29.893000000000001</v>
      </c>
      <c r="F259" s="85" t="s">
        <v>1618</v>
      </c>
      <c r="G259" s="91" t="s">
        <v>1619</v>
      </c>
      <c r="H259" s="153">
        <v>44639</v>
      </c>
      <c r="I259" s="153">
        <v>44671</v>
      </c>
      <c r="J259" s="153" t="s">
        <v>1632</v>
      </c>
      <c r="K259" s="139">
        <v>29.893000000000001</v>
      </c>
      <c r="L259" s="125">
        <v>33</v>
      </c>
    </row>
    <row r="260" spans="2:12" ht="15.75" thickBot="1" x14ac:dyDescent="0.3">
      <c r="B260" s="83" t="s">
        <v>3727</v>
      </c>
      <c r="C260" s="83" t="s">
        <v>1616</v>
      </c>
      <c r="D260" s="152">
        <v>13.374000000000001</v>
      </c>
      <c r="E260" s="139">
        <v>13.374000000000001</v>
      </c>
      <c r="F260" s="85" t="s">
        <v>1618</v>
      </c>
      <c r="G260" s="91" t="s">
        <v>1619</v>
      </c>
      <c r="H260" s="153">
        <v>44610</v>
      </c>
      <c r="I260" s="153">
        <v>44638</v>
      </c>
      <c r="J260" s="153" t="s">
        <v>1632</v>
      </c>
      <c r="K260" s="139">
        <v>13.374000000000001</v>
      </c>
      <c r="L260" s="125">
        <v>29</v>
      </c>
    </row>
    <row r="261" spans="2:12" ht="15.75" thickBot="1" x14ac:dyDescent="0.3">
      <c r="B261" s="83" t="s">
        <v>3727</v>
      </c>
      <c r="C261" s="83" t="s">
        <v>1616</v>
      </c>
      <c r="D261" s="152">
        <v>6.7867857142857142</v>
      </c>
      <c r="E261" s="139">
        <v>6.7867857142857142</v>
      </c>
      <c r="F261" s="85" t="s">
        <v>1618</v>
      </c>
      <c r="G261" s="91" t="s">
        <v>1619</v>
      </c>
      <c r="H261" s="153">
        <v>44917</v>
      </c>
      <c r="I261" s="153">
        <v>44944</v>
      </c>
      <c r="J261" s="153" t="s">
        <v>1632</v>
      </c>
      <c r="K261" s="139">
        <v>19.003</v>
      </c>
      <c r="L261" s="125">
        <v>10</v>
      </c>
    </row>
    <row r="262" spans="2:12" ht="15.75" thickBot="1" x14ac:dyDescent="0.3">
      <c r="B262" s="83" t="s">
        <v>3727</v>
      </c>
      <c r="C262" s="83" t="s">
        <v>1616</v>
      </c>
      <c r="D262" s="152">
        <v>13.331</v>
      </c>
      <c r="E262" s="139">
        <v>13.331</v>
      </c>
      <c r="F262" s="85" t="s">
        <v>1618</v>
      </c>
      <c r="G262" s="91" t="s">
        <v>1619</v>
      </c>
      <c r="H262" s="153">
        <v>44855</v>
      </c>
      <c r="I262" s="153">
        <v>44883</v>
      </c>
      <c r="J262" s="153" t="s">
        <v>1632</v>
      </c>
      <c r="K262" s="139">
        <v>13.331</v>
      </c>
      <c r="L262" s="125">
        <v>29</v>
      </c>
    </row>
    <row r="263" spans="2:12" ht="15.75" thickBot="1" x14ac:dyDescent="0.3">
      <c r="B263" s="83" t="s">
        <v>3727</v>
      </c>
      <c r="C263" s="83" t="s">
        <v>1616</v>
      </c>
      <c r="D263" s="139">
        <v>11.6</v>
      </c>
      <c r="E263" s="139">
        <v>11.6</v>
      </c>
      <c r="F263" s="85" t="s">
        <v>1618</v>
      </c>
      <c r="G263" s="91" t="s">
        <v>1619</v>
      </c>
      <c r="H263" s="153">
        <v>44824</v>
      </c>
      <c r="I263" s="153">
        <v>44854</v>
      </c>
      <c r="J263" s="153" t="s">
        <v>1632</v>
      </c>
      <c r="K263" s="139">
        <v>11.6</v>
      </c>
      <c r="L263" s="125">
        <v>31</v>
      </c>
    </row>
    <row r="264" spans="2:12" ht="15.75" thickBot="1" x14ac:dyDescent="0.3">
      <c r="B264" s="83" t="s">
        <v>3728</v>
      </c>
      <c r="C264" s="83" t="s">
        <v>1616</v>
      </c>
      <c r="D264" s="152">
        <v>0</v>
      </c>
      <c r="E264" s="139">
        <v>0</v>
      </c>
      <c r="F264" s="85" t="s">
        <v>1618</v>
      </c>
      <c r="G264" s="91" t="s">
        <v>1619</v>
      </c>
      <c r="H264" s="153">
        <v>44793</v>
      </c>
      <c r="I264" s="153">
        <v>44853</v>
      </c>
      <c r="J264" s="153" t="s">
        <v>1632</v>
      </c>
      <c r="K264" s="139">
        <v>0</v>
      </c>
      <c r="L264" s="125">
        <v>61</v>
      </c>
    </row>
    <row r="265" spans="2:12" ht="15.75" thickBot="1" x14ac:dyDescent="0.3">
      <c r="B265" s="83" t="s">
        <v>3728</v>
      </c>
      <c r="C265" s="83" t="s">
        <v>1616</v>
      </c>
      <c r="D265" s="152">
        <v>0</v>
      </c>
      <c r="E265" s="139">
        <v>0</v>
      </c>
      <c r="F265" s="85" t="s">
        <v>1618</v>
      </c>
      <c r="G265" s="91" t="s">
        <v>1619</v>
      </c>
      <c r="H265" s="153">
        <v>44736</v>
      </c>
      <c r="I265" s="153">
        <v>44792</v>
      </c>
      <c r="J265" s="153" t="s">
        <v>1632</v>
      </c>
      <c r="K265" s="139">
        <v>0</v>
      </c>
      <c r="L265" s="125">
        <v>57</v>
      </c>
    </row>
    <row r="266" spans="2:12" ht="15.75" thickBot="1" x14ac:dyDescent="0.3">
      <c r="B266" s="83" t="s">
        <v>3728</v>
      </c>
      <c r="C266" s="83" t="s">
        <v>1616</v>
      </c>
      <c r="D266" s="152">
        <v>0</v>
      </c>
      <c r="E266" s="139">
        <v>0</v>
      </c>
      <c r="F266" s="85" t="s">
        <v>1618</v>
      </c>
      <c r="G266" s="91" t="s">
        <v>1619</v>
      </c>
      <c r="H266" s="153">
        <v>44615</v>
      </c>
      <c r="I266" s="153">
        <v>44673</v>
      </c>
      <c r="J266" s="153" t="s">
        <v>1632</v>
      </c>
      <c r="K266" s="139">
        <v>0</v>
      </c>
      <c r="L266" s="125">
        <v>59</v>
      </c>
    </row>
    <row r="267" spans="2:12" ht="15.75" thickBot="1" x14ac:dyDescent="0.3">
      <c r="B267" s="83" t="s">
        <v>3728</v>
      </c>
      <c r="C267" s="83" t="s">
        <v>1616</v>
      </c>
      <c r="D267" s="152">
        <v>0</v>
      </c>
      <c r="E267" s="139">
        <v>0</v>
      </c>
      <c r="F267" s="85" t="s">
        <v>1618</v>
      </c>
      <c r="G267" s="91" t="s">
        <v>1619</v>
      </c>
      <c r="H267" s="153">
        <v>44674</v>
      </c>
      <c r="I267" s="153">
        <v>44735</v>
      </c>
      <c r="J267" s="153" t="s">
        <v>1632</v>
      </c>
      <c r="K267" s="139">
        <v>0</v>
      </c>
      <c r="L267" s="125">
        <v>62</v>
      </c>
    </row>
    <row r="268" spans="2:12" ht="15.75" thickBot="1" x14ac:dyDescent="0.3">
      <c r="B268" s="83" t="s">
        <v>3728</v>
      </c>
      <c r="C268" s="83" t="s">
        <v>1616</v>
      </c>
      <c r="D268" s="152">
        <v>6.6677419354838716E-2</v>
      </c>
      <c r="E268" s="139">
        <v>6.6677419354838716E-2</v>
      </c>
      <c r="F268" s="85" t="s">
        <v>1618</v>
      </c>
      <c r="G268" s="91" t="s">
        <v>1619</v>
      </c>
      <c r="H268" s="153">
        <v>44553</v>
      </c>
      <c r="I268" s="153">
        <v>44614</v>
      </c>
      <c r="J268" s="153" t="s">
        <v>1632</v>
      </c>
      <c r="K268" s="139">
        <v>7.8E-2</v>
      </c>
      <c r="L268" s="125">
        <v>53</v>
      </c>
    </row>
    <row r="269" spans="2:12" ht="15.75" thickBot="1" x14ac:dyDescent="0.3">
      <c r="B269" s="83" t="s">
        <v>3728</v>
      </c>
      <c r="C269" s="83" t="s">
        <v>1616</v>
      </c>
      <c r="D269" s="152">
        <v>0</v>
      </c>
      <c r="E269" s="139">
        <v>0</v>
      </c>
      <c r="F269" s="85" t="s">
        <v>1618</v>
      </c>
      <c r="G269" s="91" t="s">
        <v>1619</v>
      </c>
      <c r="H269" s="153">
        <v>44854</v>
      </c>
      <c r="I269" s="153">
        <v>44917</v>
      </c>
      <c r="J269" s="153" t="s">
        <v>1632</v>
      </c>
      <c r="K269" s="139">
        <v>0</v>
      </c>
      <c r="L269" s="125">
        <v>64</v>
      </c>
    </row>
    <row r="270" spans="2:12" ht="15.75" thickBot="1" x14ac:dyDescent="0.3">
      <c r="B270" s="83" t="s">
        <v>3728</v>
      </c>
      <c r="C270" s="83" t="s">
        <v>1616</v>
      </c>
      <c r="D270" s="152">
        <v>0</v>
      </c>
      <c r="E270" s="139">
        <v>0</v>
      </c>
      <c r="F270" s="85" t="s">
        <v>1618</v>
      </c>
      <c r="G270" s="91" t="s">
        <v>1619</v>
      </c>
      <c r="H270" s="153">
        <v>44918</v>
      </c>
      <c r="I270" s="153">
        <v>44979</v>
      </c>
      <c r="J270" s="153" t="s">
        <v>1632</v>
      </c>
      <c r="K270" s="139">
        <v>0</v>
      </c>
      <c r="L270" s="125">
        <v>9</v>
      </c>
    </row>
    <row r="271" spans="2:12" ht="15.75" thickBot="1" x14ac:dyDescent="0.3">
      <c r="B271" s="83" t="s">
        <v>1839</v>
      </c>
      <c r="C271" s="83" t="s">
        <v>1616</v>
      </c>
      <c r="D271" s="152">
        <v>2.4516129032258065</v>
      </c>
      <c r="E271" s="139">
        <v>2.4516129032258065</v>
      </c>
      <c r="F271" s="85" t="s">
        <v>1618</v>
      </c>
      <c r="G271" s="91" t="s">
        <v>1619</v>
      </c>
      <c r="H271" s="153">
        <v>44550</v>
      </c>
      <c r="I271" s="153">
        <v>44580</v>
      </c>
      <c r="J271" s="153" t="s">
        <v>1840</v>
      </c>
      <c r="K271" s="139">
        <v>4</v>
      </c>
      <c r="L271" s="125">
        <v>19</v>
      </c>
    </row>
    <row r="272" spans="2:12" ht="15.75" thickBot="1" x14ac:dyDescent="0.3">
      <c r="B272" s="83" t="s">
        <v>1839</v>
      </c>
      <c r="C272" s="83" t="s">
        <v>1616</v>
      </c>
      <c r="D272" s="152">
        <v>64.673684210526318</v>
      </c>
      <c r="E272" s="139">
        <v>64.673684210526318</v>
      </c>
      <c r="F272" s="85" t="s">
        <v>1618</v>
      </c>
      <c r="G272" s="91" t="s">
        <v>1619</v>
      </c>
      <c r="H272" s="153">
        <v>44515</v>
      </c>
      <c r="I272" s="153">
        <v>44609</v>
      </c>
      <c r="J272" s="153" t="s">
        <v>1840</v>
      </c>
      <c r="K272" s="139">
        <v>128</v>
      </c>
      <c r="L272" s="130">
        <v>48</v>
      </c>
    </row>
    <row r="273" spans="2:12" ht="15.75" thickBot="1" x14ac:dyDescent="0.3">
      <c r="B273" s="83" t="s">
        <v>1839</v>
      </c>
      <c r="C273" s="83" t="s">
        <v>1616</v>
      </c>
      <c r="D273" s="152">
        <v>40</v>
      </c>
      <c r="E273" s="139">
        <v>40</v>
      </c>
      <c r="F273" s="85" t="s">
        <v>1618</v>
      </c>
      <c r="G273" s="91" t="s">
        <v>1619</v>
      </c>
      <c r="H273" s="153">
        <v>44610</v>
      </c>
      <c r="I273" s="153">
        <v>44637</v>
      </c>
      <c r="J273" s="153" t="s">
        <v>1840</v>
      </c>
      <c r="K273" s="139">
        <v>40</v>
      </c>
      <c r="L273" s="125">
        <v>28</v>
      </c>
    </row>
    <row r="274" spans="2:12" ht="15.75" thickBot="1" x14ac:dyDescent="0.3">
      <c r="B274" s="83" t="s">
        <v>1839</v>
      </c>
      <c r="C274" s="83" t="s">
        <v>1616</v>
      </c>
      <c r="D274" s="152">
        <v>44</v>
      </c>
      <c r="E274" s="139">
        <v>44</v>
      </c>
      <c r="F274" s="85" t="s">
        <v>1618</v>
      </c>
      <c r="G274" s="91" t="s">
        <v>1619</v>
      </c>
      <c r="H274" s="153">
        <v>44638</v>
      </c>
      <c r="I274" s="153">
        <v>44668</v>
      </c>
      <c r="J274" s="153" t="s">
        <v>1840</v>
      </c>
      <c r="K274" s="139">
        <v>44</v>
      </c>
      <c r="L274" s="125">
        <v>31</v>
      </c>
    </row>
    <row r="275" spans="2:12" ht="15.75" thickBot="1" x14ac:dyDescent="0.3">
      <c r="B275" s="83" t="s">
        <v>1839</v>
      </c>
      <c r="C275" s="83" t="s">
        <v>1616</v>
      </c>
      <c r="D275" s="152">
        <v>16</v>
      </c>
      <c r="E275" s="139">
        <v>16</v>
      </c>
      <c r="F275" s="85" t="s">
        <v>1618</v>
      </c>
      <c r="G275" s="91" t="s">
        <v>1619</v>
      </c>
      <c r="H275" s="153">
        <v>44610</v>
      </c>
      <c r="I275" s="153">
        <v>44700</v>
      </c>
      <c r="J275" s="153" t="s">
        <v>1840</v>
      </c>
      <c r="K275" s="139">
        <v>16</v>
      </c>
      <c r="L275" s="125">
        <v>91</v>
      </c>
    </row>
    <row r="276" spans="2:12" ht="15.75" thickBot="1" x14ac:dyDescent="0.3">
      <c r="B276" s="83" t="s">
        <v>1839</v>
      </c>
      <c r="C276" s="83" t="s">
        <v>1616</v>
      </c>
      <c r="D276" s="152">
        <v>34</v>
      </c>
      <c r="E276" s="139">
        <v>34</v>
      </c>
      <c r="F276" s="85" t="s">
        <v>1618</v>
      </c>
      <c r="G276" s="91" t="s">
        <v>1619</v>
      </c>
      <c r="H276" s="153">
        <v>44701</v>
      </c>
      <c r="I276" s="153">
        <v>44731</v>
      </c>
      <c r="J276" s="153" t="s">
        <v>1840</v>
      </c>
      <c r="K276" s="139">
        <v>34</v>
      </c>
      <c r="L276" s="125">
        <v>31</v>
      </c>
    </row>
    <row r="277" spans="2:12" ht="15.75" thickBot="1" x14ac:dyDescent="0.3">
      <c r="B277" s="83" t="s">
        <v>1839</v>
      </c>
      <c r="C277" s="83" t="s">
        <v>1616</v>
      </c>
      <c r="D277" s="152">
        <v>33</v>
      </c>
      <c r="E277" s="139">
        <v>33</v>
      </c>
      <c r="F277" s="85" t="s">
        <v>1618</v>
      </c>
      <c r="G277" s="91" t="s">
        <v>1619</v>
      </c>
      <c r="H277" s="153">
        <v>44732</v>
      </c>
      <c r="I277" s="153">
        <v>44761</v>
      </c>
      <c r="J277" s="153" t="s">
        <v>1840</v>
      </c>
      <c r="K277" s="139">
        <v>33</v>
      </c>
      <c r="L277" s="125">
        <v>30</v>
      </c>
    </row>
    <row r="278" spans="2:12" ht="15.75" thickBot="1" x14ac:dyDescent="0.3">
      <c r="B278" s="83" t="s">
        <v>1839</v>
      </c>
      <c r="C278" s="83" t="s">
        <v>1616</v>
      </c>
      <c r="D278" s="152">
        <v>34</v>
      </c>
      <c r="E278" s="139">
        <v>34</v>
      </c>
      <c r="F278" s="85" t="s">
        <v>1618</v>
      </c>
      <c r="G278" s="91" t="s">
        <v>1619</v>
      </c>
      <c r="H278" s="153">
        <v>44762</v>
      </c>
      <c r="I278" s="153">
        <v>44792</v>
      </c>
      <c r="J278" s="153" t="s">
        <v>1840</v>
      </c>
      <c r="K278" s="139">
        <v>34</v>
      </c>
      <c r="L278" s="125">
        <v>31</v>
      </c>
    </row>
    <row r="279" spans="2:12" ht="15.75" thickBot="1" x14ac:dyDescent="0.3">
      <c r="B279" s="83" t="s">
        <v>1839</v>
      </c>
      <c r="C279" s="83" t="s">
        <v>1616</v>
      </c>
      <c r="D279" s="152">
        <v>34</v>
      </c>
      <c r="E279" s="139">
        <v>34</v>
      </c>
      <c r="F279" s="85" t="s">
        <v>1618</v>
      </c>
      <c r="G279" s="91" t="s">
        <v>1619</v>
      </c>
      <c r="H279" s="153">
        <v>44793</v>
      </c>
      <c r="I279" s="153">
        <v>44823</v>
      </c>
      <c r="J279" s="153" t="s">
        <v>1840</v>
      </c>
      <c r="K279" s="139">
        <v>34</v>
      </c>
      <c r="L279" s="125">
        <v>31</v>
      </c>
    </row>
    <row r="280" spans="2:12" ht="15.75" thickBot="1" x14ac:dyDescent="0.3">
      <c r="B280" s="83" t="s">
        <v>1839</v>
      </c>
      <c r="C280" s="83" t="s">
        <v>1616</v>
      </c>
      <c r="D280" s="152">
        <v>33</v>
      </c>
      <c r="E280" s="139">
        <v>33</v>
      </c>
      <c r="F280" s="85" t="s">
        <v>1618</v>
      </c>
      <c r="G280" s="91" t="s">
        <v>1619</v>
      </c>
      <c r="H280" s="153">
        <v>44824</v>
      </c>
      <c r="I280" s="153">
        <v>44853</v>
      </c>
      <c r="J280" s="153" t="s">
        <v>1840</v>
      </c>
      <c r="K280" s="139">
        <v>33</v>
      </c>
      <c r="L280" s="125">
        <v>30</v>
      </c>
    </row>
    <row r="281" spans="2:12" ht="15.75" thickBot="1" x14ac:dyDescent="0.3">
      <c r="B281" s="83" t="s">
        <v>1839</v>
      </c>
      <c r="C281" s="83" t="s">
        <v>1616</v>
      </c>
      <c r="D281" s="152">
        <v>167</v>
      </c>
      <c r="E281" s="139">
        <v>167</v>
      </c>
      <c r="F281" s="85" t="s">
        <v>1618</v>
      </c>
      <c r="G281" s="91" t="s">
        <v>1619</v>
      </c>
      <c r="H281" s="153">
        <v>44854</v>
      </c>
      <c r="I281" s="153">
        <v>44886</v>
      </c>
      <c r="J281" s="153" t="s">
        <v>1840</v>
      </c>
      <c r="K281" s="139">
        <v>167</v>
      </c>
      <c r="L281" s="125">
        <v>33</v>
      </c>
    </row>
    <row r="282" spans="2:12" ht="15.75" thickBot="1" x14ac:dyDescent="0.3">
      <c r="B282" s="83" t="s">
        <v>1839</v>
      </c>
      <c r="C282" s="83" t="s">
        <v>1616</v>
      </c>
      <c r="D282" s="152">
        <v>54</v>
      </c>
      <c r="E282" s="139">
        <v>54</v>
      </c>
      <c r="F282" s="85" t="s">
        <v>1618</v>
      </c>
      <c r="G282" s="91" t="s">
        <v>1619</v>
      </c>
      <c r="H282" s="153">
        <v>44887</v>
      </c>
      <c r="I282" s="153">
        <v>44916</v>
      </c>
      <c r="J282" s="153" t="s">
        <v>1840</v>
      </c>
      <c r="K282" s="139">
        <v>54</v>
      </c>
      <c r="L282" s="125">
        <v>30</v>
      </c>
    </row>
    <row r="283" spans="2:12" ht="15.75" thickBot="1" x14ac:dyDescent="0.3">
      <c r="B283" s="83" t="s">
        <v>1839</v>
      </c>
      <c r="C283" s="83" t="s">
        <v>1616</v>
      </c>
      <c r="D283" s="152">
        <v>18.064516129032256</v>
      </c>
      <c r="E283" s="139">
        <v>18.064516129032256</v>
      </c>
      <c r="F283" s="85" t="s">
        <v>1618</v>
      </c>
      <c r="G283" s="91" t="s">
        <v>1619</v>
      </c>
      <c r="H283" s="153">
        <v>44917</v>
      </c>
      <c r="I283" s="153">
        <v>44947</v>
      </c>
      <c r="J283" s="153" t="s">
        <v>1840</v>
      </c>
      <c r="K283" s="139">
        <v>56</v>
      </c>
      <c r="L283" s="130">
        <v>10</v>
      </c>
    </row>
  </sheetData>
  <mergeCells count="25">
    <mergeCell ref="L28:L29"/>
    <mergeCell ref="J28:J29"/>
    <mergeCell ref="B25:Y26"/>
    <mergeCell ref="B28:B29"/>
    <mergeCell ref="C28:C29"/>
    <mergeCell ref="D28:D29"/>
    <mergeCell ref="E28:E29"/>
    <mergeCell ref="F28:F29"/>
    <mergeCell ref="G28:G29"/>
    <mergeCell ref="K28:K29"/>
    <mergeCell ref="H28:H29"/>
    <mergeCell ref="I28:I29"/>
    <mergeCell ref="B21:Y22"/>
    <mergeCell ref="B9:AA9"/>
    <mergeCell ref="B11:C11"/>
    <mergeCell ref="D11:T11"/>
    <mergeCell ref="B12:C12"/>
    <mergeCell ref="D12:T12"/>
    <mergeCell ref="B13:C13"/>
    <mergeCell ref="D13:T13"/>
    <mergeCell ref="B14:C14"/>
    <mergeCell ref="D14:T14"/>
    <mergeCell ref="B15:C15"/>
    <mergeCell ref="D15:T15"/>
    <mergeCell ref="B17:AA17"/>
  </mergeCells>
  <dataValidations count="3">
    <dataValidation type="list" allowBlank="1" showInputMessage="1" showErrorMessage="1" sqref="C30:C35">
      <formula1>"Rede Pública, Captação (Furo, Poço, etc.), Águas Pluviais"</formula1>
    </dataValidation>
    <dataValidation type="list" allowBlank="1" showInputMessage="1" showErrorMessage="1" sqref="F30:F270">
      <formula1>"m3 (metros cúbicos), l (litros), ton (toneladas)"</formula1>
    </dataValidation>
    <dataValidation type="list" allowBlank="1" showInputMessage="1" showErrorMessage="1" sqref="G30:G270">
      <formula1>"ETAR Rede Pública, ETAR Industrial Propietária"</formula1>
    </dataValidation>
  </dataValidations>
  <pageMargins left="0.7" right="0.7" top="0.75" bottom="0.75" header="0.3" footer="0.3"/>
  <customProperties>
    <customPr name="GUID" r:id="rId1"/>
  </customPropertie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7"/>
  <dimension ref="B6:AA49"/>
  <sheetViews>
    <sheetView tabSelected="1" topLeftCell="A22" workbookViewId="0">
      <selection activeCell="G55" sqref="G55"/>
    </sheetView>
    <sheetView workbookViewId="1"/>
  </sheetViews>
  <sheetFormatPr defaultRowHeight="15" x14ac:dyDescent="0.25"/>
  <cols>
    <col min="2" max="2" width="43" customWidth="1"/>
    <col min="3" max="5" width="35.7109375" customWidth="1"/>
    <col min="6" max="6" width="24.140625" customWidth="1"/>
    <col min="7" max="8" width="25.7109375" customWidth="1"/>
    <col min="9" max="9" width="28.7109375" customWidth="1"/>
    <col min="10" max="12" width="25.7109375" customWidth="1"/>
    <col min="13" max="13" width="30.5703125" customWidth="1"/>
    <col min="14" max="14" width="43.28515625" customWidth="1"/>
  </cols>
  <sheetData>
    <row r="6" spans="2:25" ht="15.75" thickBot="1" x14ac:dyDescent="0.3"/>
    <row r="7" spans="2:25" x14ac:dyDescent="0.25">
      <c r="B7" s="78" t="s">
        <v>118</v>
      </c>
      <c r="C7" s="79"/>
      <c r="D7" s="93"/>
      <c r="E7" s="93"/>
      <c r="F7" s="93"/>
    </row>
    <row r="9" spans="2:25" x14ac:dyDescent="0.25">
      <c r="B9" s="516" t="str">
        <f>"Grupo Barraqueiro: "&amp;'Folha de Rosto'!C6&amp;" "&amp;'Folha de Rosto'!I6&amp;" - Emissões de GEE de Âmbito 3"</f>
        <v>Grupo Barraqueiro: PEGADA DE CARBONO 2022 - Emissões de GEE de Âmbito 3</v>
      </c>
      <c r="C9" s="516"/>
      <c r="D9" s="516"/>
      <c r="E9" s="516"/>
      <c r="F9" s="516"/>
      <c r="G9" s="516"/>
      <c r="H9" s="516"/>
      <c r="I9" s="516"/>
      <c r="J9" s="516"/>
      <c r="K9" s="516"/>
      <c r="L9" s="516"/>
      <c r="M9" s="516"/>
      <c r="N9" s="516"/>
      <c r="O9" s="516"/>
      <c r="P9" s="516"/>
      <c r="Q9" s="516"/>
      <c r="R9" s="516"/>
      <c r="S9" s="516"/>
      <c r="T9" s="516"/>
      <c r="U9" s="516"/>
      <c r="V9" s="516"/>
      <c r="W9" s="516"/>
      <c r="X9" s="516"/>
      <c r="Y9" s="516"/>
    </row>
    <row r="10" spans="2:25" ht="15.75" thickBot="1" x14ac:dyDescent="0.3"/>
    <row r="11" spans="2:25" ht="33.6" customHeight="1" thickBot="1" x14ac:dyDescent="0.3">
      <c r="B11" s="512" t="s">
        <v>119</v>
      </c>
      <c r="C11" s="512"/>
      <c r="D11" s="551" t="s">
        <v>522</v>
      </c>
      <c r="E11" s="552"/>
      <c r="F11" s="552"/>
      <c r="G11" s="552"/>
      <c r="H11" s="518"/>
    </row>
    <row r="12" spans="2:25" ht="60.95" customHeight="1" thickBot="1" x14ac:dyDescent="0.3">
      <c r="B12" s="512" t="s">
        <v>120</v>
      </c>
      <c r="C12" s="512"/>
      <c r="D12" s="554" t="s">
        <v>454</v>
      </c>
      <c r="E12" s="555"/>
      <c r="F12" s="555"/>
      <c r="G12" s="555"/>
      <c r="H12" s="521"/>
    </row>
    <row r="13" spans="2:25" ht="60.95" customHeight="1" thickBot="1" x14ac:dyDescent="0.3">
      <c r="B13" s="512" t="s">
        <v>121</v>
      </c>
      <c r="C13" s="512"/>
      <c r="D13" s="547" t="s">
        <v>1529</v>
      </c>
      <c r="E13" s="548"/>
      <c r="F13" s="548"/>
      <c r="G13" s="548"/>
      <c r="H13" s="513"/>
    </row>
    <row r="14" spans="2:25" ht="60.95" customHeight="1" thickBot="1" x14ac:dyDescent="0.3">
      <c r="B14" s="512" t="s">
        <v>122</v>
      </c>
      <c r="C14" s="512"/>
      <c r="D14" s="547" t="s">
        <v>123</v>
      </c>
      <c r="E14" s="548"/>
      <c r="F14" s="548"/>
      <c r="G14" s="548"/>
      <c r="H14" s="513"/>
    </row>
    <row r="15" spans="2:25" ht="60" customHeight="1" thickBot="1" x14ac:dyDescent="0.3">
      <c r="B15" s="512" t="s">
        <v>128</v>
      </c>
      <c r="C15" s="512"/>
      <c r="D15" s="547" t="s">
        <v>129</v>
      </c>
      <c r="E15" s="548"/>
      <c r="F15" s="548"/>
      <c r="G15" s="548"/>
      <c r="H15" s="513"/>
    </row>
    <row r="17" spans="2:27" x14ac:dyDescent="0.25">
      <c r="B17" s="516" t="s">
        <v>1816</v>
      </c>
      <c r="C17" s="516"/>
      <c r="D17" s="516"/>
      <c r="E17" s="516"/>
      <c r="F17" s="516"/>
      <c r="G17" s="516"/>
      <c r="H17" s="516"/>
      <c r="I17" s="516"/>
      <c r="J17" s="516"/>
      <c r="K17" s="516"/>
      <c r="L17" s="516"/>
      <c r="M17" s="516"/>
      <c r="N17" s="516"/>
      <c r="O17" s="516"/>
      <c r="P17" s="516"/>
      <c r="Q17" s="516"/>
      <c r="R17" s="516"/>
      <c r="S17" s="516"/>
      <c r="T17" s="516"/>
      <c r="U17" s="516"/>
      <c r="V17" s="516"/>
      <c r="W17" s="516"/>
      <c r="X17" s="516"/>
      <c r="Y17" s="516"/>
      <c r="Z17" s="516"/>
      <c r="AA17" s="516"/>
    </row>
    <row r="18" spans="2:27" x14ac:dyDescent="0.25">
      <c r="B18" t="s">
        <v>130</v>
      </c>
    </row>
    <row r="20" spans="2:27" x14ac:dyDescent="0.25">
      <c r="B20" s="81" t="s">
        <v>135</v>
      </c>
    </row>
    <row r="21" spans="2:27" x14ac:dyDescent="0.25">
      <c r="B21" s="517" t="s">
        <v>1846</v>
      </c>
      <c r="C21" s="517"/>
      <c r="D21" s="517"/>
      <c r="E21" s="517"/>
      <c r="F21" s="517"/>
      <c r="G21" s="517"/>
      <c r="H21" s="517"/>
      <c r="I21" s="517"/>
      <c r="J21" s="517"/>
      <c r="K21" s="517"/>
      <c r="L21" s="517"/>
      <c r="M21" s="517"/>
      <c r="N21" s="517"/>
      <c r="O21" s="517"/>
      <c r="P21" s="517"/>
      <c r="Q21" s="517"/>
      <c r="R21" s="517"/>
      <c r="S21" s="517"/>
      <c r="T21" s="517"/>
      <c r="U21" s="517"/>
      <c r="V21" s="517"/>
      <c r="W21" s="517"/>
      <c r="X21" s="517"/>
      <c r="Y21" s="517"/>
    </row>
    <row r="22" spans="2:27" x14ac:dyDescent="0.25">
      <c r="B22" s="517"/>
      <c r="C22" s="517"/>
      <c r="D22" s="517"/>
      <c r="E22" s="517"/>
      <c r="F22" s="517"/>
      <c r="G22" s="517"/>
      <c r="H22" s="517"/>
      <c r="I22" s="517"/>
      <c r="J22" s="517"/>
      <c r="K22" s="517"/>
      <c r="L22" s="517"/>
      <c r="M22" s="517"/>
      <c r="N22" s="517"/>
      <c r="O22" s="517"/>
      <c r="P22" s="517"/>
      <c r="Q22" s="517"/>
      <c r="R22" s="517"/>
      <c r="S22" s="517"/>
      <c r="T22" s="517"/>
      <c r="U22" s="517"/>
      <c r="V22" s="517"/>
      <c r="W22" s="517"/>
      <c r="X22" s="517"/>
      <c r="Y22" s="517"/>
    </row>
    <row r="24" spans="2:27" ht="15" customHeight="1" x14ac:dyDescent="0.25">
      <c r="B24" s="81" t="s">
        <v>136</v>
      </c>
    </row>
    <row r="25" spans="2:27" x14ac:dyDescent="0.25">
      <c r="B25" s="517"/>
      <c r="C25" s="517"/>
      <c r="D25" s="517"/>
      <c r="E25" s="517"/>
      <c r="F25" s="517"/>
      <c r="G25" s="517"/>
      <c r="H25" s="517"/>
      <c r="I25" s="517"/>
      <c r="J25" s="517"/>
      <c r="K25" s="517"/>
      <c r="L25" s="517"/>
      <c r="M25" s="517"/>
      <c r="N25" s="517"/>
      <c r="O25" s="517"/>
      <c r="P25" s="517"/>
      <c r="Q25" s="517"/>
      <c r="R25" s="517"/>
      <c r="S25" s="517"/>
      <c r="T25" s="517"/>
      <c r="U25" s="517"/>
      <c r="V25" s="517"/>
      <c r="W25" s="517"/>
      <c r="X25" s="517"/>
      <c r="Y25" s="517"/>
    </row>
    <row r="26" spans="2:27" x14ac:dyDescent="0.25">
      <c r="B26" s="517"/>
      <c r="C26" s="517"/>
      <c r="D26" s="517"/>
      <c r="E26" s="517"/>
      <c r="F26" s="517"/>
      <c r="G26" s="517"/>
      <c r="H26" s="517"/>
      <c r="I26" s="517"/>
      <c r="J26" s="517"/>
      <c r="K26" s="517"/>
      <c r="L26" s="517"/>
      <c r="M26" s="517"/>
      <c r="N26" s="517"/>
      <c r="O26" s="517"/>
      <c r="P26" s="517"/>
      <c r="Q26" s="517"/>
      <c r="R26" s="517"/>
      <c r="S26" s="517"/>
      <c r="T26" s="517"/>
      <c r="U26" s="517"/>
      <c r="V26" s="517"/>
      <c r="W26" s="517"/>
      <c r="X26" s="517"/>
      <c r="Y26" s="517"/>
    </row>
    <row r="27" spans="2:27" ht="15.75" thickBot="1" x14ac:dyDescent="0.3"/>
    <row r="28" spans="2:27" s="94" customFormat="1" ht="15.75" customHeight="1" thickBot="1" x14ac:dyDescent="0.3">
      <c r="B28" s="508" t="s">
        <v>131</v>
      </c>
      <c r="C28" s="508" t="s">
        <v>459</v>
      </c>
      <c r="D28" s="508" t="s">
        <v>460</v>
      </c>
      <c r="E28" s="508" t="s">
        <v>461</v>
      </c>
      <c r="F28" s="508" t="s">
        <v>462</v>
      </c>
      <c r="G28" s="510" t="s">
        <v>445</v>
      </c>
      <c r="H28" s="508" t="s">
        <v>449</v>
      </c>
      <c r="I28" s="510" t="s">
        <v>446</v>
      </c>
      <c r="J28" s="510" t="s">
        <v>141</v>
      </c>
      <c r="K28" s="508" t="s">
        <v>456</v>
      </c>
      <c r="L28" s="508" t="s">
        <v>457</v>
      </c>
      <c r="M28" s="510" t="s">
        <v>448</v>
      </c>
      <c r="N28" s="510" t="s">
        <v>134</v>
      </c>
    </row>
    <row r="29" spans="2:27" s="94" customFormat="1" ht="15" customHeight="1" thickBot="1" x14ac:dyDescent="0.3">
      <c r="B29" s="509"/>
      <c r="C29" s="509"/>
      <c r="D29" s="509"/>
      <c r="E29" s="509"/>
      <c r="F29" s="509"/>
      <c r="G29" s="508"/>
      <c r="H29" s="558"/>
      <c r="I29" s="508"/>
      <c r="J29" s="508"/>
      <c r="K29" s="558"/>
      <c r="L29" s="558"/>
      <c r="M29" s="508"/>
      <c r="N29" s="510"/>
    </row>
    <row r="30" spans="2:27" ht="15.75" thickBot="1" x14ac:dyDescent="0.3">
      <c r="B30" s="82"/>
      <c r="C30" s="82"/>
      <c r="D30" s="83"/>
      <c r="E30" s="83"/>
      <c r="F30" s="83"/>
      <c r="G30" s="83"/>
      <c r="H30" s="83"/>
      <c r="I30" s="83"/>
      <c r="J30" s="85"/>
      <c r="K30" s="83"/>
      <c r="L30" s="83"/>
      <c r="M30" s="83"/>
      <c r="N30" s="83"/>
    </row>
    <row r="31" spans="2:27" ht="15.75" thickBot="1" x14ac:dyDescent="0.3">
      <c r="B31" s="82"/>
      <c r="C31" s="82"/>
      <c r="D31" s="83"/>
      <c r="E31" s="83"/>
      <c r="F31" s="83"/>
      <c r="G31" s="83"/>
      <c r="H31" s="83"/>
      <c r="I31" s="83"/>
      <c r="J31" s="85"/>
      <c r="K31" s="83"/>
      <c r="L31" s="83"/>
      <c r="M31" s="83"/>
      <c r="N31" s="83"/>
    </row>
    <row r="32" spans="2:27" ht="15.75" thickBot="1" x14ac:dyDescent="0.3">
      <c r="B32" s="82"/>
      <c r="C32" s="82"/>
      <c r="D32" s="83"/>
      <c r="E32" s="83"/>
      <c r="F32" s="83"/>
      <c r="G32" s="83"/>
      <c r="H32" s="83"/>
      <c r="I32" s="83"/>
      <c r="J32" s="85"/>
      <c r="K32" s="83"/>
      <c r="L32" s="83"/>
      <c r="M32" s="83"/>
      <c r="N32" s="83"/>
    </row>
    <row r="33" spans="2:14" ht="15.75" thickBot="1" x14ac:dyDescent="0.3">
      <c r="B33" s="82"/>
      <c r="C33" s="82"/>
      <c r="D33" s="83"/>
      <c r="E33" s="83"/>
      <c r="F33" s="83"/>
      <c r="G33" s="83"/>
      <c r="H33" s="83"/>
      <c r="I33" s="83"/>
      <c r="J33" s="85"/>
      <c r="K33" s="83"/>
      <c r="L33" s="83"/>
      <c r="M33" s="83"/>
      <c r="N33" s="83"/>
    </row>
    <row r="34" spans="2:14" ht="15.75" thickBot="1" x14ac:dyDescent="0.3">
      <c r="B34" s="82"/>
      <c r="C34" s="82"/>
      <c r="D34" s="83"/>
      <c r="E34" s="83"/>
      <c r="F34" s="83"/>
      <c r="G34" s="83"/>
      <c r="H34" s="83"/>
      <c r="I34" s="83"/>
      <c r="J34" s="85"/>
      <c r="K34" s="83"/>
      <c r="L34" s="83"/>
      <c r="M34" s="83"/>
      <c r="N34" s="83"/>
    </row>
    <row r="35" spans="2:14" ht="15.75" thickBot="1" x14ac:dyDescent="0.3">
      <c r="B35" s="82"/>
      <c r="C35" s="82"/>
      <c r="D35" s="83"/>
      <c r="E35" s="83"/>
      <c r="F35" s="83"/>
      <c r="G35" s="83"/>
      <c r="H35" s="83"/>
      <c r="I35" s="83"/>
      <c r="J35" s="85"/>
      <c r="K35" s="83"/>
      <c r="L35" s="83"/>
      <c r="M35" s="83"/>
      <c r="N35" s="83"/>
    </row>
    <row r="36" spans="2:14" ht="15.75" thickBot="1" x14ac:dyDescent="0.3">
      <c r="B36" s="82"/>
      <c r="C36" s="82"/>
      <c r="D36" s="83"/>
      <c r="E36" s="83"/>
      <c r="F36" s="83"/>
      <c r="G36" s="83"/>
      <c r="H36" s="83"/>
      <c r="I36" s="83"/>
      <c r="J36" s="85"/>
      <c r="K36" s="83"/>
      <c r="L36" s="83"/>
      <c r="M36" s="83"/>
      <c r="N36" s="83"/>
    </row>
    <row r="37" spans="2:14" ht="15.75" thickBot="1" x14ac:dyDescent="0.3">
      <c r="B37" s="82"/>
      <c r="C37" s="82"/>
      <c r="D37" s="83"/>
      <c r="E37" s="83"/>
      <c r="F37" s="83"/>
      <c r="G37" s="83"/>
      <c r="H37" s="83"/>
      <c r="I37" s="83"/>
      <c r="J37" s="85"/>
      <c r="K37" s="83"/>
      <c r="L37" s="83"/>
      <c r="M37" s="83"/>
      <c r="N37" s="83"/>
    </row>
    <row r="38" spans="2:14" ht="15.75" thickBot="1" x14ac:dyDescent="0.3">
      <c r="B38" s="82"/>
      <c r="C38" s="82"/>
      <c r="D38" s="83"/>
      <c r="E38" s="83"/>
      <c r="F38" s="83"/>
      <c r="G38" s="83"/>
      <c r="H38" s="83"/>
      <c r="I38" s="83"/>
      <c r="J38" s="85"/>
      <c r="K38" s="83"/>
      <c r="L38" s="83"/>
      <c r="M38" s="83"/>
      <c r="N38" s="83"/>
    </row>
    <row r="39" spans="2:14" ht="15.75" thickBot="1" x14ac:dyDescent="0.3">
      <c r="B39" s="82"/>
      <c r="C39" s="82"/>
      <c r="D39" s="83"/>
      <c r="E39" s="83"/>
      <c r="F39" s="83"/>
      <c r="G39" s="83"/>
      <c r="H39" s="83"/>
      <c r="I39" s="83"/>
      <c r="J39" s="85"/>
      <c r="K39" s="83"/>
      <c r="L39" s="83"/>
      <c r="M39" s="83"/>
      <c r="N39" s="83"/>
    </row>
    <row r="40" spans="2:14" ht="15.75" thickBot="1" x14ac:dyDescent="0.3">
      <c r="B40" s="82"/>
      <c r="C40" s="82"/>
      <c r="D40" s="83"/>
      <c r="E40" s="83"/>
      <c r="F40" s="83"/>
      <c r="G40" s="83"/>
      <c r="H40" s="83"/>
      <c r="I40" s="83"/>
      <c r="J40" s="85"/>
      <c r="K40" s="83"/>
      <c r="L40" s="83"/>
      <c r="M40" s="83"/>
      <c r="N40" s="83"/>
    </row>
    <row r="41" spans="2:14" ht="15.75" thickBot="1" x14ac:dyDescent="0.3">
      <c r="B41" s="82"/>
      <c r="C41" s="82"/>
      <c r="D41" s="83"/>
      <c r="E41" s="83"/>
      <c r="F41" s="83"/>
      <c r="G41" s="83"/>
      <c r="H41" s="83"/>
      <c r="I41" s="83"/>
      <c r="J41" s="85"/>
      <c r="K41" s="83"/>
      <c r="L41" s="83"/>
      <c r="M41" s="83"/>
      <c r="N41" s="83"/>
    </row>
    <row r="42" spans="2:14" ht="15.75" thickBot="1" x14ac:dyDescent="0.3">
      <c r="B42" s="82"/>
      <c r="C42" s="82"/>
      <c r="D42" s="83"/>
      <c r="E42" s="83"/>
      <c r="F42" s="83"/>
      <c r="G42" s="83"/>
      <c r="H42" s="83"/>
      <c r="I42" s="83"/>
      <c r="J42" s="85"/>
      <c r="K42" s="83"/>
      <c r="L42" s="83"/>
      <c r="M42" s="83"/>
      <c r="N42" s="83"/>
    </row>
    <row r="43" spans="2:14" ht="15.75" thickBot="1" x14ac:dyDescent="0.3">
      <c r="B43" s="82"/>
      <c r="C43" s="82"/>
      <c r="D43" s="83"/>
      <c r="E43" s="83"/>
      <c r="F43" s="83"/>
      <c r="G43" s="83"/>
      <c r="H43" s="83"/>
      <c r="I43" s="83"/>
      <c r="J43" s="85"/>
      <c r="K43" s="83"/>
      <c r="L43" s="83"/>
      <c r="M43" s="83"/>
      <c r="N43" s="83"/>
    </row>
    <row r="44" spans="2:14" ht="15.75" thickBot="1" x14ac:dyDescent="0.3">
      <c r="B44" s="82"/>
      <c r="C44" s="82"/>
      <c r="D44" s="83"/>
      <c r="E44" s="83"/>
      <c r="F44" s="83"/>
      <c r="G44" s="83"/>
      <c r="H44" s="83"/>
      <c r="I44" s="83"/>
      <c r="J44" s="85"/>
      <c r="K44" s="83"/>
      <c r="L44" s="83"/>
      <c r="M44" s="83"/>
      <c r="N44" s="83"/>
    </row>
    <row r="45" spans="2:14" ht="15.75" thickBot="1" x14ac:dyDescent="0.3">
      <c r="B45" s="82"/>
      <c r="C45" s="82"/>
      <c r="D45" s="83"/>
      <c r="E45" s="83"/>
      <c r="F45" s="83"/>
      <c r="G45" s="83"/>
      <c r="H45" s="83"/>
      <c r="I45" s="83"/>
      <c r="J45" s="85"/>
      <c r="K45" s="83"/>
      <c r="L45" s="83"/>
      <c r="M45" s="83"/>
      <c r="N45" s="83"/>
    </row>
    <row r="49" spans="9:9" x14ac:dyDescent="0.25">
      <c r="I49" s="92"/>
    </row>
  </sheetData>
  <mergeCells count="27">
    <mergeCell ref="D13:H13"/>
    <mergeCell ref="J28:J29"/>
    <mergeCell ref="K28:K29"/>
    <mergeCell ref="L28:L29"/>
    <mergeCell ref="M28:M29"/>
    <mergeCell ref="B17:AA17"/>
    <mergeCell ref="B21:Y22"/>
    <mergeCell ref="N28:N29"/>
    <mergeCell ref="D28:D29"/>
    <mergeCell ref="E28:E29"/>
    <mergeCell ref="F28:F29"/>
    <mergeCell ref="B9:Y9"/>
    <mergeCell ref="B11:C11"/>
    <mergeCell ref="B12:C12"/>
    <mergeCell ref="B13:C13"/>
    <mergeCell ref="B28:B29"/>
    <mergeCell ref="C28:C29"/>
    <mergeCell ref="G28:G29"/>
    <mergeCell ref="H28:H29"/>
    <mergeCell ref="I28:I29"/>
    <mergeCell ref="D11:H11"/>
    <mergeCell ref="D14:H14"/>
    <mergeCell ref="D15:H15"/>
    <mergeCell ref="B25:Y26"/>
    <mergeCell ref="B14:C14"/>
    <mergeCell ref="B15:C15"/>
    <mergeCell ref="D12:H12"/>
  </mergeCells>
  <dataValidations count="5">
    <dataValidation type="list" allowBlank="1" showInputMessage="1" showErrorMessage="1" sqref="J30:J45">
      <formula1>"unidades, paletes, contentores, kWh, l (litros), kg (quilos), ton (toneladas), Nm3 (metros cubicos norm.), Outro/NA"</formula1>
    </dataValidation>
    <dataValidation type="list" allowBlank="1" showInputMessage="1" showErrorMessage="1" sqref="G30:G45">
      <formula1>"Rodoviário, Ferroviário, Aéreo, Marítimo, Outro"</formula1>
    </dataValidation>
    <dataValidation type="list" allowBlank="1" showInputMessage="1" showErrorMessage="1" sqref="C30:C45">
      <formula1>"Combustíveis, Óleos e Aditivos, Equipamentos de AC, Gases Refrigerantes, Outro"</formula1>
    </dataValidation>
    <dataValidation type="list" allowBlank="1" showInputMessage="1" showErrorMessage="1" sqref="F30:F45">
      <formula1>"Sim, Não"</formula1>
    </dataValidation>
    <dataValidation type="list" allowBlank="1" showInputMessage="1" showErrorMessage="1" sqref="H30:H45">
      <formula1>"Meios Próprios Cliente, LCV/Van, HDV Rigid, HDV Articulated, HDV Avg, HDV refrigerated, Freight Flights, Rail, Sea Tanker (products), Sea Tanker (chem. Tanker), Cargo Ship (bulk), Cargo Ship (general), Cargo Ship (container ship), Outro"</formula1>
    </dataValidation>
  </dataValidations>
  <pageMargins left="0.7" right="0.7" top="0.75" bottom="0.75" header="0.3" footer="0.3"/>
  <customProperties>
    <customPr name="GUID" r:id="rId1"/>
  </customPropertie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8"/>
  <dimension ref="B6:X26"/>
  <sheetViews>
    <sheetView topLeftCell="A271" workbookViewId="0"/>
    <sheetView workbookViewId="1"/>
  </sheetViews>
  <sheetFormatPr defaultRowHeight="15" x14ac:dyDescent="0.25"/>
  <cols>
    <col min="2" max="2" width="28.5703125" customWidth="1"/>
    <col min="3" max="3" width="21.42578125" customWidth="1"/>
  </cols>
  <sheetData>
    <row r="6" spans="2:22" ht="15.75" thickBot="1" x14ac:dyDescent="0.3"/>
    <row r="7" spans="2:22" x14ac:dyDescent="0.25">
      <c r="B7" s="78" t="s">
        <v>118</v>
      </c>
      <c r="C7" s="79"/>
    </row>
    <row r="9" spans="2:22" x14ac:dyDescent="0.25">
      <c r="B9" s="516" t="str">
        <f>"Grupo Barraqueiro: "&amp;'Folha de Rosto'!C6&amp;" "&amp;'Folha de Rosto'!I6&amp;" - Emissões de GEE de Âmbito 3"</f>
        <v>Grupo Barraqueiro: PEGADA DE CARBONO 2022 - Emissões de GEE de Âmbito 3</v>
      </c>
      <c r="C9" s="516"/>
      <c r="D9" s="516"/>
      <c r="E9" s="516"/>
      <c r="F9" s="516"/>
      <c r="G9" s="516"/>
      <c r="H9" s="516"/>
      <c r="I9" s="516"/>
      <c r="J9" s="516"/>
      <c r="K9" s="516"/>
      <c r="L9" s="516"/>
      <c r="M9" s="516"/>
      <c r="N9" s="516"/>
      <c r="O9" s="516"/>
      <c r="P9" s="516"/>
      <c r="Q9" s="516"/>
      <c r="R9" s="516"/>
      <c r="S9" s="516"/>
      <c r="T9" s="516"/>
      <c r="U9" s="516"/>
      <c r="V9" s="516"/>
    </row>
    <row r="10" spans="2:22" ht="15.75" thickBot="1" x14ac:dyDescent="0.3"/>
    <row r="11" spans="2:22" ht="33.6" customHeight="1" thickBot="1" x14ac:dyDescent="0.3">
      <c r="B11" s="512" t="s">
        <v>119</v>
      </c>
      <c r="C11" s="512"/>
      <c r="D11" s="518" t="s">
        <v>522</v>
      </c>
      <c r="E11" s="518"/>
      <c r="F11" s="518"/>
      <c r="G11" s="518"/>
      <c r="H11" s="519"/>
      <c r="I11" s="519"/>
      <c r="J11" s="519"/>
      <c r="K11" s="519"/>
      <c r="L11" s="519"/>
      <c r="M11" s="519"/>
      <c r="N11" s="519"/>
      <c r="O11" s="519"/>
      <c r="P11" s="519"/>
      <c r="Q11" s="520"/>
    </row>
    <row r="12" spans="2:22" ht="60.95" customHeight="1" thickBot="1" x14ac:dyDescent="0.3">
      <c r="B12" s="512" t="s">
        <v>120</v>
      </c>
      <c r="C12" s="512"/>
      <c r="D12" s="521" t="s">
        <v>455</v>
      </c>
      <c r="E12" s="521"/>
      <c r="F12" s="521"/>
      <c r="G12" s="521"/>
      <c r="H12" s="522"/>
      <c r="I12" s="522"/>
      <c r="J12" s="522"/>
      <c r="K12" s="522"/>
      <c r="L12" s="522"/>
      <c r="M12" s="522"/>
      <c r="N12" s="522"/>
      <c r="O12" s="522"/>
      <c r="P12" s="522"/>
      <c r="Q12" s="523"/>
    </row>
    <row r="13" spans="2:22" ht="60.95" customHeight="1" thickBot="1" x14ac:dyDescent="0.3">
      <c r="B13" s="512" t="s">
        <v>121</v>
      </c>
      <c r="C13" s="512"/>
      <c r="D13" s="565" t="s">
        <v>76</v>
      </c>
      <c r="E13" s="565"/>
      <c r="F13" s="565"/>
      <c r="G13" s="565"/>
      <c r="H13" s="566"/>
      <c r="I13" s="566"/>
      <c r="J13" s="566"/>
      <c r="K13" s="566"/>
      <c r="L13" s="566"/>
      <c r="M13" s="566"/>
      <c r="N13" s="566"/>
      <c r="O13" s="566"/>
      <c r="P13" s="566"/>
      <c r="Q13" s="567"/>
    </row>
    <row r="14" spans="2:22" ht="60.95" customHeight="1" thickBot="1" x14ac:dyDescent="0.3">
      <c r="B14" s="512" t="s">
        <v>122</v>
      </c>
      <c r="C14" s="512"/>
      <c r="D14" s="565" t="s">
        <v>76</v>
      </c>
      <c r="E14" s="565"/>
      <c r="F14" s="565"/>
      <c r="G14" s="565"/>
      <c r="H14" s="566"/>
      <c r="I14" s="566"/>
      <c r="J14" s="566"/>
      <c r="K14" s="566"/>
      <c r="L14" s="566"/>
      <c r="M14" s="566"/>
      <c r="N14" s="566"/>
      <c r="O14" s="566"/>
      <c r="P14" s="566"/>
      <c r="Q14" s="567"/>
    </row>
    <row r="15" spans="2:22" ht="60" customHeight="1" thickBot="1" x14ac:dyDescent="0.3">
      <c r="B15" s="512" t="s">
        <v>128</v>
      </c>
      <c r="C15" s="512"/>
      <c r="D15" s="568" t="s">
        <v>76</v>
      </c>
      <c r="E15" s="569"/>
      <c r="F15" s="569"/>
      <c r="G15" s="569"/>
      <c r="H15" s="569"/>
      <c r="I15" s="569"/>
      <c r="J15" s="569"/>
      <c r="K15" s="569"/>
      <c r="L15" s="569"/>
      <c r="M15" s="569"/>
      <c r="N15" s="569"/>
      <c r="O15" s="569"/>
      <c r="P15" s="569"/>
      <c r="Q15" s="565"/>
    </row>
    <row r="17" spans="2:24" x14ac:dyDescent="0.25">
      <c r="B17" s="516" t="s">
        <v>1815</v>
      </c>
      <c r="C17" s="516"/>
      <c r="D17" s="516"/>
      <c r="E17" s="516"/>
      <c r="F17" s="516"/>
      <c r="G17" s="516"/>
      <c r="H17" s="516"/>
      <c r="I17" s="516"/>
      <c r="J17" s="516"/>
      <c r="K17" s="516"/>
      <c r="L17" s="516"/>
      <c r="M17" s="516"/>
      <c r="N17" s="516"/>
      <c r="O17" s="516"/>
      <c r="P17" s="516"/>
      <c r="Q17" s="516"/>
      <c r="R17" s="516"/>
      <c r="S17" s="516"/>
      <c r="T17" s="516"/>
      <c r="U17" s="516"/>
      <c r="V17" s="516"/>
      <c r="W17" s="516"/>
      <c r="X17" s="516"/>
    </row>
    <row r="18" spans="2:24" x14ac:dyDescent="0.25">
      <c r="B18" t="s">
        <v>130</v>
      </c>
    </row>
    <row r="20" spans="2:24" x14ac:dyDescent="0.25">
      <c r="B20" s="81" t="s">
        <v>135</v>
      </c>
    </row>
    <row r="21" spans="2:24" x14ac:dyDescent="0.25">
      <c r="B21" s="517"/>
      <c r="C21" s="517"/>
      <c r="D21" s="517"/>
      <c r="E21" s="517"/>
      <c r="F21" s="517"/>
      <c r="G21" s="517"/>
      <c r="H21" s="517"/>
      <c r="I21" s="517"/>
      <c r="J21" s="517"/>
      <c r="K21" s="517"/>
      <c r="L21" s="517"/>
      <c r="M21" s="517"/>
      <c r="N21" s="517"/>
      <c r="O21" s="517"/>
      <c r="P21" s="517"/>
      <c r="Q21" s="517"/>
      <c r="R21" s="517"/>
      <c r="S21" s="517"/>
      <c r="T21" s="517"/>
      <c r="U21" s="517"/>
      <c r="V21" s="517"/>
    </row>
    <row r="22" spans="2:24" x14ac:dyDescent="0.25">
      <c r="B22" s="517"/>
      <c r="C22" s="517"/>
      <c r="D22" s="517"/>
      <c r="E22" s="517"/>
      <c r="F22" s="517"/>
      <c r="G22" s="517"/>
      <c r="H22" s="517"/>
      <c r="I22" s="517"/>
      <c r="J22" s="517"/>
      <c r="K22" s="517"/>
      <c r="L22" s="517"/>
      <c r="M22" s="517"/>
      <c r="N22" s="517"/>
      <c r="O22" s="517"/>
      <c r="P22" s="517"/>
      <c r="Q22" s="517"/>
      <c r="R22" s="517"/>
      <c r="S22" s="517"/>
      <c r="T22" s="517"/>
      <c r="U22" s="517"/>
      <c r="V22" s="517"/>
    </row>
    <row r="24" spans="2:24" ht="15" customHeight="1" x14ac:dyDescent="0.25">
      <c r="B24" s="81" t="s">
        <v>136</v>
      </c>
    </row>
    <row r="25" spans="2:24" x14ac:dyDescent="0.25">
      <c r="B25" s="517"/>
      <c r="C25" s="517"/>
      <c r="D25" s="517"/>
      <c r="E25" s="517"/>
      <c r="F25" s="517"/>
      <c r="G25" s="517"/>
      <c r="H25" s="517"/>
      <c r="I25" s="517"/>
      <c r="J25" s="517"/>
      <c r="K25" s="517"/>
      <c r="L25" s="517"/>
      <c r="M25" s="517"/>
      <c r="N25" s="517"/>
      <c r="O25" s="517"/>
      <c r="P25" s="517"/>
      <c r="Q25" s="517"/>
      <c r="R25" s="517"/>
      <c r="S25" s="517"/>
      <c r="T25" s="517"/>
      <c r="U25" s="517"/>
      <c r="V25" s="517"/>
    </row>
    <row r="26" spans="2:24" x14ac:dyDescent="0.25">
      <c r="B26" s="517"/>
      <c r="C26" s="517"/>
      <c r="D26" s="517"/>
      <c r="E26" s="517"/>
      <c r="F26" s="517"/>
      <c r="G26" s="517"/>
      <c r="H26" s="517"/>
      <c r="I26" s="517"/>
      <c r="J26" s="517"/>
      <c r="K26" s="517"/>
      <c r="L26" s="517"/>
      <c r="M26" s="517"/>
      <c r="N26" s="517"/>
      <c r="O26" s="517"/>
      <c r="P26" s="517"/>
      <c r="Q26" s="517"/>
      <c r="R26" s="517"/>
      <c r="S26" s="517"/>
      <c r="T26" s="517"/>
      <c r="U26" s="517"/>
      <c r="V26" s="517"/>
    </row>
  </sheetData>
  <mergeCells count="14">
    <mergeCell ref="B25:V26"/>
    <mergeCell ref="B14:C14"/>
    <mergeCell ref="D14:Q14"/>
    <mergeCell ref="B15:C15"/>
    <mergeCell ref="D15:Q15"/>
    <mergeCell ref="B17:X17"/>
    <mergeCell ref="B21:V22"/>
    <mergeCell ref="B13:C13"/>
    <mergeCell ref="D13:Q13"/>
    <mergeCell ref="B9:V9"/>
    <mergeCell ref="B11:C11"/>
    <mergeCell ref="D11:Q11"/>
    <mergeCell ref="B12:C12"/>
    <mergeCell ref="D12:Q12"/>
  </mergeCells>
  <pageMargins left="0.7" right="0.7" top="0.75" bottom="0.75" header="0.3" footer="0.3"/>
  <customProperties>
    <customPr name="GUID" r:id="rId1"/>
  </customPropertie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9"/>
  <dimension ref="B6:X26"/>
  <sheetViews>
    <sheetView topLeftCell="A364" workbookViewId="0"/>
    <sheetView workbookViewId="1"/>
  </sheetViews>
  <sheetFormatPr defaultRowHeight="15" x14ac:dyDescent="0.25"/>
  <cols>
    <col min="2" max="2" width="28.5703125" customWidth="1"/>
    <col min="3" max="3" width="21.42578125" customWidth="1"/>
  </cols>
  <sheetData>
    <row r="6" spans="2:22" ht="15.75" thickBot="1" x14ac:dyDescent="0.3"/>
    <row r="7" spans="2:22" x14ac:dyDescent="0.25">
      <c r="B7" s="78" t="s">
        <v>118</v>
      </c>
      <c r="C7" s="79"/>
    </row>
    <row r="9" spans="2:22" x14ac:dyDescent="0.25">
      <c r="B9" s="516" t="str">
        <f>"Grupo Barraqueiro: "&amp;'Folha de Rosto'!C6&amp;" "&amp;'Folha de Rosto'!I6&amp;" - Emissões de GEE de Âmbito 3"</f>
        <v>Grupo Barraqueiro: PEGADA DE CARBONO 2022 - Emissões de GEE de Âmbito 3</v>
      </c>
      <c r="C9" s="516"/>
      <c r="D9" s="516"/>
      <c r="E9" s="516"/>
      <c r="F9" s="516"/>
      <c r="G9" s="516"/>
      <c r="H9" s="516"/>
      <c r="I9" s="516"/>
      <c r="J9" s="516"/>
      <c r="K9" s="516"/>
      <c r="L9" s="516"/>
      <c r="M9" s="516"/>
      <c r="N9" s="516"/>
      <c r="O9" s="516"/>
      <c r="P9" s="516"/>
      <c r="Q9" s="516"/>
      <c r="R9" s="516"/>
      <c r="S9" s="516"/>
      <c r="T9" s="516"/>
      <c r="U9" s="516"/>
      <c r="V9" s="516"/>
    </row>
    <row r="10" spans="2:22" ht="15.75" thickBot="1" x14ac:dyDescent="0.3"/>
    <row r="11" spans="2:22" ht="33.6" customHeight="1" thickBot="1" x14ac:dyDescent="0.3">
      <c r="B11" s="512" t="s">
        <v>119</v>
      </c>
      <c r="C11" s="512"/>
      <c r="D11" s="518" t="s">
        <v>522</v>
      </c>
      <c r="E11" s="518"/>
      <c r="F11" s="518"/>
      <c r="G11" s="518"/>
      <c r="H11" s="519"/>
      <c r="I11" s="519"/>
      <c r="J11" s="519"/>
      <c r="K11" s="519"/>
      <c r="L11" s="519"/>
      <c r="M11" s="519"/>
      <c r="N11" s="519"/>
      <c r="O11" s="519"/>
      <c r="P11" s="519"/>
      <c r="Q11" s="520"/>
    </row>
    <row r="12" spans="2:22" ht="60.95" customHeight="1" thickBot="1" x14ac:dyDescent="0.3">
      <c r="B12" s="512" t="s">
        <v>120</v>
      </c>
      <c r="C12" s="512"/>
      <c r="D12" s="521" t="s">
        <v>453</v>
      </c>
      <c r="E12" s="521"/>
      <c r="F12" s="521"/>
      <c r="G12" s="521"/>
      <c r="H12" s="522"/>
      <c r="I12" s="522"/>
      <c r="J12" s="522"/>
      <c r="K12" s="522"/>
      <c r="L12" s="522"/>
      <c r="M12" s="522"/>
      <c r="N12" s="522"/>
      <c r="O12" s="522"/>
      <c r="P12" s="522"/>
      <c r="Q12" s="523"/>
    </row>
    <row r="13" spans="2:22" ht="60.95" customHeight="1" thickBot="1" x14ac:dyDescent="0.3">
      <c r="B13" s="512" t="s">
        <v>121</v>
      </c>
      <c r="C13" s="512"/>
      <c r="D13" s="565" t="s">
        <v>76</v>
      </c>
      <c r="E13" s="565"/>
      <c r="F13" s="565"/>
      <c r="G13" s="565"/>
      <c r="H13" s="566"/>
      <c r="I13" s="566"/>
      <c r="J13" s="566"/>
      <c r="K13" s="566"/>
      <c r="L13" s="566"/>
      <c r="M13" s="566"/>
      <c r="N13" s="566"/>
      <c r="O13" s="566"/>
      <c r="P13" s="566"/>
      <c r="Q13" s="567"/>
    </row>
    <row r="14" spans="2:22" ht="60.95" customHeight="1" thickBot="1" x14ac:dyDescent="0.3">
      <c r="B14" s="512" t="s">
        <v>122</v>
      </c>
      <c r="C14" s="512"/>
      <c r="D14" s="565" t="s">
        <v>76</v>
      </c>
      <c r="E14" s="565"/>
      <c r="F14" s="565"/>
      <c r="G14" s="565"/>
      <c r="H14" s="566"/>
      <c r="I14" s="566"/>
      <c r="J14" s="566"/>
      <c r="K14" s="566"/>
      <c r="L14" s="566"/>
      <c r="M14" s="566"/>
      <c r="N14" s="566"/>
      <c r="O14" s="566"/>
      <c r="P14" s="566"/>
      <c r="Q14" s="567"/>
    </row>
    <row r="15" spans="2:22" ht="60" customHeight="1" thickBot="1" x14ac:dyDescent="0.3">
      <c r="B15" s="512" t="s">
        <v>128</v>
      </c>
      <c r="C15" s="512"/>
      <c r="D15" s="568" t="s">
        <v>76</v>
      </c>
      <c r="E15" s="569"/>
      <c r="F15" s="569"/>
      <c r="G15" s="569"/>
      <c r="H15" s="569"/>
      <c r="I15" s="569"/>
      <c r="J15" s="569"/>
      <c r="K15" s="569"/>
      <c r="L15" s="569"/>
      <c r="M15" s="569"/>
      <c r="N15" s="569"/>
      <c r="O15" s="569"/>
      <c r="P15" s="569"/>
      <c r="Q15" s="565"/>
    </row>
    <row r="17" spans="2:24" x14ac:dyDescent="0.25">
      <c r="B17" s="516" t="s">
        <v>11</v>
      </c>
      <c r="C17" s="516"/>
      <c r="D17" s="516"/>
      <c r="E17" s="516"/>
      <c r="F17" s="516"/>
      <c r="G17" s="516"/>
      <c r="H17" s="516"/>
      <c r="I17" s="516"/>
      <c r="J17" s="516"/>
      <c r="K17" s="516"/>
      <c r="L17" s="516"/>
      <c r="M17" s="516"/>
      <c r="N17" s="516"/>
      <c r="O17" s="516"/>
      <c r="P17" s="516"/>
      <c r="Q17" s="516"/>
      <c r="R17" s="516"/>
      <c r="S17" s="516"/>
      <c r="T17" s="516"/>
      <c r="U17" s="516"/>
      <c r="V17" s="516"/>
      <c r="W17" s="516"/>
      <c r="X17" s="516"/>
    </row>
    <row r="18" spans="2:24" x14ac:dyDescent="0.25">
      <c r="B18" t="s">
        <v>130</v>
      </c>
    </row>
    <row r="20" spans="2:24" x14ac:dyDescent="0.25">
      <c r="B20" s="81" t="s">
        <v>135</v>
      </c>
    </row>
    <row r="21" spans="2:24" x14ac:dyDescent="0.25">
      <c r="B21" s="517"/>
      <c r="C21" s="517"/>
      <c r="D21" s="517"/>
      <c r="E21" s="517"/>
      <c r="F21" s="517"/>
      <c r="G21" s="517"/>
      <c r="H21" s="517"/>
      <c r="I21" s="517"/>
      <c r="J21" s="517"/>
      <c r="K21" s="517"/>
      <c r="L21" s="517"/>
      <c r="M21" s="517"/>
      <c r="N21" s="517"/>
      <c r="O21" s="517"/>
      <c r="P21" s="517"/>
      <c r="Q21" s="517"/>
      <c r="R21" s="517"/>
      <c r="S21" s="517"/>
      <c r="T21" s="517"/>
      <c r="U21" s="517"/>
      <c r="V21" s="517"/>
    </row>
    <row r="22" spans="2:24" x14ac:dyDescent="0.25">
      <c r="B22" s="517"/>
      <c r="C22" s="517"/>
      <c r="D22" s="517"/>
      <c r="E22" s="517"/>
      <c r="F22" s="517"/>
      <c r="G22" s="517"/>
      <c r="H22" s="517"/>
      <c r="I22" s="517"/>
      <c r="J22" s="517"/>
      <c r="K22" s="517"/>
      <c r="L22" s="517"/>
      <c r="M22" s="517"/>
      <c r="N22" s="517"/>
      <c r="O22" s="517"/>
      <c r="P22" s="517"/>
      <c r="Q22" s="517"/>
      <c r="R22" s="517"/>
      <c r="S22" s="517"/>
      <c r="T22" s="517"/>
      <c r="U22" s="517"/>
      <c r="V22" s="517"/>
    </row>
    <row r="24" spans="2:24" ht="15" customHeight="1" x14ac:dyDescent="0.25">
      <c r="B24" s="81" t="s">
        <v>136</v>
      </c>
    </row>
    <row r="25" spans="2:24" x14ac:dyDescent="0.25">
      <c r="B25" s="517"/>
      <c r="C25" s="517"/>
      <c r="D25" s="517"/>
      <c r="E25" s="517"/>
      <c r="F25" s="517"/>
      <c r="G25" s="517"/>
      <c r="H25" s="517"/>
      <c r="I25" s="517"/>
      <c r="J25" s="517"/>
      <c r="K25" s="517"/>
      <c r="L25" s="517"/>
      <c r="M25" s="517"/>
      <c r="N25" s="517"/>
      <c r="O25" s="517"/>
      <c r="P25" s="517"/>
      <c r="Q25" s="517"/>
      <c r="R25" s="517"/>
      <c r="S25" s="517"/>
      <c r="T25" s="517"/>
      <c r="U25" s="517"/>
      <c r="V25" s="517"/>
    </row>
    <row r="26" spans="2:24" x14ac:dyDescent="0.25">
      <c r="B26" s="517"/>
      <c r="C26" s="517"/>
      <c r="D26" s="517"/>
      <c r="E26" s="517"/>
      <c r="F26" s="517"/>
      <c r="G26" s="517"/>
      <c r="H26" s="517"/>
      <c r="I26" s="517"/>
      <c r="J26" s="517"/>
      <c r="K26" s="517"/>
      <c r="L26" s="517"/>
      <c r="M26" s="517"/>
      <c r="N26" s="517"/>
      <c r="O26" s="517"/>
      <c r="P26" s="517"/>
      <c r="Q26" s="517"/>
      <c r="R26" s="517"/>
      <c r="S26" s="517"/>
      <c r="T26" s="517"/>
      <c r="U26" s="517"/>
      <c r="V26" s="517"/>
    </row>
  </sheetData>
  <mergeCells count="14">
    <mergeCell ref="B25:V26"/>
    <mergeCell ref="B14:C14"/>
    <mergeCell ref="D14:Q14"/>
    <mergeCell ref="B15:C15"/>
    <mergeCell ref="D15:Q15"/>
    <mergeCell ref="B17:X17"/>
    <mergeCell ref="B21:V22"/>
    <mergeCell ref="B13:C13"/>
    <mergeCell ref="D13:Q13"/>
    <mergeCell ref="B9:V9"/>
    <mergeCell ref="B11:C11"/>
    <mergeCell ref="D11:Q11"/>
    <mergeCell ref="B12:C12"/>
    <mergeCell ref="D12:Q12"/>
  </mergeCells>
  <pageMargins left="0.7" right="0.7" top="0.75" bottom="0.75" header="0.3" footer="0.3"/>
  <customProperties>
    <customPr name="GUID" r:id="rId1"/>
  </customPropertie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50"/>
  <dimension ref="B6:X26"/>
  <sheetViews>
    <sheetView topLeftCell="A907" workbookViewId="0">
      <selection activeCell="S701" sqref="S701"/>
    </sheetView>
    <sheetView workbookViewId="1"/>
  </sheetViews>
  <sheetFormatPr defaultRowHeight="15" x14ac:dyDescent="0.25"/>
  <cols>
    <col min="2" max="2" width="28.5703125" customWidth="1"/>
    <col min="3" max="3" width="12" customWidth="1"/>
  </cols>
  <sheetData>
    <row r="6" spans="2:22" ht="15.75" thickBot="1" x14ac:dyDescent="0.3"/>
    <row r="7" spans="2:22" x14ac:dyDescent="0.25">
      <c r="B7" s="78" t="s">
        <v>118</v>
      </c>
      <c r="C7" s="79"/>
    </row>
    <row r="9" spans="2:22" x14ac:dyDescent="0.25">
      <c r="B9" s="516" t="str">
        <f>"Grupo Barraqueiro: "&amp;'Folha de Rosto'!C6&amp;" "&amp;'Folha de Rosto'!I6&amp;" - Emissões de GEE de Âmbito 3"</f>
        <v>Grupo Barraqueiro: PEGADA DE CARBONO 2022 - Emissões de GEE de Âmbito 3</v>
      </c>
      <c r="C9" s="516"/>
      <c r="D9" s="516"/>
      <c r="E9" s="516"/>
      <c r="F9" s="516"/>
      <c r="G9" s="516"/>
      <c r="H9" s="516"/>
      <c r="I9" s="516"/>
      <c r="J9" s="516"/>
      <c r="K9" s="516"/>
      <c r="L9" s="516"/>
      <c r="M9" s="516"/>
      <c r="N9" s="516"/>
      <c r="O9" s="516"/>
      <c r="P9" s="516"/>
      <c r="Q9" s="516"/>
      <c r="R9" s="516"/>
      <c r="S9" s="516"/>
      <c r="T9" s="516"/>
      <c r="U9" s="516"/>
      <c r="V9" s="516"/>
    </row>
    <row r="10" spans="2:22" ht="15.75" thickBot="1" x14ac:dyDescent="0.3"/>
    <row r="11" spans="2:22" ht="33.6" customHeight="1" thickBot="1" x14ac:dyDescent="0.3">
      <c r="B11" s="512" t="s">
        <v>119</v>
      </c>
      <c r="C11" s="512"/>
      <c r="D11" s="518" t="s">
        <v>522</v>
      </c>
      <c r="E11" s="518"/>
      <c r="F11" s="518"/>
      <c r="G11" s="518"/>
      <c r="H11" s="519"/>
      <c r="I11" s="519"/>
      <c r="J11" s="519"/>
      <c r="K11" s="519"/>
      <c r="L11" s="519"/>
      <c r="M11" s="519"/>
      <c r="N11" s="519"/>
      <c r="O11" s="519"/>
      <c r="P11" s="519"/>
      <c r="Q11" s="520"/>
    </row>
    <row r="12" spans="2:22" ht="60.95" customHeight="1" thickBot="1" x14ac:dyDescent="0.3">
      <c r="B12" s="512" t="s">
        <v>120</v>
      </c>
      <c r="C12" s="512"/>
      <c r="D12" s="521" t="s">
        <v>452</v>
      </c>
      <c r="E12" s="521"/>
      <c r="F12" s="521"/>
      <c r="G12" s="521"/>
      <c r="H12" s="522"/>
      <c r="I12" s="522"/>
      <c r="J12" s="522"/>
      <c r="K12" s="522"/>
      <c r="L12" s="522"/>
      <c r="M12" s="522"/>
      <c r="N12" s="522"/>
      <c r="O12" s="522"/>
      <c r="P12" s="522"/>
      <c r="Q12" s="523"/>
    </row>
    <row r="13" spans="2:22" ht="60.95" customHeight="1" thickBot="1" x14ac:dyDescent="0.3">
      <c r="B13" s="512" t="s">
        <v>121</v>
      </c>
      <c r="C13" s="512"/>
      <c r="D13" s="565" t="s">
        <v>76</v>
      </c>
      <c r="E13" s="565"/>
      <c r="F13" s="565"/>
      <c r="G13" s="565"/>
      <c r="H13" s="566"/>
      <c r="I13" s="566"/>
      <c r="J13" s="566"/>
      <c r="K13" s="566"/>
      <c r="L13" s="566"/>
      <c r="M13" s="566"/>
      <c r="N13" s="566"/>
      <c r="O13" s="566"/>
      <c r="P13" s="566"/>
      <c r="Q13" s="567"/>
    </row>
    <row r="14" spans="2:22" ht="60.95" customHeight="1" thickBot="1" x14ac:dyDescent="0.3">
      <c r="B14" s="512" t="s">
        <v>122</v>
      </c>
      <c r="C14" s="512"/>
      <c r="D14" s="565" t="s">
        <v>76</v>
      </c>
      <c r="E14" s="565"/>
      <c r="F14" s="565"/>
      <c r="G14" s="565"/>
      <c r="H14" s="566"/>
      <c r="I14" s="566"/>
      <c r="J14" s="566"/>
      <c r="K14" s="566"/>
      <c r="L14" s="566"/>
      <c r="M14" s="566"/>
      <c r="N14" s="566"/>
      <c r="O14" s="566"/>
      <c r="P14" s="566"/>
      <c r="Q14" s="567"/>
    </row>
    <row r="15" spans="2:22" ht="60" customHeight="1" thickBot="1" x14ac:dyDescent="0.3">
      <c r="B15" s="512" t="s">
        <v>128</v>
      </c>
      <c r="C15" s="512"/>
      <c r="D15" s="568" t="s">
        <v>76</v>
      </c>
      <c r="E15" s="569"/>
      <c r="F15" s="569"/>
      <c r="G15" s="569"/>
      <c r="H15" s="569"/>
      <c r="I15" s="569"/>
      <c r="J15" s="569"/>
      <c r="K15" s="569"/>
      <c r="L15" s="569"/>
      <c r="M15" s="569"/>
      <c r="N15" s="569"/>
      <c r="O15" s="569"/>
      <c r="P15" s="569"/>
      <c r="Q15" s="565"/>
    </row>
    <row r="17" spans="2:24" x14ac:dyDescent="0.25">
      <c r="B17" s="516" t="s">
        <v>12</v>
      </c>
      <c r="C17" s="516"/>
      <c r="D17" s="516"/>
      <c r="E17" s="516"/>
      <c r="F17" s="516"/>
      <c r="G17" s="516"/>
      <c r="H17" s="516"/>
      <c r="I17" s="516"/>
      <c r="J17" s="516"/>
      <c r="K17" s="516"/>
      <c r="L17" s="516"/>
      <c r="M17" s="516"/>
      <c r="N17" s="516"/>
      <c r="O17" s="516"/>
      <c r="P17" s="516"/>
      <c r="Q17" s="516"/>
      <c r="R17" s="516"/>
      <c r="S17" s="516"/>
      <c r="T17" s="516"/>
      <c r="U17" s="516"/>
      <c r="V17" s="516"/>
      <c r="W17" s="516"/>
      <c r="X17" s="516"/>
    </row>
    <row r="18" spans="2:24" x14ac:dyDescent="0.25">
      <c r="B18" t="s">
        <v>130</v>
      </c>
    </row>
    <row r="20" spans="2:24" x14ac:dyDescent="0.25">
      <c r="B20" s="81" t="s">
        <v>135</v>
      </c>
    </row>
    <row r="21" spans="2:24" x14ac:dyDescent="0.25">
      <c r="B21" s="517"/>
      <c r="C21" s="517"/>
      <c r="D21" s="517"/>
      <c r="E21" s="517"/>
      <c r="F21" s="517"/>
      <c r="G21" s="517"/>
      <c r="H21" s="517"/>
      <c r="I21" s="517"/>
      <c r="J21" s="517"/>
      <c r="K21" s="517"/>
      <c r="L21" s="517"/>
      <c r="M21" s="517"/>
      <c r="N21" s="517"/>
      <c r="O21" s="517"/>
      <c r="P21" s="517"/>
      <c r="Q21" s="517"/>
      <c r="R21" s="517"/>
      <c r="S21" s="517"/>
      <c r="T21" s="517"/>
      <c r="U21" s="517"/>
      <c r="V21" s="517"/>
    </row>
    <row r="22" spans="2:24" x14ac:dyDescent="0.25">
      <c r="B22" s="517"/>
      <c r="C22" s="517"/>
      <c r="D22" s="517"/>
      <c r="E22" s="517"/>
      <c r="F22" s="517"/>
      <c r="G22" s="517"/>
      <c r="H22" s="517"/>
      <c r="I22" s="517"/>
      <c r="J22" s="517"/>
      <c r="K22" s="517"/>
      <c r="L22" s="517"/>
      <c r="M22" s="517"/>
      <c r="N22" s="517"/>
      <c r="O22" s="517"/>
      <c r="P22" s="517"/>
      <c r="Q22" s="517"/>
      <c r="R22" s="517"/>
      <c r="S22" s="517"/>
      <c r="T22" s="517"/>
      <c r="U22" s="517"/>
      <c r="V22" s="517"/>
    </row>
    <row r="24" spans="2:24" ht="15" customHeight="1" x14ac:dyDescent="0.25">
      <c r="B24" s="81" t="s">
        <v>136</v>
      </c>
    </row>
    <row r="25" spans="2:24" x14ac:dyDescent="0.25">
      <c r="B25" s="517"/>
      <c r="C25" s="517"/>
      <c r="D25" s="517"/>
      <c r="E25" s="517"/>
      <c r="F25" s="517"/>
      <c r="G25" s="517"/>
      <c r="H25" s="517"/>
      <c r="I25" s="517"/>
      <c r="J25" s="517"/>
      <c r="K25" s="517"/>
      <c r="L25" s="517"/>
      <c r="M25" s="517"/>
      <c r="N25" s="517"/>
      <c r="O25" s="517"/>
      <c r="P25" s="517"/>
      <c r="Q25" s="517"/>
      <c r="R25" s="517"/>
      <c r="S25" s="517"/>
      <c r="T25" s="517"/>
      <c r="U25" s="517"/>
      <c r="V25" s="517"/>
    </row>
    <row r="26" spans="2:24" x14ac:dyDescent="0.25">
      <c r="B26" s="517"/>
      <c r="C26" s="517"/>
      <c r="D26" s="517"/>
      <c r="E26" s="517"/>
      <c r="F26" s="517"/>
      <c r="G26" s="517"/>
      <c r="H26" s="517"/>
      <c r="I26" s="517"/>
      <c r="J26" s="517"/>
      <c r="K26" s="517"/>
      <c r="L26" s="517"/>
      <c r="M26" s="517"/>
      <c r="N26" s="517"/>
      <c r="O26" s="517"/>
      <c r="P26" s="517"/>
      <c r="Q26" s="517"/>
      <c r="R26" s="517"/>
      <c r="S26" s="517"/>
      <c r="T26" s="517"/>
      <c r="U26" s="517"/>
      <c r="V26" s="517"/>
    </row>
  </sheetData>
  <mergeCells count="14">
    <mergeCell ref="B25:V26"/>
    <mergeCell ref="B14:C14"/>
    <mergeCell ref="D14:Q14"/>
    <mergeCell ref="B15:C15"/>
    <mergeCell ref="D15:Q15"/>
    <mergeCell ref="B17:X17"/>
    <mergeCell ref="B21:V22"/>
    <mergeCell ref="B13:C13"/>
    <mergeCell ref="D13:Q13"/>
    <mergeCell ref="B9:V9"/>
    <mergeCell ref="B11:C11"/>
    <mergeCell ref="D11:Q11"/>
    <mergeCell ref="B12:C12"/>
    <mergeCell ref="D12:Q12"/>
  </mergeCells>
  <pageMargins left="0.7" right="0.7" top="0.75" bottom="0.75" header="0.3" footer="0.3"/>
  <customProperties>
    <customPr name="GUID" r:id="rId1"/>
  </customPropertie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5"/>
  <dimension ref="B6:U75"/>
  <sheetViews>
    <sheetView topLeftCell="A10" workbookViewId="0"/>
    <sheetView workbookViewId="1"/>
  </sheetViews>
  <sheetFormatPr defaultRowHeight="15" x14ac:dyDescent="0.25"/>
  <cols>
    <col min="2" max="2" width="50.5703125" customWidth="1"/>
    <col min="3" max="3" width="37.140625" customWidth="1"/>
    <col min="4" max="5" width="21.5703125" customWidth="1"/>
    <col min="6" max="6" width="27.140625" bestFit="1" customWidth="1"/>
    <col min="7" max="9" width="28.28515625" customWidth="1"/>
    <col min="10" max="10" width="40" customWidth="1"/>
    <col min="11" max="11" width="37.85546875" bestFit="1" customWidth="1"/>
  </cols>
  <sheetData>
    <row r="6" spans="2:21" ht="15.75" thickBot="1" x14ac:dyDescent="0.3"/>
    <row r="7" spans="2:21" x14ac:dyDescent="0.25">
      <c r="B7" s="78" t="s">
        <v>118</v>
      </c>
      <c r="C7" s="80"/>
    </row>
    <row r="9" spans="2:21" x14ac:dyDescent="0.25">
      <c r="B9" s="516" t="str">
        <f>"Grupo Barraqueiro: "&amp;'Folha de Rosto'!C6&amp;" "&amp;'Folha de Rosto'!I6&amp;" - Emissões de GEE de Âmbito 1"</f>
        <v>Grupo Barraqueiro: PEGADA DE CARBONO 2022 - Emissões de GEE de Âmbito 1</v>
      </c>
      <c r="C9" s="516"/>
      <c r="D9" s="516"/>
      <c r="E9" s="516"/>
      <c r="F9" s="516"/>
      <c r="G9" s="516"/>
      <c r="H9" s="516"/>
      <c r="I9" s="516"/>
      <c r="J9" s="516"/>
      <c r="K9" s="516"/>
      <c r="L9" s="516"/>
      <c r="M9" s="516"/>
      <c r="N9" s="516"/>
      <c r="O9" s="516"/>
      <c r="P9" s="516"/>
      <c r="Q9" s="516"/>
      <c r="R9" s="516"/>
      <c r="S9" s="516"/>
      <c r="T9" s="516"/>
      <c r="U9" s="516"/>
    </row>
    <row r="10" spans="2:21" ht="15.75" thickBot="1" x14ac:dyDescent="0.3"/>
    <row r="11" spans="2:21" ht="33.75" customHeight="1" thickBot="1" x14ac:dyDescent="0.3">
      <c r="B11" s="512" t="s">
        <v>119</v>
      </c>
      <c r="C11" s="512"/>
      <c r="D11" s="518" t="s">
        <v>127</v>
      </c>
      <c r="E11" s="519"/>
      <c r="F11" s="519"/>
      <c r="G11" s="519"/>
      <c r="H11" s="519"/>
      <c r="I11" s="519"/>
      <c r="J11" s="519"/>
      <c r="K11" s="519"/>
      <c r="L11" s="519"/>
      <c r="M11" s="519"/>
      <c r="N11" s="519"/>
      <c r="O11" s="519"/>
      <c r="P11" s="520"/>
    </row>
    <row r="12" spans="2:21" ht="67.5" customHeight="1" thickBot="1" x14ac:dyDescent="0.3">
      <c r="B12" s="512" t="s">
        <v>120</v>
      </c>
      <c r="C12" s="512"/>
      <c r="D12" s="521" t="s">
        <v>150</v>
      </c>
      <c r="E12" s="522"/>
      <c r="F12" s="522"/>
      <c r="G12" s="522"/>
      <c r="H12" s="522"/>
      <c r="I12" s="522"/>
      <c r="J12" s="522"/>
      <c r="K12" s="522"/>
      <c r="L12" s="522"/>
      <c r="M12" s="522"/>
      <c r="N12" s="522"/>
      <c r="O12" s="522"/>
      <c r="P12" s="523"/>
    </row>
    <row r="13" spans="2:21" ht="60" customHeight="1" thickBot="1" x14ac:dyDescent="0.3">
      <c r="B13" s="512" t="s">
        <v>121</v>
      </c>
      <c r="C13" s="512"/>
      <c r="D13" s="513" t="s">
        <v>1529</v>
      </c>
      <c r="E13" s="514"/>
      <c r="F13" s="514"/>
      <c r="G13" s="514"/>
      <c r="H13" s="514"/>
      <c r="I13" s="514"/>
      <c r="J13" s="514"/>
      <c r="K13" s="514"/>
      <c r="L13" s="514"/>
      <c r="M13" s="514"/>
      <c r="N13" s="514"/>
      <c r="O13" s="514"/>
      <c r="P13" s="515"/>
    </row>
    <row r="14" spans="2:21" ht="60" customHeight="1" thickBot="1" x14ac:dyDescent="0.3">
      <c r="B14" s="512" t="s">
        <v>122</v>
      </c>
      <c r="C14" s="512"/>
      <c r="D14" s="513" t="s">
        <v>123</v>
      </c>
      <c r="E14" s="514"/>
      <c r="F14" s="514"/>
      <c r="G14" s="514"/>
      <c r="H14" s="514"/>
      <c r="I14" s="514"/>
      <c r="J14" s="514"/>
      <c r="K14" s="514"/>
      <c r="L14" s="514"/>
      <c r="M14" s="514"/>
      <c r="N14" s="514"/>
      <c r="O14" s="514"/>
      <c r="P14" s="515"/>
    </row>
    <row r="15" spans="2:21" ht="60" customHeight="1" thickBot="1" x14ac:dyDescent="0.3">
      <c r="B15" s="512" t="s">
        <v>128</v>
      </c>
      <c r="C15" s="512"/>
      <c r="D15" s="513" t="s">
        <v>129</v>
      </c>
      <c r="E15" s="514"/>
      <c r="F15" s="514"/>
      <c r="G15" s="514"/>
      <c r="H15" s="514"/>
      <c r="I15" s="514"/>
      <c r="J15" s="514"/>
      <c r="K15" s="514"/>
      <c r="L15" s="514"/>
      <c r="M15" s="514"/>
      <c r="N15" s="514"/>
      <c r="O15" s="514"/>
      <c r="P15" s="515"/>
    </row>
    <row r="17" spans="2:21" x14ac:dyDescent="0.25">
      <c r="B17" s="516" t="s">
        <v>137</v>
      </c>
      <c r="C17" s="516"/>
      <c r="D17" s="516"/>
      <c r="E17" s="516"/>
      <c r="F17" s="516"/>
      <c r="G17" s="516"/>
      <c r="H17" s="516"/>
      <c r="I17" s="516"/>
      <c r="J17" s="516"/>
      <c r="K17" s="516"/>
      <c r="L17" s="516"/>
      <c r="M17" s="516"/>
      <c r="N17" s="516"/>
      <c r="O17" s="516"/>
      <c r="P17" s="516"/>
      <c r="Q17" s="516"/>
      <c r="R17" s="516"/>
      <c r="S17" s="516"/>
      <c r="T17" s="516"/>
      <c r="U17" s="516"/>
    </row>
    <row r="18" spans="2:21" x14ac:dyDescent="0.25">
      <c r="B18" t="s">
        <v>130</v>
      </c>
    </row>
    <row r="20" spans="2:21" x14ac:dyDescent="0.25">
      <c r="B20" s="81" t="s">
        <v>135</v>
      </c>
    </row>
    <row r="21" spans="2:21" x14ac:dyDescent="0.25">
      <c r="B21" s="517"/>
      <c r="C21" s="517"/>
      <c r="D21" s="517"/>
      <c r="E21" s="517"/>
      <c r="F21" s="517"/>
      <c r="G21" s="517"/>
      <c r="H21" s="517"/>
      <c r="I21" s="517"/>
      <c r="J21" s="517"/>
      <c r="K21" s="517"/>
      <c r="L21" s="517"/>
      <c r="M21" s="517"/>
      <c r="N21" s="517"/>
      <c r="O21" s="517"/>
      <c r="P21" s="517"/>
      <c r="Q21" s="517"/>
      <c r="R21" s="517"/>
      <c r="S21" s="517"/>
    </row>
    <row r="22" spans="2:21" x14ac:dyDescent="0.25">
      <c r="B22" s="517"/>
      <c r="C22" s="517"/>
      <c r="D22" s="517"/>
      <c r="E22" s="517"/>
      <c r="F22" s="517"/>
      <c r="G22" s="517"/>
      <c r="H22" s="517"/>
      <c r="I22" s="517"/>
      <c r="J22" s="517"/>
      <c r="K22" s="517"/>
      <c r="L22" s="517"/>
      <c r="M22" s="517"/>
      <c r="N22" s="517"/>
      <c r="O22" s="517"/>
      <c r="P22" s="517"/>
      <c r="Q22" s="517"/>
      <c r="R22" s="517"/>
      <c r="S22" s="517"/>
    </row>
    <row r="24" spans="2:21" x14ac:dyDescent="0.25">
      <c r="B24" s="81" t="s">
        <v>136</v>
      </c>
    </row>
    <row r="25" spans="2:21" x14ac:dyDescent="0.25">
      <c r="B25" s="517"/>
      <c r="C25" s="517"/>
      <c r="D25" s="517"/>
      <c r="E25" s="517"/>
      <c r="F25" s="517"/>
      <c r="G25" s="517"/>
      <c r="H25" s="517"/>
      <c r="I25" s="517"/>
      <c r="J25" s="517"/>
      <c r="K25" s="517"/>
      <c r="L25" s="517"/>
      <c r="M25" s="517"/>
      <c r="N25" s="517"/>
      <c r="O25" s="517"/>
      <c r="P25" s="517"/>
      <c r="Q25" s="517"/>
      <c r="R25" s="517"/>
      <c r="S25" s="517"/>
    </row>
    <row r="26" spans="2:21" x14ac:dyDescent="0.25">
      <c r="B26" s="517"/>
      <c r="C26" s="517"/>
      <c r="D26" s="517"/>
      <c r="E26" s="517"/>
      <c r="F26" s="517"/>
      <c r="G26" s="517"/>
      <c r="H26" s="517"/>
      <c r="I26" s="517"/>
      <c r="J26" s="517"/>
      <c r="K26" s="517"/>
      <c r="L26" s="517"/>
      <c r="M26" s="517"/>
      <c r="N26" s="517"/>
      <c r="O26" s="517"/>
      <c r="P26" s="517"/>
      <c r="Q26" s="517"/>
      <c r="R26" s="517"/>
      <c r="S26" s="517"/>
    </row>
    <row r="27" spans="2:21" ht="15.75" thickBot="1" x14ac:dyDescent="0.3"/>
    <row r="28" spans="2:21" ht="15.75" thickBot="1" x14ac:dyDescent="0.3">
      <c r="B28" s="508" t="s">
        <v>131</v>
      </c>
      <c r="C28" s="510" t="s">
        <v>138</v>
      </c>
      <c r="D28" s="508" t="s">
        <v>139</v>
      </c>
      <c r="E28" s="510" t="s">
        <v>140</v>
      </c>
      <c r="F28" s="508" t="s">
        <v>141</v>
      </c>
      <c r="G28" s="508" t="s">
        <v>146</v>
      </c>
      <c r="H28" s="508" t="s">
        <v>144</v>
      </c>
      <c r="I28" s="508" t="s">
        <v>1493</v>
      </c>
      <c r="J28" s="510" t="s">
        <v>134</v>
      </c>
      <c r="K28" s="511" t="s">
        <v>142</v>
      </c>
    </row>
    <row r="29" spans="2:21" ht="15.75" thickBot="1" x14ac:dyDescent="0.3">
      <c r="B29" s="509"/>
      <c r="C29" s="510"/>
      <c r="D29" s="509"/>
      <c r="E29" s="510"/>
      <c r="F29" s="509"/>
      <c r="G29" s="509"/>
      <c r="H29" s="509"/>
      <c r="I29" s="509"/>
      <c r="J29" s="510"/>
      <c r="K29" s="511"/>
    </row>
    <row r="30" spans="2:21" ht="15.75" thickBot="1" x14ac:dyDescent="0.3">
      <c r="B30" s="82" t="s">
        <v>534</v>
      </c>
      <c r="C30" s="83"/>
      <c r="D30" s="84" t="s">
        <v>620</v>
      </c>
      <c r="E30" s="127">
        <v>17997458.539999999</v>
      </c>
      <c r="F30" s="85" t="s">
        <v>621</v>
      </c>
      <c r="G30" s="128">
        <v>37006000</v>
      </c>
      <c r="H30" s="85"/>
      <c r="I30" s="85" t="s">
        <v>616</v>
      </c>
      <c r="J30" s="91" t="s">
        <v>627</v>
      </c>
      <c r="K30" s="85" t="s">
        <v>47</v>
      </c>
    </row>
    <row r="31" spans="2:21" ht="15.75" thickBot="1" x14ac:dyDescent="0.3">
      <c r="B31" s="82" t="s">
        <v>535</v>
      </c>
      <c r="C31" s="83"/>
      <c r="D31" s="84" t="s">
        <v>620</v>
      </c>
      <c r="E31" s="127">
        <v>1028791.97</v>
      </c>
      <c r="F31" s="85" t="s">
        <v>621</v>
      </c>
      <c r="G31" s="128">
        <v>2170000</v>
      </c>
      <c r="H31" s="85"/>
      <c r="I31" s="85" t="s">
        <v>617</v>
      </c>
      <c r="J31" s="85" t="s">
        <v>627</v>
      </c>
      <c r="K31" s="85" t="s">
        <v>47</v>
      </c>
    </row>
    <row r="32" spans="2:21" ht="15.75" thickBot="1" x14ac:dyDescent="0.3">
      <c r="B32" s="82" t="s">
        <v>601</v>
      </c>
      <c r="C32" s="83"/>
      <c r="D32" s="84" t="s">
        <v>620</v>
      </c>
      <c r="E32" s="127">
        <v>470233.37</v>
      </c>
      <c r="F32" s="85" t="s">
        <v>621</v>
      </c>
      <c r="G32" s="128">
        <v>1200000</v>
      </c>
      <c r="H32" s="85"/>
      <c r="I32" s="91" t="s">
        <v>618</v>
      </c>
      <c r="J32" s="85" t="s">
        <v>627</v>
      </c>
      <c r="K32" s="85" t="s">
        <v>47</v>
      </c>
    </row>
    <row r="33" spans="2:11" ht="15.75" thickBot="1" x14ac:dyDescent="0.3">
      <c r="B33" s="82" t="s">
        <v>602</v>
      </c>
      <c r="C33" s="83"/>
      <c r="D33" s="84" t="s">
        <v>620</v>
      </c>
      <c r="E33" s="127">
        <v>384964.8</v>
      </c>
      <c r="F33" s="85" t="s">
        <v>621</v>
      </c>
      <c r="G33" s="128">
        <v>857000</v>
      </c>
      <c r="H33" s="85"/>
      <c r="I33" s="91" t="s">
        <v>619</v>
      </c>
      <c r="J33" s="85" t="s">
        <v>627</v>
      </c>
      <c r="K33" s="85" t="s">
        <v>47</v>
      </c>
    </row>
    <row r="34" spans="2:11" ht="15.75" thickBot="1" x14ac:dyDescent="0.3">
      <c r="B34" s="82" t="s">
        <v>622</v>
      </c>
      <c r="C34" s="83"/>
      <c r="D34" s="84" t="s">
        <v>620</v>
      </c>
      <c r="E34" s="127">
        <v>796615.82000000007</v>
      </c>
      <c r="F34" s="85" t="s">
        <v>621</v>
      </c>
      <c r="G34" s="128">
        <v>0</v>
      </c>
      <c r="H34" s="85"/>
      <c r="I34" s="128">
        <v>0</v>
      </c>
      <c r="J34" s="85" t="s">
        <v>627</v>
      </c>
      <c r="K34" s="85" t="s">
        <v>47</v>
      </c>
    </row>
    <row r="35" spans="2:11" ht="15.75" thickBot="1" x14ac:dyDescent="0.3">
      <c r="B35" s="82" t="s">
        <v>534</v>
      </c>
      <c r="C35" s="83" t="s">
        <v>629</v>
      </c>
      <c r="D35" s="84" t="s">
        <v>620</v>
      </c>
      <c r="E35" s="127">
        <f>SUM(E39:E44)</f>
        <v>11494962.948999999</v>
      </c>
      <c r="F35" s="85" t="s">
        <v>630</v>
      </c>
      <c r="G35" s="128">
        <f>SUM(G39:G44)</f>
        <v>37028161</v>
      </c>
      <c r="H35" s="132">
        <f>I35/G35</f>
        <v>56.088298200928747</v>
      </c>
      <c r="I35" s="128">
        <f>SUM(I39:I44)</f>
        <v>2076846536</v>
      </c>
      <c r="J35" s="85" t="s">
        <v>1491</v>
      </c>
      <c r="K35" s="85" t="s">
        <v>47</v>
      </c>
    </row>
    <row r="36" spans="2:11" ht="15.75" thickBot="1" x14ac:dyDescent="0.3">
      <c r="B36" s="82" t="s">
        <v>535</v>
      </c>
      <c r="C36" s="83" t="s">
        <v>629</v>
      </c>
      <c r="D36" s="84" t="s">
        <v>620</v>
      </c>
      <c r="E36" s="127">
        <f t="array" ref="E36">SUMPRODUCT(IF('A1.1.1'!C$30:C$916='A1.1'!C36,1,0),IF('A1.1.1'!D$30:D$916='A1.1'!D36,1,0),IF('A1.1.1'!B$30:B$916='A1.1'!B36,1,0),'A1.1.1'!H$30:H$916)</f>
        <v>764882.6239999996</v>
      </c>
      <c r="F36" s="85" t="s">
        <v>630</v>
      </c>
      <c r="G36" s="128">
        <f t="array" ref="G36">SUMPRODUCT(IF('A1.1.1'!C$30:C$916='A1.1'!C36,1,0),IF('A1.1.1'!D$30:D$916='A1.1'!D36,1,0),IF('A1.1.1'!B$30:B$916='A1.1'!B36,1,0),'A1.1.1'!J$30:J$916)</f>
        <v>2169754</v>
      </c>
      <c r="H36" s="132">
        <f t="shared" ref="H36:H44" si="0">I36/G36</f>
        <v>62.980566921411366</v>
      </c>
      <c r="I36" s="128">
        <f t="array" ref="I36">SUMPRODUCT(IF('A1.1.1'!C$30:C$916='A1.1'!C36,1,0),IF('A1.1.1'!D$30:D$916='A1.1'!D36,1,0),IF('A1.1.1'!B$30:B$916='A1.1'!B36,1,0),'A1.1.1'!K$30:K$916)</f>
        <v>136652337</v>
      </c>
      <c r="J36" s="85" t="s">
        <v>1491</v>
      </c>
      <c r="K36" s="85" t="s">
        <v>47</v>
      </c>
    </row>
    <row r="37" spans="2:11" ht="15.75" thickBot="1" x14ac:dyDescent="0.3">
      <c r="B37" s="82" t="s">
        <v>536</v>
      </c>
      <c r="C37" s="83" t="s">
        <v>629</v>
      </c>
      <c r="D37" s="84" t="s">
        <v>620</v>
      </c>
      <c r="E37" s="127">
        <f t="array" ref="E37">SUMPRODUCT(IF('A1.1.1'!C$30:C$916='A1.1'!C37,1,0),IF('A1.1.1'!D$30:D$916='A1.1'!D37,1,0),IF('A1.1.1'!B$30:B$916='A1.1'!B37,1,0),'A1.1.1'!H$30:H$916)</f>
        <v>320773.27999999997</v>
      </c>
      <c r="F37" s="85" t="s">
        <v>630</v>
      </c>
      <c r="G37" s="128">
        <f t="array" ref="G37">SUMPRODUCT(IF('A1.1.1'!C$30:C$916='A1.1'!C37,1,0),IF('A1.1.1'!D$30:D$916='A1.1'!D37,1,0),IF('A1.1.1'!B$30:B$916='A1.1'!B37,1,0),'A1.1.1'!J$30:J$916)</f>
        <v>1016213</v>
      </c>
      <c r="H37" s="132">
        <f t="shared" si="0"/>
        <v>50.2639909152904</v>
      </c>
      <c r="I37" s="128">
        <f t="array" ref="I37">SUMPRODUCT(IF('A1.1.1'!C$30:C$916='A1.1'!C37,1,0),IF('A1.1.1'!D$30:D$916='A1.1'!D37,1,0),IF('A1.1.1'!B$30:B$916='A1.1'!B37,1,0),'A1.1.1'!K$30:K$916)</f>
        <v>51078921</v>
      </c>
      <c r="J37" s="85" t="s">
        <v>1491</v>
      </c>
      <c r="K37" s="85" t="s">
        <v>47</v>
      </c>
    </row>
    <row r="38" spans="2:11" ht="15.75" thickBot="1" x14ac:dyDescent="0.3">
      <c r="B38" s="82" t="s">
        <v>602</v>
      </c>
      <c r="C38" s="83" t="s">
        <v>629</v>
      </c>
      <c r="D38" s="84" t="s">
        <v>620</v>
      </c>
      <c r="E38" s="127">
        <f t="array" ref="E38">SUMPRODUCT(IF('A1.1.1'!C$30:C$916='A1.1'!C38,1,0),IF('A1.1.1'!D$30:D$916='A1.1'!D38,1,0),IF('A1.1.1'!B$30:B$916='A1.1'!B38,1,0),'A1.1.1'!H$30:H$916)</f>
        <v>251983.45699999997</v>
      </c>
      <c r="F38" s="85" t="s">
        <v>630</v>
      </c>
      <c r="G38" s="128">
        <f t="array" ref="G38">SUMPRODUCT(IF('A1.1.1'!C$30:C$916='A1.1'!C38,1,0),IF('A1.1.1'!D$30:D$916='A1.1'!D38,1,0),IF('A1.1.1'!B$30:B$916='A1.1'!B38,1,0),'A1.1.1'!J$30:J$916)</f>
        <v>882367</v>
      </c>
      <c r="H38" s="132">
        <f t="shared" si="0"/>
        <v>49.830907094213629</v>
      </c>
      <c r="I38" s="128">
        <f t="array" ref="I38">SUMPRODUCT(IF('A1.1.1'!C$30:C$916='A1.1'!C38,1,0),IF('A1.1.1'!D$30:D$916='A1.1'!D38,1,0),IF('A1.1.1'!B$30:B$916='A1.1'!B38,1,0),'A1.1.1'!K$30:K$916)</f>
        <v>43969148</v>
      </c>
      <c r="J38" s="85" t="s">
        <v>1491</v>
      </c>
      <c r="K38" s="85" t="s">
        <v>47</v>
      </c>
    </row>
    <row r="39" spans="2:11" ht="15.75" thickBot="1" x14ac:dyDescent="0.3">
      <c r="B39" s="82" t="s">
        <v>544</v>
      </c>
      <c r="C39" s="83" t="s">
        <v>629</v>
      </c>
      <c r="D39" s="84" t="s">
        <v>620</v>
      </c>
      <c r="E39" s="127">
        <f t="array" ref="E39">SUMPRODUCT(IF('A1.1.1'!C$30:C$916='A1.1'!C39,1,0),IF('A1.1.1'!D$30:D$916='A1.1'!D39,1,0),IF('A1.1.1'!B$30:B$916='A1.1'!B39,1,0),'A1.1.1'!H$30:H$916)</f>
        <v>1572158.5580000018</v>
      </c>
      <c r="F39" s="85" t="s">
        <v>630</v>
      </c>
      <c r="G39" s="128">
        <f t="array" ref="G39">SUMPRODUCT(IF('A1.1.1'!C$30:C$916='A1.1'!C39,1,0),IF('A1.1.1'!D$30:D$916='A1.1'!D39,1,0),IF('A1.1.1'!B$30:B$916='A1.1'!B39,1,0),'A1.1.1'!J$30:J$916)</f>
        <v>4185688</v>
      </c>
      <c r="H39" s="132">
        <f t="shared" si="0"/>
        <v>69.408101129372284</v>
      </c>
      <c r="I39" s="128">
        <f t="array" ref="I39">SUMPRODUCT(IF('A1.1.1'!C$30:C$916='A1.1'!C39,1,0),IF('A1.1.1'!D$30:D$916='A1.1'!D39,1,0),IF('A1.1.1'!B$30:B$916='A1.1'!B39,1,0),'A1.1.1'!K$30:K$916)</f>
        <v>290520656</v>
      </c>
      <c r="J39" s="85" t="s">
        <v>1491</v>
      </c>
      <c r="K39" s="85" t="s">
        <v>47</v>
      </c>
    </row>
    <row r="40" spans="2:11" ht="15.75" thickBot="1" x14ac:dyDescent="0.3">
      <c r="B40" s="82" t="s">
        <v>541</v>
      </c>
      <c r="C40" s="83" t="s">
        <v>629</v>
      </c>
      <c r="D40" s="84" t="s">
        <v>620</v>
      </c>
      <c r="E40" s="127">
        <f t="array" ref="E40">SUMPRODUCT(IF('A1.1.1'!C$30:C$916='A1.1'!C40,1,0),IF('A1.1.1'!D$30:D$916='A1.1'!D40,1,0),IF('A1.1.1'!B$30:B$916='A1.1'!B40,1,0),'A1.1.1'!H$30:H$916)</f>
        <v>1938393.5919999997</v>
      </c>
      <c r="F40" s="85" t="s">
        <v>630</v>
      </c>
      <c r="G40" s="128">
        <f t="array" ref="G40">SUMPRODUCT(IF('A1.1.1'!C$30:C$916='A1.1'!C40,1,0),IF('A1.1.1'!D$30:D$916='A1.1'!D40,1,0),IF('A1.1.1'!B$30:B$916='A1.1'!B40,1,0),'A1.1.1'!J$30:J$916)</f>
        <v>6390650</v>
      </c>
      <c r="H40" s="132">
        <f t="shared" si="0"/>
        <v>52.248969510143723</v>
      </c>
      <c r="I40" s="128">
        <f t="array" ref="I40">SUMPRODUCT(IF('A1.1.1'!C$30:C$916='A1.1'!C40,1,0),IF('A1.1.1'!D$30:D$916='A1.1'!D40,1,0),IF('A1.1.1'!B$30:B$916='A1.1'!B40,1,0),'A1.1.1'!K$30:K$916)</f>
        <v>333904877</v>
      </c>
      <c r="J40" s="85" t="s">
        <v>1491</v>
      </c>
      <c r="K40" s="85" t="s">
        <v>47</v>
      </c>
    </row>
    <row r="41" spans="2:11" ht="15.75" thickBot="1" x14ac:dyDescent="0.3">
      <c r="B41" s="82" t="s">
        <v>545</v>
      </c>
      <c r="C41" s="83" t="s">
        <v>629</v>
      </c>
      <c r="D41" s="84" t="s">
        <v>620</v>
      </c>
      <c r="E41" s="127">
        <f t="array" ref="E41">SUMPRODUCT(IF('A1.1.1'!C$30:C$916='A1.1'!C41,1,0),IF('A1.1.1'!D$30:D$916='A1.1'!D41,1,0),IF('A1.1.1'!B$30:B$916='A1.1'!B41,1,0),'A1.1.1'!H$30:H$916)</f>
        <v>3259085.7879999992</v>
      </c>
      <c r="F41" s="85" t="s">
        <v>630</v>
      </c>
      <c r="G41" s="128">
        <f t="array" ref="G41">SUMPRODUCT(IF('A1.1.1'!C$30:C$916='A1.1'!C41,1,0),IF('A1.1.1'!D$30:D$916='A1.1'!D41,1,0),IF('A1.1.1'!B$30:B$916='A1.1'!B41,1,0),'A1.1.1'!J$30:J$916)</f>
        <v>12204596</v>
      </c>
      <c r="H41" s="132">
        <f t="shared" si="0"/>
        <v>51.989681264336809</v>
      </c>
      <c r="I41" s="128">
        <f t="array" ref="I41">SUMPRODUCT(IF('A1.1.1'!C$30:C$916='A1.1'!C41,1,0),IF('A1.1.1'!D$30:D$916='A1.1'!D41,1,0),IF('A1.1.1'!B$30:B$916='A1.1'!B41,1,0),'A1.1.1'!K$30:K$916)</f>
        <v>634513056</v>
      </c>
      <c r="J41" s="85" t="s">
        <v>1491</v>
      </c>
      <c r="K41" s="85" t="s">
        <v>47</v>
      </c>
    </row>
    <row r="42" spans="2:11" ht="15.75" thickBot="1" x14ac:dyDescent="0.3">
      <c r="B42" s="82" t="s">
        <v>1072</v>
      </c>
      <c r="C42" s="83" t="s">
        <v>629</v>
      </c>
      <c r="D42" s="84" t="s">
        <v>620</v>
      </c>
      <c r="E42" s="127">
        <f t="array" ref="E42">SUMPRODUCT(IF('A1.1.1'!C$30:C$916='A1.1'!C42,1,0),IF('A1.1.1'!D$30:D$916='A1.1'!D42,1,0),IF('A1.1.1'!B$30:B$916='A1.1'!B42,1,0),'A1.1.1'!H$30:H$916)</f>
        <v>1162002.7049999996</v>
      </c>
      <c r="F42" s="85" t="s">
        <v>630</v>
      </c>
      <c r="G42" s="128">
        <f t="array" ref="G42">SUMPRODUCT(IF('A1.1.1'!C$30:C$916='A1.1'!C42,1,0),IF('A1.1.1'!D$30:D$916='A1.1'!D42,1,0),IF('A1.1.1'!B$30:B$916='A1.1'!B42,1,0),'A1.1.1'!J$30:J$916)</f>
        <v>4511626</v>
      </c>
      <c r="H42" s="132">
        <f t="shared" si="0"/>
        <v>52.571819561284556</v>
      </c>
      <c r="I42" s="128">
        <f t="array" ref="I42">SUMPRODUCT(IF('A1.1.1'!C$30:C$916='A1.1'!C42,1,0),IF('A1.1.1'!D$30:D$916='A1.1'!D42,1,0),IF('A1.1.1'!B$30:B$916='A1.1'!B42,1,0),'A1.1.1'!K$30:K$916)</f>
        <v>237184388</v>
      </c>
      <c r="J42" s="85" t="s">
        <v>1491</v>
      </c>
      <c r="K42" s="85" t="s">
        <v>47</v>
      </c>
    </row>
    <row r="43" spans="2:11" ht="15.75" thickBot="1" x14ac:dyDescent="0.3">
      <c r="B43" s="82" t="s">
        <v>542</v>
      </c>
      <c r="C43" s="83" t="s">
        <v>629</v>
      </c>
      <c r="D43" s="84" t="s">
        <v>620</v>
      </c>
      <c r="E43" s="127">
        <f t="array" ref="E43">SUMPRODUCT(IF('A1.1.1'!C$30:C$916='A1.1'!C43,1,0),IF('A1.1.1'!D$30:D$916='A1.1'!D43,1,0),IF('A1.1.1'!B$30:B$916='A1.1'!B43,1,0),'A1.1.1'!H$30:H$916)</f>
        <v>1861134.6719999989</v>
      </c>
      <c r="F43" s="85" t="s">
        <v>630</v>
      </c>
      <c r="G43" s="128">
        <f t="array" ref="G43">SUMPRODUCT(IF('A1.1.1'!C$30:C$916='A1.1'!C43,1,0),IF('A1.1.1'!D$30:D$916='A1.1'!D43,1,0),IF('A1.1.1'!B$30:B$916='A1.1'!B43,1,0),'A1.1.1'!J$30:J$916)</f>
        <v>5104260</v>
      </c>
      <c r="H43" s="132">
        <f t="shared" si="0"/>
        <v>60.034995278453685</v>
      </c>
      <c r="I43" s="128">
        <f t="array" ref="I43">SUMPRODUCT(IF('A1.1.1'!C$30:C$916='A1.1'!C43,1,0),IF('A1.1.1'!D$30:D$916='A1.1'!D43,1,0),IF('A1.1.1'!B$30:B$916='A1.1'!B43,1,0),'A1.1.1'!K$30:K$916)</f>
        <v>306434225</v>
      </c>
      <c r="J43" s="85" t="s">
        <v>1491</v>
      </c>
      <c r="K43" s="85" t="s">
        <v>47</v>
      </c>
    </row>
    <row r="44" spans="2:11" ht="15.75" thickBot="1" x14ac:dyDescent="0.3">
      <c r="B44" s="82" t="s">
        <v>543</v>
      </c>
      <c r="C44" s="83" t="s">
        <v>629</v>
      </c>
      <c r="D44" s="84" t="s">
        <v>620</v>
      </c>
      <c r="E44" s="127">
        <f t="array" ref="E44">SUMPRODUCT(IF('A1.1.1'!C$30:C$916='A1.1'!C44,1,0),IF('A1.1.1'!D$30:D$916='A1.1'!D44,1,0),IF('A1.1.1'!B$30:B$916='A1.1'!B44,1,0),'A1.1.1'!H$30:H$916)</f>
        <v>1702187.6340000001</v>
      </c>
      <c r="F44" s="85" t="s">
        <v>630</v>
      </c>
      <c r="G44" s="128">
        <f t="array" ref="G44">SUMPRODUCT(IF('A1.1.1'!C$30:C$916='A1.1'!C44,1,0),IF('A1.1.1'!D$30:D$916='A1.1'!D44,1,0),IF('A1.1.1'!B$30:B$916='A1.1'!B44,1,0),'A1.1.1'!J$30:J$916)</f>
        <v>4631341</v>
      </c>
      <c r="H44" s="132">
        <f t="shared" si="0"/>
        <v>59.224603414000391</v>
      </c>
      <c r="I44" s="128">
        <f t="array" ref="I44">SUMPRODUCT(IF('A1.1.1'!C$30:C$916='A1.1'!C44,1,0),IF('A1.1.1'!D$30:D$916='A1.1'!D44,1,0),IF('A1.1.1'!B$30:B$916='A1.1'!B44,1,0),'A1.1.1'!K$30:K$916)</f>
        <v>274289334</v>
      </c>
      <c r="J44" s="85" t="s">
        <v>1491</v>
      </c>
      <c r="K44" s="85" t="s">
        <v>47</v>
      </c>
    </row>
    <row r="45" spans="2:11" ht="15.75" thickBot="1" x14ac:dyDescent="0.3">
      <c r="B45" s="82" t="s">
        <v>534</v>
      </c>
      <c r="C45" s="83" t="s">
        <v>629</v>
      </c>
      <c r="D45" s="84" t="s">
        <v>620</v>
      </c>
      <c r="E45" s="127">
        <f>SUM(E49:E54)</f>
        <v>11534281.83</v>
      </c>
      <c r="F45" s="85" t="s">
        <v>630</v>
      </c>
      <c r="G45" s="128">
        <f>SUM(G49:G54)</f>
        <v>37101716</v>
      </c>
      <c r="H45" s="132"/>
      <c r="I45" s="128" t="s">
        <v>1512</v>
      </c>
      <c r="J45" s="85" t="s">
        <v>1492</v>
      </c>
      <c r="K45" s="85" t="s">
        <v>47</v>
      </c>
    </row>
    <row r="46" spans="2:11" ht="15.75" thickBot="1" x14ac:dyDescent="0.3">
      <c r="B46" s="82" t="s">
        <v>535</v>
      </c>
      <c r="C46" s="83" t="s">
        <v>629</v>
      </c>
      <c r="D46" s="84" t="s">
        <v>620</v>
      </c>
      <c r="E46" s="127">
        <v>695728.14299999957</v>
      </c>
      <c r="F46" s="85" t="s">
        <v>630</v>
      </c>
      <c r="G46" s="128">
        <v>1993144</v>
      </c>
      <c r="H46" s="132"/>
      <c r="I46" s="128" t="s">
        <v>1510</v>
      </c>
      <c r="J46" s="85" t="s">
        <v>1492</v>
      </c>
      <c r="K46" s="85" t="s">
        <v>47</v>
      </c>
    </row>
    <row r="47" spans="2:11" ht="15.75" thickBot="1" x14ac:dyDescent="0.3">
      <c r="B47" s="82" t="s">
        <v>536</v>
      </c>
      <c r="C47" s="83" t="s">
        <v>629</v>
      </c>
      <c r="D47" s="84" t="s">
        <v>620</v>
      </c>
      <c r="E47" s="127">
        <v>320773.28000000003</v>
      </c>
      <c r="F47" s="85" t="s">
        <v>630</v>
      </c>
      <c r="G47" s="128">
        <v>1016213</v>
      </c>
      <c r="H47" s="132"/>
      <c r="I47" s="128" t="s">
        <v>1494</v>
      </c>
      <c r="J47" s="85" t="s">
        <v>1492</v>
      </c>
      <c r="K47" s="85" t="s">
        <v>47</v>
      </c>
    </row>
    <row r="48" spans="2:11" ht="15.75" thickBot="1" x14ac:dyDescent="0.3">
      <c r="B48" s="82" t="s">
        <v>602</v>
      </c>
      <c r="C48" s="83" t="s">
        <v>629</v>
      </c>
      <c r="D48" s="84" t="s">
        <v>620</v>
      </c>
      <c r="E48" s="127">
        <v>252206.01700000002</v>
      </c>
      <c r="F48" s="85" t="s">
        <v>630</v>
      </c>
      <c r="G48" s="128">
        <v>883108</v>
      </c>
      <c r="H48" s="132"/>
      <c r="I48" s="128" t="s">
        <v>1495</v>
      </c>
      <c r="J48" s="85" t="s">
        <v>1492</v>
      </c>
      <c r="K48" s="85" t="s">
        <v>47</v>
      </c>
    </row>
    <row r="49" spans="2:11" ht="15.75" thickBot="1" x14ac:dyDescent="0.3">
      <c r="B49" s="82" t="s">
        <v>544</v>
      </c>
      <c r="C49" s="83" t="s">
        <v>629</v>
      </c>
      <c r="D49" s="84" t="s">
        <v>620</v>
      </c>
      <c r="E49" s="127">
        <v>1542617.7390000003</v>
      </c>
      <c r="F49" s="85" t="s">
        <v>630</v>
      </c>
      <c r="G49" s="128">
        <v>4130726</v>
      </c>
      <c r="H49" s="132"/>
      <c r="I49" s="128" t="s">
        <v>1513</v>
      </c>
      <c r="J49" s="85" t="s">
        <v>1492</v>
      </c>
      <c r="K49" s="85" t="s">
        <v>47</v>
      </c>
    </row>
    <row r="50" spans="2:11" ht="15.75" thickBot="1" x14ac:dyDescent="0.3">
      <c r="B50" s="82" t="s">
        <v>541</v>
      </c>
      <c r="C50" s="83" t="s">
        <v>629</v>
      </c>
      <c r="D50" s="84" t="s">
        <v>620</v>
      </c>
      <c r="E50" s="127">
        <v>1886894.6120000004</v>
      </c>
      <c r="F50" s="85" t="s">
        <v>630</v>
      </c>
      <c r="G50" s="128">
        <v>6209273</v>
      </c>
      <c r="H50" s="132"/>
      <c r="I50" s="128" t="s">
        <v>1514</v>
      </c>
      <c r="J50" s="85" t="s">
        <v>1492</v>
      </c>
      <c r="K50" s="85" t="s">
        <v>47</v>
      </c>
    </row>
    <row r="51" spans="2:11" ht="15.75" thickBot="1" x14ac:dyDescent="0.3">
      <c r="B51" s="82" t="s">
        <v>545</v>
      </c>
      <c r="C51" s="83" t="s">
        <v>629</v>
      </c>
      <c r="D51" s="84" t="s">
        <v>620</v>
      </c>
      <c r="E51" s="127">
        <v>3338755.4070000011</v>
      </c>
      <c r="F51" s="85" t="s">
        <v>630</v>
      </c>
      <c r="G51" s="128">
        <v>12525675</v>
      </c>
      <c r="H51" s="132"/>
      <c r="I51" s="128" t="s">
        <v>1496</v>
      </c>
      <c r="J51" s="85" t="s">
        <v>1492</v>
      </c>
      <c r="K51" s="85" t="s">
        <v>47</v>
      </c>
    </row>
    <row r="52" spans="2:11" ht="15.75" thickBot="1" x14ac:dyDescent="0.3">
      <c r="B52" s="82" t="s">
        <v>1072</v>
      </c>
      <c r="C52" s="83" t="s">
        <v>629</v>
      </c>
      <c r="D52" s="84" t="s">
        <v>620</v>
      </c>
      <c r="E52" s="127">
        <v>1083221.8660000002</v>
      </c>
      <c r="F52" s="85" t="s">
        <v>630</v>
      </c>
      <c r="G52" s="128">
        <v>4191185</v>
      </c>
      <c r="H52" s="132"/>
      <c r="I52" s="128" t="s">
        <v>1497</v>
      </c>
      <c r="J52" s="85" t="s">
        <v>1492</v>
      </c>
      <c r="K52" s="85" t="s">
        <v>47</v>
      </c>
    </row>
    <row r="53" spans="2:11" ht="15.75" thickBot="1" x14ac:dyDescent="0.3">
      <c r="B53" s="82" t="s">
        <v>542</v>
      </c>
      <c r="C53" s="83" t="s">
        <v>629</v>
      </c>
      <c r="D53" s="84" t="s">
        <v>620</v>
      </c>
      <c r="E53" s="127">
        <v>1862247.6619999986</v>
      </c>
      <c r="F53" s="85" t="s">
        <v>630</v>
      </c>
      <c r="G53" s="128">
        <v>5106985</v>
      </c>
      <c r="H53" s="132"/>
      <c r="I53" s="128" t="s">
        <v>1498</v>
      </c>
      <c r="J53" s="85" t="s">
        <v>1492</v>
      </c>
      <c r="K53" s="85" t="s">
        <v>47</v>
      </c>
    </row>
    <row r="54" spans="2:11" ht="15.75" thickBot="1" x14ac:dyDescent="0.3">
      <c r="B54" s="82" t="s">
        <v>543</v>
      </c>
      <c r="C54" s="83" t="s">
        <v>629</v>
      </c>
      <c r="D54" s="84" t="s">
        <v>620</v>
      </c>
      <c r="E54" s="127">
        <v>1820544.5440000002</v>
      </c>
      <c r="F54" s="85" t="s">
        <v>630</v>
      </c>
      <c r="G54" s="128">
        <v>4937872</v>
      </c>
      <c r="H54" s="132"/>
      <c r="I54" s="128" t="s">
        <v>1511</v>
      </c>
      <c r="J54" s="85" t="s">
        <v>1492</v>
      </c>
      <c r="K54" s="85" t="s">
        <v>47</v>
      </c>
    </row>
    <row r="55" spans="2:11" ht="15.75" thickBot="1" x14ac:dyDescent="0.3">
      <c r="B55" s="82" t="s">
        <v>534</v>
      </c>
      <c r="C55" s="83" t="s">
        <v>623</v>
      </c>
      <c r="D55" s="84" t="s">
        <v>620</v>
      </c>
      <c r="E55" s="127">
        <f>SUM(E56:E61)</f>
        <v>33864.712</v>
      </c>
      <c r="F55" s="85" t="s">
        <v>630</v>
      </c>
      <c r="G55" s="128">
        <f>SUM(G56:G61)</f>
        <v>465560</v>
      </c>
      <c r="H55" s="132"/>
      <c r="I55" s="128" t="s">
        <v>1499</v>
      </c>
      <c r="J55" s="85" t="s">
        <v>1492</v>
      </c>
      <c r="K55" s="85" t="s">
        <v>47</v>
      </c>
    </row>
    <row r="56" spans="2:11" ht="15.75" thickBot="1" x14ac:dyDescent="0.3">
      <c r="B56" s="82" t="s">
        <v>544</v>
      </c>
      <c r="C56" s="83" t="s">
        <v>623</v>
      </c>
      <c r="D56" s="84" t="s">
        <v>620</v>
      </c>
      <c r="E56" s="127">
        <v>1438.64</v>
      </c>
      <c r="F56" s="85" t="s">
        <v>630</v>
      </c>
      <c r="G56" s="128">
        <v>18222</v>
      </c>
      <c r="H56" s="132"/>
      <c r="I56" s="128" t="s">
        <v>1500</v>
      </c>
      <c r="J56" s="85" t="s">
        <v>1492</v>
      </c>
      <c r="K56" s="85" t="s">
        <v>47</v>
      </c>
    </row>
    <row r="57" spans="2:11" ht="15.75" thickBot="1" x14ac:dyDescent="0.3">
      <c r="B57" s="82" t="s">
        <v>541</v>
      </c>
      <c r="C57" s="83" t="s">
        <v>623</v>
      </c>
      <c r="D57" s="84" t="s">
        <v>620</v>
      </c>
      <c r="E57" s="127">
        <v>18150.851999999999</v>
      </c>
      <c r="F57" s="85" t="s">
        <v>630</v>
      </c>
      <c r="G57" s="128">
        <v>258386</v>
      </c>
      <c r="H57" s="132"/>
      <c r="I57" s="128" t="s">
        <v>1501</v>
      </c>
      <c r="J57" s="85" t="s">
        <v>1492</v>
      </c>
      <c r="K57" s="85" t="s">
        <v>47</v>
      </c>
    </row>
    <row r="58" spans="2:11" ht="15.75" thickBot="1" x14ac:dyDescent="0.3">
      <c r="B58" s="82" t="s">
        <v>545</v>
      </c>
      <c r="C58" s="83" t="s">
        <v>623</v>
      </c>
      <c r="D58" s="84" t="s">
        <v>620</v>
      </c>
      <c r="E58" s="127">
        <v>7443.12</v>
      </c>
      <c r="F58" s="85" t="s">
        <v>630</v>
      </c>
      <c r="G58" s="128">
        <v>100186</v>
      </c>
      <c r="H58" s="132"/>
      <c r="I58" s="128" t="s">
        <v>1502</v>
      </c>
      <c r="J58" s="85" t="s">
        <v>1492</v>
      </c>
      <c r="K58" s="85" t="s">
        <v>47</v>
      </c>
    </row>
    <row r="59" spans="2:11" ht="15.75" thickBot="1" x14ac:dyDescent="0.3">
      <c r="B59" s="82" t="s">
        <v>1072</v>
      </c>
      <c r="C59" s="83" t="s">
        <v>623</v>
      </c>
      <c r="D59" s="84" t="s">
        <v>620</v>
      </c>
      <c r="E59" s="127">
        <v>5764.59</v>
      </c>
      <c r="F59" s="85" t="s">
        <v>630</v>
      </c>
      <c r="G59" s="128">
        <v>75446</v>
      </c>
      <c r="H59" s="132"/>
      <c r="I59" s="128" t="s">
        <v>1503</v>
      </c>
      <c r="J59" s="85" t="s">
        <v>1492</v>
      </c>
      <c r="K59" s="85" t="s">
        <v>47</v>
      </c>
    </row>
    <row r="60" spans="2:11" ht="15.75" thickBot="1" x14ac:dyDescent="0.3">
      <c r="B60" s="82" t="s">
        <v>542</v>
      </c>
      <c r="C60" s="83" t="s">
        <v>623</v>
      </c>
      <c r="D60" s="84" t="s">
        <v>620</v>
      </c>
      <c r="E60" s="127">
        <v>0</v>
      </c>
      <c r="F60" s="85" t="s">
        <v>630</v>
      </c>
      <c r="G60" s="128">
        <v>0</v>
      </c>
      <c r="H60" s="132"/>
      <c r="I60" s="128">
        <v>0</v>
      </c>
      <c r="J60" s="85" t="s">
        <v>1492</v>
      </c>
      <c r="K60" s="85" t="s">
        <v>47</v>
      </c>
    </row>
    <row r="61" spans="2:11" ht="15.75" thickBot="1" x14ac:dyDescent="0.3">
      <c r="B61" s="82" t="s">
        <v>543</v>
      </c>
      <c r="C61" s="83" t="s">
        <v>623</v>
      </c>
      <c r="D61" s="84" t="s">
        <v>620</v>
      </c>
      <c r="E61" s="127">
        <v>1067.51</v>
      </c>
      <c r="F61" s="85" t="s">
        <v>630</v>
      </c>
      <c r="G61" s="128">
        <v>13320</v>
      </c>
      <c r="H61" s="132"/>
      <c r="I61" s="128" t="s">
        <v>1500</v>
      </c>
      <c r="J61" s="85" t="s">
        <v>1492</v>
      </c>
      <c r="K61" s="85" t="s">
        <v>47</v>
      </c>
    </row>
    <row r="62" spans="2:11" ht="15.75" thickBot="1" x14ac:dyDescent="0.3">
      <c r="B62" s="82" t="s">
        <v>535</v>
      </c>
      <c r="C62" s="83" t="s">
        <v>623</v>
      </c>
      <c r="D62" s="84" t="s">
        <v>620</v>
      </c>
      <c r="E62" s="127">
        <v>1623.58</v>
      </c>
      <c r="F62" s="85" t="s">
        <v>630</v>
      </c>
      <c r="G62" s="128">
        <v>19968</v>
      </c>
      <c r="H62" s="132"/>
      <c r="I62" s="128" t="s">
        <v>1500</v>
      </c>
      <c r="J62" s="85" t="s">
        <v>1492</v>
      </c>
      <c r="K62" s="85" t="s">
        <v>47</v>
      </c>
    </row>
    <row r="63" spans="2:11" ht="15.75" thickBot="1" x14ac:dyDescent="0.3">
      <c r="B63" s="82" t="s">
        <v>534</v>
      </c>
      <c r="C63" s="83"/>
      <c r="D63" s="84" t="s">
        <v>620</v>
      </c>
      <c r="E63" s="127">
        <f>SUM(E66:E71)</f>
        <v>12506851</v>
      </c>
      <c r="F63" s="85" t="s">
        <v>621</v>
      </c>
      <c r="G63" s="128"/>
      <c r="H63" s="85"/>
      <c r="I63" s="85"/>
      <c r="J63" s="85" t="s">
        <v>1517</v>
      </c>
      <c r="K63" s="85" t="s">
        <v>47</v>
      </c>
    </row>
    <row r="64" spans="2:11" ht="15.75" thickBot="1" x14ac:dyDescent="0.3">
      <c r="B64" s="82" t="s">
        <v>535</v>
      </c>
      <c r="C64" s="83"/>
      <c r="D64" s="84" t="s">
        <v>620</v>
      </c>
      <c r="E64" s="127">
        <v>601367</v>
      </c>
      <c r="F64" s="85" t="s">
        <v>621</v>
      </c>
      <c r="G64" s="128"/>
      <c r="H64" s="85"/>
      <c r="I64" s="85"/>
      <c r="J64" s="85" t="s">
        <v>1518</v>
      </c>
      <c r="K64" s="85" t="s">
        <v>47</v>
      </c>
    </row>
    <row r="65" spans="2:11" ht="15.75" thickBot="1" x14ac:dyDescent="0.3">
      <c r="B65" s="82" t="s">
        <v>536</v>
      </c>
      <c r="C65" s="83"/>
      <c r="D65" s="84" t="s">
        <v>620</v>
      </c>
      <c r="E65" s="127">
        <v>641566</v>
      </c>
      <c r="F65" s="85" t="s">
        <v>621</v>
      </c>
      <c r="G65" s="128"/>
      <c r="H65" s="85"/>
      <c r="I65" s="91"/>
      <c r="J65" s="85" t="s">
        <v>1519</v>
      </c>
      <c r="K65" s="85" t="s">
        <v>47</v>
      </c>
    </row>
    <row r="66" spans="2:11" ht="15.75" thickBot="1" x14ac:dyDescent="0.3">
      <c r="B66" s="82" t="s">
        <v>545</v>
      </c>
      <c r="C66" s="83"/>
      <c r="D66" s="84" t="s">
        <v>620</v>
      </c>
      <c r="E66" s="127">
        <v>3400455</v>
      </c>
      <c r="F66" s="127" t="s">
        <v>621</v>
      </c>
      <c r="G66" s="85"/>
      <c r="H66" s="128"/>
      <c r="I66" s="85"/>
      <c r="J66" s="91" t="s">
        <v>1520</v>
      </c>
      <c r="K66" s="85" t="s">
        <v>47</v>
      </c>
    </row>
    <row r="67" spans="2:11" ht="15.75" thickBot="1" x14ac:dyDescent="0.3">
      <c r="B67" s="82" t="s">
        <v>542</v>
      </c>
      <c r="C67" s="83"/>
      <c r="D67" s="84" t="s">
        <v>620</v>
      </c>
      <c r="E67" s="127">
        <v>1590211</v>
      </c>
      <c r="F67" s="127" t="s">
        <v>621</v>
      </c>
      <c r="G67" s="85"/>
      <c r="H67" s="128"/>
      <c r="I67" s="85"/>
      <c r="J67" s="91" t="s">
        <v>1521</v>
      </c>
      <c r="K67" s="85" t="s">
        <v>47</v>
      </c>
    </row>
    <row r="68" spans="2:11" ht="15.75" thickBot="1" x14ac:dyDescent="0.3">
      <c r="B68" s="82" t="s">
        <v>543</v>
      </c>
      <c r="C68" s="83"/>
      <c r="D68" s="84" t="s">
        <v>620</v>
      </c>
      <c r="E68" s="127">
        <v>1870238</v>
      </c>
      <c r="F68" s="127" t="s">
        <v>621</v>
      </c>
      <c r="G68" s="85"/>
      <c r="H68" s="128"/>
      <c r="I68" s="85"/>
      <c r="J68" s="91" t="s">
        <v>1522</v>
      </c>
      <c r="K68" s="85" t="s">
        <v>47</v>
      </c>
    </row>
    <row r="69" spans="2:11" ht="15.75" thickBot="1" x14ac:dyDescent="0.3">
      <c r="B69" s="82" t="s">
        <v>544</v>
      </c>
      <c r="C69" s="83"/>
      <c r="D69" s="84" t="s">
        <v>620</v>
      </c>
      <c r="E69" s="127">
        <v>1070235</v>
      </c>
      <c r="F69" s="127" t="s">
        <v>621</v>
      </c>
      <c r="G69" s="85"/>
      <c r="H69" s="128"/>
      <c r="I69" s="85"/>
      <c r="J69" s="91" t="s">
        <v>1523</v>
      </c>
      <c r="K69" s="85" t="s">
        <v>47</v>
      </c>
    </row>
    <row r="70" spans="2:11" ht="15.75" thickBot="1" x14ac:dyDescent="0.3">
      <c r="B70" s="82" t="s">
        <v>1516</v>
      </c>
      <c r="C70" s="83"/>
      <c r="D70" s="84" t="s">
        <v>620</v>
      </c>
      <c r="E70" s="127">
        <v>3792755</v>
      </c>
      <c r="F70" s="127" t="s">
        <v>621</v>
      </c>
      <c r="G70" s="83"/>
      <c r="H70" s="83"/>
      <c r="I70" s="83"/>
      <c r="J70" s="91" t="s">
        <v>1524</v>
      </c>
      <c r="K70" s="85" t="s">
        <v>47</v>
      </c>
    </row>
    <row r="71" spans="2:11" ht="15.75" thickBot="1" x14ac:dyDescent="0.3">
      <c r="B71" s="82" t="s">
        <v>1072</v>
      </c>
      <c r="C71" s="83"/>
      <c r="D71" s="84" t="s">
        <v>620</v>
      </c>
      <c r="E71" s="127">
        <v>782957</v>
      </c>
      <c r="F71" s="127" t="s">
        <v>621</v>
      </c>
      <c r="G71" s="83"/>
      <c r="H71" s="83"/>
      <c r="I71" s="83"/>
      <c r="J71" s="91" t="s">
        <v>1525</v>
      </c>
      <c r="K71" s="85" t="s">
        <v>47</v>
      </c>
    </row>
    <row r="72" spans="2:11" ht="15.75" thickBot="1" x14ac:dyDescent="0.3">
      <c r="B72" s="82" t="s">
        <v>534</v>
      </c>
      <c r="C72" s="83"/>
      <c r="D72" s="84" t="s">
        <v>620</v>
      </c>
      <c r="E72" s="127">
        <v>16042340.550000001</v>
      </c>
      <c r="F72" s="127" t="s">
        <v>621</v>
      </c>
      <c r="G72" s="83"/>
      <c r="H72" s="83"/>
      <c r="I72" s="83"/>
      <c r="J72" s="91" t="s">
        <v>627</v>
      </c>
      <c r="K72" s="85" t="s">
        <v>47</v>
      </c>
    </row>
    <row r="73" spans="2:11" ht="15.75" thickBot="1" x14ac:dyDescent="0.3">
      <c r="B73" s="82" t="s">
        <v>535</v>
      </c>
      <c r="C73" s="83"/>
      <c r="D73" s="84" t="s">
        <v>620</v>
      </c>
      <c r="E73" s="127">
        <v>1028791.97</v>
      </c>
      <c r="F73" s="127" t="s">
        <v>621</v>
      </c>
      <c r="G73" s="83"/>
      <c r="H73" s="83"/>
      <c r="I73" s="83"/>
      <c r="J73" s="91" t="s">
        <v>627</v>
      </c>
      <c r="K73" s="85" t="s">
        <v>47</v>
      </c>
    </row>
    <row r="74" spans="2:11" ht="15.75" thickBot="1" x14ac:dyDescent="0.3">
      <c r="B74" s="82" t="s">
        <v>536</v>
      </c>
      <c r="C74" s="83"/>
      <c r="D74" s="84" t="s">
        <v>620</v>
      </c>
      <c r="E74" s="127">
        <v>463400.92000000004</v>
      </c>
      <c r="F74" s="127" t="s">
        <v>621</v>
      </c>
      <c r="G74" s="83"/>
      <c r="H74" s="83"/>
      <c r="I74" s="83"/>
      <c r="J74" s="91" t="s">
        <v>627</v>
      </c>
      <c r="K74" s="85" t="s">
        <v>47</v>
      </c>
    </row>
    <row r="75" spans="2:11" ht="15.75" thickBot="1" x14ac:dyDescent="0.3">
      <c r="B75" s="82" t="s">
        <v>602</v>
      </c>
      <c r="C75" s="83"/>
      <c r="D75" s="84" t="s">
        <v>620</v>
      </c>
      <c r="E75" s="127">
        <v>384964.88999999996</v>
      </c>
      <c r="F75" s="127" t="s">
        <v>621</v>
      </c>
      <c r="G75" s="83"/>
      <c r="H75" s="83"/>
      <c r="I75" s="83"/>
      <c r="J75" s="91" t="s">
        <v>627</v>
      </c>
      <c r="K75" s="85" t="s">
        <v>47</v>
      </c>
    </row>
  </sheetData>
  <mergeCells count="24">
    <mergeCell ref="B14:C14"/>
    <mergeCell ref="D14:P14"/>
    <mergeCell ref="B9:U9"/>
    <mergeCell ref="B11:C11"/>
    <mergeCell ref="D11:P11"/>
    <mergeCell ref="B12:C12"/>
    <mergeCell ref="D12:P12"/>
    <mergeCell ref="B13:C13"/>
    <mergeCell ref="D13:P13"/>
    <mergeCell ref="B28:B29"/>
    <mergeCell ref="C28:C29"/>
    <mergeCell ref="D28:D29"/>
    <mergeCell ref="E28:E29"/>
    <mergeCell ref="F28:F29"/>
    <mergeCell ref="B15:C15"/>
    <mergeCell ref="D15:P15"/>
    <mergeCell ref="B17:U17"/>
    <mergeCell ref="B21:S22"/>
    <mergeCell ref="B25:S26"/>
    <mergeCell ref="G28:G29"/>
    <mergeCell ref="H28:H29"/>
    <mergeCell ref="I28:I29"/>
    <mergeCell ref="J28:J29"/>
    <mergeCell ref="K28:K29"/>
  </mergeCells>
  <dataValidations count="3">
    <dataValidation type="list" allowBlank="1" showInputMessage="1" showErrorMessage="1" sqref="F30:F75">
      <formula1>"l (litros), kg (quilos), Nm3 (metros cubicos norm.), € (euros)"</formula1>
    </dataValidation>
    <dataValidation type="list" allowBlank="1" showInputMessage="1" showErrorMessage="1" sqref="C30:C75 E70 G70:I75">
      <formula1>"Pesado de Passageiros M3, Pesado de Passageiros M2, Ligeiro de Passageiros M1, Pesado de Mercadorias N3, Pesado de Mercadorias N2, Ligeiro de Mercadorias N1, Misto"</formula1>
    </dataValidation>
    <dataValidation type="list" allowBlank="1" showInputMessage="1" showErrorMessage="1" sqref="D30:D75">
      <formula1>"Gasóleo, Gasolina, GPL, GNC, GNV, Butano, Propano, H2"</formula1>
    </dataValidation>
  </dataValidations>
  <pageMargins left="0.7" right="0.7" top="0.75" bottom="0.75" header="0.3" footer="0.3"/>
  <customProperties>
    <customPr name="GUID" r:id="rId1"/>
  </customPropertie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dimension ref="B1:I44"/>
  <sheetViews>
    <sheetView workbookViewId="0"/>
    <sheetView workbookViewId="1"/>
  </sheetViews>
  <sheetFormatPr defaultRowHeight="15" x14ac:dyDescent="0.25"/>
  <cols>
    <col min="1" max="1" width="2.42578125" style="2" customWidth="1"/>
    <col min="2" max="2" width="44.42578125" style="1" customWidth="1"/>
    <col min="3" max="3" width="32" style="1" customWidth="1"/>
    <col min="4" max="4" width="88.7109375" style="1" customWidth="1"/>
    <col min="5" max="5" width="45.42578125" style="1" customWidth="1"/>
    <col min="6" max="6" width="47.5703125" style="1" customWidth="1"/>
    <col min="7" max="7" width="52.42578125" style="1" customWidth="1"/>
    <col min="8" max="8" width="39.7109375" style="1" customWidth="1"/>
    <col min="9" max="9" width="103.5703125" style="1" customWidth="1"/>
    <col min="10" max="16384" width="9.140625" style="2"/>
  </cols>
  <sheetData>
    <row r="1" spans="2:9" ht="15.75" thickBot="1" x14ac:dyDescent="0.3">
      <c r="I1" s="5"/>
    </row>
    <row r="2" spans="2:9" ht="21.75" customHeight="1" thickTop="1" x14ac:dyDescent="0.25">
      <c r="B2" s="492" t="s">
        <v>32</v>
      </c>
      <c r="C2" s="493"/>
      <c r="D2" s="494"/>
      <c r="E2" s="498" t="s">
        <v>29</v>
      </c>
      <c r="F2" s="499"/>
      <c r="G2" s="524" t="s">
        <v>45</v>
      </c>
      <c r="H2" s="23"/>
      <c r="I2" s="475"/>
    </row>
    <row r="3" spans="2:9" ht="21.75" customHeight="1" x14ac:dyDescent="0.25">
      <c r="B3" s="495"/>
      <c r="C3" s="496"/>
      <c r="D3" s="497"/>
      <c r="E3" s="500"/>
      <c r="F3" s="462"/>
      <c r="G3" s="525"/>
      <c r="H3" s="4"/>
      <c r="I3" s="476"/>
    </row>
    <row r="4" spans="2:9" ht="30" customHeight="1" x14ac:dyDescent="0.25">
      <c r="B4" s="495"/>
      <c r="C4" s="496"/>
      <c r="D4" s="497"/>
      <c r="E4" s="478" t="s">
        <v>46</v>
      </c>
      <c r="F4" s="472"/>
      <c r="G4" s="13" t="s">
        <v>47</v>
      </c>
      <c r="H4" s="4"/>
      <c r="I4" s="476"/>
    </row>
    <row r="5" spans="2:9" ht="30" customHeight="1" thickBot="1" x14ac:dyDescent="0.3">
      <c r="B5" s="479" t="s">
        <v>91</v>
      </c>
      <c r="C5" s="480"/>
      <c r="D5" s="12" t="s">
        <v>28</v>
      </c>
      <c r="E5" s="481" t="s">
        <v>90</v>
      </c>
      <c r="F5" s="474"/>
      <c r="G5" s="9" t="s">
        <v>89</v>
      </c>
      <c r="H5" s="24"/>
      <c r="I5" s="477"/>
    </row>
    <row r="6" spans="2:9" ht="33" customHeight="1" x14ac:dyDescent="0.25">
      <c r="B6" s="7" t="s">
        <v>1</v>
      </c>
      <c r="C6" s="8" t="s">
        <v>23</v>
      </c>
      <c r="D6" s="8" t="s">
        <v>0</v>
      </c>
      <c r="E6" s="10" t="s">
        <v>88</v>
      </c>
      <c r="F6" s="25" t="s">
        <v>54</v>
      </c>
      <c r="G6" s="11" t="s">
        <v>44</v>
      </c>
      <c r="H6" s="57" t="s">
        <v>87</v>
      </c>
      <c r="I6" s="6" t="s">
        <v>2</v>
      </c>
    </row>
    <row r="7" spans="2:9" ht="67.5" customHeight="1" x14ac:dyDescent="0.25">
      <c r="B7" s="482" t="s">
        <v>13</v>
      </c>
      <c r="C7" s="485" t="s">
        <v>24</v>
      </c>
      <c r="D7" s="58" t="s">
        <v>15</v>
      </c>
      <c r="E7" s="15" t="s">
        <v>34</v>
      </c>
      <c r="F7" s="33" t="s">
        <v>72</v>
      </c>
      <c r="G7" s="34" t="s">
        <v>73</v>
      </c>
      <c r="H7" s="26" t="s">
        <v>55</v>
      </c>
      <c r="I7" s="19" t="s">
        <v>18</v>
      </c>
    </row>
    <row r="8" spans="2:9" ht="67.5" customHeight="1" x14ac:dyDescent="0.25">
      <c r="B8" s="483"/>
      <c r="C8" s="486"/>
      <c r="D8" s="59" t="s">
        <v>16</v>
      </c>
      <c r="E8" s="16" t="s">
        <v>34</v>
      </c>
      <c r="F8" s="33" t="s">
        <v>72</v>
      </c>
      <c r="G8" s="34" t="s">
        <v>73</v>
      </c>
      <c r="H8" s="27" t="s">
        <v>55</v>
      </c>
      <c r="I8" s="20" t="s">
        <v>19</v>
      </c>
    </row>
    <row r="9" spans="2:9" ht="67.5" customHeight="1" x14ac:dyDescent="0.25">
      <c r="B9" s="483"/>
      <c r="C9" s="486"/>
      <c r="D9" s="59" t="s">
        <v>14</v>
      </c>
      <c r="E9" s="16" t="s">
        <v>34</v>
      </c>
      <c r="F9" s="33" t="s">
        <v>72</v>
      </c>
      <c r="G9" s="34" t="s">
        <v>73</v>
      </c>
      <c r="H9" s="29" t="s">
        <v>56</v>
      </c>
      <c r="I9" s="20" t="s">
        <v>61</v>
      </c>
    </row>
    <row r="10" spans="2:9" ht="66.75" customHeight="1" thickBot="1" x14ac:dyDescent="0.3">
      <c r="B10" s="484"/>
      <c r="C10" s="487"/>
      <c r="D10" s="60" t="s">
        <v>17</v>
      </c>
      <c r="E10" s="17" t="s">
        <v>34</v>
      </c>
      <c r="F10" s="56" t="s">
        <v>85</v>
      </c>
      <c r="G10" s="32" t="s">
        <v>71</v>
      </c>
      <c r="H10" s="28" t="s">
        <v>55</v>
      </c>
      <c r="I10" s="21" t="s">
        <v>20</v>
      </c>
    </row>
    <row r="11" spans="2:9" ht="60" customHeight="1" thickBot="1" x14ac:dyDescent="0.3">
      <c r="B11" s="63" t="s">
        <v>22</v>
      </c>
      <c r="C11" s="14" t="s">
        <v>25</v>
      </c>
      <c r="D11" s="61" t="s">
        <v>21</v>
      </c>
      <c r="E11" s="18" t="s">
        <v>34</v>
      </c>
      <c r="F11" s="30" t="s">
        <v>69</v>
      </c>
      <c r="G11" s="31" t="s">
        <v>70</v>
      </c>
      <c r="H11" s="30" t="s">
        <v>57</v>
      </c>
      <c r="I11" s="22" t="s">
        <v>62</v>
      </c>
    </row>
    <row r="12" spans="2:9" ht="60" customHeight="1" x14ac:dyDescent="0.25">
      <c r="B12" s="488" t="s">
        <v>26</v>
      </c>
      <c r="C12" s="35" t="s">
        <v>25</v>
      </c>
      <c r="D12" s="36" t="s">
        <v>30</v>
      </c>
      <c r="E12" s="37" t="s">
        <v>34</v>
      </c>
      <c r="F12" s="38" t="s">
        <v>69</v>
      </c>
      <c r="G12" s="39" t="s">
        <v>70</v>
      </c>
      <c r="H12" s="38" t="s">
        <v>58</v>
      </c>
      <c r="I12" s="40" t="s">
        <v>48</v>
      </c>
    </row>
    <row r="13" spans="2:9" ht="60" customHeight="1" x14ac:dyDescent="0.25">
      <c r="B13" s="489"/>
      <c r="C13" s="41" t="s">
        <v>25</v>
      </c>
      <c r="D13" s="42" t="s">
        <v>4</v>
      </c>
      <c r="E13" s="43" t="s">
        <v>34</v>
      </c>
      <c r="F13" s="44" t="s">
        <v>68</v>
      </c>
      <c r="G13" s="45" t="s">
        <v>67</v>
      </c>
      <c r="H13" s="44" t="s">
        <v>59</v>
      </c>
      <c r="I13" s="49" t="s">
        <v>60</v>
      </c>
    </row>
    <row r="14" spans="2:9" ht="37.5" customHeight="1" x14ac:dyDescent="0.25">
      <c r="B14" s="489"/>
      <c r="C14" s="41" t="s">
        <v>25</v>
      </c>
      <c r="D14" s="42" t="s">
        <v>8</v>
      </c>
      <c r="E14" s="43" t="s">
        <v>34</v>
      </c>
      <c r="F14" s="47" t="s">
        <v>75</v>
      </c>
      <c r="G14" s="48" t="s">
        <v>81</v>
      </c>
      <c r="H14" s="44" t="s">
        <v>56</v>
      </c>
      <c r="I14" s="49" t="s">
        <v>63</v>
      </c>
    </row>
    <row r="15" spans="2:9" ht="60.75" customHeight="1" x14ac:dyDescent="0.25">
      <c r="B15" s="489"/>
      <c r="C15" s="41" t="s">
        <v>25</v>
      </c>
      <c r="D15" s="42" t="s">
        <v>5</v>
      </c>
      <c r="E15" s="43" t="s">
        <v>41</v>
      </c>
      <c r="F15" s="44" t="s">
        <v>83</v>
      </c>
      <c r="G15" s="45" t="s">
        <v>82</v>
      </c>
      <c r="H15" s="44" t="s">
        <v>56</v>
      </c>
      <c r="I15" s="49" t="s">
        <v>6</v>
      </c>
    </row>
    <row r="16" spans="2:9" ht="60" customHeight="1" x14ac:dyDescent="0.25">
      <c r="B16" s="489"/>
      <c r="C16" s="41" t="s">
        <v>25</v>
      </c>
      <c r="D16" s="42" t="s">
        <v>3</v>
      </c>
      <c r="E16" s="43" t="s">
        <v>41</v>
      </c>
      <c r="F16" s="44" t="s">
        <v>83</v>
      </c>
      <c r="G16" s="45" t="s">
        <v>82</v>
      </c>
      <c r="H16" s="44" t="s">
        <v>84</v>
      </c>
      <c r="I16" s="49" t="s">
        <v>53</v>
      </c>
    </row>
    <row r="17" spans="2:9" ht="37.5" customHeight="1" x14ac:dyDescent="0.25">
      <c r="B17" s="489"/>
      <c r="C17" s="41" t="s">
        <v>25</v>
      </c>
      <c r="D17" s="42" t="s">
        <v>9</v>
      </c>
      <c r="E17" s="43" t="s">
        <v>42</v>
      </c>
      <c r="F17" s="47" t="s">
        <v>76</v>
      </c>
      <c r="G17" s="48" t="s">
        <v>76</v>
      </c>
      <c r="H17" s="47" t="s">
        <v>76</v>
      </c>
      <c r="I17" s="49" t="s">
        <v>64</v>
      </c>
    </row>
    <row r="18" spans="2:9" ht="37.5" customHeight="1" x14ac:dyDescent="0.25">
      <c r="B18" s="489"/>
      <c r="C18" s="41" t="s">
        <v>31</v>
      </c>
      <c r="D18" s="42" t="s">
        <v>39</v>
      </c>
      <c r="E18" s="43" t="s">
        <v>42</v>
      </c>
      <c r="F18" s="47" t="s">
        <v>76</v>
      </c>
      <c r="G18" s="48" t="s">
        <v>76</v>
      </c>
      <c r="H18" s="47" t="s">
        <v>76</v>
      </c>
      <c r="I18" s="49" t="s">
        <v>52</v>
      </c>
    </row>
    <row r="19" spans="2:9" ht="37.5" customHeight="1" x14ac:dyDescent="0.25">
      <c r="B19" s="489"/>
      <c r="C19" s="41" t="s">
        <v>31</v>
      </c>
      <c r="D19" s="42" t="s">
        <v>40</v>
      </c>
      <c r="E19" s="43" t="s">
        <v>42</v>
      </c>
      <c r="F19" s="47" t="s">
        <v>76</v>
      </c>
      <c r="G19" s="48" t="s">
        <v>76</v>
      </c>
      <c r="H19" s="47" t="s">
        <v>76</v>
      </c>
      <c r="I19" s="49" t="s">
        <v>52</v>
      </c>
    </row>
    <row r="20" spans="2:9" ht="75.75" customHeight="1" x14ac:dyDescent="0.25">
      <c r="B20" s="489"/>
      <c r="C20" s="41" t="s">
        <v>31</v>
      </c>
      <c r="D20" s="42" t="s">
        <v>35</v>
      </c>
      <c r="E20" s="43" t="s">
        <v>34</v>
      </c>
      <c r="F20" s="44" t="s">
        <v>78</v>
      </c>
      <c r="G20" s="45" t="s">
        <v>77</v>
      </c>
      <c r="H20" s="44" t="s">
        <v>56</v>
      </c>
      <c r="I20" s="49" t="s">
        <v>51</v>
      </c>
    </row>
    <row r="21" spans="2:9" ht="75.75" customHeight="1" x14ac:dyDescent="0.25">
      <c r="B21" s="489"/>
      <c r="C21" s="41" t="s">
        <v>31</v>
      </c>
      <c r="D21" s="42" t="s">
        <v>36</v>
      </c>
      <c r="E21" s="43" t="s">
        <v>34</v>
      </c>
      <c r="F21" s="44" t="s">
        <v>78</v>
      </c>
      <c r="G21" s="45" t="s">
        <v>77</v>
      </c>
      <c r="H21" s="44" t="s">
        <v>56</v>
      </c>
      <c r="I21" s="49" t="s">
        <v>51</v>
      </c>
    </row>
    <row r="22" spans="2:9" ht="75.75" customHeight="1" x14ac:dyDescent="0.25">
      <c r="B22" s="489"/>
      <c r="C22" s="41" t="s">
        <v>31</v>
      </c>
      <c r="D22" s="42" t="s">
        <v>37</v>
      </c>
      <c r="E22" s="43" t="s">
        <v>34</v>
      </c>
      <c r="F22" s="44" t="s">
        <v>78</v>
      </c>
      <c r="G22" s="45" t="s">
        <v>77</v>
      </c>
      <c r="H22" s="44" t="s">
        <v>55</v>
      </c>
      <c r="I22" s="49" t="s">
        <v>50</v>
      </c>
    </row>
    <row r="23" spans="2:9" ht="75.75" customHeight="1" x14ac:dyDescent="0.25">
      <c r="B23" s="489"/>
      <c r="C23" s="41" t="s">
        <v>31</v>
      </c>
      <c r="D23" s="42" t="s">
        <v>38</v>
      </c>
      <c r="E23" s="43" t="s">
        <v>34</v>
      </c>
      <c r="F23" s="44" t="s">
        <v>78</v>
      </c>
      <c r="G23" s="45" t="s">
        <v>77</v>
      </c>
      <c r="H23" s="44" t="s">
        <v>55</v>
      </c>
      <c r="I23" s="49" t="s">
        <v>50</v>
      </c>
    </row>
    <row r="24" spans="2:9" ht="60" customHeight="1" x14ac:dyDescent="0.25">
      <c r="B24" s="489"/>
      <c r="C24" s="41" t="s">
        <v>31</v>
      </c>
      <c r="D24" s="42" t="s">
        <v>43</v>
      </c>
      <c r="E24" s="43" t="s">
        <v>34</v>
      </c>
      <c r="F24" s="44" t="s">
        <v>86</v>
      </c>
      <c r="G24" s="45" t="s">
        <v>79</v>
      </c>
      <c r="H24" s="44" t="s">
        <v>56</v>
      </c>
      <c r="I24" s="64"/>
    </row>
    <row r="25" spans="2:9" ht="45" customHeight="1" x14ac:dyDescent="0.25">
      <c r="B25" s="489"/>
      <c r="C25" s="41" t="s">
        <v>31</v>
      </c>
      <c r="D25" s="42" t="s">
        <v>7</v>
      </c>
      <c r="E25" s="43" t="s">
        <v>34</v>
      </c>
      <c r="F25" s="44" t="s">
        <v>74</v>
      </c>
      <c r="G25" s="45" t="s">
        <v>80</v>
      </c>
      <c r="H25" s="44" t="s">
        <v>56</v>
      </c>
      <c r="I25" s="49" t="s">
        <v>66</v>
      </c>
    </row>
    <row r="26" spans="2:9" ht="72.75" customHeight="1" x14ac:dyDescent="0.25">
      <c r="B26" s="489"/>
      <c r="C26" s="41" t="s">
        <v>31</v>
      </c>
      <c r="D26" s="42" t="s">
        <v>10</v>
      </c>
      <c r="E26" s="43" t="s">
        <v>41</v>
      </c>
      <c r="F26" s="44" t="s">
        <v>78</v>
      </c>
      <c r="G26" s="45" t="s">
        <v>77</v>
      </c>
      <c r="H26" s="44" t="s">
        <v>56</v>
      </c>
      <c r="I26" s="49" t="s">
        <v>65</v>
      </c>
    </row>
    <row r="27" spans="2:9" ht="37.5" customHeight="1" x14ac:dyDescent="0.25">
      <c r="B27" s="489"/>
      <c r="C27" s="41" t="s">
        <v>31</v>
      </c>
      <c r="D27" s="42" t="s">
        <v>33</v>
      </c>
      <c r="E27" s="43" t="s">
        <v>42</v>
      </c>
      <c r="F27" s="47" t="s">
        <v>76</v>
      </c>
      <c r="G27" s="48" t="s">
        <v>76</v>
      </c>
      <c r="H27" s="47" t="s">
        <v>76</v>
      </c>
      <c r="I27" s="49" t="s">
        <v>49</v>
      </c>
    </row>
    <row r="28" spans="2:9" ht="37.5" customHeight="1" x14ac:dyDescent="0.25">
      <c r="B28" s="489"/>
      <c r="C28" s="41" t="s">
        <v>31</v>
      </c>
      <c r="D28" s="42" t="s">
        <v>11</v>
      </c>
      <c r="E28" s="43" t="s">
        <v>42</v>
      </c>
      <c r="F28" s="47" t="s">
        <v>76</v>
      </c>
      <c r="G28" s="48" t="s">
        <v>76</v>
      </c>
      <c r="H28" s="47" t="s">
        <v>76</v>
      </c>
      <c r="I28" s="49" t="s">
        <v>49</v>
      </c>
    </row>
    <row r="29" spans="2:9" ht="37.5" customHeight="1" thickBot="1" x14ac:dyDescent="0.3">
      <c r="B29" s="490"/>
      <c r="C29" s="51" t="s">
        <v>31</v>
      </c>
      <c r="D29" s="62" t="s">
        <v>12</v>
      </c>
      <c r="E29" s="52" t="s">
        <v>42</v>
      </c>
      <c r="F29" s="53" t="s">
        <v>76</v>
      </c>
      <c r="G29" s="54" t="s">
        <v>76</v>
      </c>
      <c r="H29" s="53" t="s">
        <v>76</v>
      </c>
      <c r="I29" s="65" t="s">
        <v>49</v>
      </c>
    </row>
    <row r="30" spans="2:9" ht="15.75" thickTop="1" x14ac:dyDescent="0.25">
      <c r="C30" s="3"/>
      <c r="D30" s="2"/>
    </row>
    <row r="31" spans="2:9" x14ac:dyDescent="0.25">
      <c r="D31" s="2"/>
    </row>
    <row r="32" spans="2:9" x14ac:dyDescent="0.25">
      <c r="D32" s="2"/>
    </row>
    <row r="33" spans="4:4" x14ac:dyDescent="0.25">
      <c r="D33" s="2"/>
    </row>
    <row r="34" spans="4:4" x14ac:dyDescent="0.25">
      <c r="D34" s="2"/>
    </row>
    <row r="35" spans="4:4" x14ac:dyDescent="0.25">
      <c r="D35" s="2"/>
    </row>
    <row r="36" spans="4:4" x14ac:dyDescent="0.25">
      <c r="D36" s="2"/>
    </row>
    <row r="37" spans="4:4" x14ac:dyDescent="0.25">
      <c r="D37" s="2"/>
    </row>
    <row r="38" spans="4:4" x14ac:dyDescent="0.25">
      <c r="D38" s="2"/>
    </row>
    <row r="39" spans="4:4" x14ac:dyDescent="0.25">
      <c r="D39" s="2"/>
    </row>
    <row r="40" spans="4:4" x14ac:dyDescent="0.25">
      <c r="D40" s="2"/>
    </row>
    <row r="41" spans="4:4" x14ac:dyDescent="0.25">
      <c r="D41" s="2"/>
    </row>
    <row r="42" spans="4:4" x14ac:dyDescent="0.25">
      <c r="D42" s="2"/>
    </row>
    <row r="43" spans="4:4" x14ac:dyDescent="0.25">
      <c r="D43" s="2"/>
    </row>
    <row r="44" spans="4:4" x14ac:dyDescent="0.25">
      <c r="D44" s="2"/>
    </row>
  </sheetData>
  <mergeCells count="10">
    <mergeCell ref="I2:I5"/>
    <mergeCell ref="B5:C5"/>
    <mergeCell ref="B7:B10"/>
    <mergeCell ref="C7:C10"/>
    <mergeCell ref="B12:B29"/>
    <mergeCell ref="G2:G3"/>
    <mergeCell ref="E4:F4"/>
    <mergeCell ref="E5:F5"/>
    <mergeCell ref="E2:F3"/>
    <mergeCell ref="B2:D4"/>
  </mergeCells>
  <dataValidations count="1">
    <dataValidation type="list" allowBlank="1" showInputMessage="1" showErrorMessage="1" sqref="E7:E29">
      <formula1>"Sim, Não, A avaliar/validar"</formula1>
    </dataValidation>
  </dataValidations>
  <pageMargins left="0.7" right="0.7" top="0.75" bottom="0.75" header="0.3" footer="0.3"/>
  <pageSetup paperSize="9" orientation="portrait" r:id="rId1"/>
  <customProperties>
    <customPr name="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dimension ref="A1:G22"/>
  <sheetViews>
    <sheetView zoomScale="85" zoomScaleNormal="85" workbookViewId="0">
      <selection activeCell="D11" sqref="D11"/>
    </sheetView>
    <sheetView workbookViewId="1"/>
  </sheetViews>
  <sheetFormatPr defaultRowHeight="15" x14ac:dyDescent="0.25"/>
  <cols>
    <col min="1" max="1" width="7.5703125" style="1" customWidth="1"/>
    <col min="2" max="2" width="8.85546875" style="1" customWidth="1"/>
    <col min="3" max="3" width="12.7109375" style="1" customWidth="1"/>
    <col min="4" max="4" width="139.140625" style="2" customWidth="1"/>
    <col min="5" max="5" width="169.5703125" style="2" customWidth="1"/>
    <col min="6" max="6" width="162" style="2" bestFit="1" customWidth="1"/>
    <col min="7" max="7" width="144.28515625" style="2" customWidth="1"/>
    <col min="8" max="16384" width="9.140625" style="2"/>
  </cols>
  <sheetData>
    <row r="1" spans="1:7" ht="42" customHeight="1" x14ac:dyDescent="0.25">
      <c r="A1" s="348" t="s">
        <v>2831</v>
      </c>
      <c r="B1" s="348" t="s">
        <v>3620</v>
      </c>
      <c r="C1" s="360" t="s">
        <v>3621</v>
      </c>
      <c r="D1" s="349" t="s">
        <v>3318</v>
      </c>
      <c r="E1" s="349" t="s">
        <v>3315</v>
      </c>
      <c r="F1" s="349" t="s">
        <v>3316</v>
      </c>
      <c r="G1" s="349" t="s">
        <v>3317</v>
      </c>
    </row>
    <row r="2" spans="1:7" ht="45" customHeight="1" x14ac:dyDescent="0.25">
      <c r="A2" s="355" t="s">
        <v>1972</v>
      </c>
      <c r="B2" s="351" t="s">
        <v>2832</v>
      </c>
      <c r="C2" s="351" t="s">
        <v>2832</v>
      </c>
      <c r="D2" s="2" t="s">
        <v>3323</v>
      </c>
      <c r="E2" s="331" t="s">
        <v>3319</v>
      </c>
      <c r="G2" s="2" t="s">
        <v>3325</v>
      </c>
    </row>
    <row r="3" spans="1:7" ht="38.25" customHeight="1" x14ac:dyDescent="0.25">
      <c r="A3" s="355" t="s">
        <v>1972</v>
      </c>
      <c r="B3" s="351" t="s">
        <v>3321</v>
      </c>
      <c r="C3" s="351" t="s">
        <v>3321</v>
      </c>
      <c r="D3" s="2" t="s">
        <v>3322</v>
      </c>
      <c r="E3" s="331" t="s">
        <v>3320</v>
      </c>
      <c r="G3" s="331" t="s">
        <v>3498</v>
      </c>
    </row>
    <row r="4" spans="1:7" ht="27" customHeight="1" x14ac:dyDescent="0.25">
      <c r="A4" s="355" t="s">
        <v>1972</v>
      </c>
      <c r="B4" s="354" t="s">
        <v>2833</v>
      </c>
      <c r="C4" s="354" t="s">
        <v>2833</v>
      </c>
      <c r="D4" s="331" t="s">
        <v>3500</v>
      </c>
      <c r="F4" s="2" t="s">
        <v>3324</v>
      </c>
      <c r="G4" s="2" t="s">
        <v>3325</v>
      </c>
    </row>
    <row r="5" spans="1:7" ht="93" customHeight="1" x14ac:dyDescent="0.25">
      <c r="A5" s="355" t="s">
        <v>1972</v>
      </c>
      <c r="B5" s="352" t="s">
        <v>2834</v>
      </c>
      <c r="C5" s="352" t="s">
        <v>2834</v>
      </c>
      <c r="D5" s="331" t="s">
        <v>3499</v>
      </c>
      <c r="E5" s="331" t="s">
        <v>3556</v>
      </c>
      <c r="F5" s="331" t="s">
        <v>3557</v>
      </c>
      <c r="G5" s="331" t="s">
        <v>3497</v>
      </c>
    </row>
    <row r="6" spans="1:7" ht="118.5" customHeight="1" x14ac:dyDescent="0.25">
      <c r="A6" s="355" t="s">
        <v>1972</v>
      </c>
      <c r="B6" s="353" t="s">
        <v>2835</v>
      </c>
      <c r="C6" s="353" t="s">
        <v>2835</v>
      </c>
      <c r="D6" s="2" t="s">
        <v>3504</v>
      </c>
      <c r="E6" s="331" t="s">
        <v>3554</v>
      </c>
      <c r="F6" s="2" t="s">
        <v>3555</v>
      </c>
      <c r="G6" s="331" t="s">
        <v>3505</v>
      </c>
    </row>
    <row r="7" spans="1:7" ht="94.5" customHeight="1" x14ac:dyDescent="0.25">
      <c r="A7" s="356" t="s">
        <v>3525</v>
      </c>
      <c r="B7" s="358" t="s">
        <v>3525</v>
      </c>
      <c r="C7" s="358" t="s">
        <v>3525</v>
      </c>
      <c r="D7" s="2" t="s">
        <v>3533</v>
      </c>
      <c r="E7" s="331" t="s">
        <v>3552</v>
      </c>
      <c r="F7" s="331" t="s">
        <v>3553</v>
      </c>
      <c r="G7" s="331" t="s">
        <v>3534</v>
      </c>
    </row>
    <row r="8" spans="1:7" ht="71.25" customHeight="1" x14ac:dyDescent="0.25">
      <c r="A8" s="357" t="s">
        <v>3535</v>
      </c>
      <c r="B8" s="350" t="s">
        <v>3536</v>
      </c>
      <c r="C8" s="350"/>
      <c r="D8" s="331" t="s">
        <v>3550</v>
      </c>
      <c r="E8" s="2" t="s">
        <v>3549</v>
      </c>
      <c r="F8" s="2" t="s">
        <v>3549</v>
      </c>
      <c r="G8" s="2" t="s">
        <v>3549</v>
      </c>
    </row>
    <row r="9" spans="1:7" ht="69" customHeight="1" x14ac:dyDescent="0.25">
      <c r="A9" s="357" t="s">
        <v>3535</v>
      </c>
      <c r="B9" s="350" t="s">
        <v>3537</v>
      </c>
      <c r="C9" s="350"/>
      <c r="D9" s="331" t="s">
        <v>3604</v>
      </c>
      <c r="E9" s="331" t="s">
        <v>3559</v>
      </c>
      <c r="F9" s="2" t="s">
        <v>3551</v>
      </c>
    </row>
    <row r="10" spans="1:7" ht="45" x14ac:dyDescent="0.25">
      <c r="A10" s="357" t="s">
        <v>3535</v>
      </c>
      <c r="B10" s="350" t="s">
        <v>3538</v>
      </c>
      <c r="C10" s="350"/>
      <c r="D10" s="331" t="s">
        <v>3915</v>
      </c>
      <c r="F10" s="2" t="s">
        <v>3614</v>
      </c>
      <c r="G10" s="331" t="s">
        <v>3558</v>
      </c>
    </row>
    <row r="11" spans="1:7" ht="47.25" customHeight="1" x14ac:dyDescent="0.25">
      <c r="A11" s="357" t="s">
        <v>3535</v>
      </c>
      <c r="B11" s="350" t="s">
        <v>3539</v>
      </c>
      <c r="C11" s="350"/>
      <c r="D11" s="331" t="s">
        <v>3601</v>
      </c>
      <c r="G11" s="331" t="s">
        <v>3597</v>
      </c>
    </row>
    <row r="12" spans="1:7" ht="84.75" customHeight="1" x14ac:dyDescent="0.25">
      <c r="A12" s="357" t="s">
        <v>3535</v>
      </c>
      <c r="B12" s="350" t="s">
        <v>3540</v>
      </c>
      <c r="C12" s="350"/>
      <c r="D12" s="2" t="s">
        <v>3602</v>
      </c>
      <c r="G12" s="331" t="s">
        <v>3615</v>
      </c>
    </row>
    <row r="13" spans="1:7" ht="84.75" customHeight="1" x14ac:dyDescent="0.25">
      <c r="A13" s="357" t="s">
        <v>3535</v>
      </c>
      <c r="B13" s="350" t="s">
        <v>3541</v>
      </c>
      <c r="C13" s="350"/>
      <c r="D13" s="2" t="s">
        <v>3598</v>
      </c>
    </row>
    <row r="14" spans="1:7" ht="60" customHeight="1" x14ac:dyDescent="0.25">
      <c r="A14" s="357" t="s">
        <v>3535</v>
      </c>
      <c r="B14" s="350" t="s">
        <v>3542</v>
      </c>
      <c r="C14" s="350"/>
      <c r="D14" s="331" t="s">
        <v>3603</v>
      </c>
      <c r="E14" s="331" t="s">
        <v>3623</v>
      </c>
      <c r="G14" s="2" t="s">
        <v>3599</v>
      </c>
    </row>
    <row r="15" spans="1:7" ht="53.25" customHeight="1" x14ac:dyDescent="0.25">
      <c r="A15" s="357" t="s">
        <v>3535</v>
      </c>
      <c r="B15" s="350" t="s">
        <v>3543</v>
      </c>
      <c r="C15" s="350"/>
      <c r="D15" s="2" t="s">
        <v>3600</v>
      </c>
      <c r="F15" s="2" t="s">
        <v>3625</v>
      </c>
      <c r="G15" s="331" t="s">
        <v>3624</v>
      </c>
    </row>
    <row r="16" spans="1:7" ht="41.25" customHeight="1" x14ac:dyDescent="0.25">
      <c r="A16" s="357" t="s">
        <v>3535</v>
      </c>
      <c r="B16" s="350" t="s">
        <v>3544</v>
      </c>
      <c r="C16" s="350"/>
      <c r="D16" s="2" t="s">
        <v>3605</v>
      </c>
      <c r="E16" s="2" t="s">
        <v>3626</v>
      </c>
      <c r="F16" s="2" t="s">
        <v>3626</v>
      </c>
      <c r="G16" s="2" t="s">
        <v>3626</v>
      </c>
    </row>
    <row r="17" spans="1:7" ht="89.25" customHeight="1" x14ac:dyDescent="0.25">
      <c r="A17" s="357" t="s">
        <v>3535</v>
      </c>
      <c r="B17" s="350" t="s">
        <v>3606</v>
      </c>
      <c r="C17" s="350"/>
      <c r="D17" s="2" t="s">
        <v>3608</v>
      </c>
      <c r="E17" s="331"/>
      <c r="F17" s="331" t="s">
        <v>3616</v>
      </c>
      <c r="G17" s="331" t="s">
        <v>3627</v>
      </c>
    </row>
    <row r="18" spans="1:7" ht="72" customHeight="1" x14ac:dyDescent="0.25">
      <c r="A18" s="357" t="s">
        <v>3535</v>
      </c>
      <c r="B18" s="350" t="s">
        <v>3607</v>
      </c>
      <c r="C18" s="350"/>
      <c r="D18" s="2" t="s">
        <v>3609</v>
      </c>
      <c r="E18" s="2" t="s">
        <v>3617</v>
      </c>
      <c r="F18" s="331" t="s">
        <v>3618</v>
      </c>
      <c r="G18" s="331" t="s">
        <v>3696</v>
      </c>
    </row>
    <row r="19" spans="1:7" ht="41.25" customHeight="1" x14ac:dyDescent="0.25">
      <c r="A19" s="357" t="s">
        <v>3535</v>
      </c>
      <c r="B19" s="350" t="s">
        <v>3545</v>
      </c>
      <c r="C19" s="350"/>
      <c r="D19" s="2" t="s">
        <v>3610</v>
      </c>
      <c r="F19" s="2" t="s">
        <v>3619</v>
      </c>
    </row>
    <row r="20" spans="1:7" ht="41.25" customHeight="1" x14ac:dyDescent="0.25">
      <c r="A20" s="357" t="s">
        <v>3535</v>
      </c>
      <c r="B20" s="350" t="s">
        <v>3546</v>
      </c>
      <c r="C20" s="350"/>
      <c r="D20" s="2" t="s">
        <v>3611</v>
      </c>
    </row>
    <row r="21" spans="1:7" ht="41.25" customHeight="1" x14ac:dyDescent="0.25">
      <c r="A21" s="357" t="s">
        <v>3535</v>
      </c>
      <c r="B21" s="350" t="s">
        <v>3547</v>
      </c>
      <c r="C21" s="350"/>
      <c r="D21" s="2" t="s">
        <v>3612</v>
      </c>
    </row>
    <row r="22" spans="1:7" ht="41.25" customHeight="1" x14ac:dyDescent="0.25">
      <c r="A22" s="357" t="s">
        <v>3535</v>
      </c>
      <c r="B22" s="350" t="s">
        <v>3548</v>
      </c>
      <c r="C22" s="350"/>
      <c r="D22" s="2" t="s">
        <v>3613</v>
      </c>
    </row>
  </sheetData>
  <pageMargins left="0.7" right="0.7" top="0.75" bottom="0.75" header="0.3" footer="0.3"/>
  <customProperties>
    <customPr name="GU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filterMode="1"/>
  <dimension ref="A1:U173"/>
  <sheetViews>
    <sheetView topLeftCell="A79" zoomScale="70" zoomScaleNormal="70" workbookViewId="0">
      <selection activeCell="C168" sqref="C168"/>
    </sheetView>
    <sheetView topLeftCell="E1" workbookViewId="1">
      <selection activeCell="G11" sqref="G11"/>
    </sheetView>
  </sheetViews>
  <sheetFormatPr defaultRowHeight="15" x14ac:dyDescent="0.25"/>
  <cols>
    <col min="1" max="1" width="90.42578125" customWidth="1"/>
    <col min="2" max="2" width="57.140625" customWidth="1"/>
    <col min="3" max="4" width="50.5703125" customWidth="1"/>
    <col min="5" max="5" width="62.5703125" customWidth="1"/>
    <col min="6" max="6" width="15.28515625" customWidth="1"/>
    <col min="7" max="7" width="21" customWidth="1"/>
    <col min="8" max="10" width="18.140625" customWidth="1"/>
    <col min="11" max="11" width="37.140625" customWidth="1"/>
    <col min="12" max="12" width="21.5703125" style="89" customWidth="1"/>
    <col min="13" max="13" width="21.5703125" customWidth="1"/>
    <col min="14" max="14" width="27.140625" bestFit="1" customWidth="1"/>
    <col min="15" max="15" width="28.28515625" customWidth="1"/>
    <col min="16" max="16" width="28.28515625" style="258" customWidth="1"/>
    <col min="17" max="17" width="28.28515625" customWidth="1"/>
    <col min="18" max="18" width="40" customWidth="1"/>
    <col min="19" max="19" width="37.85546875" bestFit="1" customWidth="1"/>
    <col min="21" max="21" width="11" customWidth="1"/>
  </cols>
  <sheetData>
    <row r="1" spans="1:21" ht="15.75" thickBot="1" x14ac:dyDescent="0.3">
      <c r="A1" s="508" t="s">
        <v>1851</v>
      </c>
      <c r="B1" s="508" t="s">
        <v>131</v>
      </c>
      <c r="C1" s="508" t="s">
        <v>1852</v>
      </c>
      <c r="D1" s="225" t="s">
        <v>1856</v>
      </c>
      <c r="E1" s="228" t="s">
        <v>119</v>
      </c>
      <c r="F1" s="228" t="s">
        <v>1965</v>
      </c>
      <c r="G1" s="528" t="s">
        <v>1887</v>
      </c>
      <c r="H1" s="528" t="s">
        <v>1889</v>
      </c>
      <c r="I1" s="529" t="s">
        <v>1971</v>
      </c>
      <c r="J1" s="528" t="s">
        <v>3628</v>
      </c>
      <c r="K1" s="510" t="s">
        <v>1854</v>
      </c>
      <c r="L1" s="529" t="s">
        <v>139</v>
      </c>
      <c r="M1" s="510" t="s">
        <v>140</v>
      </c>
      <c r="N1" s="508" t="s">
        <v>141</v>
      </c>
      <c r="O1" s="508" t="s">
        <v>146</v>
      </c>
      <c r="P1" s="526" t="s">
        <v>144</v>
      </c>
      <c r="Q1" s="508" t="s">
        <v>1493</v>
      </c>
      <c r="R1" s="510" t="s">
        <v>134</v>
      </c>
      <c r="S1" s="511" t="s">
        <v>142</v>
      </c>
      <c r="T1" s="528" t="s">
        <v>2831</v>
      </c>
      <c r="U1" s="528" t="s">
        <v>3628</v>
      </c>
    </row>
    <row r="2" spans="1:21" ht="15.75" hidden="1" thickBot="1" x14ac:dyDescent="0.3">
      <c r="A2" s="509"/>
      <c r="B2" s="509"/>
      <c r="C2" s="509"/>
      <c r="D2" s="226"/>
      <c r="E2" s="229"/>
      <c r="F2" s="229"/>
      <c r="G2" s="528"/>
      <c r="H2" s="528"/>
      <c r="I2" s="530"/>
      <c r="J2" s="528"/>
      <c r="K2" s="510"/>
      <c r="L2" s="530"/>
      <c r="M2" s="510"/>
      <c r="N2" s="509"/>
      <c r="O2" s="509"/>
      <c r="P2" s="527"/>
      <c r="Q2" s="509"/>
      <c r="R2" s="510"/>
      <c r="S2" s="511"/>
      <c r="T2" s="528"/>
      <c r="U2" s="528"/>
    </row>
    <row r="3" spans="1:21" ht="15.75" hidden="1" thickBot="1" x14ac:dyDescent="0.3">
      <c r="A3" s="235" t="s">
        <v>45</v>
      </c>
      <c r="B3" s="235" t="s">
        <v>45</v>
      </c>
      <c r="C3" s="235" t="str">
        <f>IF(A3=B3,"X",RIGHT(A3,LEN(A3)-LEN(B3)-3))</f>
        <v>X</v>
      </c>
      <c r="D3" s="235">
        <v>2022</v>
      </c>
      <c r="E3" s="235" t="str">
        <f t="shared" ref="E3:E8" si="0">K3&amp;": "&amp;"Geral : "&amp;L3&amp;" : Geral"</f>
        <v>: Geral : Gasóleo : Geral</v>
      </c>
      <c r="F3" s="255">
        <v>2</v>
      </c>
      <c r="G3" s="220" t="s">
        <v>1891</v>
      </c>
      <c r="H3" s="220" t="s">
        <v>1890</v>
      </c>
      <c r="I3" s="220" t="s">
        <v>1972</v>
      </c>
      <c r="J3" s="234" t="s">
        <v>2832</v>
      </c>
      <c r="K3" s="83"/>
      <c r="L3" s="124" t="s">
        <v>620</v>
      </c>
      <c r="M3" s="127">
        <v>17997458.539999999</v>
      </c>
      <c r="N3" s="85" t="s">
        <v>621</v>
      </c>
      <c r="O3" s="128">
        <v>37006000</v>
      </c>
      <c r="P3" s="133"/>
      <c r="Q3" s="85" t="s">
        <v>616</v>
      </c>
      <c r="R3" s="91" t="s">
        <v>627</v>
      </c>
      <c r="S3" s="85" t="s">
        <v>47</v>
      </c>
      <c r="T3" t="s">
        <v>1972</v>
      </c>
      <c r="U3" t="s">
        <v>2832</v>
      </c>
    </row>
    <row r="4" spans="1:21" ht="15.75" hidden="1" thickBot="1" x14ac:dyDescent="0.3">
      <c r="A4" s="235" t="s">
        <v>535</v>
      </c>
      <c r="B4" s="235" t="str">
        <f t="shared" ref="B4:B48" si="1">LEFT(A4,IFERROR(FIND(" - ",A4)-1,LEN(A4)))</f>
        <v>Ribatejana Verde</v>
      </c>
      <c r="C4" s="235" t="str">
        <f t="shared" ref="C4:C48" si="2">IF(A4=B4,"X",RIGHT(A4,LEN(A4)-LEN(B4)-3))</f>
        <v>X</v>
      </c>
      <c r="D4" s="235">
        <v>2022</v>
      </c>
      <c r="E4" s="235" t="str">
        <f t="shared" si="0"/>
        <v>: Geral : Gasóleo : Geral</v>
      </c>
      <c r="F4" s="255">
        <v>2</v>
      </c>
      <c r="G4" s="220" t="s">
        <v>1891</v>
      </c>
      <c r="H4" s="220" t="s">
        <v>1890</v>
      </c>
      <c r="I4" s="220" t="s">
        <v>1972</v>
      </c>
      <c r="J4" s="234" t="s">
        <v>2832</v>
      </c>
      <c r="K4" s="83"/>
      <c r="L4" s="124" t="s">
        <v>620</v>
      </c>
      <c r="M4" s="127">
        <v>1028791.97</v>
      </c>
      <c r="N4" s="85" t="s">
        <v>621</v>
      </c>
      <c r="O4" s="128">
        <v>2170000</v>
      </c>
      <c r="P4" s="133"/>
      <c r="Q4" s="85" t="s">
        <v>617</v>
      </c>
      <c r="R4" s="85" t="s">
        <v>627</v>
      </c>
      <c r="S4" s="85" t="s">
        <v>47</v>
      </c>
      <c r="T4" t="s">
        <v>1972</v>
      </c>
      <c r="U4" t="s">
        <v>2832</v>
      </c>
    </row>
    <row r="5" spans="1:21" ht="15.75" hidden="1" thickBot="1" x14ac:dyDescent="0.3">
      <c r="A5" s="235" t="s">
        <v>601</v>
      </c>
      <c r="B5" s="235" t="str">
        <f t="shared" si="1"/>
        <v>Cityrama</v>
      </c>
      <c r="C5" s="235" t="str">
        <f t="shared" si="2"/>
        <v>X</v>
      </c>
      <c r="D5" s="235">
        <v>2022</v>
      </c>
      <c r="E5" s="235" t="str">
        <f t="shared" si="0"/>
        <v>: Geral : Gasóleo : Geral</v>
      </c>
      <c r="F5" s="255">
        <v>2</v>
      </c>
      <c r="G5" s="220" t="s">
        <v>1891</v>
      </c>
      <c r="H5" s="220" t="s">
        <v>1890</v>
      </c>
      <c r="I5" s="220" t="s">
        <v>1972</v>
      </c>
      <c r="J5" s="234" t="s">
        <v>2832</v>
      </c>
      <c r="K5" s="83"/>
      <c r="L5" s="124" t="s">
        <v>620</v>
      </c>
      <c r="M5" s="127">
        <v>470233.37</v>
      </c>
      <c r="N5" s="85" t="s">
        <v>621</v>
      </c>
      <c r="O5" s="128">
        <v>1200000</v>
      </c>
      <c r="P5" s="133"/>
      <c r="Q5" s="91" t="s">
        <v>618</v>
      </c>
      <c r="R5" s="85" t="s">
        <v>627</v>
      </c>
      <c r="S5" s="85" t="s">
        <v>47</v>
      </c>
      <c r="T5" t="s">
        <v>1972</v>
      </c>
      <c r="U5" t="s">
        <v>2832</v>
      </c>
    </row>
    <row r="6" spans="1:21" ht="15.75" hidden="1" thickBot="1" x14ac:dyDescent="0.3">
      <c r="A6" s="235" t="s">
        <v>602</v>
      </c>
      <c r="B6" s="235" t="str">
        <f t="shared" si="1"/>
        <v>Diana Tours / Prime Bus</v>
      </c>
      <c r="C6" s="235" t="str">
        <f t="shared" si="2"/>
        <v>X</v>
      </c>
      <c r="D6" s="235">
        <v>2022</v>
      </c>
      <c r="E6" s="235" t="str">
        <f t="shared" si="0"/>
        <v>: Geral : Gasóleo : Geral</v>
      </c>
      <c r="F6" s="255">
        <v>2</v>
      </c>
      <c r="G6" s="220" t="s">
        <v>1891</v>
      </c>
      <c r="H6" s="220" t="s">
        <v>1890</v>
      </c>
      <c r="I6" s="220" t="s">
        <v>1972</v>
      </c>
      <c r="J6" s="234" t="s">
        <v>2832</v>
      </c>
      <c r="K6" s="83"/>
      <c r="L6" s="124" t="s">
        <v>620</v>
      </c>
      <c r="M6" s="127">
        <v>384964.8</v>
      </c>
      <c r="N6" s="85" t="s">
        <v>621</v>
      </c>
      <c r="O6" s="128">
        <v>857000</v>
      </c>
      <c r="P6" s="133"/>
      <c r="Q6" s="91" t="s">
        <v>619</v>
      </c>
      <c r="R6" s="85" t="s">
        <v>627</v>
      </c>
      <c r="S6" s="85" t="s">
        <v>47</v>
      </c>
      <c r="T6" t="s">
        <v>1972</v>
      </c>
      <c r="U6" t="s">
        <v>2832</v>
      </c>
    </row>
    <row r="7" spans="1:21" ht="15.75" hidden="1" thickBot="1" x14ac:dyDescent="0.3">
      <c r="A7" s="235" t="s">
        <v>3697</v>
      </c>
      <c r="B7" s="235" t="str">
        <f t="shared" si="1"/>
        <v>Henrique Leonardo Mota</v>
      </c>
      <c r="C7" s="235" t="str">
        <f t="shared" si="2"/>
        <v>X</v>
      </c>
      <c r="D7" s="235">
        <v>2022</v>
      </c>
      <c r="E7" s="235" t="str">
        <f t="shared" si="0"/>
        <v>: Geral : Gasóleo : Geral</v>
      </c>
      <c r="F7" s="255">
        <v>-1</v>
      </c>
      <c r="G7" s="220" t="s">
        <v>1891</v>
      </c>
      <c r="H7" s="220" t="s">
        <v>1890</v>
      </c>
      <c r="I7" s="220" t="s">
        <v>1972</v>
      </c>
      <c r="J7" s="234" t="s">
        <v>2832</v>
      </c>
      <c r="K7" s="83"/>
      <c r="L7" s="124" t="s">
        <v>620</v>
      </c>
      <c r="M7" s="127">
        <v>796615.82000000007</v>
      </c>
      <c r="N7" s="85" t="s">
        <v>621</v>
      </c>
      <c r="O7" s="128">
        <v>0</v>
      </c>
      <c r="P7" s="133"/>
      <c r="Q7" s="128">
        <v>0</v>
      </c>
      <c r="R7" s="85" t="s">
        <v>627</v>
      </c>
      <c r="S7" s="85" t="s">
        <v>47</v>
      </c>
      <c r="T7" t="s">
        <v>1972</v>
      </c>
      <c r="U7" t="s">
        <v>2832</v>
      </c>
    </row>
    <row r="8" spans="1:21" ht="15.75" hidden="1" thickBot="1" x14ac:dyDescent="0.3">
      <c r="A8" s="235" t="s">
        <v>45</v>
      </c>
      <c r="B8" s="235" t="s">
        <v>45</v>
      </c>
      <c r="C8" s="235" t="str">
        <f t="shared" si="2"/>
        <v>X</v>
      </c>
      <c r="D8" s="235">
        <v>2022</v>
      </c>
      <c r="E8" s="235" t="str">
        <f t="shared" si="0"/>
        <v>Pesado de Passageiros M3: Geral : Gasóleo : Geral</v>
      </c>
      <c r="F8" s="255">
        <v>2</v>
      </c>
      <c r="G8" s="220" t="s">
        <v>1891</v>
      </c>
      <c r="H8" s="220" t="s">
        <v>1890</v>
      </c>
      <c r="I8" s="220" t="s">
        <v>1972</v>
      </c>
      <c r="J8" s="234" t="s">
        <v>2832</v>
      </c>
      <c r="K8" s="83" t="s">
        <v>629</v>
      </c>
      <c r="L8" s="124" t="s">
        <v>620</v>
      </c>
      <c r="M8" s="127">
        <f>SUM(M12:M17)</f>
        <v>0</v>
      </c>
      <c r="N8" s="85" t="s">
        <v>630</v>
      </c>
      <c r="O8" s="128">
        <f>SUM(O12:O17)</f>
        <v>0</v>
      </c>
      <c r="P8" s="133">
        <f t="shared" ref="P8:P17" si="3">IFERROR(Q8/O8,0)</f>
        <v>0</v>
      </c>
      <c r="Q8" s="128">
        <f>SUM(Q12:Q17)</f>
        <v>0</v>
      </c>
      <c r="R8" s="85" t="s">
        <v>1491</v>
      </c>
      <c r="S8" s="85" t="s">
        <v>47</v>
      </c>
      <c r="T8" t="s">
        <v>1972</v>
      </c>
      <c r="U8" t="s">
        <v>2832</v>
      </c>
    </row>
    <row r="9" spans="1:21" s="299" customFormat="1" ht="30.75" thickBot="1" x14ac:dyDescent="0.3">
      <c r="A9" s="292" t="s">
        <v>4683</v>
      </c>
      <c r="B9" s="292" t="s">
        <v>4683</v>
      </c>
      <c r="C9" s="292" t="str">
        <f t="shared" si="2"/>
        <v>X</v>
      </c>
      <c r="D9" s="292">
        <v>2022</v>
      </c>
      <c r="E9" s="292" t="str">
        <f t="shared" ref="E9:E72" si="4">K9&amp;": "&amp;"Geral : "&amp;L9&amp;" : Geral"</f>
        <v>Pesado de Passageiros M3: Geral : Gasóleo : Geral</v>
      </c>
      <c r="F9" s="427">
        <v>1</v>
      </c>
      <c r="G9" s="299" t="s">
        <v>1888</v>
      </c>
      <c r="H9" s="299" t="s">
        <v>1861</v>
      </c>
      <c r="I9" s="299" t="s">
        <v>1972</v>
      </c>
      <c r="J9" s="299" t="s">
        <v>2832</v>
      </c>
      <c r="K9" s="276" t="s">
        <v>629</v>
      </c>
      <c r="L9" s="428" t="s">
        <v>620</v>
      </c>
      <c r="M9" s="252">
        <v>764882.6239999996</v>
      </c>
      <c r="N9" s="253" t="s">
        <v>630</v>
      </c>
      <c r="O9" s="254">
        <v>2169754</v>
      </c>
      <c r="P9" s="327">
        <f t="shared" si="3"/>
        <v>62.980566921411366</v>
      </c>
      <c r="Q9" s="254">
        <v>136652337</v>
      </c>
      <c r="R9" s="253" t="s">
        <v>1491</v>
      </c>
      <c r="S9" s="253" t="s">
        <v>47</v>
      </c>
      <c r="T9" s="299" t="s">
        <v>1972</v>
      </c>
      <c r="U9" s="299" t="s">
        <v>2832</v>
      </c>
    </row>
    <row r="10" spans="1:21" s="299" customFormat="1" ht="15.75" thickBot="1" x14ac:dyDescent="0.3">
      <c r="A10" s="292" t="s">
        <v>4684</v>
      </c>
      <c r="B10" s="292" t="s">
        <v>4684</v>
      </c>
      <c r="C10" s="292" t="str">
        <f t="shared" si="2"/>
        <v>X</v>
      </c>
      <c r="D10" s="292">
        <v>2022</v>
      </c>
      <c r="E10" s="292" t="str">
        <f t="shared" si="4"/>
        <v>Pesado de Passageiros M3: Geral : Gasóleo : Geral</v>
      </c>
      <c r="F10" s="427">
        <v>1</v>
      </c>
      <c r="G10" s="299" t="s">
        <v>1888</v>
      </c>
      <c r="H10" s="299" t="s">
        <v>1861</v>
      </c>
      <c r="I10" s="299" t="s">
        <v>1972</v>
      </c>
      <c r="J10" s="299" t="s">
        <v>2832</v>
      </c>
      <c r="K10" s="276" t="s">
        <v>629</v>
      </c>
      <c r="L10" s="428" t="s">
        <v>620</v>
      </c>
      <c r="M10" s="252">
        <v>320773.27999999997</v>
      </c>
      <c r="N10" s="253" t="s">
        <v>630</v>
      </c>
      <c r="O10" s="254">
        <v>1016213</v>
      </c>
      <c r="P10" s="327">
        <f t="shared" si="3"/>
        <v>50.2639909152904</v>
      </c>
      <c r="Q10" s="254">
        <v>51078921</v>
      </c>
      <c r="R10" s="253" t="s">
        <v>1491</v>
      </c>
      <c r="S10" s="253" t="s">
        <v>47</v>
      </c>
      <c r="T10" s="299" t="s">
        <v>1972</v>
      </c>
      <c r="U10" s="299" t="s">
        <v>2832</v>
      </c>
    </row>
    <row r="11" spans="1:21" s="299" customFormat="1" ht="15.75" thickBot="1" x14ac:dyDescent="0.3">
      <c r="A11" s="292" t="s">
        <v>4685</v>
      </c>
      <c r="B11" s="292" t="s">
        <v>4685</v>
      </c>
      <c r="C11" s="292" t="str">
        <f t="shared" si="2"/>
        <v>X</v>
      </c>
      <c r="D11" s="292">
        <v>2022</v>
      </c>
      <c r="E11" s="292" t="str">
        <f t="shared" si="4"/>
        <v>Pesado de Passageiros M3: Geral : Gasóleo : Geral</v>
      </c>
      <c r="F11" s="427">
        <v>3</v>
      </c>
      <c r="G11" s="299" t="s">
        <v>1888</v>
      </c>
      <c r="H11" s="299" t="s">
        <v>1861</v>
      </c>
      <c r="I11" s="299" t="s">
        <v>1972</v>
      </c>
      <c r="J11" s="299" t="s">
        <v>2832</v>
      </c>
      <c r="K11" s="276" t="s">
        <v>629</v>
      </c>
      <c r="L11" s="428" t="s">
        <v>620</v>
      </c>
      <c r="M11" s="252">
        <f>0*251983.457</f>
        <v>0</v>
      </c>
      <c r="N11" s="253" t="s">
        <v>630</v>
      </c>
      <c r="O11" s="254">
        <f>0*882367</f>
        <v>0</v>
      </c>
      <c r="P11" s="327">
        <f t="shared" si="3"/>
        <v>0</v>
      </c>
      <c r="Q11" s="254">
        <v>41917677</v>
      </c>
      <c r="R11" s="253" t="s">
        <v>1491</v>
      </c>
      <c r="S11" s="253" t="s">
        <v>47</v>
      </c>
      <c r="T11" s="299" t="s">
        <v>1972</v>
      </c>
      <c r="U11" s="299" t="s">
        <v>2832</v>
      </c>
    </row>
    <row r="12" spans="1:21" ht="15.75" thickBot="1" x14ac:dyDescent="0.3">
      <c r="A12" s="235" t="s">
        <v>3506</v>
      </c>
      <c r="B12" s="235" t="str">
        <f t="shared" ref="B12:B17" si="5">LEFT(A12,IFERROR(FIND(" - ",A12)-1,LEN(A12)))</f>
        <v>Barraqueiro Transportes, S.A.</v>
      </c>
      <c r="C12" s="235" t="str">
        <f t="shared" si="2"/>
        <v>Mafrense</v>
      </c>
      <c r="D12" s="235">
        <v>2022</v>
      </c>
      <c r="E12" s="235" t="str">
        <f t="shared" si="4"/>
        <v>Pesado de Passageiros M3: Geral : Gasóleo : Geral</v>
      </c>
      <c r="F12" s="255">
        <v>1</v>
      </c>
      <c r="G12" s="220" t="s">
        <v>1888</v>
      </c>
      <c r="H12" s="220" t="s">
        <v>1861</v>
      </c>
      <c r="I12" s="220" t="s">
        <v>1972</v>
      </c>
      <c r="J12" s="234" t="s">
        <v>2832</v>
      </c>
      <c r="K12" s="83" t="s">
        <v>629</v>
      </c>
      <c r="L12" s="124" t="s">
        <v>620</v>
      </c>
      <c r="M12" s="127">
        <f t="array" ref="M12">SUMPRODUCT(IF('A1.1.1'!C$30:C$916='A1.1 copy'!K12,1,0),IF('A1.1.1'!D$30:D$916='A1.1 copy'!L12,1,0),IF('A1.1.1'!B$30:B$916='A1.1 copy'!B12,1,0),'A1.1.1'!H$30:H$916)</f>
        <v>0</v>
      </c>
      <c r="N12" s="85" t="s">
        <v>630</v>
      </c>
      <c r="O12" s="128">
        <f t="array" ref="O12">SUMPRODUCT(IF('A1.1.1'!C$30:C$916='A1.1 copy'!K12,1,0),IF('A1.1.1'!D$30:D$916='A1.1 copy'!L12,1,0),IF('A1.1.1'!B$30:B$916='A1.1 copy'!B12,1,0),'A1.1.1'!J$30:J$916)</f>
        <v>0</v>
      </c>
      <c r="P12" s="133">
        <f t="shared" si="3"/>
        <v>0</v>
      </c>
      <c r="Q12" s="128">
        <f t="array" ref="Q12">SUMPRODUCT(IF('A1.1.1'!C$30:C$916='A1.1 copy'!K12,1,0),IF('A1.1.1'!D$30:D$916='A1.1 copy'!L12,1,0),IF('A1.1.1'!B$30:B$916='A1.1 copy'!B12,1,0),'A1.1.1'!K$30:K$916)</f>
        <v>0</v>
      </c>
      <c r="R12" s="85" t="s">
        <v>1491</v>
      </c>
      <c r="S12" s="85" t="s">
        <v>47</v>
      </c>
      <c r="T12" t="s">
        <v>1972</v>
      </c>
      <c r="U12" t="s">
        <v>2832</v>
      </c>
    </row>
    <row r="13" spans="1:21" ht="15.75" thickBot="1" x14ac:dyDescent="0.3">
      <c r="A13" s="235" t="s">
        <v>3314</v>
      </c>
      <c r="B13" s="235" t="str">
        <f t="shared" si="5"/>
        <v>Barraqueiro Transportes, S.A.</v>
      </c>
      <c r="C13" s="235" t="str">
        <f t="shared" si="2"/>
        <v>Barraqueiro Alugueres</v>
      </c>
      <c r="D13" s="235">
        <v>2022</v>
      </c>
      <c r="E13" s="235" t="str">
        <f t="shared" si="4"/>
        <v>Pesado de Passageiros M3: Geral : Gasóleo : Geral</v>
      </c>
      <c r="F13" s="255">
        <v>1</v>
      </c>
      <c r="G13" s="220" t="s">
        <v>1888</v>
      </c>
      <c r="H13" s="220" t="s">
        <v>1861</v>
      </c>
      <c r="I13" s="220" t="s">
        <v>1972</v>
      </c>
      <c r="J13" s="234" t="s">
        <v>2832</v>
      </c>
      <c r="K13" s="83" t="s">
        <v>629</v>
      </c>
      <c r="L13" s="124" t="s">
        <v>620</v>
      </c>
      <c r="M13" s="127">
        <f t="array" ref="M13">SUMPRODUCT(IF('A1.1.1'!C$30:C$916='A1.1 copy'!K13,1,0),IF('A1.1.1'!D$30:D$916='A1.1 copy'!L13,1,0),IF('A1.1.1'!B$30:B$916='A1.1 copy'!B13,1,0),'A1.1.1'!H$30:H$916)</f>
        <v>0</v>
      </c>
      <c r="N13" s="85" t="s">
        <v>630</v>
      </c>
      <c r="O13" s="128">
        <f t="array" ref="O13">SUMPRODUCT(IF('A1.1.1'!C$30:C$916='A1.1 copy'!K13,1,0),IF('A1.1.1'!D$30:D$916='A1.1 copy'!L13,1,0),IF('A1.1.1'!B$30:B$916='A1.1 copy'!B13,1,0),'A1.1.1'!J$30:J$916)</f>
        <v>0</v>
      </c>
      <c r="P13" s="133">
        <f t="shared" si="3"/>
        <v>0</v>
      </c>
      <c r="Q13" s="128">
        <f t="array" ref="Q13">SUMPRODUCT(IF('A1.1.1'!C$30:C$916='A1.1 copy'!K13,1,0),IF('A1.1.1'!D$30:D$916='A1.1 copy'!L13,1,0),IF('A1.1.1'!B$30:B$916='A1.1 copy'!B13,1,0),'A1.1.1'!K$30:K$916)</f>
        <v>0</v>
      </c>
      <c r="R13" s="85" t="s">
        <v>1491</v>
      </c>
      <c r="S13" s="85" t="s">
        <v>47</v>
      </c>
      <c r="T13" t="s">
        <v>1972</v>
      </c>
      <c r="U13" t="s">
        <v>2832</v>
      </c>
    </row>
    <row r="14" spans="1:21" ht="15.75" thickBot="1" x14ac:dyDescent="0.3">
      <c r="A14" s="235" t="s">
        <v>3507</v>
      </c>
      <c r="B14" s="235" t="str">
        <f t="shared" si="5"/>
        <v>Barraqueiro Transportes, S.A.</v>
      </c>
      <c r="C14" s="235" t="str">
        <f t="shared" si="2"/>
        <v>Estremadura</v>
      </c>
      <c r="D14" s="235">
        <v>2022</v>
      </c>
      <c r="E14" s="235" t="str">
        <f t="shared" si="4"/>
        <v>Pesado de Passageiros M3: Geral : Gasóleo : Geral</v>
      </c>
      <c r="F14" s="255">
        <v>1</v>
      </c>
      <c r="G14" s="220" t="s">
        <v>1888</v>
      </c>
      <c r="H14" s="220" t="s">
        <v>1861</v>
      </c>
      <c r="I14" s="220" t="s">
        <v>1972</v>
      </c>
      <c r="J14" s="234" t="s">
        <v>2832</v>
      </c>
      <c r="K14" s="83" t="s">
        <v>629</v>
      </c>
      <c r="L14" s="124" t="s">
        <v>620</v>
      </c>
      <c r="M14" s="127">
        <f t="array" ref="M14">SUMPRODUCT(IF('A1.1.1'!C$30:C$916='A1.1 copy'!K14,1,0),IF('A1.1.1'!D$30:D$916='A1.1 copy'!L14,1,0),IF('A1.1.1'!B$30:B$916='A1.1 copy'!B14,1,0),'A1.1.1'!H$30:H$916)</f>
        <v>0</v>
      </c>
      <c r="N14" s="85" t="s">
        <v>630</v>
      </c>
      <c r="O14" s="128">
        <f t="array" ref="O14">SUMPRODUCT(IF('A1.1.1'!C$30:C$916='A1.1 copy'!K14,1,0),IF('A1.1.1'!D$30:D$916='A1.1 copy'!L14,1,0),IF('A1.1.1'!B$30:B$916='A1.1 copy'!B14,1,0),'A1.1.1'!J$30:J$916)</f>
        <v>0</v>
      </c>
      <c r="P14" s="133">
        <f t="shared" si="3"/>
        <v>0</v>
      </c>
      <c r="Q14" s="128">
        <f t="array" ref="Q14">SUMPRODUCT(IF('A1.1.1'!C$30:C$916='A1.1 copy'!K14,1,0),IF('A1.1.1'!D$30:D$916='A1.1 copy'!L14,1,0),IF('A1.1.1'!B$30:B$916='A1.1 copy'!B14,1,0),'A1.1.1'!K$30:K$916)</f>
        <v>0</v>
      </c>
      <c r="R14" s="85" t="s">
        <v>1491</v>
      </c>
      <c r="S14" s="85" t="s">
        <v>47</v>
      </c>
      <c r="T14" t="s">
        <v>1972</v>
      </c>
      <c r="U14" t="s">
        <v>2832</v>
      </c>
    </row>
    <row r="15" spans="1:21" ht="15.75" thickBot="1" x14ac:dyDescent="0.3">
      <c r="A15" s="235" t="s">
        <v>3508</v>
      </c>
      <c r="B15" s="235" t="str">
        <f t="shared" si="5"/>
        <v>Barraqueiro Transportes, S.A.</v>
      </c>
      <c r="C15" s="235" t="str">
        <f t="shared" si="2"/>
        <v>Frota Azul</v>
      </c>
      <c r="D15" s="235">
        <v>2022</v>
      </c>
      <c r="E15" s="235" t="str">
        <f t="shared" si="4"/>
        <v>Pesado de Passageiros M3: Geral : Gasóleo : Geral</v>
      </c>
      <c r="F15" s="255">
        <v>1</v>
      </c>
      <c r="G15" s="220" t="s">
        <v>1888</v>
      </c>
      <c r="H15" s="220" t="s">
        <v>1861</v>
      </c>
      <c r="I15" s="220" t="s">
        <v>1972</v>
      </c>
      <c r="J15" s="234" t="s">
        <v>2832</v>
      </c>
      <c r="K15" s="83" t="s">
        <v>629</v>
      </c>
      <c r="L15" s="124" t="s">
        <v>620</v>
      </c>
      <c r="M15" s="127">
        <f t="array" ref="M15">SUMPRODUCT(IF('A1.1.1'!C$30:C$916='A1.1 copy'!K15,1,0),IF('A1.1.1'!D$30:D$916='A1.1 copy'!L15,1,0),IF('A1.1.1'!B$30:B$916='A1.1 copy'!B15,1,0),'A1.1.1'!H$30:H$916)</f>
        <v>0</v>
      </c>
      <c r="N15" s="85" t="s">
        <v>630</v>
      </c>
      <c r="O15" s="128">
        <f t="array" ref="O15">SUMPRODUCT(IF('A1.1.1'!C$30:C$916='A1.1 copy'!K15,1,0),IF('A1.1.1'!D$30:D$916='A1.1 copy'!L15,1,0),IF('A1.1.1'!B$30:B$916='A1.1 copy'!B15,1,0),'A1.1.1'!J$30:J$916)</f>
        <v>0</v>
      </c>
      <c r="P15" s="133">
        <f t="shared" si="3"/>
        <v>0</v>
      </c>
      <c r="Q15" s="128">
        <f t="array" ref="Q15">SUMPRODUCT(IF('A1.1.1'!C$30:C$916='A1.1 copy'!K15,1,0),IF('A1.1.1'!D$30:D$916='A1.1 copy'!L15,1,0),IF('A1.1.1'!B$30:B$916='A1.1 copy'!B15,1,0),'A1.1.1'!K$30:K$916)</f>
        <v>0</v>
      </c>
      <c r="R15" s="85" t="s">
        <v>1491</v>
      </c>
      <c r="S15" s="85" t="s">
        <v>47</v>
      </c>
      <c r="T15" t="s">
        <v>1972</v>
      </c>
      <c r="U15" t="s">
        <v>2832</v>
      </c>
    </row>
    <row r="16" spans="1:21" ht="15.75" thickBot="1" x14ac:dyDescent="0.3">
      <c r="A16" s="235" t="s">
        <v>3509</v>
      </c>
      <c r="B16" s="235" t="str">
        <f t="shared" si="5"/>
        <v>Barraqueiro Transportes, S.A.</v>
      </c>
      <c r="C16" s="235" t="str">
        <f t="shared" si="2"/>
        <v>Barraqueiro Oeste</v>
      </c>
      <c r="D16" s="235">
        <v>2022</v>
      </c>
      <c r="E16" s="235" t="str">
        <f t="shared" si="4"/>
        <v>Pesado de Passageiros M3: Geral : Gasóleo : Geral</v>
      </c>
      <c r="F16" s="255">
        <v>1</v>
      </c>
      <c r="G16" s="220" t="s">
        <v>1888</v>
      </c>
      <c r="H16" s="220" t="s">
        <v>1861</v>
      </c>
      <c r="I16" s="220" t="s">
        <v>1972</v>
      </c>
      <c r="J16" s="234" t="s">
        <v>2832</v>
      </c>
      <c r="K16" s="83" t="s">
        <v>629</v>
      </c>
      <c r="L16" s="124" t="s">
        <v>620</v>
      </c>
      <c r="M16" s="127">
        <f t="array" ref="M16">SUMPRODUCT(IF('A1.1.1'!C$30:C$916='A1.1 copy'!K16,1,0),IF('A1.1.1'!D$30:D$916='A1.1 copy'!L16,1,0),IF('A1.1.1'!B$30:B$916='A1.1 copy'!B16,1,0),'A1.1.1'!H$30:H$916)</f>
        <v>0</v>
      </c>
      <c r="N16" s="85" t="s">
        <v>630</v>
      </c>
      <c r="O16" s="128">
        <f t="array" ref="O16">SUMPRODUCT(IF('A1.1.1'!C$30:C$916='A1.1 copy'!K16,1,0),IF('A1.1.1'!D$30:D$916='A1.1 copy'!L16,1,0),IF('A1.1.1'!B$30:B$916='A1.1 copy'!B16,1,0),'A1.1.1'!J$30:J$916)</f>
        <v>0</v>
      </c>
      <c r="P16" s="133">
        <f t="shared" si="3"/>
        <v>0</v>
      </c>
      <c r="Q16" s="128">
        <f t="array" ref="Q16">SUMPRODUCT(IF('A1.1.1'!C$30:C$916='A1.1 copy'!K16,1,0),IF('A1.1.1'!D$30:D$916='A1.1 copy'!L16,1,0),IF('A1.1.1'!B$30:B$916='A1.1 copy'!B16,1,0),'A1.1.1'!K$30:K$916)</f>
        <v>0</v>
      </c>
      <c r="R16" s="85" t="s">
        <v>1491</v>
      </c>
      <c r="S16" s="85" t="s">
        <v>47</v>
      </c>
      <c r="T16" t="s">
        <v>1972</v>
      </c>
      <c r="U16" t="s">
        <v>2832</v>
      </c>
    </row>
    <row r="17" spans="1:21" ht="15.75" thickBot="1" x14ac:dyDescent="0.3">
      <c r="A17" s="235" t="s">
        <v>3510</v>
      </c>
      <c r="B17" s="235" t="str">
        <f t="shared" si="5"/>
        <v>Barraqueiro Transportes, S.A.</v>
      </c>
      <c r="C17" s="235" t="str">
        <f t="shared" si="2"/>
        <v>Boa Viagem</v>
      </c>
      <c r="D17" s="235">
        <v>2022</v>
      </c>
      <c r="E17" s="235" t="str">
        <f t="shared" si="4"/>
        <v>Pesado de Passageiros M3: Geral : Gasóleo : Geral</v>
      </c>
      <c r="F17" s="255">
        <v>1</v>
      </c>
      <c r="G17" s="220" t="s">
        <v>1888</v>
      </c>
      <c r="H17" s="220" t="s">
        <v>1861</v>
      </c>
      <c r="I17" s="220" t="s">
        <v>1972</v>
      </c>
      <c r="J17" s="234" t="s">
        <v>2832</v>
      </c>
      <c r="K17" s="83" t="s">
        <v>629</v>
      </c>
      <c r="L17" s="124" t="s">
        <v>620</v>
      </c>
      <c r="M17" s="127">
        <f t="array" ref="M17">SUMPRODUCT(IF('A1.1.1'!C$30:C$916='A1.1 copy'!K17,1,0),IF('A1.1.1'!D$30:D$916='A1.1 copy'!L17,1,0),IF('A1.1.1'!B$30:B$916='A1.1 copy'!B17,1,0),'A1.1.1'!H$30:H$916)</f>
        <v>0</v>
      </c>
      <c r="N17" s="85" t="s">
        <v>630</v>
      </c>
      <c r="O17" s="128">
        <f t="array" ref="O17">SUMPRODUCT(IF('A1.1.1'!C$30:C$916='A1.1 copy'!K17,1,0),IF('A1.1.1'!D$30:D$916='A1.1 copy'!L17,1,0),IF('A1.1.1'!B$30:B$916='A1.1 copy'!B17,1,0),'A1.1.1'!J$30:J$916)</f>
        <v>0</v>
      </c>
      <c r="P17" s="133">
        <f t="shared" si="3"/>
        <v>0</v>
      </c>
      <c r="Q17" s="128">
        <f t="array" ref="Q17">SUMPRODUCT(IF('A1.1.1'!C$30:C$916='A1.1 copy'!K17,1,0),IF('A1.1.1'!D$30:D$916='A1.1 copy'!L17,1,0),IF('A1.1.1'!B$30:B$916='A1.1 copy'!B17,1,0),'A1.1.1'!K$30:K$916)</f>
        <v>0</v>
      </c>
      <c r="R17" s="85" t="s">
        <v>1491</v>
      </c>
      <c r="S17" s="85" t="s">
        <v>47</v>
      </c>
      <c r="T17" t="s">
        <v>1972</v>
      </c>
      <c r="U17" t="s">
        <v>2832</v>
      </c>
    </row>
    <row r="18" spans="1:21" ht="15.75" thickBot="1" x14ac:dyDescent="0.3">
      <c r="A18" s="235" t="s">
        <v>45</v>
      </c>
      <c r="B18" s="235" t="s">
        <v>45</v>
      </c>
      <c r="C18" s="235" t="str">
        <f t="shared" si="2"/>
        <v>X</v>
      </c>
      <c r="D18" s="235">
        <v>2022</v>
      </c>
      <c r="E18" s="235" t="str">
        <f t="shared" si="4"/>
        <v>Pesado de Passageiros M3: Geral : Gasóleo : Geral</v>
      </c>
      <c r="F18" s="255">
        <v>1</v>
      </c>
      <c r="G18" s="220" t="s">
        <v>1888</v>
      </c>
      <c r="H18" s="220" t="s">
        <v>1861</v>
      </c>
      <c r="I18" s="220" t="s">
        <v>1972</v>
      </c>
      <c r="J18" s="234" t="s">
        <v>2832</v>
      </c>
      <c r="K18" s="83" t="s">
        <v>629</v>
      </c>
      <c r="L18" s="124" t="s">
        <v>620</v>
      </c>
      <c r="M18" s="127">
        <f>SUM(M22:M27)</f>
        <v>11534281.83</v>
      </c>
      <c r="N18" s="85" t="s">
        <v>630</v>
      </c>
      <c r="O18" s="128">
        <f>SUM(O22:O27)</f>
        <v>37101716</v>
      </c>
      <c r="P18" s="133"/>
      <c r="Q18" s="128" t="s">
        <v>1512</v>
      </c>
      <c r="R18" s="85" t="s">
        <v>1492</v>
      </c>
      <c r="S18" s="85" t="s">
        <v>47</v>
      </c>
      <c r="T18" t="s">
        <v>1972</v>
      </c>
      <c r="U18" t="s">
        <v>2832</v>
      </c>
    </row>
    <row r="19" spans="1:21" s="299" customFormat="1" ht="30.75" thickBot="1" x14ac:dyDescent="0.3">
      <c r="A19" s="292" t="s">
        <v>4683</v>
      </c>
      <c r="B19" s="292" t="s">
        <v>4683</v>
      </c>
      <c r="C19" s="292" t="str">
        <f t="shared" si="2"/>
        <v>X</v>
      </c>
      <c r="D19" s="292">
        <v>2022</v>
      </c>
      <c r="E19" s="292" t="str">
        <f t="shared" si="4"/>
        <v>Pesado de Passageiros M3: Geral : Gasóleo : Geral</v>
      </c>
      <c r="F19" s="427">
        <v>3</v>
      </c>
      <c r="G19" s="299" t="s">
        <v>1888</v>
      </c>
      <c r="H19" s="299" t="s">
        <v>1861</v>
      </c>
      <c r="I19" s="299" t="s">
        <v>1972</v>
      </c>
      <c r="J19" s="299" t="s">
        <v>2832</v>
      </c>
      <c r="K19" s="276" t="s">
        <v>629</v>
      </c>
      <c r="L19" s="428" t="s">
        <v>620</v>
      </c>
      <c r="M19" s="252">
        <v>695728.14299999957</v>
      </c>
      <c r="N19" s="253" t="s">
        <v>630</v>
      </c>
      <c r="O19" s="254">
        <v>1993144</v>
      </c>
      <c r="P19" s="327"/>
      <c r="Q19" s="254" t="s">
        <v>1510</v>
      </c>
      <c r="R19" s="253" t="s">
        <v>1492</v>
      </c>
      <c r="S19" s="253" t="s">
        <v>47</v>
      </c>
      <c r="T19" s="299" t="s">
        <v>1972</v>
      </c>
      <c r="U19" s="299" t="s">
        <v>2832</v>
      </c>
    </row>
    <row r="20" spans="1:21" s="299" customFormat="1" ht="15.75" thickBot="1" x14ac:dyDescent="0.3">
      <c r="A20" s="292" t="s">
        <v>4685</v>
      </c>
      <c r="B20" s="292" t="s">
        <v>4685</v>
      </c>
      <c r="C20" s="292" t="str">
        <f t="shared" si="2"/>
        <v>X</v>
      </c>
      <c r="D20" s="292">
        <v>2022</v>
      </c>
      <c r="E20" s="292" t="str">
        <f t="shared" si="4"/>
        <v>Pesado de Passageiros M3: Geral : Gasóleo : Geral</v>
      </c>
      <c r="F20" s="427">
        <v>3</v>
      </c>
      <c r="G20" s="299" t="s">
        <v>1888</v>
      </c>
      <c r="H20" s="299" t="s">
        <v>1861</v>
      </c>
      <c r="I20" s="299" t="s">
        <v>1972</v>
      </c>
      <c r="J20" s="299" t="s">
        <v>2832</v>
      </c>
      <c r="K20" s="276" t="s">
        <v>629</v>
      </c>
      <c r="L20" s="428" t="s">
        <v>620</v>
      </c>
      <c r="M20" s="252">
        <f>0*320773.28</f>
        <v>0</v>
      </c>
      <c r="N20" s="253" t="s">
        <v>630</v>
      </c>
      <c r="O20" s="254">
        <f>0*1016213</f>
        <v>0</v>
      </c>
      <c r="P20" s="327"/>
      <c r="Q20" s="254" t="s">
        <v>1494</v>
      </c>
      <c r="R20" s="253" t="s">
        <v>1492</v>
      </c>
      <c r="S20" s="253" t="s">
        <v>47</v>
      </c>
      <c r="T20" s="299" t="s">
        <v>1972</v>
      </c>
      <c r="U20" s="299" t="s">
        <v>2832</v>
      </c>
    </row>
    <row r="21" spans="1:21" s="299" customFormat="1" ht="15.75" thickBot="1" x14ac:dyDescent="0.3">
      <c r="A21" s="292" t="s">
        <v>4685</v>
      </c>
      <c r="B21" s="292" t="s">
        <v>4685</v>
      </c>
      <c r="C21" s="292" t="str">
        <f t="shared" si="2"/>
        <v>X</v>
      </c>
      <c r="D21" s="292">
        <v>2022</v>
      </c>
      <c r="E21" s="292" t="str">
        <f t="shared" si="4"/>
        <v>Pesado de Passageiros M3: Geral : Gasóleo : Geral</v>
      </c>
      <c r="F21" s="427">
        <v>1</v>
      </c>
      <c r="G21" s="299" t="s">
        <v>1888</v>
      </c>
      <c r="H21" s="299" t="s">
        <v>1861</v>
      </c>
      <c r="I21" s="299" t="s">
        <v>1972</v>
      </c>
      <c r="J21" s="299" t="s">
        <v>2832</v>
      </c>
      <c r="K21" s="276" t="s">
        <v>629</v>
      </c>
      <c r="L21" s="428" t="s">
        <v>620</v>
      </c>
      <c r="M21" s="252">
        <v>252206.01700000002</v>
      </c>
      <c r="N21" s="253" t="s">
        <v>630</v>
      </c>
      <c r="O21" s="254">
        <v>883108</v>
      </c>
      <c r="P21" s="327"/>
      <c r="Q21" s="254" t="s">
        <v>1495</v>
      </c>
      <c r="R21" s="253" t="s">
        <v>1492</v>
      </c>
      <c r="S21" s="253" t="s">
        <v>47</v>
      </c>
      <c r="T21" s="299" t="s">
        <v>1972</v>
      </c>
      <c r="U21" s="299" t="s">
        <v>2832</v>
      </c>
    </row>
    <row r="22" spans="1:21" ht="15.75" thickBot="1" x14ac:dyDescent="0.3">
      <c r="A22" s="235" t="s">
        <v>3506</v>
      </c>
      <c r="B22" s="235" t="str">
        <f t="shared" si="1"/>
        <v>Barraqueiro Transportes, S.A.</v>
      </c>
      <c r="C22" s="235" t="str">
        <f t="shared" si="2"/>
        <v>Mafrense</v>
      </c>
      <c r="D22" s="235">
        <v>2022</v>
      </c>
      <c r="E22" s="235" t="str">
        <f t="shared" si="4"/>
        <v>Pesado de Passageiros M3: Geral : Gasóleo : Geral</v>
      </c>
      <c r="F22" s="255">
        <v>1</v>
      </c>
      <c r="G22" s="220" t="s">
        <v>1888</v>
      </c>
      <c r="H22" s="220" t="s">
        <v>1861</v>
      </c>
      <c r="I22" s="220" t="s">
        <v>1972</v>
      </c>
      <c r="J22" s="234" t="s">
        <v>2832</v>
      </c>
      <c r="K22" s="83" t="s">
        <v>629</v>
      </c>
      <c r="L22" s="124" t="s">
        <v>620</v>
      </c>
      <c r="M22" s="127">
        <v>1542617.7390000003</v>
      </c>
      <c r="N22" s="85" t="s">
        <v>630</v>
      </c>
      <c r="O22" s="128">
        <v>4130726</v>
      </c>
      <c r="P22" s="133"/>
      <c r="Q22" s="128" t="s">
        <v>1513</v>
      </c>
      <c r="R22" s="85" t="s">
        <v>1492</v>
      </c>
      <c r="S22" s="85" t="s">
        <v>47</v>
      </c>
      <c r="T22" t="s">
        <v>1972</v>
      </c>
      <c r="U22" t="s">
        <v>2832</v>
      </c>
    </row>
    <row r="23" spans="1:21" ht="15.75" thickBot="1" x14ac:dyDescent="0.3">
      <c r="A23" s="235" t="s">
        <v>3314</v>
      </c>
      <c r="B23" s="235" t="str">
        <f t="shared" si="1"/>
        <v>Barraqueiro Transportes, S.A.</v>
      </c>
      <c r="C23" s="235" t="str">
        <f t="shared" si="2"/>
        <v>Barraqueiro Alugueres</v>
      </c>
      <c r="D23" s="235">
        <v>2022</v>
      </c>
      <c r="E23" s="235" t="str">
        <f t="shared" si="4"/>
        <v>Pesado de Passageiros M3: Geral : Gasóleo : Geral</v>
      </c>
      <c r="F23" s="255">
        <v>1</v>
      </c>
      <c r="G23" s="220" t="s">
        <v>1888</v>
      </c>
      <c r="H23" s="220" t="s">
        <v>1861</v>
      </c>
      <c r="I23" s="220" t="s">
        <v>1972</v>
      </c>
      <c r="J23" s="234" t="s">
        <v>2832</v>
      </c>
      <c r="K23" s="83" t="s">
        <v>629</v>
      </c>
      <c r="L23" s="124" t="s">
        <v>620</v>
      </c>
      <c r="M23" s="127">
        <v>1886894.6120000004</v>
      </c>
      <c r="N23" s="85" t="s">
        <v>630</v>
      </c>
      <c r="O23" s="128">
        <v>6209273</v>
      </c>
      <c r="P23" s="133"/>
      <c r="Q23" s="128" t="s">
        <v>1514</v>
      </c>
      <c r="R23" s="85" t="s">
        <v>1492</v>
      </c>
      <c r="S23" s="85" t="s">
        <v>47</v>
      </c>
      <c r="T23" t="s">
        <v>1972</v>
      </c>
      <c r="U23" t="s">
        <v>2832</v>
      </c>
    </row>
    <row r="24" spans="1:21" ht="15.75" thickBot="1" x14ac:dyDescent="0.3">
      <c r="A24" s="235" t="s">
        <v>3507</v>
      </c>
      <c r="B24" s="235" t="str">
        <f t="shared" si="1"/>
        <v>Barraqueiro Transportes, S.A.</v>
      </c>
      <c r="C24" s="235" t="str">
        <f t="shared" si="2"/>
        <v>Estremadura</v>
      </c>
      <c r="D24" s="235">
        <v>2022</v>
      </c>
      <c r="E24" s="235" t="str">
        <f t="shared" si="4"/>
        <v>Pesado de Passageiros M3: Geral : Gasóleo : Geral</v>
      </c>
      <c r="F24" s="255">
        <v>1</v>
      </c>
      <c r="G24" s="220" t="s">
        <v>1888</v>
      </c>
      <c r="H24" s="220" t="s">
        <v>1861</v>
      </c>
      <c r="I24" s="220" t="s">
        <v>1972</v>
      </c>
      <c r="J24" s="234" t="s">
        <v>2832</v>
      </c>
      <c r="K24" s="83" t="s">
        <v>629</v>
      </c>
      <c r="L24" s="124" t="s">
        <v>620</v>
      </c>
      <c r="M24" s="127">
        <v>3338755.4070000011</v>
      </c>
      <c r="N24" s="85" t="s">
        <v>630</v>
      </c>
      <c r="O24" s="128">
        <v>12525675</v>
      </c>
      <c r="P24" s="133"/>
      <c r="Q24" s="128" t="s">
        <v>1496</v>
      </c>
      <c r="R24" s="85" t="s">
        <v>1492</v>
      </c>
      <c r="S24" s="85" t="s">
        <v>47</v>
      </c>
      <c r="T24" t="s">
        <v>1972</v>
      </c>
      <c r="U24" t="s">
        <v>2832</v>
      </c>
    </row>
    <row r="25" spans="1:21" ht="15.75" thickBot="1" x14ac:dyDescent="0.3">
      <c r="A25" s="235" t="s">
        <v>3508</v>
      </c>
      <c r="B25" s="235" t="str">
        <f t="shared" si="1"/>
        <v>Barraqueiro Transportes, S.A.</v>
      </c>
      <c r="C25" s="235" t="str">
        <f t="shared" si="2"/>
        <v>Frota Azul</v>
      </c>
      <c r="D25" s="235">
        <v>2022</v>
      </c>
      <c r="E25" s="235" t="str">
        <f t="shared" si="4"/>
        <v>Pesado de Passageiros M3: Geral : Gasóleo : Geral</v>
      </c>
      <c r="F25" s="255">
        <v>1</v>
      </c>
      <c r="G25" s="220" t="s">
        <v>1888</v>
      </c>
      <c r="H25" s="220" t="s">
        <v>1861</v>
      </c>
      <c r="I25" s="220" t="s">
        <v>1972</v>
      </c>
      <c r="J25" s="234" t="s">
        <v>2832</v>
      </c>
      <c r="K25" s="83" t="s">
        <v>629</v>
      </c>
      <c r="L25" s="124" t="s">
        <v>620</v>
      </c>
      <c r="M25" s="127">
        <v>1083221.8660000002</v>
      </c>
      <c r="N25" s="85" t="s">
        <v>630</v>
      </c>
      <c r="O25" s="128">
        <v>4191185</v>
      </c>
      <c r="P25" s="133"/>
      <c r="Q25" s="128" t="s">
        <v>1497</v>
      </c>
      <c r="R25" s="85" t="s">
        <v>1492</v>
      </c>
      <c r="S25" s="85" t="s">
        <v>47</v>
      </c>
      <c r="T25" t="s">
        <v>1972</v>
      </c>
      <c r="U25" t="s">
        <v>2832</v>
      </c>
    </row>
    <row r="26" spans="1:21" ht="15.75" thickBot="1" x14ac:dyDescent="0.3">
      <c r="A26" s="235" t="s">
        <v>3509</v>
      </c>
      <c r="B26" s="235" t="str">
        <f t="shared" si="1"/>
        <v>Barraqueiro Transportes, S.A.</v>
      </c>
      <c r="C26" s="235" t="str">
        <f t="shared" si="2"/>
        <v>Barraqueiro Oeste</v>
      </c>
      <c r="D26" s="235">
        <v>2022</v>
      </c>
      <c r="E26" s="235" t="str">
        <f t="shared" si="4"/>
        <v>Pesado de Passageiros M3: Geral : Gasóleo : Geral</v>
      </c>
      <c r="F26" s="255">
        <v>1</v>
      </c>
      <c r="G26" s="220" t="s">
        <v>1888</v>
      </c>
      <c r="H26" s="220" t="s">
        <v>1861</v>
      </c>
      <c r="I26" s="220" t="s">
        <v>1972</v>
      </c>
      <c r="J26" s="234" t="s">
        <v>2832</v>
      </c>
      <c r="K26" s="83" t="s">
        <v>629</v>
      </c>
      <c r="L26" s="124" t="s">
        <v>620</v>
      </c>
      <c r="M26" s="127">
        <v>1862247.6619999986</v>
      </c>
      <c r="N26" s="85" t="s">
        <v>630</v>
      </c>
      <c r="O26" s="128">
        <v>5106985</v>
      </c>
      <c r="P26" s="133"/>
      <c r="Q26" s="128" t="s">
        <v>1498</v>
      </c>
      <c r="R26" s="85" t="s">
        <v>1492</v>
      </c>
      <c r="S26" s="85" t="s">
        <v>47</v>
      </c>
      <c r="T26" t="s">
        <v>1972</v>
      </c>
      <c r="U26" t="s">
        <v>2832</v>
      </c>
    </row>
    <row r="27" spans="1:21" ht="15.75" thickBot="1" x14ac:dyDescent="0.3">
      <c r="A27" s="235" t="s">
        <v>3510</v>
      </c>
      <c r="B27" s="235" t="str">
        <f t="shared" si="1"/>
        <v>Barraqueiro Transportes, S.A.</v>
      </c>
      <c r="C27" s="235" t="str">
        <f t="shared" si="2"/>
        <v>Boa Viagem</v>
      </c>
      <c r="D27" s="235">
        <v>2022</v>
      </c>
      <c r="E27" s="235" t="str">
        <f t="shared" si="4"/>
        <v>Pesado de Passageiros M3: Geral : Gasóleo : Geral</v>
      </c>
      <c r="F27" s="255">
        <v>1</v>
      </c>
      <c r="G27" s="220" t="s">
        <v>1888</v>
      </c>
      <c r="H27" s="220" t="s">
        <v>1861</v>
      </c>
      <c r="I27" s="220" t="s">
        <v>1972</v>
      </c>
      <c r="J27" s="234" t="s">
        <v>2832</v>
      </c>
      <c r="K27" s="83" t="s">
        <v>629</v>
      </c>
      <c r="L27" s="124" t="s">
        <v>620</v>
      </c>
      <c r="M27" s="127">
        <v>1820544.5440000002</v>
      </c>
      <c r="N27" s="85" t="s">
        <v>630</v>
      </c>
      <c r="O27" s="128">
        <v>4937872</v>
      </c>
      <c r="P27" s="133"/>
      <c r="Q27" s="128" t="s">
        <v>1511</v>
      </c>
      <c r="R27" s="85" t="s">
        <v>1492</v>
      </c>
      <c r="S27" s="85" t="s">
        <v>47</v>
      </c>
      <c r="T27" t="s">
        <v>1972</v>
      </c>
      <c r="U27" t="s">
        <v>2832</v>
      </c>
    </row>
    <row r="28" spans="1:21" ht="15.75" thickBot="1" x14ac:dyDescent="0.3">
      <c r="A28" s="235" t="s">
        <v>45</v>
      </c>
      <c r="B28" s="235" t="s">
        <v>45</v>
      </c>
      <c r="C28" s="235" t="str">
        <f t="shared" si="2"/>
        <v>X</v>
      </c>
      <c r="D28" s="235">
        <v>2022</v>
      </c>
      <c r="E28" s="235" t="str">
        <f t="shared" si="4"/>
        <v>Ligeiro de Passageiros M1: Geral : Gasóleo : Geral</v>
      </c>
      <c r="F28" s="255">
        <v>1</v>
      </c>
      <c r="G28" s="220" t="s">
        <v>1888</v>
      </c>
      <c r="H28" s="220" t="s">
        <v>1861</v>
      </c>
      <c r="I28" s="220" t="s">
        <v>1972</v>
      </c>
      <c r="J28" s="234" t="s">
        <v>2832</v>
      </c>
      <c r="K28" s="83" t="s">
        <v>623</v>
      </c>
      <c r="L28" s="124" t="s">
        <v>620</v>
      </c>
      <c r="M28" s="127">
        <f>SUM(M29:M34)</f>
        <v>33864.712</v>
      </c>
      <c r="N28" s="85" t="s">
        <v>630</v>
      </c>
      <c r="O28" s="128">
        <f>SUM(O29:O34)</f>
        <v>465560</v>
      </c>
      <c r="P28" s="133"/>
      <c r="Q28" s="128" t="s">
        <v>1499</v>
      </c>
      <c r="R28" s="85" t="s">
        <v>1492</v>
      </c>
      <c r="S28" s="85" t="s">
        <v>47</v>
      </c>
      <c r="T28" t="s">
        <v>1972</v>
      </c>
      <c r="U28" t="s">
        <v>2832</v>
      </c>
    </row>
    <row r="29" spans="1:21" ht="15.75" thickBot="1" x14ac:dyDescent="0.3">
      <c r="A29" s="235" t="s">
        <v>3506</v>
      </c>
      <c r="B29" s="235" t="str">
        <f t="shared" si="1"/>
        <v>Barraqueiro Transportes, S.A.</v>
      </c>
      <c r="C29" s="235" t="str">
        <f t="shared" si="2"/>
        <v>Mafrense</v>
      </c>
      <c r="D29" s="235">
        <v>2022</v>
      </c>
      <c r="E29" s="235" t="str">
        <f t="shared" si="4"/>
        <v>Ligeiro de Passageiros M1: Geral : Gasóleo : Geral</v>
      </c>
      <c r="F29" s="255">
        <v>1</v>
      </c>
      <c r="G29" s="220" t="s">
        <v>1888</v>
      </c>
      <c r="H29" s="220" t="s">
        <v>1861</v>
      </c>
      <c r="I29" s="220" t="s">
        <v>1972</v>
      </c>
      <c r="J29" s="234" t="s">
        <v>2832</v>
      </c>
      <c r="K29" s="83" t="s">
        <v>623</v>
      </c>
      <c r="L29" s="124" t="s">
        <v>620</v>
      </c>
      <c r="M29" s="127">
        <v>1438.64</v>
      </c>
      <c r="N29" s="85" t="s">
        <v>630</v>
      </c>
      <c r="O29" s="128">
        <v>18222</v>
      </c>
      <c r="P29" s="133"/>
      <c r="Q29" s="128" t="s">
        <v>1500</v>
      </c>
      <c r="R29" s="85" t="s">
        <v>1492</v>
      </c>
      <c r="S29" s="85" t="s">
        <v>47</v>
      </c>
      <c r="T29" t="s">
        <v>1972</v>
      </c>
      <c r="U29" t="s">
        <v>2832</v>
      </c>
    </row>
    <row r="30" spans="1:21" ht="15.75" thickBot="1" x14ac:dyDescent="0.3">
      <c r="A30" s="235" t="s">
        <v>3314</v>
      </c>
      <c r="B30" s="235" t="str">
        <f t="shared" si="1"/>
        <v>Barraqueiro Transportes, S.A.</v>
      </c>
      <c r="C30" s="235" t="str">
        <f t="shared" si="2"/>
        <v>Barraqueiro Alugueres</v>
      </c>
      <c r="D30" s="235">
        <v>2022</v>
      </c>
      <c r="E30" s="235" t="str">
        <f t="shared" si="4"/>
        <v>Ligeiro de Passageiros M1: Geral : Gasóleo : Geral</v>
      </c>
      <c r="F30" s="255">
        <v>1</v>
      </c>
      <c r="G30" s="220" t="s">
        <v>1888</v>
      </c>
      <c r="H30" s="220" t="s">
        <v>1861</v>
      </c>
      <c r="I30" s="220" t="s">
        <v>1972</v>
      </c>
      <c r="J30" s="234" t="s">
        <v>2832</v>
      </c>
      <c r="K30" s="83" t="s">
        <v>623</v>
      </c>
      <c r="L30" s="124" t="s">
        <v>620</v>
      </c>
      <c r="M30" s="127">
        <v>18150.851999999999</v>
      </c>
      <c r="N30" s="85" t="s">
        <v>630</v>
      </c>
      <c r="O30" s="128">
        <v>258386</v>
      </c>
      <c r="P30" s="133"/>
      <c r="Q30" s="128" t="s">
        <v>1501</v>
      </c>
      <c r="R30" s="85" t="s">
        <v>1492</v>
      </c>
      <c r="S30" s="85" t="s">
        <v>47</v>
      </c>
      <c r="T30" t="s">
        <v>1972</v>
      </c>
      <c r="U30" t="s">
        <v>2832</v>
      </c>
    </row>
    <row r="31" spans="1:21" ht="15.75" thickBot="1" x14ac:dyDescent="0.3">
      <c r="A31" s="235" t="s">
        <v>3507</v>
      </c>
      <c r="B31" s="235" t="str">
        <f t="shared" si="1"/>
        <v>Barraqueiro Transportes, S.A.</v>
      </c>
      <c r="C31" s="235" t="str">
        <f t="shared" si="2"/>
        <v>Estremadura</v>
      </c>
      <c r="D31" s="235">
        <v>2022</v>
      </c>
      <c r="E31" s="235" t="str">
        <f t="shared" si="4"/>
        <v>Ligeiro de Passageiros M1: Geral : Gasóleo : Geral</v>
      </c>
      <c r="F31" s="255">
        <v>1</v>
      </c>
      <c r="G31" s="220" t="s">
        <v>1888</v>
      </c>
      <c r="H31" s="220" t="s">
        <v>1861</v>
      </c>
      <c r="I31" s="220" t="s">
        <v>1972</v>
      </c>
      <c r="J31" s="234" t="s">
        <v>2832</v>
      </c>
      <c r="K31" s="83" t="s">
        <v>623</v>
      </c>
      <c r="L31" s="124" t="s">
        <v>620</v>
      </c>
      <c r="M31" s="127">
        <v>7443.12</v>
      </c>
      <c r="N31" s="85" t="s">
        <v>630</v>
      </c>
      <c r="O31" s="128">
        <v>100186</v>
      </c>
      <c r="P31" s="133"/>
      <c r="Q31" s="128" t="s">
        <v>1502</v>
      </c>
      <c r="R31" s="85" t="s">
        <v>1492</v>
      </c>
      <c r="S31" s="85" t="s">
        <v>47</v>
      </c>
      <c r="T31" t="s">
        <v>1972</v>
      </c>
      <c r="U31" t="s">
        <v>2832</v>
      </c>
    </row>
    <row r="32" spans="1:21" ht="15.75" thickBot="1" x14ac:dyDescent="0.3">
      <c r="A32" s="235" t="s">
        <v>3508</v>
      </c>
      <c r="B32" s="235" t="str">
        <f t="shared" si="1"/>
        <v>Barraqueiro Transportes, S.A.</v>
      </c>
      <c r="C32" s="235" t="str">
        <f t="shared" si="2"/>
        <v>Frota Azul</v>
      </c>
      <c r="D32" s="235">
        <v>2022</v>
      </c>
      <c r="E32" s="235" t="str">
        <f t="shared" si="4"/>
        <v>Ligeiro de Passageiros M1: Geral : Gasóleo : Geral</v>
      </c>
      <c r="F32" s="255">
        <v>1</v>
      </c>
      <c r="G32" s="220" t="s">
        <v>1888</v>
      </c>
      <c r="H32" s="220" t="s">
        <v>1861</v>
      </c>
      <c r="I32" s="220" t="s">
        <v>1972</v>
      </c>
      <c r="J32" s="234" t="s">
        <v>2832</v>
      </c>
      <c r="K32" s="83" t="s">
        <v>623</v>
      </c>
      <c r="L32" s="124" t="s">
        <v>620</v>
      </c>
      <c r="M32" s="127">
        <v>5764.59</v>
      </c>
      <c r="N32" s="85" t="s">
        <v>630</v>
      </c>
      <c r="O32" s="128">
        <v>75446</v>
      </c>
      <c r="P32" s="133"/>
      <c r="Q32" s="128" t="s">
        <v>1503</v>
      </c>
      <c r="R32" s="85" t="s">
        <v>1492</v>
      </c>
      <c r="S32" s="85" t="s">
        <v>47</v>
      </c>
      <c r="T32" t="s">
        <v>1972</v>
      </c>
      <c r="U32" t="s">
        <v>2832</v>
      </c>
    </row>
    <row r="33" spans="1:21" ht="15.75" thickBot="1" x14ac:dyDescent="0.3">
      <c r="A33" s="235" t="s">
        <v>3509</v>
      </c>
      <c r="B33" s="235" t="str">
        <f t="shared" si="1"/>
        <v>Barraqueiro Transportes, S.A.</v>
      </c>
      <c r="C33" s="235" t="str">
        <f t="shared" si="2"/>
        <v>Barraqueiro Oeste</v>
      </c>
      <c r="D33" s="235">
        <v>2022</v>
      </c>
      <c r="E33" s="235" t="str">
        <f t="shared" si="4"/>
        <v>Ligeiro de Passageiros M1: Geral : Gasóleo : Geral</v>
      </c>
      <c r="F33" s="255">
        <v>1</v>
      </c>
      <c r="G33" s="220" t="s">
        <v>1888</v>
      </c>
      <c r="H33" s="220" t="s">
        <v>1861</v>
      </c>
      <c r="I33" s="220" t="s">
        <v>1972</v>
      </c>
      <c r="J33" s="234" t="s">
        <v>2832</v>
      </c>
      <c r="K33" s="83" t="s">
        <v>623</v>
      </c>
      <c r="L33" s="124" t="s">
        <v>620</v>
      </c>
      <c r="M33" s="127">
        <v>0</v>
      </c>
      <c r="N33" s="85" t="s">
        <v>630</v>
      </c>
      <c r="O33" s="128">
        <v>0</v>
      </c>
      <c r="P33" s="133"/>
      <c r="Q33" s="128">
        <v>0</v>
      </c>
      <c r="R33" s="85" t="s">
        <v>1492</v>
      </c>
      <c r="S33" s="85" t="s">
        <v>47</v>
      </c>
      <c r="T33" t="s">
        <v>1972</v>
      </c>
      <c r="U33" t="s">
        <v>2832</v>
      </c>
    </row>
    <row r="34" spans="1:21" ht="15.75" thickBot="1" x14ac:dyDescent="0.3">
      <c r="A34" s="235" t="s">
        <v>3510</v>
      </c>
      <c r="B34" s="235" t="str">
        <f t="shared" si="1"/>
        <v>Barraqueiro Transportes, S.A.</v>
      </c>
      <c r="C34" s="235" t="str">
        <f t="shared" si="2"/>
        <v>Boa Viagem</v>
      </c>
      <c r="D34" s="235">
        <v>2022</v>
      </c>
      <c r="E34" s="235" t="str">
        <f t="shared" si="4"/>
        <v>Ligeiro de Passageiros M1: Geral : Gasóleo : Geral</v>
      </c>
      <c r="F34" s="255">
        <v>1</v>
      </c>
      <c r="G34" s="220" t="s">
        <v>1888</v>
      </c>
      <c r="H34" s="220" t="s">
        <v>1861</v>
      </c>
      <c r="I34" s="220" t="s">
        <v>1972</v>
      </c>
      <c r="J34" s="234" t="s">
        <v>2832</v>
      </c>
      <c r="K34" s="83" t="s">
        <v>623</v>
      </c>
      <c r="L34" s="124" t="s">
        <v>620</v>
      </c>
      <c r="M34" s="127">
        <v>1067.51</v>
      </c>
      <c r="N34" s="85" t="s">
        <v>630</v>
      </c>
      <c r="O34" s="128">
        <v>13320</v>
      </c>
      <c r="P34" s="133"/>
      <c r="Q34" s="128" t="s">
        <v>1500</v>
      </c>
      <c r="R34" s="85" t="s">
        <v>1492</v>
      </c>
      <c r="S34" s="85" t="s">
        <v>47</v>
      </c>
      <c r="T34" t="s">
        <v>1972</v>
      </c>
      <c r="U34" t="s">
        <v>2832</v>
      </c>
    </row>
    <row r="35" spans="1:21" s="299" customFormat="1" ht="30.75" thickBot="1" x14ac:dyDescent="0.3">
      <c r="A35" s="292" t="s">
        <v>4683</v>
      </c>
      <c r="B35" s="292" t="s">
        <v>4683</v>
      </c>
      <c r="C35" s="292" t="str">
        <f t="shared" si="2"/>
        <v>X</v>
      </c>
      <c r="D35" s="292">
        <v>2022</v>
      </c>
      <c r="E35" s="292" t="str">
        <f t="shared" si="4"/>
        <v>Ligeiro de Passageiros M1: Geral : Gasóleo : Geral</v>
      </c>
      <c r="F35" s="427">
        <v>1</v>
      </c>
      <c r="G35" s="299" t="s">
        <v>1888</v>
      </c>
      <c r="H35" s="299" t="s">
        <v>1861</v>
      </c>
      <c r="I35" s="299" t="s">
        <v>1972</v>
      </c>
      <c r="J35" s="299" t="s">
        <v>2832</v>
      </c>
      <c r="K35" s="276" t="s">
        <v>623</v>
      </c>
      <c r="L35" s="428" t="s">
        <v>620</v>
      </c>
      <c r="M35" s="252">
        <v>1623.58</v>
      </c>
      <c r="N35" s="253" t="s">
        <v>630</v>
      </c>
      <c r="O35" s="254">
        <v>19968</v>
      </c>
      <c r="P35" s="327"/>
      <c r="Q35" s="254" t="s">
        <v>1500</v>
      </c>
      <c r="R35" s="253" t="s">
        <v>1492</v>
      </c>
      <c r="S35" s="253" t="s">
        <v>47</v>
      </c>
      <c r="T35" s="299" t="s">
        <v>1972</v>
      </c>
      <c r="U35" s="299" t="s">
        <v>2832</v>
      </c>
    </row>
    <row r="36" spans="1:21" ht="15.75" hidden="1" thickBot="1" x14ac:dyDescent="0.3">
      <c r="A36" s="235" t="s">
        <v>45</v>
      </c>
      <c r="B36" s="235" t="s">
        <v>45</v>
      </c>
      <c r="C36" s="235" t="str">
        <f t="shared" si="2"/>
        <v>X</v>
      </c>
      <c r="D36" s="235">
        <v>2022</v>
      </c>
      <c r="E36" s="235" t="str">
        <f t="shared" si="4"/>
        <v>: Geral : Gasóleo : Geral</v>
      </c>
      <c r="F36" s="255">
        <v>2</v>
      </c>
      <c r="G36" s="220" t="s">
        <v>1891</v>
      </c>
      <c r="H36" s="220" t="s">
        <v>1890</v>
      </c>
      <c r="I36" s="220" t="s">
        <v>1972</v>
      </c>
      <c r="J36" s="234" t="s">
        <v>2832</v>
      </c>
      <c r="K36" s="83"/>
      <c r="L36" s="124" t="s">
        <v>620</v>
      </c>
      <c r="M36" s="127">
        <f>SUM(M39:M44)</f>
        <v>12506851</v>
      </c>
      <c r="N36" s="85" t="s">
        <v>621</v>
      </c>
      <c r="O36" s="128"/>
      <c r="P36" s="133"/>
      <c r="Q36" s="85"/>
      <c r="R36" s="85" t="s">
        <v>1517</v>
      </c>
      <c r="S36" s="85" t="s">
        <v>47</v>
      </c>
      <c r="T36" t="s">
        <v>1972</v>
      </c>
      <c r="U36" t="s">
        <v>2832</v>
      </c>
    </row>
    <row r="37" spans="1:21" ht="15.75" hidden="1" thickBot="1" x14ac:dyDescent="0.3">
      <c r="A37" s="235" t="s">
        <v>535</v>
      </c>
      <c r="B37" s="235" t="str">
        <f t="shared" si="1"/>
        <v>Ribatejana Verde</v>
      </c>
      <c r="C37" s="235" t="str">
        <f t="shared" si="2"/>
        <v>X</v>
      </c>
      <c r="D37" s="235">
        <v>2022</v>
      </c>
      <c r="E37" s="235" t="str">
        <f t="shared" si="4"/>
        <v>: Geral : Gasóleo : Geral</v>
      </c>
      <c r="F37" s="255">
        <v>2</v>
      </c>
      <c r="G37" s="220" t="s">
        <v>1891</v>
      </c>
      <c r="H37" s="220" t="s">
        <v>1890</v>
      </c>
      <c r="I37" s="220" t="s">
        <v>1972</v>
      </c>
      <c r="J37" s="234" t="s">
        <v>2832</v>
      </c>
      <c r="K37" s="83"/>
      <c r="L37" s="124" t="s">
        <v>620</v>
      </c>
      <c r="M37" s="127">
        <v>601367</v>
      </c>
      <c r="N37" s="85" t="s">
        <v>621</v>
      </c>
      <c r="O37" s="128"/>
      <c r="P37" s="133"/>
      <c r="Q37" s="85"/>
      <c r="R37" s="85" t="s">
        <v>1518</v>
      </c>
      <c r="S37" s="85" t="s">
        <v>47</v>
      </c>
      <c r="T37" t="s">
        <v>1972</v>
      </c>
      <c r="U37" t="s">
        <v>2832</v>
      </c>
    </row>
    <row r="38" spans="1:21" ht="15.75" hidden="1" thickBot="1" x14ac:dyDescent="0.3">
      <c r="A38" s="235" t="s">
        <v>601</v>
      </c>
      <c r="B38" s="235" t="str">
        <f>LEFT(A38,IFERROR(FIND(" - ",A38)-1,LEN(A38)))</f>
        <v>Cityrama</v>
      </c>
      <c r="C38" s="235" t="str">
        <f t="shared" si="2"/>
        <v>X</v>
      </c>
      <c r="D38" s="235">
        <v>2022</v>
      </c>
      <c r="E38" s="235" t="str">
        <f t="shared" si="4"/>
        <v>: Geral : Gasóleo : Geral</v>
      </c>
      <c r="F38" s="255">
        <v>2</v>
      </c>
      <c r="G38" s="220" t="s">
        <v>1891</v>
      </c>
      <c r="H38" s="220" t="s">
        <v>1890</v>
      </c>
      <c r="I38" s="220" t="s">
        <v>1972</v>
      </c>
      <c r="J38" s="234" t="s">
        <v>2832</v>
      </c>
      <c r="K38" s="83"/>
      <c r="L38" s="124" t="s">
        <v>620</v>
      </c>
      <c r="M38" s="127">
        <v>641566</v>
      </c>
      <c r="N38" s="85" t="s">
        <v>621</v>
      </c>
      <c r="O38" s="128"/>
      <c r="P38" s="133"/>
      <c r="Q38" s="91"/>
      <c r="R38" s="85" t="s">
        <v>1519</v>
      </c>
      <c r="S38" s="85" t="s">
        <v>47</v>
      </c>
      <c r="T38" t="s">
        <v>1972</v>
      </c>
      <c r="U38" t="s">
        <v>2832</v>
      </c>
    </row>
    <row r="39" spans="1:21" ht="15.75" hidden="1" thickBot="1" x14ac:dyDescent="0.3">
      <c r="A39" s="235" t="s">
        <v>3507</v>
      </c>
      <c r="B39" s="235" t="str">
        <f t="shared" si="1"/>
        <v>Barraqueiro Transportes, S.A.</v>
      </c>
      <c r="C39" s="235" t="str">
        <f t="shared" si="2"/>
        <v>Estremadura</v>
      </c>
      <c r="D39" s="235">
        <v>2022</v>
      </c>
      <c r="E39" s="235" t="str">
        <f t="shared" si="4"/>
        <v>: Geral : Gasóleo : Geral</v>
      </c>
      <c r="F39" s="255">
        <v>2</v>
      </c>
      <c r="G39" s="220" t="s">
        <v>1891</v>
      </c>
      <c r="H39" s="220" t="s">
        <v>1890</v>
      </c>
      <c r="I39" s="220" t="s">
        <v>1972</v>
      </c>
      <c r="J39" s="234" t="s">
        <v>2832</v>
      </c>
      <c r="K39" s="83"/>
      <c r="L39" s="124" t="s">
        <v>620</v>
      </c>
      <c r="M39" s="127">
        <v>3400455</v>
      </c>
      <c r="N39" s="127" t="s">
        <v>621</v>
      </c>
      <c r="O39" s="85"/>
      <c r="P39" s="256"/>
      <c r="Q39" s="85"/>
      <c r="R39" s="91" t="s">
        <v>1520</v>
      </c>
      <c r="S39" s="85" t="s">
        <v>47</v>
      </c>
      <c r="T39" t="s">
        <v>1972</v>
      </c>
      <c r="U39" t="s">
        <v>2832</v>
      </c>
    </row>
    <row r="40" spans="1:21" ht="15.75" hidden="1" thickBot="1" x14ac:dyDescent="0.3">
      <c r="A40" s="235" t="s">
        <v>3509</v>
      </c>
      <c r="B40" s="235" t="str">
        <f t="shared" si="1"/>
        <v>Barraqueiro Transportes, S.A.</v>
      </c>
      <c r="C40" s="235" t="str">
        <f t="shared" si="2"/>
        <v>Barraqueiro Oeste</v>
      </c>
      <c r="D40" s="235">
        <v>2022</v>
      </c>
      <c r="E40" s="235" t="str">
        <f t="shared" si="4"/>
        <v>: Geral : Gasóleo : Geral</v>
      </c>
      <c r="F40" s="255">
        <v>2</v>
      </c>
      <c r="G40" s="220" t="s">
        <v>1891</v>
      </c>
      <c r="H40" s="220" t="s">
        <v>1890</v>
      </c>
      <c r="I40" s="220" t="s">
        <v>1972</v>
      </c>
      <c r="J40" s="234" t="s">
        <v>2832</v>
      </c>
      <c r="K40" s="83"/>
      <c r="L40" s="124" t="s">
        <v>620</v>
      </c>
      <c r="M40" s="127">
        <v>1590211</v>
      </c>
      <c r="N40" s="127" t="s">
        <v>621</v>
      </c>
      <c r="O40" s="85"/>
      <c r="P40" s="256"/>
      <c r="Q40" s="85"/>
      <c r="R40" s="91" t="s">
        <v>1521</v>
      </c>
      <c r="S40" s="85" t="s">
        <v>47</v>
      </c>
      <c r="T40" t="s">
        <v>1972</v>
      </c>
      <c r="U40" t="s">
        <v>2832</v>
      </c>
    </row>
    <row r="41" spans="1:21" ht="15.75" hidden="1" thickBot="1" x14ac:dyDescent="0.3">
      <c r="A41" s="235" t="s">
        <v>3510</v>
      </c>
      <c r="B41" s="235" t="str">
        <f t="shared" si="1"/>
        <v>Barraqueiro Transportes, S.A.</v>
      </c>
      <c r="C41" s="235" t="str">
        <f t="shared" si="2"/>
        <v>Boa Viagem</v>
      </c>
      <c r="D41" s="235">
        <v>2022</v>
      </c>
      <c r="E41" s="235" t="str">
        <f t="shared" si="4"/>
        <v>: Geral : Gasóleo : Geral</v>
      </c>
      <c r="F41" s="255">
        <v>2</v>
      </c>
      <c r="G41" s="220" t="s">
        <v>1891</v>
      </c>
      <c r="H41" s="220" t="s">
        <v>1890</v>
      </c>
      <c r="I41" s="220" t="s">
        <v>1972</v>
      </c>
      <c r="J41" s="234" t="s">
        <v>2832</v>
      </c>
      <c r="K41" s="83"/>
      <c r="L41" s="124" t="s">
        <v>620</v>
      </c>
      <c r="M41" s="127">
        <v>1870238</v>
      </c>
      <c r="N41" s="127" t="s">
        <v>621</v>
      </c>
      <c r="O41" s="85"/>
      <c r="P41" s="256"/>
      <c r="Q41" s="85"/>
      <c r="R41" s="91" t="s">
        <v>1522</v>
      </c>
      <c r="S41" s="85" t="s">
        <v>47</v>
      </c>
      <c r="T41" t="s">
        <v>1972</v>
      </c>
      <c r="U41" t="s">
        <v>2832</v>
      </c>
    </row>
    <row r="42" spans="1:21" ht="15.75" hidden="1" thickBot="1" x14ac:dyDescent="0.3">
      <c r="A42" s="235" t="s">
        <v>3506</v>
      </c>
      <c r="B42" s="235" t="str">
        <f t="shared" si="1"/>
        <v>Barraqueiro Transportes, S.A.</v>
      </c>
      <c r="C42" s="235" t="str">
        <f t="shared" si="2"/>
        <v>Mafrense</v>
      </c>
      <c r="D42" s="235">
        <v>2022</v>
      </c>
      <c r="E42" s="235" t="str">
        <f t="shared" si="4"/>
        <v>: Geral : Gasóleo : Geral</v>
      </c>
      <c r="F42" s="255">
        <v>2</v>
      </c>
      <c r="G42" s="220" t="s">
        <v>1891</v>
      </c>
      <c r="H42" s="220" t="s">
        <v>1890</v>
      </c>
      <c r="I42" s="220" t="s">
        <v>1972</v>
      </c>
      <c r="J42" s="234" t="s">
        <v>2832</v>
      </c>
      <c r="K42" s="83"/>
      <c r="L42" s="124" t="s">
        <v>620</v>
      </c>
      <c r="M42" s="127">
        <v>1070235</v>
      </c>
      <c r="N42" s="127" t="s">
        <v>621</v>
      </c>
      <c r="O42" s="85"/>
      <c r="P42" s="256"/>
      <c r="Q42" s="85"/>
      <c r="R42" s="91" t="s">
        <v>1523</v>
      </c>
      <c r="S42" s="85" t="s">
        <v>47</v>
      </c>
      <c r="T42" t="s">
        <v>1972</v>
      </c>
      <c r="U42" t="s">
        <v>2832</v>
      </c>
    </row>
    <row r="43" spans="1:21" ht="15.75" hidden="1" thickBot="1" x14ac:dyDescent="0.3">
      <c r="A43" s="235" t="s">
        <v>3314</v>
      </c>
      <c r="B43" s="235" t="str">
        <f t="shared" si="1"/>
        <v>Barraqueiro Transportes, S.A.</v>
      </c>
      <c r="C43" s="235" t="str">
        <f t="shared" si="2"/>
        <v>Barraqueiro Alugueres</v>
      </c>
      <c r="D43" s="235">
        <v>2022</v>
      </c>
      <c r="E43" s="235" t="str">
        <f t="shared" si="4"/>
        <v>: Geral : Gasóleo : Geral</v>
      </c>
      <c r="F43" s="255">
        <v>2</v>
      </c>
      <c r="G43" s="220" t="s">
        <v>1891</v>
      </c>
      <c r="H43" s="220" t="s">
        <v>1890</v>
      </c>
      <c r="I43" s="220" t="s">
        <v>1972</v>
      </c>
      <c r="J43" s="234" t="s">
        <v>2832</v>
      </c>
      <c r="K43" s="83"/>
      <c r="L43" s="124" t="s">
        <v>620</v>
      </c>
      <c r="M43" s="127">
        <v>3792755</v>
      </c>
      <c r="N43" s="127" t="s">
        <v>621</v>
      </c>
      <c r="O43" s="83"/>
      <c r="P43" s="257"/>
      <c r="Q43" s="83"/>
      <c r="R43" s="91" t="s">
        <v>1524</v>
      </c>
      <c r="S43" s="85" t="s">
        <v>47</v>
      </c>
      <c r="T43" t="s">
        <v>1972</v>
      </c>
      <c r="U43" t="s">
        <v>2832</v>
      </c>
    </row>
    <row r="44" spans="1:21" ht="15.75" hidden="1" thickBot="1" x14ac:dyDescent="0.3">
      <c r="A44" s="235" t="s">
        <v>3508</v>
      </c>
      <c r="B44" s="235" t="str">
        <f t="shared" si="1"/>
        <v>Barraqueiro Transportes, S.A.</v>
      </c>
      <c r="C44" s="235" t="str">
        <f t="shared" si="2"/>
        <v>Frota Azul</v>
      </c>
      <c r="D44" s="235">
        <v>2022</v>
      </c>
      <c r="E44" s="235" t="str">
        <f t="shared" si="4"/>
        <v>: Geral : Gasóleo : Geral</v>
      </c>
      <c r="F44" s="255">
        <v>2</v>
      </c>
      <c r="G44" s="220" t="s">
        <v>1891</v>
      </c>
      <c r="H44" s="220" t="s">
        <v>1890</v>
      </c>
      <c r="I44" s="220" t="s">
        <v>1972</v>
      </c>
      <c r="J44" s="234" t="s">
        <v>2832</v>
      </c>
      <c r="K44" s="83"/>
      <c r="L44" s="124" t="s">
        <v>620</v>
      </c>
      <c r="M44" s="127">
        <v>782957</v>
      </c>
      <c r="N44" s="127" t="s">
        <v>621</v>
      </c>
      <c r="O44" s="83"/>
      <c r="P44" s="257"/>
      <c r="Q44" s="83"/>
      <c r="R44" s="91" t="s">
        <v>1525</v>
      </c>
      <c r="S44" s="85" t="s">
        <v>47</v>
      </c>
      <c r="T44" t="s">
        <v>1972</v>
      </c>
      <c r="U44" t="s">
        <v>2832</v>
      </c>
    </row>
    <row r="45" spans="1:21" ht="15.75" hidden="1" thickBot="1" x14ac:dyDescent="0.3">
      <c r="A45" s="235" t="s">
        <v>45</v>
      </c>
      <c r="B45" s="235" t="s">
        <v>45</v>
      </c>
      <c r="C45" s="235" t="str">
        <f t="shared" si="2"/>
        <v>X</v>
      </c>
      <c r="D45" s="235">
        <v>2022</v>
      </c>
      <c r="E45" s="235" t="str">
        <f t="shared" si="4"/>
        <v>: Geral : Gasóleo : Geral</v>
      </c>
      <c r="F45" s="255">
        <v>2</v>
      </c>
      <c r="G45" s="220" t="s">
        <v>1891</v>
      </c>
      <c r="H45" s="220" t="s">
        <v>1890</v>
      </c>
      <c r="I45" s="220" t="s">
        <v>1972</v>
      </c>
      <c r="J45" s="234" t="s">
        <v>2832</v>
      </c>
      <c r="K45" s="83"/>
      <c r="L45" s="124" t="s">
        <v>620</v>
      </c>
      <c r="M45" s="127">
        <v>16042340.550000001</v>
      </c>
      <c r="N45" s="127" t="s">
        <v>621</v>
      </c>
      <c r="O45" s="83"/>
      <c r="P45" s="257"/>
      <c r="Q45" s="83"/>
      <c r="R45" s="91" t="s">
        <v>627</v>
      </c>
      <c r="S45" s="85" t="s">
        <v>47</v>
      </c>
      <c r="T45" t="s">
        <v>1972</v>
      </c>
      <c r="U45" t="s">
        <v>2832</v>
      </c>
    </row>
    <row r="46" spans="1:21" ht="15.75" hidden="1" thickBot="1" x14ac:dyDescent="0.3">
      <c r="A46" s="235" t="s">
        <v>535</v>
      </c>
      <c r="B46" s="235" t="str">
        <f t="shared" si="1"/>
        <v>Ribatejana Verde</v>
      </c>
      <c r="C46" s="235" t="str">
        <f t="shared" si="2"/>
        <v>X</v>
      </c>
      <c r="D46" s="235">
        <v>2022</v>
      </c>
      <c r="E46" s="235" t="str">
        <f t="shared" si="4"/>
        <v>: Geral : Gasóleo : Geral</v>
      </c>
      <c r="F46" s="255">
        <v>2</v>
      </c>
      <c r="G46" s="220" t="s">
        <v>1891</v>
      </c>
      <c r="H46" s="220" t="s">
        <v>1890</v>
      </c>
      <c r="I46" s="220" t="s">
        <v>1972</v>
      </c>
      <c r="J46" s="234" t="s">
        <v>2832</v>
      </c>
      <c r="K46" s="83"/>
      <c r="L46" s="124" t="s">
        <v>620</v>
      </c>
      <c r="M46" s="127">
        <v>1028791.97</v>
      </c>
      <c r="N46" s="127" t="s">
        <v>621</v>
      </c>
      <c r="O46" s="83"/>
      <c r="P46" s="257"/>
      <c r="Q46" s="83"/>
      <c r="R46" s="91" t="s">
        <v>627</v>
      </c>
      <c r="S46" s="85" t="s">
        <v>47</v>
      </c>
      <c r="T46" t="s">
        <v>1972</v>
      </c>
      <c r="U46" t="s">
        <v>2832</v>
      </c>
    </row>
    <row r="47" spans="1:21" ht="15.75" hidden="1" thickBot="1" x14ac:dyDescent="0.3">
      <c r="A47" s="235" t="s">
        <v>601</v>
      </c>
      <c r="B47" s="235" t="str">
        <f>LEFT(A47,IFERROR(FIND(" - ",A47)-1,LEN(A47)))</f>
        <v>Cityrama</v>
      </c>
      <c r="C47" s="235" t="str">
        <f t="shared" si="2"/>
        <v>X</v>
      </c>
      <c r="D47" s="235">
        <v>2022</v>
      </c>
      <c r="E47" s="235" t="str">
        <f t="shared" si="4"/>
        <v>: Geral : Gasóleo : Geral</v>
      </c>
      <c r="F47" s="255">
        <v>2</v>
      </c>
      <c r="G47" s="220" t="s">
        <v>1891</v>
      </c>
      <c r="H47" s="220" t="s">
        <v>1890</v>
      </c>
      <c r="I47" s="220" t="s">
        <v>1972</v>
      </c>
      <c r="J47" s="234" t="s">
        <v>2832</v>
      </c>
      <c r="K47" s="83"/>
      <c r="L47" s="124" t="s">
        <v>620</v>
      </c>
      <c r="M47" s="127">
        <v>463400.92000000004</v>
      </c>
      <c r="N47" s="127" t="s">
        <v>621</v>
      </c>
      <c r="O47" s="83"/>
      <c r="P47" s="257"/>
      <c r="Q47" s="83"/>
      <c r="R47" s="91" t="s">
        <v>627</v>
      </c>
      <c r="S47" s="85" t="s">
        <v>47</v>
      </c>
      <c r="T47" t="s">
        <v>1972</v>
      </c>
      <c r="U47" t="s">
        <v>2832</v>
      </c>
    </row>
    <row r="48" spans="1:21" ht="15.75" hidden="1" thickBot="1" x14ac:dyDescent="0.3">
      <c r="A48" s="235" t="s">
        <v>602</v>
      </c>
      <c r="B48" s="235" t="str">
        <f t="shared" si="1"/>
        <v>Diana Tours / Prime Bus</v>
      </c>
      <c r="C48" s="235" t="str">
        <f t="shared" si="2"/>
        <v>X</v>
      </c>
      <c r="D48" s="235">
        <v>2022</v>
      </c>
      <c r="E48" s="235" t="str">
        <f t="shared" si="4"/>
        <v>: Geral : Gasóleo : Geral</v>
      </c>
      <c r="F48" s="255">
        <v>2</v>
      </c>
      <c r="G48" s="220" t="s">
        <v>1891</v>
      </c>
      <c r="H48" s="220" t="s">
        <v>1890</v>
      </c>
      <c r="I48" s="220" t="s">
        <v>1972</v>
      </c>
      <c r="J48" s="234" t="s">
        <v>2832</v>
      </c>
      <c r="K48" s="83"/>
      <c r="L48" s="124" t="s">
        <v>620</v>
      </c>
      <c r="M48" s="127">
        <v>384964.88999999996</v>
      </c>
      <c r="N48" s="127" t="s">
        <v>621</v>
      </c>
      <c r="O48" s="83"/>
      <c r="P48" s="257"/>
      <c r="Q48" s="83"/>
      <c r="R48" s="91" t="s">
        <v>627</v>
      </c>
      <c r="S48" s="85" t="s">
        <v>47</v>
      </c>
      <c r="T48" t="s">
        <v>1972</v>
      </c>
      <c r="U48" t="s">
        <v>2832</v>
      </c>
    </row>
    <row r="49" spans="1:21" ht="15.75" hidden="1" thickBot="1" x14ac:dyDescent="0.3">
      <c r="A49" s="137" t="s">
        <v>1929</v>
      </c>
      <c r="B49" s="137" t="str">
        <f>LEFT(A49,IFERROR(FIND(" - ",A49)-1,LEN(A49)))</f>
        <v>Rodoviária de Lisboa, S.A.</v>
      </c>
      <c r="C49" s="137" t="str">
        <f>IF(A49=B49,"X",RIGHT(A49,LEN(A49)-LEN(B49)-3))</f>
        <v>X</v>
      </c>
      <c r="D49" s="137">
        <v>2022</v>
      </c>
      <c r="E49" s="235" t="str">
        <f t="shared" si="4"/>
        <v>Pesado de Passageiros M3: Geral : Gasóleo : Geral</v>
      </c>
      <c r="F49" s="255">
        <v>2</v>
      </c>
      <c r="G49" s="250" t="s">
        <v>1891</v>
      </c>
      <c r="H49" s="250" t="s">
        <v>1890</v>
      </c>
      <c r="I49" s="220" t="s">
        <v>1972</v>
      </c>
      <c r="J49" s="234" t="s">
        <v>2832</v>
      </c>
      <c r="K49" s="83" t="s">
        <v>629</v>
      </c>
      <c r="L49" s="84" t="s">
        <v>620</v>
      </c>
      <c r="M49" s="128">
        <v>10376738.789999999</v>
      </c>
      <c r="N49" s="85" t="s">
        <v>621</v>
      </c>
      <c r="O49" s="128">
        <v>16128203.23</v>
      </c>
      <c r="P49" s="133">
        <v>83.02</v>
      </c>
      <c r="Q49" s="85" t="s">
        <v>1940</v>
      </c>
      <c r="R49" s="91" t="s">
        <v>1941</v>
      </c>
      <c r="S49" s="85" t="s">
        <v>47</v>
      </c>
      <c r="T49" t="s">
        <v>1972</v>
      </c>
      <c r="U49" t="s">
        <v>2832</v>
      </c>
    </row>
    <row r="50" spans="1:21" ht="15.75" hidden="1" thickBot="1" x14ac:dyDescent="0.3">
      <c r="A50" s="137" t="s">
        <v>1929</v>
      </c>
      <c r="B50" s="137" t="str">
        <f>LEFT(A50,IFERROR(FIND(" - ",A50)-1,LEN(A50)))</f>
        <v>Rodoviária de Lisboa, S.A.</v>
      </c>
      <c r="C50" s="137" t="str">
        <f>IF(A50=B50,"X",RIGHT(A50,LEN(A50)-LEN(B50)-3))</f>
        <v>X</v>
      </c>
      <c r="D50" s="137">
        <v>2022</v>
      </c>
      <c r="E50" s="235" t="str">
        <f t="shared" si="4"/>
        <v>Pesado de Passageiros M3: Geral : GNC : Geral</v>
      </c>
      <c r="F50" s="255">
        <v>2</v>
      </c>
      <c r="G50" s="250" t="s">
        <v>1891</v>
      </c>
      <c r="H50" s="250" t="s">
        <v>1890</v>
      </c>
      <c r="I50" s="220" t="s">
        <v>1972</v>
      </c>
      <c r="J50" s="234" t="s">
        <v>2832</v>
      </c>
      <c r="K50" s="83" t="s">
        <v>629</v>
      </c>
      <c r="L50" s="84" t="s">
        <v>1963</v>
      </c>
      <c r="M50" s="128">
        <v>35270.85</v>
      </c>
      <c r="N50" s="85" t="s">
        <v>621</v>
      </c>
      <c r="O50" s="128">
        <v>35777.770000000004</v>
      </c>
      <c r="P50" s="133">
        <v>69</v>
      </c>
      <c r="Q50" s="128" t="s">
        <v>1942</v>
      </c>
      <c r="R50" s="91" t="s">
        <v>1941</v>
      </c>
      <c r="S50" s="85" t="s">
        <v>47</v>
      </c>
      <c r="T50" t="s">
        <v>1972</v>
      </c>
      <c r="U50" t="s">
        <v>2832</v>
      </c>
    </row>
    <row r="51" spans="1:21" ht="15.75" thickBot="1" x14ac:dyDescent="0.3">
      <c r="A51" s="137" t="s">
        <v>1929</v>
      </c>
      <c r="B51" s="137" t="str">
        <f>LEFT(A51,IFERROR(FIND(" - ",A51)-1,LEN(A51)))</f>
        <v>Rodoviária de Lisboa, S.A.</v>
      </c>
      <c r="C51" s="137" t="str">
        <f>IF(A51=B51,"X",RIGHT(A51,LEN(A51)-LEN(B51)-3))</f>
        <v>X</v>
      </c>
      <c r="D51" s="137">
        <v>2022</v>
      </c>
      <c r="E51" s="235" t="str">
        <f t="shared" si="4"/>
        <v>Pesado de Passageiros M3: Geral : Gasóleo : Geral</v>
      </c>
      <c r="F51" s="255">
        <v>1</v>
      </c>
      <c r="G51" s="250" t="s">
        <v>1888</v>
      </c>
      <c r="H51" s="250" t="s">
        <v>1861</v>
      </c>
      <c r="I51" s="220" t="s">
        <v>1972</v>
      </c>
      <c r="J51" s="234" t="s">
        <v>2832</v>
      </c>
      <c r="K51" s="83" t="s">
        <v>629</v>
      </c>
      <c r="L51" s="84" t="s">
        <v>620</v>
      </c>
      <c r="M51" s="128">
        <v>7614235.6999999993</v>
      </c>
      <c r="N51" s="85" t="s">
        <v>630</v>
      </c>
      <c r="O51" s="128">
        <v>16128203.23</v>
      </c>
      <c r="P51" s="133">
        <v>83.02</v>
      </c>
      <c r="Q51" s="85" t="s">
        <v>1940</v>
      </c>
      <c r="R51" s="91" t="s">
        <v>1941</v>
      </c>
      <c r="S51" s="85" t="s">
        <v>47</v>
      </c>
      <c r="T51" t="s">
        <v>1972</v>
      </c>
      <c r="U51" t="s">
        <v>2832</v>
      </c>
    </row>
    <row r="52" spans="1:21" ht="15.75" thickBot="1" x14ac:dyDescent="0.3">
      <c r="A52" s="137" t="s">
        <v>1929</v>
      </c>
      <c r="B52" s="137" t="str">
        <f>LEFT(A52,IFERROR(FIND(" - ",A52)-1,LEN(A52)))</f>
        <v>Rodoviária de Lisboa, S.A.</v>
      </c>
      <c r="C52" s="137" t="str">
        <f>IF(A52=B52,"X",RIGHT(A52,LEN(A52)-LEN(B52)-3))</f>
        <v>X</v>
      </c>
      <c r="D52" s="137">
        <v>2022</v>
      </c>
      <c r="E52" s="235" t="str">
        <f t="shared" si="4"/>
        <v>Pesado de Passageiros M3: Geral : GNC : Geral</v>
      </c>
      <c r="F52" s="255">
        <v>1</v>
      </c>
      <c r="G52" s="250" t="s">
        <v>1888</v>
      </c>
      <c r="H52" s="250" t="s">
        <v>1964</v>
      </c>
      <c r="I52" s="220" t="s">
        <v>1972</v>
      </c>
      <c r="J52" s="234" t="s">
        <v>2832</v>
      </c>
      <c r="K52" s="83" t="s">
        <v>629</v>
      </c>
      <c r="L52" s="84" t="s">
        <v>1963</v>
      </c>
      <c r="M52" s="128">
        <v>60588</v>
      </c>
      <c r="N52" s="85" t="s">
        <v>1943</v>
      </c>
      <c r="O52" s="128">
        <v>35777.770000000004</v>
      </c>
      <c r="P52" s="133">
        <v>69</v>
      </c>
      <c r="Q52" s="128" t="s">
        <v>1942</v>
      </c>
      <c r="R52" s="91" t="s">
        <v>1941</v>
      </c>
      <c r="S52" s="85" t="s">
        <v>47</v>
      </c>
      <c r="T52" t="s">
        <v>1972</v>
      </c>
      <c r="U52" t="s">
        <v>2832</v>
      </c>
    </row>
    <row r="53" spans="1:21" ht="15.75" hidden="1" thickBot="1" x14ac:dyDescent="0.3">
      <c r="A53" s="137" t="s">
        <v>1931</v>
      </c>
      <c r="B53" s="137" t="str">
        <f t="shared" ref="B53:B87" si="6">LEFT(A53,IFERROR(FIND(" - ",A53)-1,LEN(A53)))</f>
        <v>Marques, Lda.</v>
      </c>
      <c r="C53" s="137" t="str">
        <f t="shared" ref="C53:C99" si="7">IF(A53=B53,"X",RIGHT(A53,LEN(A53)-LEN(B53)-3))</f>
        <v>X</v>
      </c>
      <c r="D53" s="137">
        <v>2022</v>
      </c>
      <c r="E53" s="235" t="str">
        <f t="shared" si="4"/>
        <v>Pesado de Passageiros M3: Geral : Gasóleo : Geral</v>
      </c>
      <c r="F53" s="255">
        <v>2</v>
      </c>
      <c r="G53" s="250" t="s">
        <v>1891</v>
      </c>
      <c r="H53" s="250" t="s">
        <v>1890</v>
      </c>
      <c r="I53" s="220" t="s">
        <v>1972</v>
      </c>
      <c r="J53" s="234" t="s">
        <v>2832</v>
      </c>
      <c r="K53" s="83" t="s">
        <v>629</v>
      </c>
      <c r="L53" s="84" t="s">
        <v>620</v>
      </c>
      <c r="M53" s="127">
        <v>1449757</v>
      </c>
      <c r="N53" s="85" t="s">
        <v>621</v>
      </c>
      <c r="O53" s="128">
        <v>3350907</v>
      </c>
      <c r="P53" s="133">
        <v>56.25</v>
      </c>
      <c r="Q53" s="91"/>
      <c r="R53" s="91"/>
      <c r="S53" s="85" t="s">
        <v>47</v>
      </c>
      <c r="T53" t="s">
        <v>1972</v>
      </c>
      <c r="U53" t="s">
        <v>2832</v>
      </c>
    </row>
    <row r="54" spans="1:21" ht="15.75" thickBot="1" x14ac:dyDescent="0.3">
      <c r="A54" s="137" t="s">
        <v>1931</v>
      </c>
      <c r="B54" s="137" t="str">
        <f t="shared" si="6"/>
        <v>Marques, Lda.</v>
      </c>
      <c r="C54" s="137" t="str">
        <f t="shared" si="7"/>
        <v>X</v>
      </c>
      <c r="D54" s="137">
        <v>2022</v>
      </c>
      <c r="E54" s="235" t="str">
        <f t="shared" si="4"/>
        <v>Pesado de Passageiros M3: Geral : Gasóleo : Geral</v>
      </c>
      <c r="F54" s="255">
        <v>1</v>
      </c>
      <c r="G54" s="250" t="s">
        <v>1888</v>
      </c>
      <c r="H54" s="250" t="s">
        <v>1861</v>
      </c>
      <c r="I54" s="220" t="s">
        <v>1972</v>
      </c>
      <c r="J54" s="234" t="s">
        <v>2832</v>
      </c>
      <c r="K54" s="83" t="s">
        <v>629</v>
      </c>
      <c r="L54" s="84" t="s">
        <v>620</v>
      </c>
      <c r="M54" s="127">
        <v>1040182.05</v>
      </c>
      <c r="N54" s="85" t="s">
        <v>630</v>
      </c>
      <c r="O54" s="128">
        <v>3193504</v>
      </c>
      <c r="P54" s="133">
        <v>56.25</v>
      </c>
      <c r="Q54" s="91" t="s">
        <v>1944</v>
      </c>
      <c r="R54" s="85"/>
      <c r="S54" s="85" t="s">
        <v>47</v>
      </c>
      <c r="T54" t="s">
        <v>1972</v>
      </c>
      <c r="U54" t="s">
        <v>2832</v>
      </c>
    </row>
    <row r="55" spans="1:21" ht="15.75" thickBot="1" x14ac:dyDescent="0.3">
      <c r="A55" s="137" t="s">
        <v>1931</v>
      </c>
      <c r="B55" s="137" t="str">
        <f t="shared" si="6"/>
        <v>Marques, Lda.</v>
      </c>
      <c r="C55" s="137" t="str">
        <f t="shared" si="7"/>
        <v>X</v>
      </c>
      <c r="D55" s="137">
        <v>2022</v>
      </c>
      <c r="E55" s="235" t="str">
        <f t="shared" si="4"/>
        <v>Pesado de Passageiros M2: Geral : Gasóleo : Geral</v>
      </c>
      <c r="F55" s="255">
        <v>1</v>
      </c>
      <c r="G55" s="250" t="s">
        <v>1888</v>
      </c>
      <c r="H55" s="250" t="s">
        <v>1861</v>
      </c>
      <c r="I55" s="220" t="s">
        <v>1972</v>
      </c>
      <c r="J55" s="234" t="s">
        <v>2832</v>
      </c>
      <c r="K55" s="83" t="s">
        <v>1938</v>
      </c>
      <c r="L55" s="84" t="s">
        <v>620</v>
      </c>
      <c r="M55" s="127">
        <v>3171.51</v>
      </c>
      <c r="N55" s="85" t="s">
        <v>630</v>
      </c>
      <c r="O55" s="128">
        <v>19708</v>
      </c>
      <c r="P55" s="133">
        <v>19.5</v>
      </c>
      <c r="Q55" s="91" t="s">
        <v>1503</v>
      </c>
      <c r="R55" s="85"/>
      <c r="S55" s="85" t="s">
        <v>47</v>
      </c>
      <c r="T55" t="s">
        <v>1972</v>
      </c>
      <c r="U55" t="s">
        <v>2832</v>
      </c>
    </row>
    <row r="56" spans="1:21" ht="15.75" thickBot="1" x14ac:dyDescent="0.3">
      <c r="A56" s="137" t="s">
        <v>1931</v>
      </c>
      <c r="B56" s="137" t="str">
        <f t="shared" si="6"/>
        <v>Marques, Lda.</v>
      </c>
      <c r="C56" s="137" t="str">
        <f t="shared" si="7"/>
        <v>X</v>
      </c>
      <c r="D56" s="137">
        <v>2022</v>
      </c>
      <c r="E56" s="235" t="str">
        <f t="shared" si="4"/>
        <v>Ligeiro de Passageiros M1: Geral : Gasóleo : Geral</v>
      </c>
      <c r="F56" s="255">
        <v>1</v>
      </c>
      <c r="G56" s="250" t="s">
        <v>1888</v>
      </c>
      <c r="H56" s="250" t="s">
        <v>1861</v>
      </c>
      <c r="I56" s="220" t="s">
        <v>1972</v>
      </c>
      <c r="J56" s="234" t="s">
        <v>2832</v>
      </c>
      <c r="K56" s="83" t="s">
        <v>623</v>
      </c>
      <c r="L56" s="84" t="s">
        <v>620</v>
      </c>
      <c r="M56" s="127">
        <v>4832.05</v>
      </c>
      <c r="N56" s="85" t="s">
        <v>630</v>
      </c>
      <c r="O56" s="128">
        <v>89977</v>
      </c>
      <c r="P56" s="133"/>
      <c r="Q56" s="91" t="s">
        <v>1508</v>
      </c>
      <c r="R56" s="85"/>
      <c r="S56" s="85" t="s">
        <v>47</v>
      </c>
      <c r="T56" t="s">
        <v>1972</v>
      </c>
      <c r="U56" t="s">
        <v>2832</v>
      </c>
    </row>
    <row r="57" spans="1:21" ht="15.75" thickBot="1" x14ac:dyDescent="0.3">
      <c r="A57" s="137" t="s">
        <v>1931</v>
      </c>
      <c r="B57" s="137" t="str">
        <f t="shared" si="6"/>
        <v>Marques, Lda.</v>
      </c>
      <c r="C57" s="137" t="str">
        <f t="shared" si="7"/>
        <v>X</v>
      </c>
      <c r="D57" s="137">
        <v>2022</v>
      </c>
      <c r="E57" s="235" t="str">
        <f t="shared" si="4"/>
        <v>Ligeiro de Mercadorias N1: Geral : Gasóleo : Geral</v>
      </c>
      <c r="F57" s="255">
        <v>1</v>
      </c>
      <c r="G57" s="250" t="s">
        <v>1888</v>
      </c>
      <c r="H57" s="250" t="s">
        <v>1861</v>
      </c>
      <c r="I57" s="220" t="s">
        <v>1972</v>
      </c>
      <c r="J57" s="234" t="s">
        <v>2832</v>
      </c>
      <c r="K57" s="83" t="s">
        <v>624</v>
      </c>
      <c r="L57" s="84" t="s">
        <v>620</v>
      </c>
      <c r="M57" s="127">
        <v>5234.7</v>
      </c>
      <c r="N57" s="85" t="s">
        <v>630</v>
      </c>
      <c r="O57" s="128">
        <v>47718</v>
      </c>
      <c r="P57" s="133"/>
      <c r="Q57" s="91" t="s">
        <v>1503</v>
      </c>
      <c r="R57" s="85"/>
      <c r="S57" s="91" t="s">
        <v>626</v>
      </c>
      <c r="T57" t="s">
        <v>1972</v>
      </c>
      <c r="U57" t="s">
        <v>2832</v>
      </c>
    </row>
    <row r="58" spans="1:21" ht="15.75" thickBot="1" x14ac:dyDescent="0.3">
      <c r="A58" s="137" t="s">
        <v>1934</v>
      </c>
      <c r="B58" s="137" t="str">
        <f t="shared" si="6"/>
        <v>Rodo Cargo, S.A.</v>
      </c>
      <c r="C58" s="137" t="str">
        <f t="shared" si="7"/>
        <v>X</v>
      </c>
      <c r="D58" s="137">
        <v>2022</v>
      </c>
      <c r="E58" s="235" t="str">
        <f t="shared" si="4"/>
        <v>Pesado de Mercadorias N3: Geral : Gasóleo : Geral</v>
      </c>
      <c r="F58" s="255">
        <v>1</v>
      </c>
      <c r="G58" s="250" t="s">
        <v>1888</v>
      </c>
      <c r="H58" s="250" t="s">
        <v>1861</v>
      </c>
      <c r="I58" s="220" t="s">
        <v>1972</v>
      </c>
      <c r="J58" s="234" t="s">
        <v>2832</v>
      </c>
      <c r="K58" s="83" t="s">
        <v>1939</v>
      </c>
      <c r="L58" s="84" t="s">
        <v>620</v>
      </c>
      <c r="M58" s="127">
        <v>6748135</v>
      </c>
      <c r="N58" s="85" t="s">
        <v>630</v>
      </c>
      <c r="O58" s="128">
        <v>18120389</v>
      </c>
      <c r="P58" s="133"/>
      <c r="Q58" s="85">
        <v>215</v>
      </c>
      <c r="R58" s="91" t="s">
        <v>1945</v>
      </c>
      <c r="S58" s="85" t="s">
        <v>1946</v>
      </c>
      <c r="T58" t="s">
        <v>1972</v>
      </c>
      <c r="U58" t="s">
        <v>2832</v>
      </c>
    </row>
    <row r="59" spans="1:21" ht="15.75" thickBot="1" x14ac:dyDescent="0.3">
      <c r="A59" s="137" t="s">
        <v>1935</v>
      </c>
      <c r="B59" s="137" t="str">
        <f t="shared" si="6"/>
        <v>Rodoviária do Alentejo, S.A.</v>
      </c>
      <c r="C59" s="137" t="str">
        <f t="shared" si="7"/>
        <v>X</v>
      </c>
      <c r="D59" s="137">
        <v>2022</v>
      </c>
      <c r="E59" s="235" t="str">
        <f t="shared" si="4"/>
        <v>Pesado de Passageiros M3: Geral : Gasóleo : Geral</v>
      </c>
      <c r="F59" s="255">
        <v>1</v>
      </c>
      <c r="G59" s="250" t="s">
        <v>1888</v>
      </c>
      <c r="H59" s="250" t="s">
        <v>1861</v>
      </c>
      <c r="I59" s="220" t="s">
        <v>1972</v>
      </c>
      <c r="J59" s="234" t="s">
        <v>2832</v>
      </c>
      <c r="K59" s="83" t="s">
        <v>629</v>
      </c>
      <c r="L59" s="84" t="s">
        <v>620</v>
      </c>
      <c r="M59" s="127">
        <v>4098474.6</v>
      </c>
      <c r="N59" s="85" t="s">
        <v>630</v>
      </c>
      <c r="O59" s="128">
        <v>14051547</v>
      </c>
      <c r="P59" s="133">
        <v>63.371980676328505</v>
      </c>
      <c r="Q59" s="128"/>
      <c r="R59" s="91" t="s">
        <v>1947</v>
      </c>
      <c r="S59" s="85" t="s">
        <v>47</v>
      </c>
      <c r="T59" t="s">
        <v>1972</v>
      </c>
      <c r="U59" t="s">
        <v>2832</v>
      </c>
    </row>
    <row r="60" spans="1:21" ht="15.75" thickBot="1" x14ac:dyDescent="0.3">
      <c r="A60" s="375" t="s">
        <v>2966</v>
      </c>
      <c r="B60" s="375" t="s">
        <v>2966</v>
      </c>
      <c r="C60" s="137" t="str">
        <f t="shared" si="7"/>
        <v>X</v>
      </c>
      <c r="D60" s="137">
        <v>2022</v>
      </c>
      <c r="E60" s="235" t="str">
        <f t="shared" si="4"/>
        <v>Pesado de Passageiros M3: Geral : Gasóleo : Geral</v>
      </c>
      <c r="F60" s="255">
        <v>1</v>
      </c>
      <c r="G60" s="250" t="s">
        <v>1888</v>
      </c>
      <c r="H60" s="250" t="s">
        <v>1861</v>
      </c>
      <c r="I60" s="220" t="s">
        <v>1972</v>
      </c>
      <c r="J60" s="234" t="s">
        <v>2832</v>
      </c>
      <c r="K60" s="83" t="s">
        <v>629</v>
      </c>
      <c r="L60" s="84" t="s">
        <v>620</v>
      </c>
      <c r="M60" s="127">
        <v>257212</v>
      </c>
      <c r="N60" s="85" t="s">
        <v>630</v>
      </c>
      <c r="O60" s="128">
        <v>908320</v>
      </c>
      <c r="P60" s="133">
        <v>63.371980676328505</v>
      </c>
      <c r="Q60" s="128"/>
      <c r="R60" s="91" t="s">
        <v>1948</v>
      </c>
      <c r="S60" s="85" t="s">
        <v>47</v>
      </c>
      <c r="T60" t="s">
        <v>1972</v>
      </c>
      <c r="U60" t="s">
        <v>2832</v>
      </c>
    </row>
    <row r="61" spans="1:21" ht="15.75" thickBot="1" x14ac:dyDescent="0.3">
      <c r="A61" s="375" t="s">
        <v>2964</v>
      </c>
      <c r="B61" s="375" t="s">
        <v>2964</v>
      </c>
      <c r="C61" s="137" t="str">
        <f t="shared" si="7"/>
        <v>X</v>
      </c>
      <c r="D61" s="137">
        <v>2022</v>
      </c>
      <c r="E61" s="235" t="str">
        <f t="shared" si="4"/>
        <v>Pesado de Passageiros M3: Geral : Gasóleo : Geral</v>
      </c>
      <c r="F61" s="255">
        <v>1</v>
      </c>
      <c r="G61" s="250" t="s">
        <v>1888</v>
      </c>
      <c r="H61" s="250" t="s">
        <v>1861</v>
      </c>
      <c r="I61" s="220" t="s">
        <v>1972</v>
      </c>
      <c r="J61" s="234" t="s">
        <v>2832</v>
      </c>
      <c r="K61" s="83" t="s">
        <v>629</v>
      </c>
      <c r="L61" s="84" t="s">
        <v>620</v>
      </c>
      <c r="M61" s="127">
        <v>683924</v>
      </c>
      <c r="N61" s="85" t="s">
        <v>630</v>
      </c>
      <c r="O61" s="128">
        <v>2176729</v>
      </c>
      <c r="P61" s="133">
        <v>63.371980676328505</v>
      </c>
      <c r="Q61" s="128"/>
      <c r="R61" s="91" t="s">
        <v>1949</v>
      </c>
      <c r="S61" s="85" t="s">
        <v>47</v>
      </c>
      <c r="T61" t="s">
        <v>1972</v>
      </c>
      <c r="U61" t="s">
        <v>2832</v>
      </c>
    </row>
    <row r="62" spans="1:21" ht="15.75" thickBot="1" x14ac:dyDescent="0.3">
      <c r="A62" s="375" t="s">
        <v>2965</v>
      </c>
      <c r="B62" s="375" t="s">
        <v>2965</v>
      </c>
      <c r="C62" s="137" t="str">
        <f t="shared" si="7"/>
        <v>X</v>
      </c>
      <c r="D62" s="137">
        <v>2022</v>
      </c>
      <c r="E62" s="235" t="str">
        <f t="shared" si="4"/>
        <v>Pesado de Passageiros M3: Geral : Gasóleo : Geral</v>
      </c>
      <c r="F62" s="255">
        <v>1</v>
      </c>
      <c r="G62" s="250" t="s">
        <v>1888</v>
      </c>
      <c r="H62" s="250" t="s">
        <v>1861</v>
      </c>
      <c r="I62" s="220" t="s">
        <v>1972</v>
      </c>
      <c r="J62" s="234" t="s">
        <v>2832</v>
      </c>
      <c r="K62" s="83" t="s">
        <v>629</v>
      </c>
      <c r="L62" s="84" t="s">
        <v>620</v>
      </c>
      <c r="M62" s="127">
        <v>182410</v>
      </c>
      <c r="N62" s="85" t="s">
        <v>630</v>
      </c>
      <c r="O62" s="128">
        <v>418017</v>
      </c>
      <c r="P62" s="133">
        <v>63.371980676328505</v>
      </c>
      <c r="Q62" s="128"/>
      <c r="R62" s="91" t="s">
        <v>1494</v>
      </c>
      <c r="S62" s="85" t="s">
        <v>47</v>
      </c>
      <c r="T62" t="s">
        <v>1972</v>
      </c>
      <c r="U62" t="s">
        <v>2832</v>
      </c>
    </row>
    <row r="63" spans="1:21" ht="15.75" thickBot="1" x14ac:dyDescent="0.3">
      <c r="A63" s="375" t="s">
        <v>2967</v>
      </c>
      <c r="B63" s="375" t="s">
        <v>2967</v>
      </c>
      <c r="C63" s="137" t="str">
        <f t="shared" si="7"/>
        <v>X</v>
      </c>
      <c r="D63" s="137">
        <v>2022</v>
      </c>
      <c r="E63" s="235" t="str">
        <f t="shared" si="4"/>
        <v>Pesado de Passageiros M3: Geral : Gasóleo : Geral</v>
      </c>
      <c r="F63" s="255">
        <v>1</v>
      </c>
      <c r="G63" s="250" t="s">
        <v>1888</v>
      </c>
      <c r="H63" s="250" t="s">
        <v>1861</v>
      </c>
      <c r="I63" s="220" t="s">
        <v>1972</v>
      </c>
      <c r="J63" s="234" t="s">
        <v>2832</v>
      </c>
      <c r="K63" s="83" t="s">
        <v>629</v>
      </c>
      <c r="L63" s="84" t="s">
        <v>620</v>
      </c>
      <c r="M63" s="127">
        <v>272369.5</v>
      </c>
      <c r="N63" s="85" t="s">
        <v>630</v>
      </c>
      <c r="O63" s="128">
        <v>872073</v>
      </c>
      <c r="P63" s="133">
        <v>42.32</v>
      </c>
      <c r="Q63" s="85"/>
      <c r="R63" s="91" t="s">
        <v>1950</v>
      </c>
      <c r="S63" s="85" t="s">
        <v>47</v>
      </c>
      <c r="T63" t="s">
        <v>1972</v>
      </c>
      <c r="U63" t="s">
        <v>2832</v>
      </c>
    </row>
    <row r="64" spans="1:21" ht="15.75" thickBot="1" x14ac:dyDescent="0.3">
      <c r="A64" s="137" t="s">
        <v>1935</v>
      </c>
      <c r="B64" s="137" t="str">
        <f t="shared" si="6"/>
        <v>Rodoviária do Alentejo, S.A.</v>
      </c>
      <c r="C64" s="137" t="str">
        <f t="shared" si="7"/>
        <v>X</v>
      </c>
      <c r="D64" s="137">
        <v>2022</v>
      </c>
      <c r="E64" s="235" t="str">
        <f t="shared" si="4"/>
        <v>Ligeiro de Passageiros M1: Geral : Gasóleo : Geral</v>
      </c>
      <c r="F64" s="255">
        <v>1</v>
      </c>
      <c r="G64" s="250" t="s">
        <v>1888</v>
      </c>
      <c r="H64" s="250" t="s">
        <v>1861</v>
      </c>
      <c r="I64" s="220" t="s">
        <v>1972</v>
      </c>
      <c r="J64" s="234" t="s">
        <v>2832</v>
      </c>
      <c r="K64" s="83" t="s">
        <v>623</v>
      </c>
      <c r="L64" s="84" t="s">
        <v>620</v>
      </c>
      <c r="M64" s="127">
        <v>43517.98</v>
      </c>
      <c r="N64" s="85" t="s">
        <v>630</v>
      </c>
      <c r="O64" s="128">
        <v>762505</v>
      </c>
      <c r="P64" s="133">
        <v>6.28</v>
      </c>
      <c r="Q64" s="91"/>
      <c r="R64" s="91" t="s">
        <v>1951</v>
      </c>
      <c r="S64" s="85" t="s">
        <v>47</v>
      </c>
      <c r="T64" t="s">
        <v>1972</v>
      </c>
      <c r="U64" t="s">
        <v>2832</v>
      </c>
    </row>
    <row r="65" spans="1:21" ht="15.75" thickBot="1" x14ac:dyDescent="0.3">
      <c r="A65" s="137" t="s">
        <v>1935</v>
      </c>
      <c r="B65" s="137" t="str">
        <f t="shared" si="6"/>
        <v>Rodoviária do Alentejo, S.A.</v>
      </c>
      <c r="C65" s="137" t="str">
        <f t="shared" si="7"/>
        <v>X</v>
      </c>
      <c r="D65" s="137">
        <v>2022</v>
      </c>
      <c r="E65" s="235" t="str">
        <f t="shared" si="4"/>
        <v>Ligeiro de Mercadorias N1: Geral : Gasóleo : Geral</v>
      </c>
      <c r="F65" s="255">
        <v>1</v>
      </c>
      <c r="G65" s="250" t="s">
        <v>1888</v>
      </c>
      <c r="H65" s="250" t="s">
        <v>1861</v>
      </c>
      <c r="I65" s="220" t="s">
        <v>1972</v>
      </c>
      <c r="J65" s="234" t="s">
        <v>2832</v>
      </c>
      <c r="K65" s="83" t="s">
        <v>624</v>
      </c>
      <c r="L65" s="84" t="s">
        <v>620</v>
      </c>
      <c r="M65" s="127">
        <v>30194.750000000007</v>
      </c>
      <c r="N65" s="85" t="s">
        <v>630</v>
      </c>
      <c r="O65" s="128">
        <v>530604</v>
      </c>
      <c r="P65" s="133">
        <v>2.75</v>
      </c>
      <c r="Q65" s="91"/>
      <c r="R65" s="91" t="s">
        <v>1499</v>
      </c>
      <c r="S65" s="85" t="s">
        <v>47</v>
      </c>
      <c r="T65" t="s">
        <v>1972</v>
      </c>
      <c r="U65" t="s">
        <v>2832</v>
      </c>
    </row>
    <row r="66" spans="1:21" ht="15.75" thickBot="1" x14ac:dyDescent="0.3">
      <c r="A66" s="137" t="s">
        <v>1935</v>
      </c>
      <c r="B66" s="137" t="str">
        <f t="shared" si="6"/>
        <v>Rodoviária do Alentejo, S.A.</v>
      </c>
      <c r="C66" s="137" t="str">
        <f t="shared" si="7"/>
        <v>X</v>
      </c>
      <c r="D66" s="137">
        <v>2022</v>
      </c>
      <c r="E66" s="235" t="str">
        <f t="shared" si="4"/>
        <v>Ligeiro de Passageiros M1: Geral : Gasolina : Geral</v>
      </c>
      <c r="F66" s="255">
        <v>1</v>
      </c>
      <c r="G66" s="250" t="s">
        <v>1888</v>
      </c>
      <c r="H66" s="250" t="s">
        <v>1861</v>
      </c>
      <c r="I66" s="220" t="s">
        <v>1972</v>
      </c>
      <c r="J66" s="234" t="s">
        <v>2832</v>
      </c>
      <c r="K66" s="83" t="s">
        <v>623</v>
      </c>
      <c r="L66" s="84" t="s">
        <v>1952</v>
      </c>
      <c r="M66" s="127">
        <v>3879.17</v>
      </c>
      <c r="N66" s="85" t="s">
        <v>630</v>
      </c>
      <c r="O66" s="128">
        <v>48635</v>
      </c>
      <c r="P66" s="133">
        <v>5</v>
      </c>
      <c r="Q66" s="128"/>
      <c r="R66" s="91" t="s">
        <v>1942</v>
      </c>
      <c r="S66" s="85" t="s">
        <v>47</v>
      </c>
      <c r="T66" t="s">
        <v>1972</v>
      </c>
      <c r="U66" t="s">
        <v>2832</v>
      </c>
    </row>
    <row r="67" spans="1:21" ht="15.75" hidden="1" thickBot="1" x14ac:dyDescent="0.3">
      <c r="A67" s="137" t="s">
        <v>1935</v>
      </c>
      <c r="B67" s="137" t="str">
        <f t="shared" si="6"/>
        <v>Rodoviária do Alentejo, S.A.</v>
      </c>
      <c r="C67" s="137" t="str">
        <f t="shared" si="7"/>
        <v>X</v>
      </c>
      <c r="D67" s="137">
        <v>2022</v>
      </c>
      <c r="E67" s="235" t="str">
        <f t="shared" si="4"/>
        <v>Pesado de Passageiros M3: Geral : Gasóleo : Geral</v>
      </c>
      <c r="F67" s="255">
        <v>2</v>
      </c>
      <c r="G67" s="250" t="s">
        <v>1891</v>
      </c>
      <c r="H67" s="250" t="s">
        <v>1890</v>
      </c>
      <c r="I67" s="220" t="s">
        <v>1972</v>
      </c>
      <c r="J67" s="234" t="s">
        <v>2832</v>
      </c>
      <c r="K67" s="83" t="s">
        <v>629</v>
      </c>
      <c r="L67" s="84" t="s">
        <v>620</v>
      </c>
      <c r="M67" s="127">
        <v>5733475.8300000001</v>
      </c>
      <c r="N67" s="85" t="s">
        <v>621</v>
      </c>
      <c r="O67" s="128"/>
      <c r="P67" s="133"/>
      <c r="Q67" s="128"/>
      <c r="R67" s="85"/>
      <c r="S67" s="85" t="s">
        <v>47</v>
      </c>
      <c r="T67" t="s">
        <v>1972</v>
      </c>
      <c r="U67" t="s">
        <v>2832</v>
      </c>
    </row>
    <row r="68" spans="1:21" ht="15.75" hidden="1" thickBot="1" x14ac:dyDescent="0.3">
      <c r="A68" s="375" t="s">
        <v>2966</v>
      </c>
      <c r="B68" s="375" t="s">
        <v>2966</v>
      </c>
      <c r="C68" s="137" t="str">
        <f t="shared" si="7"/>
        <v>X</v>
      </c>
      <c r="D68" s="137">
        <v>2022</v>
      </c>
      <c r="E68" s="235" t="str">
        <f t="shared" si="4"/>
        <v>Pesado de Passageiros M3: Geral : Gasóleo : Geral</v>
      </c>
      <c r="F68" s="255">
        <v>2</v>
      </c>
      <c r="G68" s="250" t="s">
        <v>1891</v>
      </c>
      <c r="H68" s="250" t="s">
        <v>1890</v>
      </c>
      <c r="I68" s="220" t="s">
        <v>1972</v>
      </c>
      <c r="J68" s="234" t="s">
        <v>2832</v>
      </c>
      <c r="K68" s="83" t="s">
        <v>629</v>
      </c>
      <c r="L68" s="84" t="s">
        <v>620</v>
      </c>
      <c r="M68" s="127">
        <v>348865.39</v>
      </c>
      <c r="N68" s="85" t="s">
        <v>621</v>
      </c>
      <c r="O68" s="128"/>
      <c r="P68" s="133"/>
      <c r="Q68" s="128"/>
      <c r="R68" s="85"/>
      <c r="S68" s="85" t="s">
        <v>47</v>
      </c>
      <c r="T68" t="s">
        <v>1972</v>
      </c>
      <c r="U68" t="s">
        <v>2832</v>
      </c>
    </row>
    <row r="69" spans="1:21" ht="15.75" hidden="1" thickBot="1" x14ac:dyDescent="0.3">
      <c r="A69" s="375" t="s">
        <v>2964</v>
      </c>
      <c r="B69" s="375" t="s">
        <v>2964</v>
      </c>
      <c r="C69" s="137" t="str">
        <f t="shared" si="7"/>
        <v>X</v>
      </c>
      <c r="D69" s="137">
        <v>2022</v>
      </c>
      <c r="E69" s="235" t="str">
        <f t="shared" si="4"/>
        <v>Pesado de Passageiros M3: Geral : Gasóleo : Geral</v>
      </c>
      <c r="F69" s="255">
        <v>2</v>
      </c>
      <c r="G69" s="250" t="s">
        <v>1891</v>
      </c>
      <c r="H69" s="250" t="s">
        <v>1890</v>
      </c>
      <c r="I69" s="220" t="s">
        <v>1972</v>
      </c>
      <c r="J69" s="234" t="s">
        <v>2832</v>
      </c>
      <c r="K69" s="83" t="s">
        <v>629</v>
      </c>
      <c r="L69" s="84" t="s">
        <v>620</v>
      </c>
      <c r="M69" s="127">
        <v>963712.13</v>
      </c>
      <c r="N69" s="85" t="s">
        <v>621</v>
      </c>
      <c r="O69" s="128"/>
      <c r="P69" s="133"/>
      <c r="Q69" s="128"/>
      <c r="R69" s="85"/>
      <c r="S69" s="85" t="s">
        <v>47</v>
      </c>
      <c r="T69" t="s">
        <v>1972</v>
      </c>
      <c r="U69" t="s">
        <v>2832</v>
      </c>
    </row>
    <row r="70" spans="1:21" ht="15.75" hidden="1" thickBot="1" x14ac:dyDescent="0.3">
      <c r="A70" s="375" t="s">
        <v>2965</v>
      </c>
      <c r="B70" s="375" t="s">
        <v>2965</v>
      </c>
      <c r="C70" s="137" t="str">
        <f t="shared" si="7"/>
        <v>X</v>
      </c>
      <c r="D70" s="137">
        <v>2022</v>
      </c>
      <c r="E70" s="235" t="str">
        <f t="shared" si="4"/>
        <v>Pesado de Passageiros M3: Geral : Gasóleo : Geral</v>
      </c>
      <c r="F70" s="255">
        <v>2</v>
      </c>
      <c r="G70" s="250" t="s">
        <v>1891</v>
      </c>
      <c r="H70" s="250" t="s">
        <v>1890</v>
      </c>
      <c r="I70" s="220" t="s">
        <v>1972</v>
      </c>
      <c r="J70" s="234" t="s">
        <v>2832</v>
      </c>
      <c r="K70" s="83" t="s">
        <v>629</v>
      </c>
      <c r="L70" s="84" t="s">
        <v>620</v>
      </c>
      <c r="M70" s="127">
        <v>247908.26</v>
      </c>
      <c r="N70" s="85" t="s">
        <v>621</v>
      </c>
      <c r="O70" s="128"/>
      <c r="P70" s="133"/>
      <c r="Q70" s="128"/>
      <c r="R70" s="85"/>
      <c r="S70" s="85" t="s">
        <v>47</v>
      </c>
      <c r="T70" t="s">
        <v>1972</v>
      </c>
      <c r="U70" t="s">
        <v>2832</v>
      </c>
    </row>
    <row r="71" spans="1:21" ht="15.75" hidden="1" thickBot="1" x14ac:dyDescent="0.3">
      <c r="A71" s="375" t="s">
        <v>2967</v>
      </c>
      <c r="B71" s="375" t="s">
        <v>2967</v>
      </c>
      <c r="C71" s="137" t="str">
        <f t="shared" si="7"/>
        <v>X</v>
      </c>
      <c r="D71" s="137">
        <v>2022</v>
      </c>
      <c r="E71" s="235" t="str">
        <f t="shared" si="4"/>
        <v>Pesado de Passageiros M3: Geral : Gasóleo : Geral</v>
      </c>
      <c r="F71" s="255">
        <v>2</v>
      </c>
      <c r="G71" s="250" t="s">
        <v>1891</v>
      </c>
      <c r="H71" s="250" t="s">
        <v>1890</v>
      </c>
      <c r="I71" s="220" t="s">
        <v>1972</v>
      </c>
      <c r="J71" s="234" t="s">
        <v>2832</v>
      </c>
      <c r="K71" s="83" t="s">
        <v>629</v>
      </c>
      <c r="L71" s="84" t="s">
        <v>620</v>
      </c>
      <c r="M71" s="127">
        <v>379736.51</v>
      </c>
      <c r="N71" s="85" t="s">
        <v>621</v>
      </c>
      <c r="O71" s="128"/>
      <c r="P71" s="133"/>
      <c r="Q71" s="128"/>
      <c r="R71" s="85"/>
      <c r="S71" s="85" t="s">
        <v>47</v>
      </c>
      <c r="T71" t="s">
        <v>1972</v>
      </c>
      <c r="U71" t="s">
        <v>2832</v>
      </c>
    </row>
    <row r="72" spans="1:21" ht="15.75" hidden="1" thickBot="1" x14ac:dyDescent="0.3">
      <c r="A72" s="137" t="s">
        <v>1935</v>
      </c>
      <c r="B72" s="137" t="str">
        <f t="shared" si="6"/>
        <v>Rodoviária do Alentejo, S.A.</v>
      </c>
      <c r="C72" s="137" t="str">
        <f t="shared" si="7"/>
        <v>X</v>
      </c>
      <c r="D72" s="137">
        <v>2022</v>
      </c>
      <c r="E72" s="235" t="str">
        <f t="shared" si="4"/>
        <v>Ligeiro de Passageiros M1: Geral : Gasóleo : Geral</v>
      </c>
      <c r="F72" s="255">
        <v>2</v>
      </c>
      <c r="G72" s="250" t="s">
        <v>1891</v>
      </c>
      <c r="H72" s="250" t="s">
        <v>1890</v>
      </c>
      <c r="I72" s="220" t="s">
        <v>1972</v>
      </c>
      <c r="J72" s="234" t="s">
        <v>2832</v>
      </c>
      <c r="K72" s="83" t="s">
        <v>623</v>
      </c>
      <c r="L72" s="84" t="s">
        <v>620</v>
      </c>
      <c r="M72" s="127">
        <v>35434.066294158409</v>
      </c>
      <c r="N72" s="85" t="s">
        <v>621</v>
      </c>
      <c r="O72" s="128"/>
      <c r="P72" s="133"/>
      <c r="Q72" s="128"/>
      <c r="R72" s="85"/>
      <c r="S72" s="85" t="s">
        <v>47</v>
      </c>
      <c r="T72" t="s">
        <v>1972</v>
      </c>
      <c r="U72" t="s">
        <v>2832</v>
      </c>
    </row>
    <row r="73" spans="1:21" ht="15.75" hidden="1" thickBot="1" x14ac:dyDescent="0.3">
      <c r="A73" s="137" t="s">
        <v>1935</v>
      </c>
      <c r="B73" s="137" t="str">
        <f t="shared" si="6"/>
        <v>Rodoviária do Alentejo, S.A.</v>
      </c>
      <c r="C73" s="137" t="str">
        <f t="shared" si="7"/>
        <v>X</v>
      </c>
      <c r="D73" s="137">
        <v>2022</v>
      </c>
      <c r="E73" s="235" t="str">
        <f t="shared" ref="E73:E101" si="8">K73&amp;": "&amp;"Geral : "&amp;L73&amp;" : Geral"</f>
        <v>Ligeiro de Mercadorias N1: Geral : Gasóleo : Geral</v>
      </c>
      <c r="F73" s="255">
        <v>2</v>
      </c>
      <c r="G73" s="250" t="s">
        <v>1891</v>
      </c>
      <c r="H73" s="250" t="s">
        <v>1890</v>
      </c>
      <c r="I73" s="220" t="s">
        <v>1972</v>
      </c>
      <c r="J73" s="234" t="s">
        <v>2832</v>
      </c>
      <c r="K73" s="83" t="s">
        <v>624</v>
      </c>
      <c r="L73" s="84" t="s">
        <v>620</v>
      </c>
      <c r="M73" s="127">
        <v>24585.763705841582</v>
      </c>
      <c r="N73" s="85" t="s">
        <v>621</v>
      </c>
      <c r="O73" s="128"/>
      <c r="P73" s="133"/>
      <c r="Q73" s="128"/>
      <c r="R73" s="85"/>
      <c r="S73" s="85" t="s">
        <v>47</v>
      </c>
      <c r="T73" t="s">
        <v>1972</v>
      </c>
      <c r="U73" t="s">
        <v>2832</v>
      </c>
    </row>
    <row r="74" spans="1:21" ht="15.75" hidden="1" thickBot="1" x14ac:dyDescent="0.3">
      <c r="A74" s="137" t="s">
        <v>1935</v>
      </c>
      <c r="B74" s="137" t="str">
        <f t="shared" si="6"/>
        <v>Rodoviária do Alentejo, S.A.</v>
      </c>
      <c r="C74" s="137" t="str">
        <f t="shared" si="7"/>
        <v>X</v>
      </c>
      <c r="D74" s="137">
        <v>2022</v>
      </c>
      <c r="E74" s="235" t="str">
        <f t="shared" si="8"/>
        <v>Ligeiro de Passageiros M1: Geral : Gasolina : Geral</v>
      </c>
      <c r="F74" s="255">
        <v>2</v>
      </c>
      <c r="G74" s="250" t="s">
        <v>1891</v>
      </c>
      <c r="H74" s="250" t="s">
        <v>1890</v>
      </c>
      <c r="I74" s="220" t="s">
        <v>1972</v>
      </c>
      <c r="J74" s="234" t="s">
        <v>2832</v>
      </c>
      <c r="K74" s="83" t="s">
        <v>623</v>
      </c>
      <c r="L74" s="84" t="s">
        <v>1952</v>
      </c>
      <c r="M74" s="127">
        <v>7160.8</v>
      </c>
      <c r="N74" s="85" t="s">
        <v>621</v>
      </c>
      <c r="O74" s="128"/>
      <c r="P74" s="133"/>
      <c r="Q74" s="128"/>
      <c r="R74" s="85"/>
      <c r="S74" s="85" t="s">
        <v>47</v>
      </c>
      <c r="T74" t="s">
        <v>1972</v>
      </c>
      <c r="U74" t="s">
        <v>2832</v>
      </c>
    </row>
    <row r="75" spans="1:21" ht="15.75" thickBot="1" x14ac:dyDescent="0.3">
      <c r="A75" s="137" t="s">
        <v>4686</v>
      </c>
      <c r="B75" s="137" t="s">
        <v>4686</v>
      </c>
      <c r="C75" s="137" t="str">
        <f t="shared" si="7"/>
        <v>X</v>
      </c>
      <c r="D75" s="137">
        <v>2022</v>
      </c>
      <c r="E75" s="235" t="str">
        <f t="shared" si="8"/>
        <v>Ligeiro de Passageiros M1: Geral : Gasóleo : Geral</v>
      </c>
      <c r="F75" s="255">
        <v>1</v>
      </c>
      <c r="G75" s="250" t="s">
        <v>1888</v>
      </c>
      <c r="H75" s="250" t="s">
        <v>1861</v>
      </c>
      <c r="I75" s="220" t="s">
        <v>1972</v>
      </c>
      <c r="J75" s="234" t="s">
        <v>2832</v>
      </c>
      <c r="K75" s="83" t="s">
        <v>623</v>
      </c>
      <c r="L75" s="84" t="s">
        <v>620</v>
      </c>
      <c r="M75" s="127">
        <v>10140.060000000001</v>
      </c>
      <c r="N75" s="85" t="s">
        <v>630</v>
      </c>
      <c r="O75" s="128">
        <v>127800.25</v>
      </c>
      <c r="P75" s="133">
        <v>8</v>
      </c>
      <c r="Q75" s="241">
        <v>1022402</v>
      </c>
      <c r="R75" s="91"/>
      <c r="S75" s="85" t="s">
        <v>47</v>
      </c>
      <c r="T75" t="s">
        <v>1972</v>
      </c>
      <c r="U75" t="s">
        <v>2832</v>
      </c>
    </row>
    <row r="76" spans="1:21" ht="15.75" thickBot="1" x14ac:dyDescent="0.3">
      <c r="A76" s="137" t="s">
        <v>4686</v>
      </c>
      <c r="B76" s="137" t="s">
        <v>4686</v>
      </c>
      <c r="C76" s="137" t="str">
        <f t="shared" si="7"/>
        <v>X</v>
      </c>
      <c r="D76" s="137">
        <v>2022</v>
      </c>
      <c r="E76" s="235" t="str">
        <f t="shared" si="8"/>
        <v>Pesado de Passageiros M3: Geral : Gasóleo : Geral</v>
      </c>
      <c r="F76" s="255">
        <v>1</v>
      </c>
      <c r="G76" s="250" t="s">
        <v>1888</v>
      </c>
      <c r="H76" s="250" t="s">
        <v>1861</v>
      </c>
      <c r="I76" s="220" t="s">
        <v>1972</v>
      </c>
      <c r="J76" s="234" t="s">
        <v>2832</v>
      </c>
      <c r="K76" s="83" t="s">
        <v>629</v>
      </c>
      <c r="L76" s="84" t="s">
        <v>620</v>
      </c>
      <c r="M76" s="127">
        <v>3509435.673</v>
      </c>
      <c r="N76" s="85" t="s">
        <v>630</v>
      </c>
      <c r="O76" s="128">
        <v>12788441</v>
      </c>
      <c r="P76" s="133">
        <v>52.496240601503757</v>
      </c>
      <c r="Q76" s="241">
        <v>679251286</v>
      </c>
      <c r="R76" s="85"/>
      <c r="S76" s="85" t="s">
        <v>47</v>
      </c>
      <c r="T76" t="s">
        <v>1972</v>
      </c>
      <c r="U76" t="s">
        <v>2832</v>
      </c>
    </row>
    <row r="77" spans="1:21" ht="15.75" thickBot="1" x14ac:dyDescent="0.3">
      <c r="A77" s="137" t="s">
        <v>4687</v>
      </c>
      <c r="B77" s="137" t="s">
        <v>4687</v>
      </c>
      <c r="C77" s="137" t="str">
        <f t="shared" si="7"/>
        <v>X</v>
      </c>
      <c r="D77" s="137">
        <v>2022</v>
      </c>
      <c r="E77" s="235" t="str">
        <f t="shared" si="8"/>
        <v>Ligeiro de Passageiros M1: Geral : Gasóleo : Geral</v>
      </c>
      <c r="F77" s="255">
        <v>1</v>
      </c>
      <c r="G77" s="250" t="s">
        <v>1888</v>
      </c>
      <c r="H77" s="250" t="s">
        <v>1861</v>
      </c>
      <c r="I77" s="220" t="s">
        <v>1972</v>
      </c>
      <c r="J77" s="234" t="s">
        <v>2832</v>
      </c>
      <c r="K77" s="83" t="s">
        <v>623</v>
      </c>
      <c r="L77" s="84" t="s">
        <v>620</v>
      </c>
      <c r="M77" s="127">
        <v>127246.59999999999</v>
      </c>
      <c r="N77" s="85" t="s">
        <v>630</v>
      </c>
      <c r="O77" s="128">
        <v>1494418</v>
      </c>
      <c r="P77" s="133">
        <v>8</v>
      </c>
      <c r="Q77" s="241">
        <v>11955344</v>
      </c>
      <c r="R77" s="85"/>
      <c r="S77" s="85" t="s">
        <v>47</v>
      </c>
      <c r="T77" t="s">
        <v>1972</v>
      </c>
      <c r="U77" t="s">
        <v>2832</v>
      </c>
    </row>
    <row r="78" spans="1:21" ht="15.75" thickBot="1" x14ac:dyDescent="0.3">
      <c r="A78" s="137" t="s">
        <v>4687</v>
      </c>
      <c r="B78" s="137" t="s">
        <v>4687</v>
      </c>
      <c r="C78" s="137" t="str">
        <f t="shared" si="7"/>
        <v>X</v>
      </c>
      <c r="D78" s="137">
        <v>2022</v>
      </c>
      <c r="E78" s="235" t="str">
        <f t="shared" si="8"/>
        <v>Pesado de Passageiros M3: Geral : Gasóleo : Geral</v>
      </c>
      <c r="F78" s="255">
        <v>1</v>
      </c>
      <c r="G78" s="250" t="s">
        <v>1888</v>
      </c>
      <c r="H78" s="250" t="s">
        <v>1861</v>
      </c>
      <c r="I78" s="220" t="s">
        <v>1972</v>
      </c>
      <c r="J78" s="234" t="s">
        <v>2832</v>
      </c>
      <c r="K78" s="83" t="s">
        <v>629</v>
      </c>
      <c r="L78" s="84" t="s">
        <v>620</v>
      </c>
      <c r="M78" s="127">
        <v>864199.41</v>
      </c>
      <c r="N78" s="85" t="s">
        <v>630</v>
      </c>
      <c r="O78" s="128">
        <v>3155108</v>
      </c>
      <c r="P78" s="133">
        <v>48.068965517241381</v>
      </c>
      <c r="Q78" s="241">
        <v>160188195</v>
      </c>
      <c r="R78" s="85"/>
      <c r="S78" s="85" t="s">
        <v>47</v>
      </c>
      <c r="T78" t="s">
        <v>1972</v>
      </c>
      <c r="U78" t="s">
        <v>2832</v>
      </c>
    </row>
    <row r="79" spans="1:21" ht="15.75" thickBot="1" x14ac:dyDescent="0.3">
      <c r="A79" s="137" t="s">
        <v>3511</v>
      </c>
      <c r="B79" s="137" t="s">
        <v>3511</v>
      </c>
      <c r="C79" s="137" t="s">
        <v>1969</v>
      </c>
      <c r="D79" s="137">
        <v>2022</v>
      </c>
      <c r="E79" s="235" t="str">
        <f t="shared" si="8"/>
        <v>Pesado de Passageiros M3: Geral : Gasóleo : Geral</v>
      </c>
      <c r="F79" s="255">
        <v>1</v>
      </c>
      <c r="G79" s="250" t="s">
        <v>1888</v>
      </c>
      <c r="H79" s="250" t="s">
        <v>1861</v>
      </c>
      <c r="I79" s="220" t="s">
        <v>1972</v>
      </c>
      <c r="J79" s="234" t="s">
        <v>2832</v>
      </c>
      <c r="K79" s="83" t="s">
        <v>629</v>
      </c>
      <c r="L79" s="84" t="s">
        <v>620</v>
      </c>
      <c r="M79" s="127">
        <v>344822.06</v>
      </c>
      <c r="N79" s="85" t="s">
        <v>630</v>
      </c>
      <c r="O79" s="128">
        <v>1119207</v>
      </c>
      <c r="P79" s="133">
        <v>58.75</v>
      </c>
      <c r="Q79" s="241">
        <v>65937563</v>
      </c>
      <c r="R79" s="85"/>
      <c r="S79" s="85" t="s">
        <v>47</v>
      </c>
      <c r="T79" t="s">
        <v>1972</v>
      </c>
      <c r="U79" t="s">
        <v>2832</v>
      </c>
    </row>
    <row r="80" spans="1:21" ht="15.75" thickBot="1" x14ac:dyDescent="0.3">
      <c r="A80" s="137" t="s">
        <v>4688</v>
      </c>
      <c r="B80" s="137" t="s">
        <v>4688</v>
      </c>
      <c r="C80" s="137" t="str">
        <f t="shared" si="7"/>
        <v>X</v>
      </c>
      <c r="D80" s="137">
        <v>2022</v>
      </c>
      <c r="E80" s="235" t="str">
        <f t="shared" si="8"/>
        <v>Pesado de Passageiros M3: Geral : Gasóleo : Geral</v>
      </c>
      <c r="F80" s="255">
        <v>1</v>
      </c>
      <c r="G80" s="250" t="s">
        <v>1888</v>
      </c>
      <c r="H80" s="250" t="s">
        <v>1861</v>
      </c>
      <c r="I80" s="220" t="s">
        <v>1972</v>
      </c>
      <c r="J80" s="234" t="s">
        <v>2832</v>
      </c>
      <c r="K80" s="83" t="s">
        <v>629</v>
      </c>
      <c r="L80" s="84" t="s">
        <v>620</v>
      </c>
      <c r="M80" s="127">
        <v>182961.86</v>
      </c>
      <c r="N80" s="85" t="s">
        <v>630</v>
      </c>
      <c r="O80" s="128">
        <v>899763</v>
      </c>
      <c r="P80" s="133">
        <v>27.45</v>
      </c>
      <c r="Q80" s="241">
        <v>25314190</v>
      </c>
      <c r="R80" s="85"/>
      <c r="S80" s="85" t="s">
        <v>47</v>
      </c>
      <c r="T80" t="s">
        <v>1972</v>
      </c>
      <c r="U80" t="s">
        <v>2832</v>
      </c>
    </row>
    <row r="81" spans="1:21" ht="15.75" thickBot="1" x14ac:dyDescent="0.3">
      <c r="A81" s="137" t="s">
        <v>4689</v>
      </c>
      <c r="B81" s="137" t="s">
        <v>4689</v>
      </c>
      <c r="C81" s="137" t="str">
        <f t="shared" si="7"/>
        <v>X</v>
      </c>
      <c r="D81" s="137">
        <v>2022</v>
      </c>
      <c r="E81" s="235" t="str">
        <f t="shared" si="8"/>
        <v>Pesado de Passageiros M3: Geral : Gasóleo : Geral</v>
      </c>
      <c r="F81" s="255">
        <v>1</v>
      </c>
      <c r="G81" s="250" t="s">
        <v>1888</v>
      </c>
      <c r="H81" s="250" t="s">
        <v>1861</v>
      </c>
      <c r="I81" s="220" t="s">
        <v>1972</v>
      </c>
      <c r="J81" s="234" t="s">
        <v>2832</v>
      </c>
      <c r="K81" s="83" t="s">
        <v>629</v>
      </c>
      <c r="L81" s="84" t="s">
        <v>620</v>
      </c>
      <c r="M81" s="127">
        <v>205680.44999999995</v>
      </c>
      <c r="N81" s="85" t="s">
        <v>630</v>
      </c>
      <c r="O81" s="128">
        <v>802049</v>
      </c>
      <c r="P81" s="133">
        <v>24.578947368421051</v>
      </c>
      <c r="Q81" s="241">
        <v>18734707</v>
      </c>
      <c r="R81" s="85"/>
      <c r="S81" s="85" t="s">
        <v>47</v>
      </c>
      <c r="T81" t="s">
        <v>1972</v>
      </c>
      <c r="U81" t="s">
        <v>2832</v>
      </c>
    </row>
    <row r="82" spans="1:21" ht="15.75" thickBot="1" x14ac:dyDescent="0.3">
      <c r="A82" s="137" t="s">
        <v>4690</v>
      </c>
      <c r="B82" s="137" t="s">
        <v>4690</v>
      </c>
      <c r="C82" s="137" t="s">
        <v>1969</v>
      </c>
      <c r="D82" s="137">
        <v>2022</v>
      </c>
      <c r="E82" s="235" t="str">
        <f t="shared" si="8"/>
        <v>Pesado de Passageiros M3: Geral : Gasóleo : Geral</v>
      </c>
      <c r="F82" s="255">
        <v>1</v>
      </c>
      <c r="G82" s="250" t="s">
        <v>1888</v>
      </c>
      <c r="H82" s="250" t="s">
        <v>1861</v>
      </c>
      <c r="I82" s="220" t="s">
        <v>1972</v>
      </c>
      <c r="J82" s="234" t="s">
        <v>2832</v>
      </c>
      <c r="K82" s="83" t="s">
        <v>629</v>
      </c>
      <c r="L82" s="84" t="s">
        <v>620</v>
      </c>
      <c r="M82" s="127">
        <v>1931610.9300000009</v>
      </c>
      <c r="N82" s="85" t="s">
        <v>630</v>
      </c>
      <c r="O82" s="128">
        <v>5834989</v>
      </c>
      <c r="P82" s="133">
        <v>74.113043478260863</v>
      </c>
      <c r="Q82" s="241">
        <v>441406241</v>
      </c>
      <c r="R82" s="85"/>
      <c r="S82" s="85" t="s">
        <v>47</v>
      </c>
      <c r="T82" t="s">
        <v>1972</v>
      </c>
      <c r="U82" t="s">
        <v>2832</v>
      </c>
    </row>
    <row r="83" spans="1:21" ht="15.75" thickBot="1" x14ac:dyDescent="0.3">
      <c r="A83" s="137" t="s">
        <v>4691</v>
      </c>
      <c r="B83" s="137" t="s">
        <v>4691</v>
      </c>
      <c r="C83" s="137" t="str">
        <f t="shared" si="7"/>
        <v>X</v>
      </c>
      <c r="D83" s="137">
        <v>2022</v>
      </c>
      <c r="E83" s="235" t="str">
        <f t="shared" si="8"/>
        <v>Pesado de Passageiros M3: Geral : Gasóleo : Geral</v>
      </c>
      <c r="F83" s="255">
        <v>1</v>
      </c>
      <c r="G83" s="250" t="s">
        <v>1888</v>
      </c>
      <c r="H83" s="250" t="s">
        <v>1861</v>
      </c>
      <c r="I83" s="220" t="s">
        <v>1972</v>
      </c>
      <c r="J83" s="234" t="s">
        <v>2832</v>
      </c>
      <c r="K83" s="83" t="s">
        <v>629</v>
      </c>
      <c r="L83" s="84" t="s">
        <v>620</v>
      </c>
      <c r="M83" s="127">
        <v>3544.9</v>
      </c>
      <c r="N83" s="85" t="s">
        <v>630</v>
      </c>
      <c r="O83" s="128">
        <v>9296</v>
      </c>
      <c r="P83" s="133">
        <v>56</v>
      </c>
      <c r="Q83" s="128">
        <v>520576</v>
      </c>
      <c r="R83" s="85"/>
      <c r="S83" s="85" t="s">
        <v>47</v>
      </c>
      <c r="T83" t="s">
        <v>1972</v>
      </c>
      <c r="U83" t="s">
        <v>2832</v>
      </c>
    </row>
    <row r="84" spans="1:21" ht="15.75" thickBot="1" x14ac:dyDescent="0.3">
      <c r="A84" s="137" t="s">
        <v>4694</v>
      </c>
      <c r="B84" s="137" t="s">
        <v>4694</v>
      </c>
      <c r="C84" s="137" t="s">
        <v>1969</v>
      </c>
      <c r="D84" s="137">
        <v>2022</v>
      </c>
      <c r="E84" s="235" t="str">
        <f t="shared" si="8"/>
        <v>Pesado de Mercadorias N3: Geral : Gasóleo : Geral</v>
      </c>
      <c r="F84" s="255">
        <v>1</v>
      </c>
      <c r="G84" s="250" t="s">
        <v>1888</v>
      </c>
      <c r="H84" s="250" t="s">
        <v>1861</v>
      </c>
      <c r="I84" s="220" t="s">
        <v>1972</v>
      </c>
      <c r="J84" s="234" t="s">
        <v>2832</v>
      </c>
      <c r="K84" s="83" t="s">
        <v>1939</v>
      </c>
      <c r="L84" s="84" t="s">
        <v>620</v>
      </c>
      <c r="M84" s="128">
        <v>3299337.7099999995</v>
      </c>
      <c r="N84" s="85" t="s">
        <v>630</v>
      </c>
      <c r="O84" s="128">
        <v>9092438</v>
      </c>
      <c r="P84" s="133"/>
      <c r="Q84" s="85" t="s">
        <v>1953</v>
      </c>
      <c r="R84" s="85" t="s">
        <v>1954</v>
      </c>
      <c r="S84" s="85" t="s">
        <v>1946</v>
      </c>
      <c r="T84" t="s">
        <v>1972</v>
      </c>
      <c r="U84" t="s">
        <v>2832</v>
      </c>
    </row>
    <row r="85" spans="1:21" ht="15.75" thickBot="1" x14ac:dyDescent="0.3">
      <c r="A85" s="137" t="s">
        <v>4693</v>
      </c>
      <c r="B85" s="137" t="s">
        <v>4693</v>
      </c>
      <c r="C85" s="137" t="str">
        <f t="shared" si="7"/>
        <v>X</v>
      </c>
      <c r="D85" s="137">
        <v>2022</v>
      </c>
      <c r="E85" s="235" t="str">
        <f t="shared" si="8"/>
        <v>Pesado de Passageiros M3: Geral : Gasóleo : Geral</v>
      </c>
      <c r="F85" s="255">
        <v>1</v>
      </c>
      <c r="G85" s="250" t="s">
        <v>1888</v>
      </c>
      <c r="H85" s="250" t="s">
        <v>1861</v>
      </c>
      <c r="I85" s="220" t="s">
        <v>1972</v>
      </c>
      <c r="J85" s="234" t="s">
        <v>2832</v>
      </c>
      <c r="K85" s="83" t="s">
        <v>629</v>
      </c>
      <c r="L85" s="84" t="s">
        <v>620</v>
      </c>
      <c r="M85" s="127">
        <v>5417773.4609999964</v>
      </c>
      <c r="N85" s="85" t="s">
        <v>630</v>
      </c>
      <c r="O85" s="128">
        <v>12768138.555562012</v>
      </c>
      <c r="P85" s="133">
        <v>87.003472222222229</v>
      </c>
      <c r="Q85" s="243">
        <v>1102820705.6716104</v>
      </c>
      <c r="R85" s="91"/>
      <c r="S85" s="85" t="s">
        <v>47</v>
      </c>
      <c r="T85" t="s">
        <v>1972</v>
      </c>
      <c r="U85" t="s">
        <v>2832</v>
      </c>
    </row>
    <row r="86" spans="1:21" ht="15.75" hidden="1" thickBot="1" x14ac:dyDescent="0.3">
      <c r="A86" s="137" t="s">
        <v>2836</v>
      </c>
      <c r="B86" s="137" t="str">
        <f t="shared" si="6"/>
        <v>Isidoro Duarte, S.A.</v>
      </c>
      <c r="C86" s="137" t="str">
        <f t="shared" si="7"/>
        <v>X</v>
      </c>
      <c r="D86" s="137">
        <v>2022</v>
      </c>
      <c r="E86" s="235" t="str">
        <f t="shared" si="8"/>
        <v>Pesado de Passageiros M3: Geral : Gasóleo : Geral</v>
      </c>
      <c r="F86" s="255">
        <v>2</v>
      </c>
      <c r="G86" s="250" t="s">
        <v>1891</v>
      </c>
      <c r="H86" s="250" t="s">
        <v>1890</v>
      </c>
      <c r="I86" s="220" t="s">
        <v>1972</v>
      </c>
      <c r="J86" s="234" t="s">
        <v>2832</v>
      </c>
      <c r="K86" s="83" t="s">
        <v>629</v>
      </c>
      <c r="L86" s="84" t="s">
        <v>620</v>
      </c>
      <c r="M86" s="127">
        <v>1312179</v>
      </c>
      <c r="N86" s="85" t="s">
        <v>621</v>
      </c>
      <c r="O86" s="127">
        <v>2991498</v>
      </c>
      <c r="P86" s="133">
        <v>53</v>
      </c>
      <c r="Q86" s="244">
        <v>56443.358490566039</v>
      </c>
      <c r="R86" s="91" t="s">
        <v>1955</v>
      </c>
      <c r="S86" s="85" t="s">
        <v>47</v>
      </c>
      <c r="T86" t="s">
        <v>1972</v>
      </c>
      <c r="U86" t="s">
        <v>2832</v>
      </c>
    </row>
    <row r="87" spans="1:21" ht="15.75" thickBot="1" x14ac:dyDescent="0.3">
      <c r="A87" s="137" t="s">
        <v>2836</v>
      </c>
      <c r="B87" s="137" t="str">
        <f t="shared" si="6"/>
        <v>Isidoro Duarte, S.A.</v>
      </c>
      <c r="C87" s="137" t="str">
        <f t="shared" si="7"/>
        <v>X</v>
      </c>
      <c r="D87" s="137">
        <v>2022</v>
      </c>
      <c r="E87" s="235" t="str">
        <f t="shared" si="8"/>
        <v>Pesado de Passageiros M3: Geral : Gasóleo : Geral</v>
      </c>
      <c r="F87" s="255">
        <v>1</v>
      </c>
      <c r="G87" s="250" t="s">
        <v>1888</v>
      </c>
      <c r="H87" s="250" t="s">
        <v>1861</v>
      </c>
      <c r="I87" s="220" t="s">
        <v>1972</v>
      </c>
      <c r="J87" s="234" t="s">
        <v>2832</v>
      </c>
      <c r="K87" s="83" t="s">
        <v>629</v>
      </c>
      <c r="L87" s="84" t="s">
        <v>620</v>
      </c>
      <c r="M87" s="127">
        <v>950961</v>
      </c>
      <c r="N87" s="85" t="s">
        <v>630</v>
      </c>
      <c r="O87" s="127">
        <v>2991498</v>
      </c>
      <c r="P87" s="133">
        <v>53</v>
      </c>
      <c r="Q87" s="244">
        <v>56443.358490566039</v>
      </c>
      <c r="R87" s="85" t="s">
        <v>1955</v>
      </c>
      <c r="S87" s="85" t="s">
        <v>47</v>
      </c>
      <c r="T87" t="s">
        <v>1972</v>
      </c>
      <c r="U87" t="s">
        <v>2832</v>
      </c>
    </row>
    <row r="88" spans="1:21" ht="15.75" thickBot="1" x14ac:dyDescent="0.3">
      <c r="A88" s="137" t="s">
        <v>4692</v>
      </c>
      <c r="B88" s="137" t="s">
        <v>4692</v>
      </c>
      <c r="C88" s="137" t="str">
        <f t="shared" si="7"/>
        <v>X</v>
      </c>
      <c r="D88" s="137">
        <v>2022</v>
      </c>
      <c r="E88" s="235" t="str">
        <f t="shared" si="8"/>
        <v>Pesado de Passageiros M2: Geral : Gasóleo : Geral</v>
      </c>
      <c r="F88" s="255">
        <v>1</v>
      </c>
      <c r="G88" s="250" t="s">
        <v>1888</v>
      </c>
      <c r="H88" s="250" t="s">
        <v>1861</v>
      </c>
      <c r="I88" s="220" t="s">
        <v>1972</v>
      </c>
      <c r="J88" s="234" t="s">
        <v>2832</v>
      </c>
      <c r="K88" s="83" t="s">
        <v>1938</v>
      </c>
      <c r="L88" s="84" t="s">
        <v>620</v>
      </c>
      <c r="M88" s="245">
        <v>9230</v>
      </c>
      <c r="N88" s="85" t="s">
        <v>630</v>
      </c>
      <c r="O88" s="85"/>
      <c r="P88" s="133">
        <v>44</v>
      </c>
      <c r="Q88" s="85"/>
      <c r="R88" s="85" t="s">
        <v>1956</v>
      </c>
      <c r="S88" s="246" t="s">
        <v>1957</v>
      </c>
      <c r="T88" t="s">
        <v>1972</v>
      </c>
      <c r="U88" t="s">
        <v>2832</v>
      </c>
    </row>
    <row r="89" spans="1:21" ht="15.75" thickBot="1" x14ac:dyDescent="0.3">
      <c r="A89" s="137" t="s">
        <v>4692</v>
      </c>
      <c r="B89" s="137" t="s">
        <v>4692</v>
      </c>
      <c r="C89" s="137" t="str">
        <f t="shared" si="7"/>
        <v>X</v>
      </c>
      <c r="D89" s="137">
        <v>2022</v>
      </c>
      <c r="E89" s="235" t="str">
        <f t="shared" si="8"/>
        <v>Pesado de Passageiros M2: Geral : Gasóleo : Geral</v>
      </c>
      <c r="F89" s="255">
        <v>1</v>
      </c>
      <c r="G89" s="250" t="s">
        <v>1888</v>
      </c>
      <c r="H89" s="250" t="s">
        <v>1861</v>
      </c>
      <c r="I89" s="220" t="s">
        <v>1972</v>
      </c>
      <c r="J89" s="234" t="s">
        <v>2832</v>
      </c>
      <c r="K89" s="83" t="s">
        <v>1938</v>
      </c>
      <c r="L89" s="84" t="s">
        <v>620</v>
      </c>
      <c r="M89" s="245">
        <v>36643</v>
      </c>
      <c r="N89" s="85" t="s">
        <v>630</v>
      </c>
      <c r="O89" s="85"/>
      <c r="P89" s="133">
        <v>54</v>
      </c>
      <c r="Q89" s="85"/>
      <c r="R89" s="85" t="s">
        <v>1956</v>
      </c>
      <c r="S89" s="246" t="s">
        <v>1958</v>
      </c>
      <c r="T89" t="s">
        <v>1972</v>
      </c>
      <c r="U89" t="s">
        <v>2832</v>
      </c>
    </row>
    <row r="90" spans="1:21" ht="15.75" thickBot="1" x14ac:dyDescent="0.3">
      <c r="A90" s="137" t="s">
        <v>4692</v>
      </c>
      <c r="B90" s="137" t="s">
        <v>4692</v>
      </c>
      <c r="C90" s="137" t="str">
        <f t="shared" si="7"/>
        <v>X</v>
      </c>
      <c r="D90" s="137">
        <v>2022</v>
      </c>
      <c r="E90" s="235" t="str">
        <f t="shared" si="8"/>
        <v>Pesado de Passageiros M2: Geral : Gasóleo : Geral</v>
      </c>
      <c r="F90" s="255">
        <v>1</v>
      </c>
      <c r="G90" s="250" t="s">
        <v>1888</v>
      </c>
      <c r="H90" s="250" t="s">
        <v>1861</v>
      </c>
      <c r="I90" s="220" t="s">
        <v>1972</v>
      </c>
      <c r="J90" s="234" t="s">
        <v>2832</v>
      </c>
      <c r="K90" s="83" t="s">
        <v>1938</v>
      </c>
      <c r="L90" s="84" t="s">
        <v>620</v>
      </c>
      <c r="M90" s="245">
        <v>41552</v>
      </c>
      <c r="N90" s="85" t="s">
        <v>630</v>
      </c>
      <c r="O90" s="85"/>
      <c r="P90" s="133">
        <v>54</v>
      </c>
      <c r="Q90" s="85"/>
      <c r="R90" s="85" t="s">
        <v>1956</v>
      </c>
      <c r="S90" s="246" t="s">
        <v>1959</v>
      </c>
      <c r="T90" t="s">
        <v>1972</v>
      </c>
      <c r="U90" t="s">
        <v>2832</v>
      </c>
    </row>
    <row r="91" spans="1:21" ht="15.75" thickBot="1" x14ac:dyDescent="0.3">
      <c r="A91" s="137" t="s">
        <v>4695</v>
      </c>
      <c r="B91" s="137" t="s">
        <v>4695</v>
      </c>
      <c r="C91" s="137" t="str">
        <f t="shared" si="7"/>
        <v>X</v>
      </c>
      <c r="D91" s="137">
        <v>2022</v>
      </c>
      <c r="E91" s="235" t="str">
        <f t="shared" si="8"/>
        <v>Pesado de Passageiros M3: Geral : Gasóleo : Geral</v>
      </c>
      <c r="F91" s="255">
        <v>1</v>
      </c>
      <c r="G91" s="250" t="s">
        <v>1888</v>
      </c>
      <c r="H91" s="250" t="s">
        <v>1861</v>
      </c>
      <c r="I91" s="220" t="s">
        <v>1972</v>
      </c>
      <c r="J91" s="234" t="s">
        <v>2832</v>
      </c>
      <c r="K91" s="83" t="s">
        <v>629</v>
      </c>
      <c r="L91" s="84" t="s">
        <v>620</v>
      </c>
      <c r="M91" s="127">
        <v>2804395.32</v>
      </c>
      <c r="N91" s="85" t="s">
        <v>630</v>
      </c>
      <c r="O91" s="247">
        <v>8251716</v>
      </c>
      <c r="P91" s="133">
        <v>62.29</v>
      </c>
      <c r="Q91" s="125">
        <v>3099026.8</v>
      </c>
      <c r="R91" s="85"/>
      <c r="S91" s="85" t="s">
        <v>47</v>
      </c>
      <c r="T91" t="s">
        <v>1972</v>
      </c>
      <c r="U91" t="s">
        <v>2832</v>
      </c>
    </row>
    <row r="92" spans="1:21" ht="15.75" thickBot="1" x14ac:dyDescent="0.3">
      <c r="A92" s="137" t="s">
        <v>4696</v>
      </c>
      <c r="B92" s="137" t="s">
        <v>4696</v>
      </c>
      <c r="C92" s="137" t="str">
        <f t="shared" si="7"/>
        <v>X</v>
      </c>
      <c r="D92" s="137">
        <v>2022</v>
      </c>
      <c r="E92" s="235" t="str">
        <f t="shared" si="8"/>
        <v>Pesado de Passageiros M3: Geral : Gasóleo : Geral</v>
      </c>
      <c r="F92" s="255">
        <v>1</v>
      </c>
      <c r="G92" s="250" t="s">
        <v>1888</v>
      </c>
      <c r="H92" s="250" t="s">
        <v>1861</v>
      </c>
      <c r="I92" s="220" t="s">
        <v>1972</v>
      </c>
      <c r="J92" s="234" t="s">
        <v>2832</v>
      </c>
      <c r="K92" s="83" t="s">
        <v>629</v>
      </c>
      <c r="L92" s="84" t="s">
        <v>620</v>
      </c>
      <c r="M92" s="127">
        <v>2375337.25</v>
      </c>
      <c r="N92" s="85" t="s">
        <v>630</v>
      </c>
      <c r="O92" s="247">
        <v>7507414</v>
      </c>
      <c r="P92" s="133">
        <v>67.069999999999993</v>
      </c>
      <c r="Q92" s="125">
        <v>2719472.02</v>
      </c>
      <c r="R92" s="85"/>
      <c r="S92" s="85" t="s">
        <v>47</v>
      </c>
      <c r="T92" t="s">
        <v>1972</v>
      </c>
      <c r="U92" t="s">
        <v>2832</v>
      </c>
    </row>
    <row r="93" spans="1:21" ht="30.75" thickBot="1" x14ac:dyDescent="0.3">
      <c r="A93" s="137" t="s">
        <v>4697</v>
      </c>
      <c r="B93" s="137" t="s">
        <v>4697</v>
      </c>
      <c r="C93" s="137" t="str">
        <f t="shared" si="7"/>
        <v>X</v>
      </c>
      <c r="D93" s="137">
        <v>2022</v>
      </c>
      <c r="E93" s="235" t="str">
        <f t="shared" si="8"/>
        <v>Pesado de Passageiros M3: Geral : Gasóleo : Geral</v>
      </c>
      <c r="F93" s="255">
        <v>1</v>
      </c>
      <c r="G93" s="250" t="s">
        <v>1888</v>
      </c>
      <c r="H93" s="250" t="s">
        <v>1861</v>
      </c>
      <c r="I93" s="220" t="s">
        <v>1972</v>
      </c>
      <c r="J93" s="234" t="s">
        <v>2832</v>
      </c>
      <c r="K93" s="83" t="s">
        <v>629</v>
      </c>
      <c r="L93" s="84" t="s">
        <v>620</v>
      </c>
      <c r="M93" s="127">
        <v>1548303.28</v>
      </c>
      <c r="N93" s="85" t="s">
        <v>630</v>
      </c>
      <c r="O93" s="247">
        <v>4887293</v>
      </c>
      <c r="P93" s="133">
        <v>66.81</v>
      </c>
      <c r="Q93" s="125">
        <v>2930255.48</v>
      </c>
      <c r="R93" s="85"/>
      <c r="S93" s="85" t="s">
        <v>47</v>
      </c>
      <c r="T93" t="s">
        <v>1972</v>
      </c>
      <c r="U93" t="s">
        <v>2832</v>
      </c>
    </row>
    <row r="94" spans="1:21" ht="30.75" thickBot="1" x14ac:dyDescent="0.3">
      <c r="A94" s="137" t="s">
        <v>4698</v>
      </c>
      <c r="B94" s="137" t="s">
        <v>4698</v>
      </c>
      <c r="C94" s="137" t="str">
        <f t="shared" si="7"/>
        <v>X</v>
      </c>
      <c r="D94" s="137">
        <v>2022</v>
      </c>
      <c r="E94" s="235" t="str">
        <f t="shared" si="8"/>
        <v>Pesado de Passageiros M3: Geral : Gasóleo : Geral</v>
      </c>
      <c r="F94" s="255">
        <v>1</v>
      </c>
      <c r="G94" s="250" t="s">
        <v>1888</v>
      </c>
      <c r="H94" s="250" t="s">
        <v>1861</v>
      </c>
      <c r="I94" s="220" t="s">
        <v>1972</v>
      </c>
      <c r="J94" s="234" t="s">
        <v>2832</v>
      </c>
      <c r="K94" s="83" t="s">
        <v>629</v>
      </c>
      <c r="L94" s="84" t="s">
        <v>620</v>
      </c>
      <c r="M94" s="127">
        <v>1773792.12</v>
      </c>
      <c r="N94" s="85" t="s">
        <v>630</v>
      </c>
      <c r="O94" s="247">
        <v>5597687</v>
      </c>
      <c r="P94" s="133">
        <v>66.17</v>
      </c>
      <c r="Q94" s="125">
        <v>2560987.23</v>
      </c>
      <c r="R94" s="85"/>
      <c r="S94" s="85" t="s">
        <v>47</v>
      </c>
      <c r="T94" t="s">
        <v>1972</v>
      </c>
      <c r="U94" t="s">
        <v>2832</v>
      </c>
    </row>
    <row r="95" spans="1:21" ht="15.75" thickBot="1" x14ac:dyDescent="0.3">
      <c r="A95" s="137" t="s">
        <v>4695</v>
      </c>
      <c r="B95" s="137" t="s">
        <v>4695</v>
      </c>
      <c r="C95" s="137" t="str">
        <f t="shared" si="7"/>
        <v>X</v>
      </c>
      <c r="D95" s="137">
        <v>2022</v>
      </c>
      <c r="E95" s="235" t="str">
        <f t="shared" si="8"/>
        <v>Pesado de Passageiros M2: Geral : Gasóleo : Geral</v>
      </c>
      <c r="F95" s="255">
        <v>1</v>
      </c>
      <c r="G95" s="250" t="s">
        <v>1888</v>
      </c>
      <c r="H95" s="250" t="s">
        <v>1861</v>
      </c>
      <c r="I95" s="220" t="s">
        <v>1972</v>
      </c>
      <c r="J95" s="234" t="s">
        <v>2832</v>
      </c>
      <c r="K95" s="83" t="s">
        <v>1938</v>
      </c>
      <c r="L95" s="84" t="s">
        <v>620</v>
      </c>
      <c r="M95" s="127">
        <v>4650.58</v>
      </c>
      <c r="N95" s="85" t="s">
        <v>630</v>
      </c>
      <c r="O95" s="128">
        <v>24397</v>
      </c>
      <c r="P95" s="133">
        <v>19</v>
      </c>
      <c r="Q95" s="125">
        <v>246146</v>
      </c>
      <c r="R95" s="85"/>
      <c r="S95" s="85" t="s">
        <v>47</v>
      </c>
      <c r="T95" t="s">
        <v>1972</v>
      </c>
      <c r="U95" t="s">
        <v>2832</v>
      </c>
    </row>
    <row r="96" spans="1:21" ht="15.75" thickBot="1" x14ac:dyDescent="0.3">
      <c r="A96" s="137" t="s">
        <v>4696</v>
      </c>
      <c r="B96" s="137" t="s">
        <v>4696</v>
      </c>
      <c r="C96" s="137" t="str">
        <f t="shared" si="7"/>
        <v>X</v>
      </c>
      <c r="D96" s="137">
        <v>2022</v>
      </c>
      <c r="E96" s="235" t="str">
        <f t="shared" si="8"/>
        <v>Pesado de Passageiros M2: Geral : Gasóleo : Geral</v>
      </c>
      <c r="F96" s="255">
        <v>1</v>
      </c>
      <c r="G96" s="250" t="s">
        <v>1888</v>
      </c>
      <c r="H96" s="250" t="s">
        <v>1861</v>
      </c>
      <c r="I96" s="220" t="s">
        <v>1972</v>
      </c>
      <c r="J96" s="234" t="s">
        <v>2832</v>
      </c>
      <c r="K96" s="83" t="s">
        <v>1938</v>
      </c>
      <c r="L96" s="84" t="s">
        <v>620</v>
      </c>
      <c r="M96" s="127">
        <v>26725.65</v>
      </c>
      <c r="N96" s="85" t="s">
        <v>630</v>
      </c>
      <c r="O96" s="128">
        <v>160883</v>
      </c>
      <c r="P96" s="133">
        <v>19.600000000000001</v>
      </c>
      <c r="Q96" s="125">
        <v>645274</v>
      </c>
      <c r="R96" s="85"/>
      <c r="S96" s="85" t="s">
        <v>47</v>
      </c>
      <c r="T96" t="s">
        <v>1972</v>
      </c>
      <c r="U96" t="s">
        <v>2832</v>
      </c>
    </row>
    <row r="97" spans="1:21" ht="30.75" thickBot="1" x14ac:dyDescent="0.3">
      <c r="A97" s="137" t="s">
        <v>4697</v>
      </c>
      <c r="B97" s="137" t="s">
        <v>4697</v>
      </c>
      <c r="C97" s="137" t="str">
        <f t="shared" si="7"/>
        <v>X</v>
      </c>
      <c r="D97" s="137">
        <v>2022</v>
      </c>
      <c r="E97" s="235" t="str">
        <f t="shared" si="8"/>
        <v>Pesado de Passageiros M2: Geral : Gasóleo : Geral</v>
      </c>
      <c r="F97" s="255">
        <v>1</v>
      </c>
      <c r="G97" s="250" t="s">
        <v>1888</v>
      </c>
      <c r="H97" s="250" t="s">
        <v>1861</v>
      </c>
      <c r="I97" s="220" t="s">
        <v>1972</v>
      </c>
      <c r="J97" s="234" t="s">
        <v>2832</v>
      </c>
      <c r="K97" s="83" t="s">
        <v>1938</v>
      </c>
      <c r="L97" s="84" t="s">
        <v>620</v>
      </c>
      <c r="M97" s="127">
        <v>15740.29</v>
      </c>
      <c r="N97" s="85" t="s">
        <v>630</v>
      </c>
      <c r="O97" s="128">
        <v>96449</v>
      </c>
      <c r="P97" s="133">
        <v>19.329999999999998</v>
      </c>
      <c r="Q97" s="125">
        <v>624921.32999999996</v>
      </c>
      <c r="R97" s="85"/>
      <c r="S97" s="85" t="s">
        <v>47</v>
      </c>
      <c r="T97" t="s">
        <v>1972</v>
      </c>
      <c r="U97" t="s">
        <v>2832</v>
      </c>
    </row>
    <row r="98" spans="1:21" ht="30.75" thickBot="1" x14ac:dyDescent="0.3">
      <c r="A98" s="137" t="s">
        <v>4698</v>
      </c>
      <c r="B98" s="137" t="s">
        <v>4698</v>
      </c>
      <c r="C98" s="137" t="str">
        <f t="shared" si="7"/>
        <v>X</v>
      </c>
      <c r="D98" s="137">
        <v>2022</v>
      </c>
      <c r="E98" s="235" t="str">
        <f t="shared" si="8"/>
        <v>Pesado de Passageiros M2: Geral : Gasóleo : Geral</v>
      </c>
      <c r="F98" s="255">
        <v>1</v>
      </c>
      <c r="G98" s="250" t="s">
        <v>1888</v>
      </c>
      <c r="H98" s="250" t="s">
        <v>1861</v>
      </c>
      <c r="I98" s="220" t="s">
        <v>1972</v>
      </c>
      <c r="J98" s="234" t="s">
        <v>2832</v>
      </c>
      <c r="K98" s="83" t="s">
        <v>1938</v>
      </c>
      <c r="L98" s="84" t="s">
        <v>620</v>
      </c>
      <c r="M98" s="127">
        <v>8194.08</v>
      </c>
      <c r="N98" s="85" t="s">
        <v>630</v>
      </c>
      <c r="O98" s="128">
        <v>41216</v>
      </c>
      <c r="P98" s="133">
        <v>17</v>
      </c>
      <c r="Q98" s="248">
        <v>350336</v>
      </c>
      <c r="R98" s="85"/>
      <c r="S98" s="85" t="s">
        <v>47</v>
      </c>
      <c r="T98" t="s">
        <v>1972</v>
      </c>
      <c r="U98" t="s">
        <v>2832</v>
      </c>
    </row>
    <row r="99" spans="1:21" ht="15.75" thickBot="1" x14ac:dyDescent="0.3">
      <c r="A99" s="137" t="s">
        <v>4699</v>
      </c>
      <c r="B99" s="137" t="s">
        <v>4699</v>
      </c>
      <c r="C99" s="137" t="str">
        <f t="shared" si="7"/>
        <v>X</v>
      </c>
      <c r="D99" s="137">
        <v>2022</v>
      </c>
      <c r="E99" s="235" t="str">
        <f t="shared" si="8"/>
        <v>Pesado de Mercadorias N3: Geral : Gasóleo : Geral</v>
      </c>
      <c r="F99" s="255">
        <v>1</v>
      </c>
      <c r="G99" s="250" t="s">
        <v>1888</v>
      </c>
      <c r="H99" s="250" t="s">
        <v>1861</v>
      </c>
      <c r="I99" s="220" t="s">
        <v>1972</v>
      </c>
      <c r="J99" s="234" t="s">
        <v>2832</v>
      </c>
      <c r="K99" s="83" t="s">
        <v>1939</v>
      </c>
      <c r="L99" s="84" t="s">
        <v>620</v>
      </c>
      <c r="M99" s="252"/>
      <c r="N99" s="253"/>
      <c r="O99" s="254"/>
      <c r="P99" s="133"/>
      <c r="Q99" s="85"/>
      <c r="R99" s="91"/>
      <c r="S99" s="85" t="s">
        <v>1966</v>
      </c>
      <c r="T99" t="s">
        <v>1972</v>
      </c>
      <c r="U99" t="s">
        <v>2832</v>
      </c>
    </row>
    <row r="100" spans="1:21" ht="15.75" thickBot="1" x14ac:dyDescent="0.3">
      <c r="A100" s="137" t="s">
        <v>4700</v>
      </c>
      <c r="B100" s="137" t="s">
        <v>4700</v>
      </c>
      <c r="C100" s="137" t="s">
        <v>1969</v>
      </c>
      <c r="D100" s="137">
        <v>2022</v>
      </c>
      <c r="E100" s="235" t="str">
        <f t="shared" si="8"/>
        <v>Pesado de Mercadorias N3: Geral : Gasóleo : Geral</v>
      </c>
      <c r="F100" s="255">
        <v>1</v>
      </c>
      <c r="G100" s="250" t="s">
        <v>1888</v>
      </c>
      <c r="H100" s="250" t="s">
        <v>1861</v>
      </c>
      <c r="I100" s="220" t="s">
        <v>1972</v>
      </c>
      <c r="J100" s="234" t="s">
        <v>2832</v>
      </c>
      <c r="K100" s="83" t="s">
        <v>1939</v>
      </c>
      <c r="L100" s="84" t="s">
        <v>620</v>
      </c>
      <c r="M100" s="252"/>
      <c r="N100" s="253"/>
      <c r="O100" s="254"/>
      <c r="P100" s="133"/>
      <c r="Q100" s="85"/>
      <c r="R100" s="85" t="s">
        <v>1961</v>
      </c>
      <c r="S100" s="85" t="s">
        <v>1967</v>
      </c>
      <c r="T100" t="s">
        <v>1972</v>
      </c>
      <c r="U100" t="s">
        <v>2832</v>
      </c>
    </row>
    <row r="101" spans="1:21" ht="15.75" thickBot="1" x14ac:dyDescent="0.3">
      <c r="A101" s="137" t="s">
        <v>4700</v>
      </c>
      <c r="B101" s="137" t="s">
        <v>4700</v>
      </c>
      <c r="C101" s="137" t="s">
        <v>1969</v>
      </c>
      <c r="D101" s="137">
        <v>2022</v>
      </c>
      <c r="E101" s="235" t="str">
        <f t="shared" si="8"/>
        <v>Pesado de Mercadorias N3: Geral : Gasóleo : Geral</v>
      </c>
      <c r="F101" s="255">
        <v>1</v>
      </c>
      <c r="G101" s="250" t="s">
        <v>1888</v>
      </c>
      <c r="H101" s="250" t="s">
        <v>1861</v>
      </c>
      <c r="I101" s="220" t="s">
        <v>1972</v>
      </c>
      <c r="J101" s="234" t="s">
        <v>2832</v>
      </c>
      <c r="K101" s="83" t="s">
        <v>1939</v>
      </c>
      <c r="L101" s="84" t="s">
        <v>620</v>
      </c>
      <c r="M101" s="252"/>
      <c r="N101" s="253"/>
      <c r="O101" s="254"/>
      <c r="P101" s="133"/>
      <c r="Q101" s="91"/>
      <c r="R101" s="85" t="s">
        <v>1962</v>
      </c>
      <c r="S101" s="85" t="s">
        <v>1968</v>
      </c>
      <c r="T101" t="s">
        <v>1972</v>
      </c>
      <c r="U101" t="s">
        <v>2832</v>
      </c>
    </row>
    <row r="102" spans="1:21" ht="15.75" hidden="1" thickBot="1" x14ac:dyDescent="0.3">
      <c r="L102"/>
      <c r="T102" t="s">
        <v>1972</v>
      </c>
      <c r="U102" t="s">
        <v>2832</v>
      </c>
    </row>
    <row r="103" spans="1:21" ht="15.75" hidden="1" thickBot="1" x14ac:dyDescent="0.3">
      <c r="L103"/>
      <c r="T103" t="s">
        <v>1972</v>
      </c>
      <c r="U103" t="s">
        <v>2832</v>
      </c>
    </row>
    <row r="104" spans="1:21" ht="15.75" hidden="1" thickBot="1" x14ac:dyDescent="0.3">
      <c r="L104"/>
      <c r="T104" t="s">
        <v>1972</v>
      </c>
      <c r="U104" t="s">
        <v>2832</v>
      </c>
    </row>
    <row r="105" spans="1:21" ht="15.75" hidden="1" thickBot="1" x14ac:dyDescent="0.3">
      <c r="L105"/>
      <c r="T105" t="s">
        <v>1972</v>
      </c>
      <c r="U105" t="s">
        <v>2832</v>
      </c>
    </row>
    <row r="106" spans="1:21" ht="15.75" hidden="1" thickBot="1" x14ac:dyDescent="0.3">
      <c r="L106"/>
      <c r="T106" t="s">
        <v>1972</v>
      </c>
      <c r="U106" t="s">
        <v>2832</v>
      </c>
    </row>
    <row r="107" spans="1:21" ht="15.75" hidden="1" thickBot="1" x14ac:dyDescent="0.3">
      <c r="L107"/>
      <c r="T107" t="s">
        <v>1972</v>
      </c>
      <c r="U107" t="s">
        <v>2832</v>
      </c>
    </row>
    <row r="108" spans="1:21" ht="15.75" hidden="1" thickBot="1" x14ac:dyDescent="0.3">
      <c r="L108"/>
      <c r="T108" t="s">
        <v>1972</v>
      </c>
      <c r="U108" t="s">
        <v>2832</v>
      </c>
    </row>
    <row r="109" spans="1:21" ht="15.75" hidden="1" thickBot="1" x14ac:dyDescent="0.3">
      <c r="L109"/>
      <c r="T109" t="s">
        <v>1972</v>
      </c>
      <c r="U109" t="s">
        <v>2832</v>
      </c>
    </row>
    <row r="110" spans="1:21" ht="15.75" hidden="1" thickBot="1" x14ac:dyDescent="0.3">
      <c r="L110"/>
      <c r="T110" t="s">
        <v>1972</v>
      </c>
      <c r="U110" t="s">
        <v>2832</v>
      </c>
    </row>
    <row r="111" spans="1:21" ht="15.75" hidden="1" thickBot="1" x14ac:dyDescent="0.3">
      <c r="L111"/>
      <c r="T111" t="s">
        <v>1972</v>
      </c>
      <c r="U111" t="s">
        <v>2832</v>
      </c>
    </row>
    <row r="112" spans="1:21" ht="15.75" hidden="1" thickBot="1" x14ac:dyDescent="0.3">
      <c r="L112"/>
      <c r="T112" t="s">
        <v>1972</v>
      </c>
      <c r="U112" t="s">
        <v>2832</v>
      </c>
    </row>
    <row r="113" spans="12:21" ht="15.75" hidden="1" thickBot="1" x14ac:dyDescent="0.3">
      <c r="L113"/>
      <c r="T113" t="s">
        <v>1972</v>
      </c>
      <c r="U113" t="s">
        <v>2832</v>
      </c>
    </row>
    <row r="114" spans="12:21" ht="15.75" hidden="1" thickBot="1" x14ac:dyDescent="0.3">
      <c r="L114"/>
      <c r="T114" t="s">
        <v>1972</v>
      </c>
      <c r="U114" t="s">
        <v>2832</v>
      </c>
    </row>
    <row r="115" spans="12:21" ht="15.75" hidden="1" thickBot="1" x14ac:dyDescent="0.3">
      <c r="L115"/>
      <c r="T115" t="s">
        <v>1972</v>
      </c>
      <c r="U115" t="s">
        <v>2832</v>
      </c>
    </row>
    <row r="116" spans="12:21" ht="15.75" hidden="1" thickBot="1" x14ac:dyDescent="0.3">
      <c r="L116"/>
      <c r="T116" t="s">
        <v>1972</v>
      </c>
      <c r="U116" t="s">
        <v>2832</v>
      </c>
    </row>
    <row r="117" spans="12:21" ht="15.75" hidden="1" thickBot="1" x14ac:dyDescent="0.3">
      <c r="L117"/>
      <c r="T117" t="s">
        <v>1972</v>
      </c>
      <c r="U117" t="s">
        <v>2832</v>
      </c>
    </row>
    <row r="118" spans="12:21" ht="15.75" hidden="1" thickBot="1" x14ac:dyDescent="0.3">
      <c r="L118"/>
      <c r="T118" t="s">
        <v>1972</v>
      </c>
      <c r="U118" t="s">
        <v>2832</v>
      </c>
    </row>
    <row r="119" spans="12:21" ht="15.75" hidden="1" thickBot="1" x14ac:dyDescent="0.3">
      <c r="L119"/>
      <c r="T119" t="s">
        <v>1972</v>
      </c>
      <c r="U119" t="s">
        <v>2832</v>
      </c>
    </row>
    <row r="120" spans="12:21" ht="15.75" hidden="1" thickBot="1" x14ac:dyDescent="0.3">
      <c r="L120"/>
      <c r="T120" t="s">
        <v>1972</v>
      </c>
      <c r="U120" t="s">
        <v>2832</v>
      </c>
    </row>
    <row r="121" spans="12:21" ht="15.75" hidden="1" thickBot="1" x14ac:dyDescent="0.3">
      <c r="L121"/>
      <c r="T121" t="s">
        <v>1972</v>
      </c>
      <c r="U121" t="s">
        <v>2832</v>
      </c>
    </row>
    <row r="122" spans="12:21" ht="15.75" hidden="1" thickBot="1" x14ac:dyDescent="0.3">
      <c r="L122"/>
      <c r="T122" t="s">
        <v>1972</v>
      </c>
      <c r="U122" t="s">
        <v>2832</v>
      </c>
    </row>
    <row r="123" spans="12:21" ht="15.75" hidden="1" thickBot="1" x14ac:dyDescent="0.3">
      <c r="L123"/>
      <c r="T123" t="s">
        <v>1972</v>
      </c>
      <c r="U123" t="s">
        <v>2832</v>
      </c>
    </row>
    <row r="124" spans="12:21" ht="15.75" hidden="1" thickBot="1" x14ac:dyDescent="0.3">
      <c r="L124"/>
      <c r="T124" t="s">
        <v>1972</v>
      </c>
      <c r="U124" t="s">
        <v>2832</v>
      </c>
    </row>
    <row r="125" spans="12:21" ht="15.75" hidden="1" thickBot="1" x14ac:dyDescent="0.3">
      <c r="L125"/>
      <c r="T125" t="s">
        <v>1972</v>
      </c>
      <c r="U125" t="s">
        <v>2832</v>
      </c>
    </row>
    <row r="126" spans="12:21" ht="15.75" hidden="1" thickBot="1" x14ac:dyDescent="0.3">
      <c r="L126"/>
      <c r="T126" t="s">
        <v>1972</v>
      </c>
      <c r="U126" t="s">
        <v>2832</v>
      </c>
    </row>
    <row r="127" spans="12:21" ht="15.75" hidden="1" thickBot="1" x14ac:dyDescent="0.3">
      <c r="L127"/>
      <c r="T127" t="s">
        <v>1972</v>
      </c>
      <c r="U127" t="s">
        <v>2832</v>
      </c>
    </row>
    <row r="128" spans="12:21" ht="15.75" hidden="1" thickBot="1" x14ac:dyDescent="0.3">
      <c r="L128"/>
      <c r="T128" t="s">
        <v>1972</v>
      </c>
      <c r="U128" t="s">
        <v>2832</v>
      </c>
    </row>
    <row r="129" spans="12:21" ht="15.75" hidden="1" thickBot="1" x14ac:dyDescent="0.3">
      <c r="L129"/>
      <c r="T129" t="s">
        <v>1972</v>
      </c>
      <c r="U129" t="s">
        <v>2832</v>
      </c>
    </row>
    <row r="130" spans="12:21" ht="15.75" hidden="1" thickBot="1" x14ac:dyDescent="0.3">
      <c r="L130"/>
      <c r="T130" t="s">
        <v>1972</v>
      </c>
      <c r="U130" t="s">
        <v>2832</v>
      </c>
    </row>
    <row r="131" spans="12:21" ht="15.75" hidden="1" thickBot="1" x14ac:dyDescent="0.3">
      <c r="L131"/>
      <c r="T131" t="s">
        <v>1972</v>
      </c>
      <c r="U131" t="s">
        <v>2832</v>
      </c>
    </row>
    <row r="132" spans="12:21" ht="15.75" hidden="1" thickBot="1" x14ac:dyDescent="0.3">
      <c r="L132"/>
      <c r="T132" t="s">
        <v>1972</v>
      </c>
      <c r="U132" t="s">
        <v>2832</v>
      </c>
    </row>
    <row r="133" spans="12:21" ht="15.75" hidden="1" thickBot="1" x14ac:dyDescent="0.3">
      <c r="L133"/>
      <c r="T133" t="s">
        <v>1972</v>
      </c>
      <c r="U133" t="s">
        <v>2832</v>
      </c>
    </row>
    <row r="134" spans="12:21" ht="15.75" hidden="1" thickBot="1" x14ac:dyDescent="0.3">
      <c r="L134"/>
      <c r="T134" t="s">
        <v>1972</v>
      </c>
      <c r="U134" t="s">
        <v>2832</v>
      </c>
    </row>
    <row r="135" spans="12:21" ht="15.75" hidden="1" thickBot="1" x14ac:dyDescent="0.3">
      <c r="L135"/>
      <c r="T135" t="s">
        <v>1972</v>
      </c>
      <c r="U135" t="s">
        <v>2832</v>
      </c>
    </row>
    <row r="136" spans="12:21" ht="15.75" hidden="1" thickBot="1" x14ac:dyDescent="0.3">
      <c r="L136"/>
      <c r="T136" t="s">
        <v>1972</v>
      </c>
      <c r="U136" t="s">
        <v>2832</v>
      </c>
    </row>
    <row r="137" spans="12:21" ht="15.75" hidden="1" thickBot="1" x14ac:dyDescent="0.3">
      <c r="L137"/>
      <c r="T137" t="s">
        <v>1972</v>
      </c>
      <c r="U137" t="s">
        <v>2832</v>
      </c>
    </row>
    <row r="138" spans="12:21" ht="15.75" hidden="1" thickBot="1" x14ac:dyDescent="0.3">
      <c r="L138"/>
      <c r="T138" t="s">
        <v>1972</v>
      </c>
      <c r="U138" t="s">
        <v>2832</v>
      </c>
    </row>
    <row r="139" spans="12:21" ht="15.75" hidden="1" thickBot="1" x14ac:dyDescent="0.3">
      <c r="L139"/>
      <c r="T139" t="s">
        <v>1972</v>
      </c>
      <c r="U139" t="s">
        <v>2832</v>
      </c>
    </row>
    <row r="140" spans="12:21" ht="15.75" hidden="1" thickBot="1" x14ac:dyDescent="0.3">
      <c r="L140"/>
      <c r="T140" t="s">
        <v>1972</v>
      </c>
      <c r="U140" t="s">
        <v>2832</v>
      </c>
    </row>
    <row r="141" spans="12:21" ht="15.75" hidden="1" thickBot="1" x14ac:dyDescent="0.3">
      <c r="L141"/>
      <c r="T141" t="s">
        <v>1972</v>
      </c>
      <c r="U141" t="s">
        <v>2832</v>
      </c>
    </row>
    <row r="142" spans="12:21" ht="15.75" hidden="1" thickBot="1" x14ac:dyDescent="0.3">
      <c r="L142"/>
      <c r="T142" t="s">
        <v>1972</v>
      </c>
      <c r="U142" t="s">
        <v>2832</v>
      </c>
    </row>
    <row r="143" spans="12:21" ht="15.75" hidden="1" thickBot="1" x14ac:dyDescent="0.3">
      <c r="L143"/>
      <c r="T143" t="s">
        <v>1972</v>
      </c>
      <c r="U143" t="s">
        <v>2832</v>
      </c>
    </row>
    <row r="144" spans="12:21" ht="15.75" hidden="1" thickBot="1" x14ac:dyDescent="0.3">
      <c r="L144"/>
      <c r="T144" t="s">
        <v>1972</v>
      </c>
      <c r="U144" t="s">
        <v>2832</v>
      </c>
    </row>
    <row r="145" spans="1:21" ht="15.75" hidden="1" thickBot="1" x14ac:dyDescent="0.3">
      <c r="L145"/>
      <c r="T145" t="s">
        <v>1972</v>
      </c>
      <c r="U145" t="s">
        <v>2832</v>
      </c>
    </row>
    <row r="146" spans="1:21" ht="15.75" hidden="1" thickBot="1" x14ac:dyDescent="0.3">
      <c r="L146"/>
      <c r="T146" t="s">
        <v>1972</v>
      </c>
      <c r="U146" t="s">
        <v>2832</v>
      </c>
    </row>
    <row r="147" spans="1:21" ht="15.75" hidden="1" thickBot="1" x14ac:dyDescent="0.3">
      <c r="L147"/>
      <c r="T147" t="s">
        <v>1972</v>
      </c>
      <c r="U147" t="s">
        <v>2832</v>
      </c>
    </row>
    <row r="148" spans="1:21" ht="15.75" thickBot="1" x14ac:dyDescent="0.3">
      <c r="A148" t="s">
        <v>4701</v>
      </c>
      <c r="B148" t="s">
        <v>4701</v>
      </c>
      <c r="C148" t="s">
        <v>1969</v>
      </c>
      <c r="D148" s="401">
        <v>2022</v>
      </c>
      <c r="E148" s="402" t="str">
        <f>K148&amp;": "&amp;"Geral : "&amp;L148&amp;" : Geral"</f>
        <v>Pesado de Passageiros M3: Geral : Gasóleo : Geral</v>
      </c>
      <c r="F148" s="403">
        <v>1</v>
      </c>
      <c r="G148" s="404" t="s">
        <v>1888</v>
      </c>
      <c r="H148" s="404" t="s">
        <v>1861</v>
      </c>
      <c r="I148" s="404" t="s">
        <v>1972</v>
      </c>
      <c r="J148" s="404" t="s">
        <v>2832</v>
      </c>
      <c r="K148" s="405" t="s">
        <v>629</v>
      </c>
      <c r="L148" s="406" t="s">
        <v>620</v>
      </c>
      <c r="M148" s="127">
        <v>1030130.347</v>
      </c>
      <c r="N148" s="85" t="s">
        <v>630</v>
      </c>
      <c r="O148" s="128">
        <v>3518775</v>
      </c>
      <c r="P148" s="125">
        <v>46</v>
      </c>
      <c r="Q148" s="242">
        <v>28150200</v>
      </c>
      <c r="S148" s="85" t="s">
        <v>47</v>
      </c>
      <c r="T148" t="s">
        <v>1972</v>
      </c>
      <c r="U148" t="s">
        <v>2832</v>
      </c>
    </row>
    <row r="149" spans="1:21" ht="15.75" thickBot="1" x14ac:dyDescent="0.3">
      <c r="A149" t="s">
        <v>4701</v>
      </c>
      <c r="B149" t="s">
        <v>4701</v>
      </c>
      <c r="C149" t="s">
        <v>1969</v>
      </c>
      <c r="D149" s="401">
        <v>2022</v>
      </c>
      <c r="E149" s="402" t="str">
        <f>K149&amp;": "&amp;"Geral : "&amp;L149&amp;" : Geral"</f>
        <v>Ligeiro de Passageiros M1: Geral : Gasóleo : Geral</v>
      </c>
      <c r="F149" s="403">
        <v>1</v>
      </c>
      <c r="G149" s="404" t="s">
        <v>1888</v>
      </c>
      <c r="H149" s="404" t="s">
        <v>1861</v>
      </c>
      <c r="I149" s="404" t="s">
        <v>1972</v>
      </c>
      <c r="J149" s="404" t="s">
        <v>2832</v>
      </c>
      <c r="K149" t="s">
        <v>623</v>
      </c>
      <c r="L149" s="89" t="s">
        <v>620</v>
      </c>
      <c r="M149" s="127">
        <v>94409.29</v>
      </c>
      <c r="N149" s="85" t="s">
        <v>630</v>
      </c>
      <c r="O149" s="128">
        <v>1185729</v>
      </c>
      <c r="P149" s="125">
        <v>8</v>
      </c>
      <c r="Q149" s="242">
        <v>54543534</v>
      </c>
      <c r="S149" s="85" t="s">
        <v>47</v>
      </c>
      <c r="T149" t="s">
        <v>1972</v>
      </c>
      <c r="U149" t="s">
        <v>2832</v>
      </c>
    </row>
    <row r="150" spans="1:21" ht="15.75" thickBot="1" x14ac:dyDescent="0.3">
      <c r="A150" s="299" t="s">
        <v>4793</v>
      </c>
      <c r="B150" t="s">
        <v>4793</v>
      </c>
      <c r="C150" t="s">
        <v>1969</v>
      </c>
      <c r="D150" s="401">
        <v>2022</v>
      </c>
      <c r="E150" s="402" t="str">
        <f>K150&amp;": "&amp;"Geral : "&amp;L150&amp;" : Geral"</f>
        <v>Ligeiro de Passageiros M1: Geral : Gasóleo : Geral</v>
      </c>
      <c r="F150" s="403">
        <v>1</v>
      </c>
      <c r="G150" s="404" t="s">
        <v>1888</v>
      </c>
      <c r="H150" s="404" t="s">
        <v>1861</v>
      </c>
      <c r="I150" s="404" t="s">
        <v>1972</v>
      </c>
      <c r="J150" s="404" t="s">
        <v>2832</v>
      </c>
      <c r="K150" t="s">
        <v>623</v>
      </c>
      <c r="L150" s="89" t="s">
        <v>620</v>
      </c>
      <c r="M150" s="127">
        <v>203460.12000000002</v>
      </c>
      <c r="N150" s="85" t="s">
        <v>630</v>
      </c>
      <c r="O150" s="128">
        <v>2536422</v>
      </c>
      <c r="P150" s="125">
        <v>8</v>
      </c>
      <c r="Q150" s="242">
        <v>20291376</v>
      </c>
      <c r="R150" s="299" t="s">
        <v>3734</v>
      </c>
      <c r="S150" s="85" t="s">
        <v>47</v>
      </c>
      <c r="T150" t="s">
        <v>1972</v>
      </c>
      <c r="U150" t="s">
        <v>2832</v>
      </c>
    </row>
    <row r="151" spans="1:21" ht="15.75" thickBot="1" x14ac:dyDescent="0.3">
      <c r="A151" s="299" t="s">
        <v>4792</v>
      </c>
      <c r="B151" t="s">
        <v>4792</v>
      </c>
      <c r="C151" t="s">
        <v>1969</v>
      </c>
      <c r="D151" s="401">
        <v>2022</v>
      </c>
      <c r="E151" s="402" t="str">
        <f>K151&amp;": "&amp;"Geral : "&amp;L151&amp;" : Geral"</f>
        <v>Pesado de Passageiros M3: Geral : Gasóleo : Geral</v>
      </c>
      <c r="F151" s="403">
        <v>1</v>
      </c>
      <c r="G151" s="404" t="s">
        <v>1888</v>
      </c>
      <c r="H151" s="404" t="s">
        <v>1861</v>
      </c>
      <c r="I151" s="404" t="s">
        <v>1972</v>
      </c>
      <c r="J151" s="404" t="s">
        <v>2832</v>
      </c>
      <c r="K151" t="s">
        <v>629</v>
      </c>
      <c r="L151" s="89" t="s">
        <v>620</v>
      </c>
      <c r="M151" s="127">
        <v>113961.02</v>
      </c>
      <c r="N151" s="85" t="s">
        <v>630</v>
      </c>
      <c r="O151" s="128">
        <v>648813.81999999995</v>
      </c>
      <c r="P151" s="125">
        <v>55</v>
      </c>
      <c r="Q151" s="269">
        <v>35684760.099999994</v>
      </c>
      <c r="R151" s="299" t="s">
        <v>3735</v>
      </c>
      <c r="S151" s="85" t="s">
        <v>47</v>
      </c>
      <c r="T151" t="s">
        <v>1972</v>
      </c>
      <c r="U151" t="s">
        <v>2832</v>
      </c>
    </row>
    <row r="152" spans="1:21" ht="15.75" thickBot="1" x14ac:dyDescent="0.3">
      <c r="A152" s="299" t="s">
        <v>4792</v>
      </c>
      <c r="B152" t="s">
        <v>4792</v>
      </c>
      <c r="C152" t="s">
        <v>1969</v>
      </c>
      <c r="D152" s="401">
        <v>2022</v>
      </c>
      <c r="E152" s="402" t="str">
        <f>K152&amp;": "&amp;"Geral : "&amp;L152&amp;" : Geral"</f>
        <v>Ligeiro de Passageiros M1: Geral : Gasóleo : Geral</v>
      </c>
      <c r="F152" s="403">
        <v>1</v>
      </c>
      <c r="G152" s="404" t="s">
        <v>1888</v>
      </c>
      <c r="H152" s="404" t="s">
        <v>1861</v>
      </c>
      <c r="I152" s="404" t="s">
        <v>1972</v>
      </c>
      <c r="J152" s="404" t="s">
        <v>2832</v>
      </c>
      <c r="K152" t="s">
        <v>623</v>
      </c>
      <c r="L152" s="89" t="s">
        <v>620</v>
      </c>
      <c r="M152" s="127">
        <v>37769.33</v>
      </c>
      <c r="N152" s="85" t="s">
        <v>630</v>
      </c>
      <c r="O152" s="128">
        <v>196449.45</v>
      </c>
      <c r="P152" s="125">
        <v>8</v>
      </c>
      <c r="Q152" s="407">
        <v>1571595.6</v>
      </c>
      <c r="R152" s="299" t="s">
        <v>3735</v>
      </c>
      <c r="S152" s="85" t="s">
        <v>47</v>
      </c>
      <c r="T152" t="s">
        <v>1972</v>
      </c>
      <c r="U152" t="s">
        <v>2832</v>
      </c>
    </row>
    <row r="173" spans="8:8" x14ac:dyDescent="0.25">
      <c r="H173" s="430"/>
    </row>
  </sheetData>
  <autoFilter ref="A1:U152">
    <filterColumn colId="6">
      <filters>
        <filter val="Qtd."/>
      </filters>
    </filterColumn>
  </autoFilter>
  <mergeCells count="18">
    <mergeCell ref="Q1:Q2"/>
    <mergeCell ref="R1:R2"/>
    <mergeCell ref="T1:T2"/>
    <mergeCell ref="U1:U2"/>
    <mergeCell ref="S1:S2"/>
    <mergeCell ref="A1:A2"/>
    <mergeCell ref="C1:C2"/>
    <mergeCell ref="G1:G2"/>
    <mergeCell ref="H1:H2"/>
    <mergeCell ref="I1:I2"/>
    <mergeCell ref="N1:N2"/>
    <mergeCell ref="O1:O2"/>
    <mergeCell ref="P1:P2"/>
    <mergeCell ref="J1:J2"/>
    <mergeCell ref="B1:B2"/>
    <mergeCell ref="K1:K2"/>
    <mergeCell ref="L1:L2"/>
    <mergeCell ref="M1:M2"/>
  </mergeCells>
  <dataValidations count="3">
    <dataValidation type="list" allowBlank="1" showInputMessage="1" showErrorMessage="1" sqref="O88:Q90 M43 O43:Q48 K3:K101 K148">
      <formula1>"Pesado de Passageiros M3, Pesado de Passageiros M2, Ligeiro de Passageiros M1, Pesado de Mercadorias N3, Pesado de Mercadorias N2, Ligeiro de Mercadorias N1, Misto"</formula1>
    </dataValidation>
    <dataValidation type="list" allowBlank="1" showInputMessage="1" showErrorMessage="1" sqref="L3:L101 L148">
      <formula1>"Gasóleo, Gasolina, GPL, GNC, GNV, Butano, Propano, H2"</formula1>
    </dataValidation>
    <dataValidation type="list" allowBlank="1" showInputMessage="1" showErrorMessage="1" sqref="N3:N101 N148:N152">
      <formula1>"l (litros), kg (quilos), Nm3 (metros cubicos norm.), € (euros)"</formula1>
    </dataValidation>
  </dataValidations>
  <pageMargins left="0.7" right="0.7" top="0.75" bottom="0.75" header="0.3" footer="0.3"/>
  <customProperties>
    <customPr name="GUID" r:id="rId1"/>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9"/>
  <dimension ref="B6:V916"/>
  <sheetViews>
    <sheetView topLeftCell="A85" workbookViewId="0"/>
    <sheetView workbookViewId="1"/>
  </sheetViews>
  <sheetFormatPr defaultRowHeight="15" x14ac:dyDescent="0.25"/>
  <cols>
    <col min="2" max="2" width="49.5703125" customWidth="1"/>
    <col min="3" max="3" width="36" customWidth="1"/>
    <col min="4" max="7" width="21.5703125" customWidth="1"/>
    <col min="8" max="9" width="28.28515625" customWidth="1"/>
    <col min="10" max="10" width="31.5703125" style="131" customWidth="1"/>
    <col min="11" max="11" width="28.28515625" customWidth="1"/>
    <col min="12" max="12" width="28.28515625" style="89" customWidth="1"/>
    <col min="13" max="13" width="39.42578125" bestFit="1" customWidth="1"/>
    <col min="14" max="14" width="22.85546875" customWidth="1"/>
  </cols>
  <sheetData>
    <row r="6" spans="2:22" ht="15.75" thickBot="1" x14ac:dyDescent="0.3"/>
    <row r="7" spans="2:22" x14ac:dyDescent="0.25">
      <c r="B7" s="78" t="s">
        <v>118</v>
      </c>
      <c r="C7" s="80"/>
    </row>
    <row r="9" spans="2:22" x14ac:dyDescent="0.25">
      <c r="B9" s="516" t="str">
        <f>"Grupo Barraqueiro: "&amp;'Folha de Rosto'!C6&amp;" "&amp;'Folha de Rosto'!I6&amp;" - Emissões de GEE de Âmbito 1"</f>
        <v>Grupo Barraqueiro: PEGADA DE CARBONO 2022 - Emissões de GEE de Âmbito 1</v>
      </c>
      <c r="C9" s="516"/>
      <c r="D9" s="516"/>
      <c r="E9" s="516"/>
      <c r="F9" s="516"/>
      <c r="G9" s="516"/>
      <c r="H9" s="516"/>
      <c r="I9" s="516"/>
      <c r="J9" s="516"/>
      <c r="K9" s="516"/>
      <c r="L9" s="516"/>
      <c r="M9" s="516"/>
      <c r="N9" s="516"/>
      <c r="O9" s="516"/>
      <c r="P9" s="516"/>
      <c r="Q9" s="516"/>
      <c r="R9" s="516"/>
      <c r="S9" s="516"/>
      <c r="T9" s="516"/>
      <c r="U9" s="516"/>
      <c r="V9" s="516"/>
    </row>
    <row r="10" spans="2:22" ht="15.75" thickBot="1" x14ac:dyDescent="0.3"/>
    <row r="11" spans="2:22" ht="33.75" customHeight="1" thickBot="1" x14ac:dyDescent="0.3">
      <c r="B11" s="512" t="s">
        <v>119</v>
      </c>
      <c r="C11" s="512"/>
      <c r="D11" s="518" t="s">
        <v>127</v>
      </c>
      <c r="E11" s="518"/>
      <c r="F11" s="519"/>
      <c r="G11" s="519"/>
      <c r="H11" s="519"/>
      <c r="I11" s="519"/>
      <c r="J11" s="519"/>
      <c r="K11" s="519"/>
      <c r="L11" s="519"/>
      <c r="M11" s="519"/>
      <c r="N11" s="519"/>
      <c r="O11" s="519"/>
      <c r="P11" s="519"/>
      <c r="Q11" s="520"/>
    </row>
    <row r="12" spans="2:22" ht="67.5" customHeight="1" thickBot="1" x14ac:dyDescent="0.3">
      <c r="B12" s="512" t="s">
        <v>120</v>
      </c>
      <c r="C12" s="512"/>
      <c r="D12" s="521" t="s">
        <v>150</v>
      </c>
      <c r="E12" s="521"/>
      <c r="F12" s="522"/>
      <c r="G12" s="522"/>
      <c r="H12" s="522"/>
      <c r="I12" s="522"/>
      <c r="J12" s="522"/>
      <c r="K12" s="522"/>
      <c r="L12" s="522"/>
      <c r="M12" s="522"/>
      <c r="N12" s="522"/>
      <c r="O12" s="522"/>
      <c r="P12" s="522"/>
      <c r="Q12" s="523"/>
    </row>
    <row r="13" spans="2:22" ht="60" customHeight="1" thickBot="1" x14ac:dyDescent="0.3">
      <c r="B13" s="512" t="s">
        <v>121</v>
      </c>
      <c r="C13" s="512"/>
      <c r="D13" s="534" t="str">
        <f>'A1.1'!D13</f>
        <v>Metodologia a descrever pelo responsável local pela recolha de dados</v>
      </c>
      <c r="E13" s="534"/>
      <c r="F13" s="535"/>
      <c r="G13" s="535"/>
      <c r="H13" s="535"/>
      <c r="I13" s="535"/>
      <c r="J13" s="535"/>
      <c r="K13" s="535"/>
      <c r="L13" s="535"/>
      <c r="M13" s="535"/>
      <c r="N13" s="535"/>
      <c r="O13" s="535"/>
      <c r="P13" s="535"/>
      <c r="Q13" s="536"/>
    </row>
    <row r="14" spans="2:22" ht="60" customHeight="1" thickBot="1" x14ac:dyDescent="0.3">
      <c r="B14" s="512" t="s">
        <v>122</v>
      </c>
      <c r="C14" s="512"/>
      <c r="D14" s="534" t="str">
        <f>'A1.1'!D14</f>
        <v>Identificação do responsável local pela recolha de dados</v>
      </c>
      <c r="E14" s="534"/>
      <c r="F14" s="535"/>
      <c r="G14" s="535"/>
      <c r="H14" s="535"/>
      <c r="I14" s="535"/>
      <c r="J14" s="535"/>
      <c r="K14" s="535"/>
      <c r="L14" s="535"/>
      <c r="M14" s="535"/>
      <c r="N14" s="535"/>
      <c r="O14" s="535"/>
      <c r="P14" s="535"/>
      <c r="Q14" s="536"/>
    </row>
    <row r="15" spans="2:22" ht="60" customHeight="1" thickBot="1" x14ac:dyDescent="0.3">
      <c r="B15" s="512" t="s">
        <v>128</v>
      </c>
      <c r="C15" s="512"/>
      <c r="D15" s="534" t="str">
        <f>'A1.1'!D15</f>
        <v>Identificação das fontes de dados pelo responsável local pela recolha de dados</v>
      </c>
      <c r="E15" s="534"/>
      <c r="F15" s="535"/>
      <c r="G15" s="535"/>
      <c r="H15" s="535"/>
      <c r="I15" s="535"/>
      <c r="J15" s="535"/>
      <c r="K15" s="535"/>
      <c r="L15" s="535"/>
      <c r="M15" s="535"/>
      <c r="N15" s="535"/>
      <c r="O15" s="535"/>
      <c r="P15" s="535"/>
      <c r="Q15" s="536"/>
    </row>
    <row r="17" spans="2:22" x14ac:dyDescent="0.25">
      <c r="B17" s="516" t="s">
        <v>145</v>
      </c>
      <c r="C17" s="516"/>
      <c r="D17" s="516"/>
      <c r="E17" s="516"/>
      <c r="F17" s="516"/>
      <c r="G17" s="516"/>
      <c r="H17" s="516"/>
      <c r="I17" s="516"/>
      <c r="J17" s="516"/>
      <c r="K17" s="516"/>
      <c r="L17" s="516"/>
      <c r="M17" s="516"/>
      <c r="N17" s="516"/>
      <c r="O17" s="516"/>
      <c r="P17" s="516"/>
      <c r="Q17" s="516"/>
      <c r="R17" s="516"/>
      <c r="S17" s="516"/>
      <c r="T17" s="516"/>
      <c r="U17" s="516"/>
      <c r="V17" s="516"/>
    </row>
    <row r="18" spans="2:22" x14ac:dyDescent="0.25">
      <c r="B18" t="s">
        <v>130</v>
      </c>
    </row>
    <row r="20" spans="2:22" x14ac:dyDescent="0.25">
      <c r="B20" s="81" t="s">
        <v>135</v>
      </c>
    </row>
    <row r="21" spans="2:22" x14ac:dyDescent="0.25">
      <c r="B21" s="517" t="s">
        <v>730</v>
      </c>
      <c r="C21" s="517"/>
      <c r="D21" s="517"/>
      <c r="E21" s="517"/>
      <c r="F21" s="517"/>
      <c r="G21" s="517"/>
      <c r="H21" s="517"/>
      <c r="I21" s="517"/>
      <c r="J21" s="517"/>
      <c r="K21" s="517"/>
      <c r="L21" s="517"/>
      <c r="M21" s="517"/>
      <c r="N21" s="517"/>
      <c r="O21" s="517"/>
      <c r="P21" s="517"/>
      <c r="Q21" s="517"/>
      <c r="R21" s="517"/>
      <c r="S21" s="517"/>
      <c r="T21" s="517"/>
    </row>
    <row r="22" spans="2:22" x14ac:dyDescent="0.25">
      <c r="B22" s="517"/>
      <c r="C22" s="517"/>
      <c r="D22" s="517"/>
      <c r="E22" s="517"/>
      <c r="F22" s="517"/>
      <c r="G22" s="517"/>
      <c r="H22" s="517"/>
      <c r="I22" s="517"/>
      <c r="J22" s="517"/>
      <c r="K22" s="517"/>
      <c r="L22" s="517"/>
      <c r="M22" s="517"/>
      <c r="N22" s="517"/>
      <c r="O22" s="517"/>
      <c r="P22" s="517"/>
      <c r="Q22" s="517"/>
      <c r="R22" s="517"/>
      <c r="S22" s="517"/>
      <c r="T22" s="517"/>
    </row>
    <row r="24" spans="2:22" x14ac:dyDescent="0.25">
      <c r="B24" s="81" t="s">
        <v>136</v>
      </c>
    </row>
    <row r="25" spans="2:22" x14ac:dyDescent="0.25">
      <c r="B25" s="517"/>
      <c r="C25" s="517"/>
      <c r="D25" s="517"/>
      <c r="E25" s="517"/>
      <c r="F25" s="517"/>
      <c r="G25" s="517"/>
      <c r="H25" s="517"/>
      <c r="I25" s="517"/>
      <c r="J25" s="517"/>
      <c r="K25" s="517"/>
      <c r="L25" s="517"/>
      <c r="M25" s="517"/>
      <c r="N25" s="517"/>
      <c r="O25" s="517"/>
      <c r="P25" s="517"/>
      <c r="Q25" s="517"/>
      <c r="R25" s="517"/>
      <c r="S25" s="517"/>
      <c r="T25" s="517"/>
    </row>
    <row r="26" spans="2:22" x14ac:dyDescent="0.25">
      <c r="B26" s="517"/>
      <c r="C26" s="517"/>
      <c r="D26" s="517"/>
      <c r="E26" s="517"/>
      <c r="F26" s="517"/>
      <c r="G26" s="517"/>
      <c r="H26" s="517"/>
      <c r="I26" s="517"/>
      <c r="J26" s="517"/>
      <c r="K26" s="517"/>
      <c r="L26" s="517"/>
      <c r="M26" s="517"/>
      <c r="N26" s="517"/>
      <c r="O26" s="517"/>
      <c r="P26" s="517"/>
      <c r="Q26" s="517"/>
      <c r="R26" s="517"/>
      <c r="S26" s="517"/>
      <c r="T26" s="517"/>
    </row>
    <row r="27" spans="2:22" ht="15.75" thickBot="1" x14ac:dyDescent="0.3"/>
    <row r="28" spans="2:22" ht="15.75" thickBot="1" x14ac:dyDescent="0.3">
      <c r="B28" s="508" t="s">
        <v>131</v>
      </c>
      <c r="C28" s="510" t="s">
        <v>138</v>
      </c>
      <c r="D28" s="529" t="s">
        <v>139</v>
      </c>
      <c r="E28" s="529" t="s">
        <v>148</v>
      </c>
      <c r="F28" s="528" t="s">
        <v>149</v>
      </c>
      <c r="G28" s="529" t="s">
        <v>147</v>
      </c>
      <c r="H28" s="510" t="s">
        <v>140</v>
      </c>
      <c r="I28" s="508" t="s">
        <v>141</v>
      </c>
      <c r="J28" s="532" t="s">
        <v>146</v>
      </c>
      <c r="K28" s="510" t="s">
        <v>155</v>
      </c>
      <c r="L28" s="528" t="s">
        <v>134</v>
      </c>
      <c r="M28" s="531" t="s">
        <v>142</v>
      </c>
      <c r="N28" s="528" t="s">
        <v>1515</v>
      </c>
    </row>
    <row r="29" spans="2:22" ht="15.75" thickBot="1" x14ac:dyDescent="0.3">
      <c r="B29" s="509"/>
      <c r="C29" s="510"/>
      <c r="D29" s="530"/>
      <c r="E29" s="530"/>
      <c r="F29" s="528"/>
      <c r="G29" s="530"/>
      <c r="H29" s="510"/>
      <c r="I29" s="509"/>
      <c r="J29" s="533"/>
      <c r="K29" s="510"/>
      <c r="L29" s="528"/>
      <c r="M29" s="531"/>
      <c r="N29" s="528"/>
    </row>
    <row r="30" spans="2:22" ht="15.75" thickBot="1" x14ac:dyDescent="0.3">
      <c r="B30" s="82" t="s">
        <v>542</v>
      </c>
      <c r="C30" s="83" t="s">
        <v>629</v>
      </c>
      <c r="D30" s="124" t="s">
        <v>620</v>
      </c>
      <c r="E30" s="130">
        <v>2008</v>
      </c>
      <c r="F30" s="125" t="s">
        <v>731</v>
      </c>
      <c r="G30" s="125">
        <v>66</v>
      </c>
      <c r="H30" s="85">
        <v>9625.42</v>
      </c>
      <c r="I30" s="85" t="s">
        <v>630</v>
      </c>
      <c r="J30" s="128">
        <v>26964</v>
      </c>
      <c r="K30" s="128">
        <f>J30*G30</f>
        <v>1779624</v>
      </c>
      <c r="L30" s="125" t="s">
        <v>631</v>
      </c>
      <c r="M30" s="85" t="s">
        <v>47</v>
      </c>
      <c r="N30" s="85" t="s">
        <v>1491</v>
      </c>
    </row>
    <row r="31" spans="2:22" ht="15.75" thickBot="1" x14ac:dyDescent="0.3">
      <c r="B31" s="82" t="s">
        <v>542</v>
      </c>
      <c r="C31" s="83" t="s">
        <v>629</v>
      </c>
      <c r="D31" s="124" t="s">
        <v>620</v>
      </c>
      <c r="E31" s="130">
        <v>2008</v>
      </c>
      <c r="F31" s="125" t="s">
        <v>731</v>
      </c>
      <c r="G31" s="125">
        <v>55</v>
      </c>
      <c r="H31" s="85">
        <v>19256.560000000001</v>
      </c>
      <c r="I31" s="85" t="s">
        <v>630</v>
      </c>
      <c r="J31" s="128">
        <v>49640</v>
      </c>
      <c r="K31" s="128">
        <f t="shared" ref="K31:K94" si="0">J31*G31</f>
        <v>2730200</v>
      </c>
      <c r="L31" s="125" t="s">
        <v>632</v>
      </c>
      <c r="M31" s="85" t="s">
        <v>47</v>
      </c>
      <c r="N31" s="85" t="s">
        <v>1491</v>
      </c>
    </row>
    <row r="32" spans="2:22" ht="15.75" thickBot="1" x14ac:dyDescent="0.3">
      <c r="B32" s="82" t="s">
        <v>542</v>
      </c>
      <c r="C32" s="83" t="s">
        <v>629</v>
      </c>
      <c r="D32" s="124" t="s">
        <v>620</v>
      </c>
      <c r="E32" s="130">
        <v>2008</v>
      </c>
      <c r="F32" s="125" t="s">
        <v>731</v>
      </c>
      <c r="G32" s="125">
        <v>55</v>
      </c>
      <c r="H32" s="85">
        <v>34730.512999999999</v>
      </c>
      <c r="I32" s="85" t="s">
        <v>630</v>
      </c>
      <c r="J32" s="128">
        <v>99820</v>
      </c>
      <c r="K32" s="128">
        <f t="shared" si="0"/>
        <v>5490100</v>
      </c>
      <c r="L32" s="125" t="s">
        <v>633</v>
      </c>
      <c r="M32" s="85" t="s">
        <v>47</v>
      </c>
      <c r="N32" s="85" t="s">
        <v>1491</v>
      </c>
    </row>
    <row r="33" spans="2:14" ht="15.75" thickBot="1" x14ac:dyDescent="0.3">
      <c r="B33" s="82" t="s">
        <v>542</v>
      </c>
      <c r="C33" s="83" t="s">
        <v>629</v>
      </c>
      <c r="D33" s="124" t="s">
        <v>620</v>
      </c>
      <c r="E33" s="130">
        <v>2006</v>
      </c>
      <c r="F33" s="125" t="s">
        <v>731</v>
      </c>
      <c r="G33" s="125">
        <v>55</v>
      </c>
      <c r="H33" s="85">
        <v>26781.210000000003</v>
      </c>
      <c r="I33" s="85" t="s">
        <v>630</v>
      </c>
      <c r="J33" s="128">
        <v>66968</v>
      </c>
      <c r="K33" s="128">
        <f t="shared" si="0"/>
        <v>3683240</v>
      </c>
      <c r="L33" s="125" t="s">
        <v>634</v>
      </c>
      <c r="M33" s="85" t="s">
        <v>47</v>
      </c>
      <c r="N33" s="85" t="s">
        <v>1491</v>
      </c>
    </row>
    <row r="34" spans="2:14" ht="15.75" thickBot="1" x14ac:dyDescent="0.3">
      <c r="B34" s="82" t="s">
        <v>542</v>
      </c>
      <c r="C34" s="83" t="s">
        <v>629</v>
      </c>
      <c r="D34" s="124" t="s">
        <v>620</v>
      </c>
      <c r="E34" s="130">
        <v>2006</v>
      </c>
      <c r="F34" s="125" t="s">
        <v>731</v>
      </c>
      <c r="G34" s="125">
        <v>55</v>
      </c>
      <c r="H34" s="85">
        <v>26268.710000000003</v>
      </c>
      <c r="I34" s="85" t="s">
        <v>630</v>
      </c>
      <c r="J34" s="128">
        <v>68436</v>
      </c>
      <c r="K34" s="128">
        <f t="shared" si="0"/>
        <v>3763980</v>
      </c>
      <c r="L34" s="125" t="s">
        <v>635</v>
      </c>
      <c r="M34" s="85" t="s">
        <v>47</v>
      </c>
      <c r="N34" s="85" t="s">
        <v>1491</v>
      </c>
    </row>
    <row r="35" spans="2:14" ht="15.75" thickBot="1" x14ac:dyDescent="0.3">
      <c r="B35" s="82" t="s">
        <v>542</v>
      </c>
      <c r="C35" s="83" t="s">
        <v>629</v>
      </c>
      <c r="D35" s="124" t="s">
        <v>620</v>
      </c>
      <c r="E35" s="130">
        <v>2006</v>
      </c>
      <c r="F35" s="125" t="s">
        <v>731</v>
      </c>
      <c r="G35" s="125">
        <v>59</v>
      </c>
      <c r="H35" s="85">
        <v>23030.049999999996</v>
      </c>
      <c r="I35" s="85" t="s">
        <v>630</v>
      </c>
      <c r="J35" s="128">
        <v>58849</v>
      </c>
      <c r="K35" s="128">
        <f t="shared" si="0"/>
        <v>3472091</v>
      </c>
      <c r="L35" s="125" t="s">
        <v>636</v>
      </c>
      <c r="M35" s="85" t="s">
        <v>47</v>
      </c>
      <c r="N35" s="85" t="s">
        <v>1491</v>
      </c>
    </row>
    <row r="36" spans="2:14" ht="15.75" thickBot="1" x14ac:dyDescent="0.3">
      <c r="B36" s="82" t="s">
        <v>542</v>
      </c>
      <c r="C36" s="83" t="s">
        <v>629</v>
      </c>
      <c r="D36" s="124" t="s">
        <v>620</v>
      </c>
      <c r="E36" s="130">
        <v>2006</v>
      </c>
      <c r="F36" s="125" t="s">
        <v>731</v>
      </c>
      <c r="G36" s="125">
        <v>59</v>
      </c>
      <c r="H36" s="85">
        <v>17493.850000000002</v>
      </c>
      <c r="I36" s="85" t="s">
        <v>630</v>
      </c>
      <c r="J36" s="128">
        <v>40591</v>
      </c>
      <c r="K36" s="128">
        <f t="shared" si="0"/>
        <v>2394869</v>
      </c>
      <c r="L36" s="125" t="s">
        <v>637</v>
      </c>
      <c r="M36" s="85" t="s">
        <v>47</v>
      </c>
      <c r="N36" s="85" t="s">
        <v>1491</v>
      </c>
    </row>
    <row r="37" spans="2:14" ht="15.75" thickBot="1" x14ac:dyDescent="0.3">
      <c r="B37" s="82" t="s">
        <v>542</v>
      </c>
      <c r="C37" s="83" t="s">
        <v>629</v>
      </c>
      <c r="D37" s="124" t="s">
        <v>620</v>
      </c>
      <c r="E37" s="130">
        <v>2006</v>
      </c>
      <c r="F37" s="125" t="s">
        <v>731</v>
      </c>
      <c r="G37" s="125">
        <v>59</v>
      </c>
      <c r="H37" s="85">
        <v>27454.615000000002</v>
      </c>
      <c r="I37" s="85" t="s">
        <v>630</v>
      </c>
      <c r="J37" s="128">
        <v>70159</v>
      </c>
      <c r="K37" s="128">
        <f t="shared" si="0"/>
        <v>4139381</v>
      </c>
      <c r="L37" s="125" t="s">
        <v>638</v>
      </c>
      <c r="M37" s="85" t="s">
        <v>47</v>
      </c>
      <c r="N37" s="85" t="s">
        <v>1491</v>
      </c>
    </row>
    <row r="38" spans="2:14" ht="15.75" thickBot="1" x14ac:dyDescent="0.3">
      <c r="B38" s="82" t="s">
        <v>542</v>
      </c>
      <c r="C38" s="83" t="s">
        <v>629</v>
      </c>
      <c r="D38" s="124" t="s">
        <v>620</v>
      </c>
      <c r="E38" s="130">
        <v>2003</v>
      </c>
      <c r="F38" s="125" t="s">
        <v>732</v>
      </c>
      <c r="G38" s="125">
        <v>57</v>
      </c>
      <c r="H38" s="85">
        <v>12050.740000000002</v>
      </c>
      <c r="I38" s="85" t="s">
        <v>630</v>
      </c>
      <c r="J38" s="128">
        <v>26373</v>
      </c>
      <c r="K38" s="128">
        <f t="shared" si="0"/>
        <v>1503261</v>
      </c>
      <c r="L38" s="125" t="s">
        <v>639</v>
      </c>
      <c r="M38" s="85" t="s">
        <v>47</v>
      </c>
      <c r="N38" s="85" t="s">
        <v>1491</v>
      </c>
    </row>
    <row r="39" spans="2:14" ht="15.75" thickBot="1" x14ac:dyDescent="0.3">
      <c r="B39" s="82" t="s">
        <v>542</v>
      </c>
      <c r="C39" s="83" t="s">
        <v>629</v>
      </c>
      <c r="D39" s="124" t="s">
        <v>620</v>
      </c>
      <c r="E39" s="130">
        <v>2001</v>
      </c>
      <c r="F39" s="125" t="s">
        <v>732</v>
      </c>
      <c r="G39" s="125">
        <v>70</v>
      </c>
      <c r="H39" s="85">
        <v>190</v>
      </c>
      <c r="I39" s="85" t="s">
        <v>630</v>
      </c>
      <c r="J39" s="128">
        <v>452</v>
      </c>
      <c r="K39" s="128">
        <f t="shared" si="0"/>
        <v>31640</v>
      </c>
      <c r="L39" s="125" t="s">
        <v>640</v>
      </c>
      <c r="M39" s="85" t="s">
        <v>47</v>
      </c>
      <c r="N39" s="85" t="s">
        <v>1491</v>
      </c>
    </row>
    <row r="40" spans="2:14" ht="15.75" thickBot="1" x14ac:dyDescent="0.3">
      <c r="B40" s="82" t="s">
        <v>542</v>
      </c>
      <c r="C40" s="83" t="s">
        <v>629</v>
      </c>
      <c r="D40" s="124" t="s">
        <v>620</v>
      </c>
      <c r="E40" s="130">
        <v>2007</v>
      </c>
      <c r="F40" s="125" t="s">
        <v>731</v>
      </c>
      <c r="G40" s="125">
        <v>59</v>
      </c>
      <c r="H40" s="85">
        <v>18874.940000000002</v>
      </c>
      <c r="I40" s="85" t="s">
        <v>630</v>
      </c>
      <c r="J40" s="128">
        <v>48490</v>
      </c>
      <c r="K40" s="128">
        <f t="shared" si="0"/>
        <v>2860910</v>
      </c>
      <c r="L40" s="125" t="s">
        <v>641</v>
      </c>
      <c r="M40" s="85" t="s">
        <v>47</v>
      </c>
      <c r="N40" s="85" t="s">
        <v>1491</v>
      </c>
    </row>
    <row r="41" spans="2:14" ht="15.75" thickBot="1" x14ac:dyDescent="0.3">
      <c r="B41" s="82" t="s">
        <v>542</v>
      </c>
      <c r="C41" s="83" t="s">
        <v>629</v>
      </c>
      <c r="D41" s="124" t="s">
        <v>620</v>
      </c>
      <c r="E41" s="130">
        <v>2008</v>
      </c>
      <c r="F41" s="125" t="s">
        <v>731</v>
      </c>
      <c r="G41" s="125">
        <v>25</v>
      </c>
      <c r="H41" s="85">
        <v>138.02000000000001</v>
      </c>
      <c r="I41" s="85" t="s">
        <v>630</v>
      </c>
      <c r="J41" s="128">
        <v>811</v>
      </c>
      <c r="K41" s="128">
        <f t="shared" si="0"/>
        <v>20275</v>
      </c>
      <c r="L41" s="125" t="s">
        <v>642</v>
      </c>
      <c r="M41" s="85" t="s">
        <v>47</v>
      </c>
      <c r="N41" s="85" t="s">
        <v>1491</v>
      </c>
    </row>
    <row r="42" spans="2:14" ht="15.75" thickBot="1" x14ac:dyDescent="0.3">
      <c r="B42" s="82" t="s">
        <v>542</v>
      </c>
      <c r="C42" s="83" t="s">
        <v>629</v>
      </c>
      <c r="D42" s="124" t="s">
        <v>620</v>
      </c>
      <c r="E42" s="130">
        <v>2008</v>
      </c>
      <c r="F42" s="125" t="s">
        <v>731</v>
      </c>
      <c r="G42" s="125">
        <v>27</v>
      </c>
      <c r="H42" s="85">
        <v>0</v>
      </c>
      <c r="I42" s="85" t="s">
        <v>630</v>
      </c>
      <c r="J42" s="128">
        <v>0</v>
      </c>
      <c r="K42" s="128">
        <f t="shared" si="0"/>
        <v>0</v>
      </c>
      <c r="L42" s="125" t="s">
        <v>643</v>
      </c>
      <c r="M42" s="85" t="s">
        <v>47</v>
      </c>
      <c r="N42" s="85" t="s">
        <v>1491</v>
      </c>
    </row>
    <row r="43" spans="2:14" ht="15.75" thickBot="1" x14ac:dyDescent="0.3">
      <c r="B43" s="82" t="s">
        <v>542</v>
      </c>
      <c r="C43" s="83" t="s">
        <v>629</v>
      </c>
      <c r="D43" s="124" t="s">
        <v>620</v>
      </c>
      <c r="E43" s="130">
        <v>2008</v>
      </c>
      <c r="F43" s="125" t="s">
        <v>731</v>
      </c>
      <c r="G43" s="125">
        <v>54</v>
      </c>
      <c r="H43" s="85">
        <v>13394.8</v>
      </c>
      <c r="I43" s="85" t="s">
        <v>630</v>
      </c>
      <c r="J43" s="128">
        <v>30598</v>
      </c>
      <c r="K43" s="128">
        <f t="shared" si="0"/>
        <v>1652292</v>
      </c>
      <c r="L43" s="125" t="s">
        <v>644</v>
      </c>
      <c r="M43" s="85" t="s">
        <v>47</v>
      </c>
      <c r="N43" s="85" t="s">
        <v>1491</v>
      </c>
    </row>
    <row r="44" spans="2:14" ht="15.75" thickBot="1" x14ac:dyDescent="0.3">
      <c r="B44" s="82" t="s">
        <v>542</v>
      </c>
      <c r="C44" s="83" t="s">
        <v>629</v>
      </c>
      <c r="D44" s="124" t="s">
        <v>620</v>
      </c>
      <c r="E44" s="130">
        <v>2018</v>
      </c>
      <c r="F44" s="125" t="s">
        <v>733</v>
      </c>
      <c r="G44" s="125">
        <v>26</v>
      </c>
      <c r="H44" s="85">
        <v>7323.3899999999994</v>
      </c>
      <c r="I44" s="85" t="s">
        <v>630</v>
      </c>
      <c r="J44" s="128">
        <v>38217</v>
      </c>
      <c r="K44" s="128">
        <f t="shared" si="0"/>
        <v>993642</v>
      </c>
      <c r="L44" s="125" t="s">
        <v>645</v>
      </c>
      <c r="M44" s="85" t="s">
        <v>47</v>
      </c>
      <c r="N44" s="85" t="s">
        <v>1491</v>
      </c>
    </row>
    <row r="45" spans="2:14" ht="15.75" thickBot="1" x14ac:dyDescent="0.3">
      <c r="B45" s="82" t="s">
        <v>542</v>
      </c>
      <c r="C45" s="83" t="s">
        <v>629</v>
      </c>
      <c r="D45" s="124" t="s">
        <v>620</v>
      </c>
      <c r="E45" s="130">
        <v>2018</v>
      </c>
      <c r="F45" s="125" t="s">
        <v>733</v>
      </c>
      <c r="G45" s="125">
        <v>26</v>
      </c>
      <c r="H45" s="85">
        <v>9914.67</v>
      </c>
      <c r="I45" s="85" t="s">
        <v>630</v>
      </c>
      <c r="J45" s="128">
        <v>51234</v>
      </c>
      <c r="K45" s="128">
        <f t="shared" si="0"/>
        <v>1332084</v>
      </c>
      <c r="L45" s="125" t="s">
        <v>646</v>
      </c>
      <c r="M45" s="85" t="s">
        <v>47</v>
      </c>
      <c r="N45" s="85" t="s">
        <v>1491</v>
      </c>
    </row>
    <row r="46" spans="2:14" ht="15.75" thickBot="1" x14ac:dyDescent="0.3">
      <c r="B46" s="82" t="s">
        <v>542</v>
      </c>
      <c r="C46" s="83" t="s">
        <v>629</v>
      </c>
      <c r="D46" s="124" t="s">
        <v>620</v>
      </c>
      <c r="E46" s="130">
        <v>2001</v>
      </c>
      <c r="F46" s="125" t="s">
        <v>732</v>
      </c>
      <c r="G46" s="125">
        <v>62</v>
      </c>
      <c r="H46" s="85">
        <v>14506.039999999999</v>
      </c>
      <c r="I46" s="85" t="s">
        <v>630</v>
      </c>
      <c r="J46" s="128">
        <v>38167</v>
      </c>
      <c r="K46" s="128">
        <f t="shared" si="0"/>
        <v>2366354</v>
      </c>
      <c r="L46" s="125" t="s">
        <v>647</v>
      </c>
      <c r="M46" s="85" t="s">
        <v>47</v>
      </c>
      <c r="N46" s="85" t="s">
        <v>1491</v>
      </c>
    </row>
    <row r="47" spans="2:14" ht="15.75" thickBot="1" x14ac:dyDescent="0.3">
      <c r="B47" s="82" t="s">
        <v>542</v>
      </c>
      <c r="C47" s="83" t="s">
        <v>629</v>
      </c>
      <c r="D47" s="124" t="s">
        <v>620</v>
      </c>
      <c r="E47" s="130">
        <v>2008</v>
      </c>
      <c r="F47" s="125" t="s">
        <v>731</v>
      </c>
      <c r="G47" s="125">
        <v>82</v>
      </c>
      <c r="H47" s="85">
        <v>21522.447999999997</v>
      </c>
      <c r="I47" s="85" t="s">
        <v>630</v>
      </c>
      <c r="J47" s="128">
        <v>51611</v>
      </c>
      <c r="K47" s="128">
        <f t="shared" si="0"/>
        <v>4232102</v>
      </c>
      <c r="L47" s="125" t="s">
        <v>648</v>
      </c>
      <c r="M47" s="85" t="s">
        <v>47</v>
      </c>
      <c r="N47" s="85" t="s">
        <v>1491</v>
      </c>
    </row>
    <row r="48" spans="2:14" ht="15.75" thickBot="1" x14ac:dyDescent="0.3">
      <c r="B48" s="82" t="s">
        <v>542</v>
      </c>
      <c r="C48" s="83" t="s">
        <v>629</v>
      </c>
      <c r="D48" s="124" t="s">
        <v>620</v>
      </c>
      <c r="E48" s="130">
        <v>2008</v>
      </c>
      <c r="F48" s="125" t="s">
        <v>731</v>
      </c>
      <c r="G48" s="125">
        <v>82</v>
      </c>
      <c r="H48" s="85">
        <v>22592.527000000002</v>
      </c>
      <c r="I48" s="85" t="s">
        <v>630</v>
      </c>
      <c r="J48" s="128">
        <v>54336</v>
      </c>
      <c r="K48" s="128">
        <f t="shared" si="0"/>
        <v>4455552</v>
      </c>
      <c r="L48" s="125" t="s">
        <v>649</v>
      </c>
      <c r="M48" s="85" t="s">
        <v>47</v>
      </c>
      <c r="N48" s="85" t="s">
        <v>1491</v>
      </c>
    </row>
    <row r="49" spans="2:14" ht="15.75" thickBot="1" x14ac:dyDescent="0.3">
      <c r="B49" s="82" t="s">
        <v>542</v>
      </c>
      <c r="C49" s="83" t="s">
        <v>629</v>
      </c>
      <c r="D49" s="124" t="s">
        <v>620</v>
      </c>
      <c r="E49" s="130">
        <v>2007</v>
      </c>
      <c r="F49" s="125" t="s">
        <v>731</v>
      </c>
      <c r="G49" s="125">
        <v>88</v>
      </c>
      <c r="H49" s="85">
        <v>22676.016</v>
      </c>
      <c r="I49" s="85" t="s">
        <v>630</v>
      </c>
      <c r="J49" s="128">
        <v>58759</v>
      </c>
      <c r="K49" s="128">
        <f t="shared" si="0"/>
        <v>5170792</v>
      </c>
      <c r="L49" s="125" t="s">
        <v>650</v>
      </c>
      <c r="M49" s="85" t="s">
        <v>47</v>
      </c>
      <c r="N49" s="85" t="s">
        <v>1491</v>
      </c>
    </row>
    <row r="50" spans="2:14" ht="15.75" thickBot="1" x14ac:dyDescent="0.3">
      <c r="B50" s="82" t="s">
        <v>542</v>
      </c>
      <c r="C50" s="83" t="s">
        <v>629</v>
      </c>
      <c r="D50" s="124" t="s">
        <v>620</v>
      </c>
      <c r="E50" s="130">
        <v>2008</v>
      </c>
      <c r="F50" s="125" t="s">
        <v>731</v>
      </c>
      <c r="G50" s="125">
        <v>77</v>
      </c>
      <c r="H50" s="85">
        <v>13486.71</v>
      </c>
      <c r="I50" s="85" t="s">
        <v>630</v>
      </c>
      <c r="J50" s="128">
        <v>34910</v>
      </c>
      <c r="K50" s="128">
        <f t="shared" si="0"/>
        <v>2688070</v>
      </c>
      <c r="L50" s="125" t="s">
        <v>651</v>
      </c>
      <c r="M50" s="85" t="s">
        <v>47</v>
      </c>
      <c r="N50" s="85" t="s">
        <v>1491</v>
      </c>
    </row>
    <row r="51" spans="2:14" ht="15.75" thickBot="1" x14ac:dyDescent="0.3">
      <c r="B51" s="82" t="s">
        <v>542</v>
      </c>
      <c r="C51" s="83" t="s">
        <v>629</v>
      </c>
      <c r="D51" s="124" t="s">
        <v>620</v>
      </c>
      <c r="E51" s="130">
        <v>2009</v>
      </c>
      <c r="F51" s="125" t="s">
        <v>734</v>
      </c>
      <c r="G51" s="125">
        <v>59</v>
      </c>
      <c r="H51" s="85">
        <v>26596.225999999999</v>
      </c>
      <c r="I51" s="85" t="s">
        <v>630</v>
      </c>
      <c r="J51" s="128">
        <v>68159</v>
      </c>
      <c r="K51" s="128">
        <f t="shared" si="0"/>
        <v>4021381</v>
      </c>
      <c r="L51" s="125" t="s">
        <v>652</v>
      </c>
      <c r="M51" s="85" t="s">
        <v>47</v>
      </c>
      <c r="N51" s="85" t="s">
        <v>1491</v>
      </c>
    </row>
    <row r="52" spans="2:14" ht="15.75" thickBot="1" x14ac:dyDescent="0.3">
      <c r="B52" s="82" t="s">
        <v>542</v>
      </c>
      <c r="C52" s="83" t="s">
        <v>629</v>
      </c>
      <c r="D52" s="124" t="s">
        <v>620</v>
      </c>
      <c r="E52" s="130">
        <v>2010</v>
      </c>
      <c r="F52" s="125" t="s">
        <v>734</v>
      </c>
      <c r="G52" s="125">
        <v>53</v>
      </c>
      <c r="H52" s="85">
        <v>30124.499999999996</v>
      </c>
      <c r="I52" s="85" t="s">
        <v>630</v>
      </c>
      <c r="J52" s="128">
        <v>93047</v>
      </c>
      <c r="K52" s="128">
        <f t="shared" si="0"/>
        <v>4931491</v>
      </c>
      <c r="L52" s="125" t="s">
        <v>653</v>
      </c>
      <c r="M52" s="85" t="s">
        <v>47</v>
      </c>
      <c r="N52" s="85" t="s">
        <v>1491</v>
      </c>
    </row>
    <row r="53" spans="2:14" ht="15.75" thickBot="1" x14ac:dyDescent="0.3">
      <c r="B53" s="82" t="s">
        <v>542</v>
      </c>
      <c r="C53" s="83" t="s">
        <v>629</v>
      </c>
      <c r="D53" s="124" t="s">
        <v>620</v>
      </c>
      <c r="E53" s="130">
        <v>2006</v>
      </c>
      <c r="F53" s="125" t="s">
        <v>731</v>
      </c>
      <c r="G53" s="125">
        <v>36</v>
      </c>
      <c r="H53" s="85">
        <v>25144.18</v>
      </c>
      <c r="I53" s="85" t="s">
        <v>630</v>
      </c>
      <c r="J53" s="128">
        <v>61281</v>
      </c>
      <c r="K53" s="128">
        <f t="shared" si="0"/>
        <v>2206116</v>
      </c>
      <c r="L53" s="125" t="s">
        <v>654</v>
      </c>
      <c r="M53" s="85" t="s">
        <v>47</v>
      </c>
      <c r="N53" s="85" t="s">
        <v>1491</v>
      </c>
    </row>
    <row r="54" spans="2:14" ht="15.75" thickBot="1" x14ac:dyDescent="0.3">
      <c r="B54" s="82" t="s">
        <v>542</v>
      </c>
      <c r="C54" s="83" t="s">
        <v>629</v>
      </c>
      <c r="D54" s="124" t="s">
        <v>620</v>
      </c>
      <c r="E54" s="130">
        <v>2008</v>
      </c>
      <c r="F54" s="125" t="s">
        <v>731</v>
      </c>
      <c r="G54" s="125">
        <v>71</v>
      </c>
      <c r="H54" s="85">
        <v>15217.31</v>
      </c>
      <c r="I54" s="85" t="s">
        <v>630</v>
      </c>
      <c r="J54" s="128">
        <v>42293</v>
      </c>
      <c r="K54" s="128">
        <f t="shared" si="0"/>
        <v>3002803</v>
      </c>
      <c r="L54" s="125" t="s">
        <v>655</v>
      </c>
      <c r="M54" s="85" t="s">
        <v>47</v>
      </c>
      <c r="N54" s="85" t="s">
        <v>1491</v>
      </c>
    </row>
    <row r="55" spans="2:14" ht="15.75" thickBot="1" x14ac:dyDescent="0.3">
      <c r="B55" s="82" t="s">
        <v>542</v>
      </c>
      <c r="C55" s="83" t="s">
        <v>629</v>
      </c>
      <c r="D55" s="124" t="s">
        <v>620</v>
      </c>
      <c r="E55" s="130">
        <v>2004</v>
      </c>
      <c r="F55" s="125" t="s">
        <v>732</v>
      </c>
      <c r="G55" s="125">
        <v>69</v>
      </c>
      <c r="H55" s="85">
        <v>13422.85</v>
      </c>
      <c r="I55" s="85" t="s">
        <v>630</v>
      </c>
      <c r="J55" s="128">
        <v>27835</v>
      </c>
      <c r="K55" s="128">
        <f t="shared" si="0"/>
        <v>1920615</v>
      </c>
      <c r="L55" s="125" t="s">
        <v>656</v>
      </c>
      <c r="M55" s="85" t="s">
        <v>47</v>
      </c>
      <c r="N55" s="85" t="s">
        <v>1491</v>
      </c>
    </row>
    <row r="56" spans="2:14" ht="15.75" thickBot="1" x14ac:dyDescent="0.3">
      <c r="B56" s="82" t="s">
        <v>542</v>
      </c>
      <c r="C56" s="83" t="s">
        <v>629</v>
      </c>
      <c r="D56" s="124" t="s">
        <v>620</v>
      </c>
      <c r="E56" s="130">
        <v>2004</v>
      </c>
      <c r="F56" s="125" t="s">
        <v>732</v>
      </c>
      <c r="G56" s="125">
        <v>69</v>
      </c>
      <c r="H56" s="85">
        <v>14888.759999999998</v>
      </c>
      <c r="I56" s="85" t="s">
        <v>630</v>
      </c>
      <c r="J56" s="128">
        <v>29831</v>
      </c>
      <c r="K56" s="128">
        <f t="shared" si="0"/>
        <v>2058339</v>
      </c>
      <c r="L56" s="125" t="s">
        <v>657</v>
      </c>
      <c r="M56" s="85" t="s">
        <v>47</v>
      </c>
      <c r="N56" s="85" t="s">
        <v>1491</v>
      </c>
    </row>
    <row r="57" spans="2:14" ht="15.75" thickBot="1" x14ac:dyDescent="0.3">
      <c r="B57" s="82" t="s">
        <v>542</v>
      </c>
      <c r="C57" s="83" t="s">
        <v>629</v>
      </c>
      <c r="D57" s="124" t="s">
        <v>620</v>
      </c>
      <c r="E57" s="130">
        <v>2010</v>
      </c>
      <c r="F57" s="125" t="s">
        <v>734</v>
      </c>
      <c r="G57" s="125">
        <v>71</v>
      </c>
      <c r="H57" s="85">
        <v>12834.589999999998</v>
      </c>
      <c r="I57" s="85" t="s">
        <v>630</v>
      </c>
      <c r="J57" s="128">
        <v>30290</v>
      </c>
      <c r="K57" s="128">
        <f t="shared" si="0"/>
        <v>2150590</v>
      </c>
      <c r="L57" s="125" t="s">
        <v>658</v>
      </c>
      <c r="M57" s="85" t="s">
        <v>47</v>
      </c>
      <c r="N57" s="85" t="s">
        <v>1491</v>
      </c>
    </row>
    <row r="58" spans="2:14" ht="15.75" thickBot="1" x14ac:dyDescent="0.3">
      <c r="B58" s="82" t="s">
        <v>542</v>
      </c>
      <c r="C58" s="83" t="s">
        <v>629</v>
      </c>
      <c r="D58" s="124" t="s">
        <v>620</v>
      </c>
      <c r="E58" s="130">
        <v>2004</v>
      </c>
      <c r="F58" s="125" t="s">
        <v>732</v>
      </c>
      <c r="G58" s="125">
        <v>85</v>
      </c>
      <c r="H58" s="85">
        <v>15010.650000000001</v>
      </c>
      <c r="I58" s="85" t="s">
        <v>630</v>
      </c>
      <c r="J58" s="128">
        <v>40333</v>
      </c>
      <c r="K58" s="128">
        <f t="shared" si="0"/>
        <v>3428305</v>
      </c>
      <c r="L58" s="125" t="s">
        <v>659</v>
      </c>
      <c r="M58" s="85" t="s">
        <v>47</v>
      </c>
      <c r="N58" s="85" t="s">
        <v>1491</v>
      </c>
    </row>
    <row r="59" spans="2:14" ht="15.75" thickBot="1" x14ac:dyDescent="0.3">
      <c r="B59" s="82" t="s">
        <v>542</v>
      </c>
      <c r="C59" s="83" t="s">
        <v>629</v>
      </c>
      <c r="D59" s="124" t="s">
        <v>620</v>
      </c>
      <c r="E59" s="130">
        <v>2018</v>
      </c>
      <c r="F59" s="125" t="s">
        <v>733</v>
      </c>
      <c r="G59" s="125">
        <v>70</v>
      </c>
      <c r="H59" s="85">
        <v>6317.67</v>
      </c>
      <c r="I59" s="85" t="s">
        <v>630</v>
      </c>
      <c r="J59" s="128">
        <v>23290</v>
      </c>
      <c r="K59" s="128">
        <f t="shared" si="0"/>
        <v>1630300</v>
      </c>
      <c r="L59" s="125" t="s">
        <v>660</v>
      </c>
      <c r="M59" s="85" t="s">
        <v>47</v>
      </c>
      <c r="N59" s="85" t="s">
        <v>1491</v>
      </c>
    </row>
    <row r="60" spans="2:14" ht="15.75" thickBot="1" x14ac:dyDescent="0.3">
      <c r="B60" s="82" t="s">
        <v>542</v>
      </c>
      <c r="C60" s="83" t="s">
        <v>629</v>
      </c>
      <c r="D60" s="124" t="s">
        <v>620</v>
      </c>
      <c r="E60" s="130">
        <v>2018</v>
      </c>
      <c r="F60" s="125" t="s">
        <v>733</v>
      </c>
      <c r="G60" s="125">
        <v>70</v>
      </c>
      <c r="H60" s="85">
        <v>12570.37</v>
      </c>
      <c r="I60" s="85" t="s">
        <v>630</v>
      </c>
      <c r="J60" s="128">
        <v>49161</v>
      </c>
      <c r="K60" s="128">
        <f t="shared" si="0"/>
        <v>3441270</v>
      </c>
      <c r="L60" s="125" t="s">
        <v>661</v>
      </c>
      <c r="M60" s="85" t="s">
        <v>47</v>
      </c>
      <c r="N60" s="85" t="s">
        <v>1491</v>
      </c>
    </row>
    <row r="61" spans="2:14" ht="15.75" thickBot="1" x14ac:dyDescent="0.3">
      <c r="B61" s="82" t="s">
        <v>542</v>
      </c>
      <c r="C61" s="83" t="s">
        <v>629</v>
      </c>
      <c r="D61" s="124" t="s">
        <v>620</v>
      </c>
      <c r="E61" s="130">
        <v>2002</v>
      </c>
      <c r="F61" s="125" t="s">
        <v>732</v>
      </c>
      <c r="G61" s="125">
        <v>61</v>
      </c>
      <c r="H61" s="85">
        <v>24733.044000000002</v>
      </c>
      <c r="I61" s="85" t="s">
        <v>630</v>
      </c>
      <c r="J61" s="128">
        <v>64698</v>
      </c>
      <c r="K61" s="128">
        <f t="shared" si="0"/>
        <v>3946578</v>
      </c>
      <c r="L61" s="125" t="s">
        <v>662</v>
      </c>
      <c r="M61" s="85" t="s">
        <v>47</v>
      </c>
      <c r="N61" s="85" t="s">
        <v>1491</v>
      </c>
    </row>
    <row r="62" spans="2:14" ht="15.75" thickBot="1" x14ac:dyDescent="0.3">
      <c r="B62" s="82" t="s">
        <v>542</v>
      </c>
      <c r="C62" s="83" t="s">
        <v>629</v>
      </c>
      <c r="D62" s="124" t="s">
        <v>620</v>
      </c>
      <c r="E62" s="130">
        <v>2002</v>
      </c>
      <c r="F62" s="125" t="s">
        <v>732</v>
      </c>
      <c r="G62" s="125">
        <v>97</v>
      </c>
      <c r="H62" s="85">
        <v>17422.689999999999</v>
      </c>
      <c r="I62" s="85" t="s">
        <v>630</v>
      </c>
      <c r="J62" s="128">
        <v>42590</v>
      </c>
      <c r="K62" s="128">
        <f t="shared" si="0"/>
        <v>4131230</v>
      </c>
      <c r="L62" s="125" t="s">
        <v>663</v>
      </c>
      <c r="M62" s="85" t="s">
        <v>47</v>
      </c>
      <c r="N62" s="85" t="s">
        <v>1491</v>
      </c>
    </row>
    <row r="63" spans="2:14" ht="15.75" thickBot="1" x14ac:dyDescent="0.3">
      <c r="B63" s="82" t="s">
        <v>542</v>
      </c>
      <c r="C63" s="83" t="s">
        <v>629</v>
      </c>
      <c r="D63" s="124" t="s">
        <v>620</v>
      </c>
      <c r="E63" s="130">
        <v>2003</v>
      </c>
      <c r="F63" s="125" t="s">
        <v>732</v>
      </c>
      <c r="G63" s="125">
        <v>61</v>
      </c>
      <c r="H63" s="85">
        <v>18439.486999999997</v>
      </c>
      <c r="I63" s="85" t="s">
        <v>630</v>
      </c>
      <c r="J63" s="128">
        <v>46822</v>
      </c>
      <c r="K63" s="128">
        <f t="shared" si="0"/>
        <v>2856142</v>
      </c>
      <c r="L63" s="125" t="s">
        <v>664</v>
      </c>
      <c r="M63" s="85" t="s">
        <v>47</v>
      </c>
      <c r="N63" s="85" t="s">
        <v>1491</v>
      </c>
    </row>
    <row r="64" spans="2:14" ht="15.75" thickBot="1" x14ac:dyDescent="0.3">
      <c r="B64" s="82" t="s">
        <v>542</v>
      </c>
      <c r="C64" s="83" t="s">
        <v>629</v>
      </c>
      <c r="D64" s="124" t="s">
        <v>620</v>
      </c>
      <c r="E64" s="130">
        <v>2001</v>
      </c>
      <c r="F64" s="125" t="s">
        <v>732</v>
      </c>
      <c r="G64" s="125">
        <v>55</v>
      </c>
      <c r="H64" s="85">
        <v>19433.650000000001</v>
      </c>
      <c r="I64" s="85" t="s">
        <v>630</v>
      </c>
      <c r="J64" s="128">
        <v>50928</v>
      </c>
      <c r="K64" s="128">
        <f t="shared" si="0"/>
        <v>2801040</v>
      </c>
      <c r="L64" s="125" t="s">
        <v>665</v>
      </c>
      <c r="M64" s="85" t="s">
        <v>47</v>
      </c>
      <c r="N64" s="85" t="s">
        <v>1491</v>
      </c>
    </row>
    <row r="65" spans="2:14" ht="15.75" thickBot="1" x14ac:dyDescent="0.3">
      <c r="B65" s="82" t="s">
        <v>542</v>
      </c>
      <c r="C65" s="83" t="s">
        <v>629</v>
      </c>
      <c r="D65" s="124" t="s">
        <v>620</v>
      </c>
      <c r="E65" s="130">
        <v>2001</v>
      </c>
      <c r="F65" s="125" t="s">
        <v>732</v>
      </c>
      <c r="G65" s="125">
        <v>55</v>
      </c>
      <c r="H65" s="85">
        <v>17230.740000000002</v>
      </c>
      <c r="I65" s="85" t="s">
        <v>630</v>
      </c>
      <c r="J65" s="128">
        <v>49094</v>
      </c>
      <c r="K65" s="128">
        <f t="shared" si="0"/>
        <v>2700170</v>
      </c>
      <c r="L65" s="125" t="s">
        <v>666</v>
      </c>
      <c r="M65" s="85" t="s">
        <v>47</v>
      </c>
      <c r="N65" s="85" t="s">
        <v>1491</v>
      </c>
    </row>
    <row r="66" spans="2:14" ht="15.75" thickBot="1" x14ac:dyDescent="0.3">
      <c r="B66" s="82" t="s">
        <v>542</v>
      </c>
      <c r="C66" s="83" t="s">
        <v>629</v>
      </c>
      <c r="D66" s="124" t="s">
        <v>620</v>
      </c>
      <c r="E66" s="130">
        <v>2001</v>
      </c>
      <c r="F66" s="125" t="s">
        <v>732</v>
      </c>
      <c r="G66" s="125">
        <v>55</v>
      </c>
      <c r="H66" s="85">
        <v>19127.960000000003</v>
      </c>
      <c r="I66" s="85" t="s">
        <v>630</v>
      </c>
      <c r="J66" s="128">
        <v>50001</v>
      </c>
      <c r="K66" s="128">
        <f t="shared" si="0"/>
        <v>2750055</v>
      </c>
      <c r="L66" s="125" t="s">
        <v>667</v>
      </c>
      <c r="M66" s="85" t="s">
        <v>47</v>
      </c>
      <c r="N66" s="85" t="s">
        <v>1491</v>
      </c>
    </row>
    <row r="67" spans="2:14" ht="15.75" thickBot="1" x14ac:dyDescent="0.3">
      <c r="B67" s="82" t="s">
        <v>542</v>
      </c>
      <c r="C67" s="83" t="s">
        <v>629</v>
      </c>
      <c r="D67" s="124" t="s">
        <v>620</v>
      </c>
      <c r="E67" s="130">
        <v>2004</v>
      </c>
      <c r="F67" s="125" t="s">
        <v>732</v>
      </c>
      <c r="G67" s="125">
        <v>51</v>
      </c>
      <c r="H67" s="85">
        <v>17495.109999999997</v>
      </c>
      <c r="I67" s="85" t="s">
        <v>630</v>
      </c>
      <c r="J67" s="128">
        <v>45470</v>
      </c>
      <c r="K67" s="128">
        <f t="shared" si="0"/>
        <v>2318970</v>
      </c>
      <c r="L67" s="125" t="s">
        <v>668</v>
      </c>
      <c r="M67" s="85" t="s">
        <v>47</v>
      </c>
      <c r="N67" s="85" t="s">
        <v>1491</v>
      </c>
    </row>
    <row r="68" spans="2:14" ht="15.75" thickBot="1" x14ac:dyDescent="0.3">
      <c r="B68" s="82" t="s">
        <v>542</v>
      </c>
      <c r="C68" s="83" t="s">
        <v>629</v>
      </c>
      <c r="D68" s="124" t="s">
        <v>620</v>
      </c>
      <c r="E68" s="130">
        <v>2001</v>
      </c>
      <c r="F68" s="125" t="s">
        <v>732</v>
      </c>
      <c r="G68" s="125">
        <v>70</v>
      </c>
      <c r="H68" s="85">
        <v>10261.650000000001</v>
      </c>
      <c r="I68" s="85" t="s">
        <v>630</v>
      </c>
      <c r="J68" s="128">
        <v>23865</v>
      </c>
      <c r="K68" s="128">
        <f t="shared" si="0"/>
        <v>1670550</v>
      </c>
      <c r="L68" s="125" t="s">
        <v>669</v>
      </c>
      <c r="M68" s="85" t="s">
        <v>47</v>
      </c>
      <c r="N68" s="85" t="s">
        <v>1491</v>
      </c>
    </row>
    <row r="69" spans="2:14" ht="15.75" thickBot="1" x14ac:dyDescent="0.3">
      <c r="B69" s="82" t="s">
        <v>542</v>
      </c>
      <c r="C69" s="83" t="s">
        <v>629</v>
      </c>
      <c r="D69" s="124" t="s">
        <v>620</v>
      </c>
      <c r="E69" s="130">
        <v>2002</v>
      </c>
      <c r="F69" s="125" t="s">
        <v>732</v>
      </c>
      <c r="G69" s="125">
        <v>68</v>
      </c>
      <c r="H69" s="85">
        <v>13492.449999999999</v>
      </c>
      <c r="I69" s="85" t="s">
        <v>630</v>
      </c>
      <c r="J69" s="128">
        <v>38002</v>
      </c>
      <c r="K69" s="128">
        <f t="shared" si="0"/>
        <v>2584136</v>
      </c>
      <c r="L69" s="125" t="s">
        <v>670</v>
      </c>
      <c r="M69" s="85" t="s">
        <v>47</v>
      </c>
      <c r="N69" s="85" t="s">
        <v>1491</v>
      </c>
    </row>
    <row r="70" spans="2:14" ht="15.75" thickBot="1" x14ac:dyDescent="0.3">
      <c r="B70" s="82" t="s">
        <v>542</v>
      </c>
      <c r="C70" s="83" t="s">
        <v>629</v>
      </c>
      <c r="D70" s="124" t="s">
        <v>620</v>
      </c>
      <c r="E70" s="130">
        <v>2002</v>
      </c>
      <c r="F70" s="125" t="s">
        <v>732</v>
      </c>
      <c r="G70" s="125">
        <v>68</v>
      </c>
      <c r="H70" s="85">
        <v>9886.1200000000008</v>
      </c>
      <c r="I70" s="85" t="s">
        <v>630</v>
      </c>
      <c r="J70" s="128">
        <v>28692</v>
      </c>
      <c r="K70" s="128">
        <f t="shared" si="0"/>
        <v>1951056</v>
      </c>
      <c r="L70" s="125" t="s">
        <v>671</v>
      </c>
      <c r="M70" s="85" t="s">
        <v>47</v>
      </c>
      <c r="N70" s="85" t="s">
        <v>1491</v>
      </c>
    </row>
    <row r="71" spans="2:14" ht="15.75" thickBot="1" x14ac:dyDescent="0.3">
      <c r="B71" s="82" t="s">
        <v>542</v>
      </c>
      <c r="C71" s="83" t="s">
        <v>629</v>
      </c>
      <c r="D71" s="124" t="s">
        <v>620</v>
      </c>
      <c r="E71" s="130">
        <v>2003</v>
      </c>
      <c r="F71" s="125" t="s">
        <v>732</v>
      </c>
      <c r="G71" s="125">
        <v>61</v>
      </c>
      <c r="H71" s="85">
        <v>29268.473999999998</v>
      </c>
      <c r="I71" s="85" t="s">
        <v>630</v>
      </c>
      <c r="J71" s="128">
        <v>76932</v>
      </c>
      <c r="K71" s="128">
        <f t="shared" si="0"/>
        <v>4692852</v>
      </c>
      <c r="L71" s="125" t="s">
        <v>672</v>
      </c>
      <c r="M71" s="85" t="s">
        <v>47</v>
      </c>
      <c r="N71" s="85" t="s">
        <v>1491</v>
      </c>
    </row>
    <row r="72" spans="2:14" ht="15.75" thickBot="1" x14ac:dyDescent="0.3">
      <c r="B72" s="82" t="s">
        <v>542</v>
      </c>
      <c r="C72" s="83" t="s">
        <v>629</v>
      </c>
      <c r="D72" s="124" t="s">
        <v>620</v>
      </c>
      <c r="E72" s="130">
        <v>2003</v>
      </c>
      <c r="F72" s="125" t="s">
        <v>732</v>
      </c>
      <c r="G72" s="125">
        <v>59</v>
      </c>
      <c r="H72" s="85">
        <v>34753.99</v>
      </c>
      <c r="I72" s="85" t="s">
        <v>630</v>
      </c>
      <c r="J72" s="128">
        <v>83462</v>
      </c>
      <c r="K72" s="128">
        <f t="shared" si="0"/>
        <v>4924258</v>
      </c>
      <c r="L72" s="125" t="s">
        <v>673</v>
      </c>
      <c r="M72" s="85" t="s">
        <v>47</v>
      </c>
      <c r="N72" s="85" t="s">
        <v>1491</v>
      </c>
    </row>
    <row r="73" spans="2:14" ht="15.75" thickBot="1" x14ac:dyDescent="0.3">
      <c r="B73" s="82" t="s">
        <v>542</v>
      </c>
      <c r="C73" s="83" t="s">
        <v>629</v>
      </c>
      <c r="D73" s="124" t="s">
        <v>620</v>
      </c>
      <c r="E73" s="130">
        <v>2007</v>
      </c>
      <c r="F73" s="125" t="s">
        <v>731</v>
      </c>
      <c r="G73" s="125">
        <v>68</v>
      </c>
      <c r="H73" s="85">
        <v>15447.38</v>
      </c>
      <c r="I73" s="85" t="s">
        <v>630</v>
      </c>
      <c r="J73" s="128">
        <v>41960</v>
      </c>
      <c r="K73" s="128">
        <f t="shared" si="0"/>
        <v>2853280</v>
      </c>
      <c r="L73" s="125" t="s">
        <v>674</v>
      </c>
      <c r="M73" s="85" t="s">
        <v>47</v>
      </c>
      <c r="N73" s="85" t="s">
        <v>1491</v>
      </c>
    </row>
    <row r="74" spans="2:14" ht="15.75" thickBot="1" x14ac:dyDescent="0.3">
      <c r="B74" s="82" t="s">
        <v>542</v>
      </c>
      <c r="C74" s="83" t="s">
        <v>629</v>
      </c>
      <c r="D74" s="124" t="s">
        <v>620</v>
      </c>
      <c r="E74" s="130">
        <v>2015</v>
      </c>
      <c r="F74" s="125" t="s">
        <v>733</v>
      </c>
      <c r="G74" s="125">
        <v>25</v>
      </c>
      <c r="H74" s="85">
        <v>9614.17</v>
      </c>
      <c r="I74" s="85" t="s">
        <v>630</v>
      </c>
      <c r="J74" s="128">
        <v>44015</v>
      </c>
      <c r="K74" s="128">
        <f t="shared" si="0"/>
        <v>1100375</v>
      </c>
      <c r="L74" s="125" t="s">
        <v>675</v>
      </c>
      <c r="M74" s="85" t="s">
        <v>47</v>
      </c>
      <c r="N74" s="85" t="s">
        <v>1491</v>
      </c>
    </row>
    <row r="75" spans="2:14" ht="15.75" thickBot="1" x14ac:dyDescent="0.3">
      <c r="B75" s="82" t="s">
        <v>542</v>
      </c>
      <c r="C75" s="83" t="s">
        <v>629</v>
      </c>
      <c r="D75" s="124" t="s">
        <v>620</v>
      </c>
      <c r="E75" s="130">
        <v>2015</v>
      </c>
      <c r="F75" s="125" t="s">
        <v>733</v>
      </c>
      <c r="G75" s="125">
        <v>25</v>
      </c>
      <c r="H75" s="85">
        <v>6422.7999999999984</v>
      </c>
      <c r="I75" s="85" t="s">
        <v>630</v>
      </c>
      <c r="J75" s="128">
        <v>29625</v>
      </c>
      <c r="K75" s="128">
        <f t="shared" si="0"/>
        <v>740625</v>
      </c>
      <c r="L75" s="125" t="s">
        <v>676</v>
      </c>
      <c r="M75" s="85" t="s">
        <v>47</v>
      </c>
      <c r="N75" s="85" t="s">
        <v>1491</v>
      </c>
    </row>
    <row r="76" spans="2:14" ht="15.75" thickBot="1" x14ac:dyDescent="0.3">
      <c r="B76" s="82" t="s">
        <v>542</v>
      </c>
      <c r="C76" s="83" t="s">
        <v>629</v>
      </c>
      <c r="D76" s="124" t="s">
        <v>620</v>
      </c>
      <c r="E76" s="130">
        <v>2005</v>
      </c>
      <c r="F76" s="125" t="s">
        <v>732</v>
      </c>
      <c r="G76" s="125">
        <v>66</v>
      </c>
      <c r="H76" s="85">
        <v>28432.09</v>
      </c>
      <c r="I76" s="85" t="s">
        <v>630</v>
      </c>
      <c r="J76" s="128">
        <v>78695</v>
      </c>
      <c r="K76" s="128">
        <f t="shared" si="0"/>
        <v>5193870</v>
      </c>
      <c r="L76" s="125" t="s">
        <v>677</v>
      </c>
      <c r="M76" s="85" t="s">
        <v>47</v>
      </c>
      <c r="N76" s="85" t="s">
        <v>1491</v>
      </c>
    </row>
    <row r="77" spans="2:14" ht="15.75" thickBot="1" x14ac:dyDescent="0.3">
      <c r="B77" s="82" t="s">
        <v>542</v>
      </c>
      <c r="C77" s="83" t="s">
        <v>629</v>
      </c>
      <c r="D77" s="124" t="s">
        <v>620</v>
      </c>
      <c r="E77" s="130">
        <v>2003</v>
      </c>
      <c r="F77" s="125" t="s">
        <v>732</v>
      </c>
      <c r="G77" s="125">
        <v>97</v>
      </c>
      <c r="H77" s="85">
        <v>15215.309999999998</v>
      </c>
      <c r="I77" s="85" t="s">
        <v>630</v>
      </c>
      <c r="J77" s="128">
        <v>41422</v>
      </c>
      <c r="K77" s="128">
        <f t="shared" si="0"/>
        <v>4017934</v>
      </c>
      <c r="L77" s="125" t="s">
        <v>678</v>
      </c>
      <c r="M77" s="85" t="s">
        <v>47</v>
      </c>
      <c r="N77" s="85" t="s">
        <v>1491</v>
      </c>
    </row>
    <row r="78" spans="2:14" ht="15.75" thickBot="1" x14ac:dyDescent="0.3">
      <c r="B78" s="82" t="s">
        <v>542</v>
      </c>
      <c r="C78" s="83" t="s">
        <v>629</v>
      </c>
      <c r="D78" s="124" t="s">
        <v>620</v>
      </c>
      <c r="E78" s="130">
        <v>2003</v>
      </c>
      <c r="F78" s="125" t="s">
        <v>732</v>
      </c>
      <c r="G78" s="125">
        <v>63</v>
      </c>
      <c r="H78" s="85">
        <v>15494.14</v>
      </c>
      <c r="I78" s="85" t="s">
        <v>630</v>
      </c>
      <c r="J78" s="128">
        <v>39510</v>
      </c>
      <c r="K78" s="128">
        <f t="shared" si="0"/>
        <v>2489130</v>
      </c>
      <c r="L78" s="125" t="s">
        <v>679</v>
      </c>
      <c r="M78" s="85" t="s">
        <v>47</v>
      </c>
      <c r="N78" s="85" t="s">
        <v>1491</v>
      </c>
    </row>
    <row r="79" spans="2:14" ht="15.75" thickBot="1" x14ac:dyDescent="0.3">
      <c r="B79" s="82" t="s">
        <v>542</v>
      </c>
      <c r="C79" s="83" t="s">
        <v>629</v>
      </c>
      <c r="D79" s="124" t="s">
        <v>620</v>
      </c>
      <c r="E79" s="130">
        <v>2003</v>
      </c>
      <c r="F79" s="125" t="s">
        <v>732</v>
      </c>
      <c r="G79" s="125">
        <v>63</v>
      </c>
      <c r="H79" s="85">
        <v>14141.160000000002</v>
      </c>
      <c r="I79" s="85" t="s">
        <v>630</v>
      </c>
      <c r="J79" s="128">
        <v>35956</v>
      </c>
      <c r="K79" s="128">
        <f t="shared" si="0"/>
        <v>2265228</v>
      </c>
      <c r="L79" s="125" t="s">
        <v>680</v>
      </c>
      <c r="M79" s="85" t="s">
        <v>47</v>
      </c>
      <c r="N79" s="85" t="s">
        <v>1491</v>
      </c>
    </row>
    <row r="80" spans="2:14" ht="15.75" thickBot="1" x14ac:dyDescent="0.3">
      <c r="B80" s="82" t="s">
        <v>542</v>
      </c>
      <c r="C80" s="83" t="s">
        <v>629</v>
      </c>
      <c r="D80" s="124" t="s">
        <v>620</v>
      </c>
      <c r="E80" s="130">
        <v>2000</v>
      </c>
      <c r="F80" s="125" t="s">
        <v>735</v>
      </c>
      <c r="G80" s="125">
        <v>75</v>
      </c>
      <c r="H80" s="85">
        <v>12649.509999999998</v>
      </c>
      <c r="I80" s="85" t="s">
        <v>630</v>
      </c>
      <c r="J80" s="128">
        <v>35442</v>
      </c>
      <c r="K80" s="128">
        <f t="shared" si="0"/>
        <v>2658150</v>
      </c>
      <c r="L80" s="125" t="s">
        <v>681</v>
      </c>
      <c r="M80" s="85" t="s">
        <v>47</v>
      </c>
      <c r="N80" s="85" t="s">
        <v>1491</v>
      </c>
    </row>
    <row r="81" spans="2:14" ht="15.75" thickBot="1" x14ac:dyDescent="0.3">
      <c r="B81" s="82" t="s">
        <v>542</v>
      </c>
      <c r="C81" s="83" t="s">
        <v>629</v>
      </c>
      <c r="D81" s="124" t="s">
        <v>620</v>
      </c>
      <c r="E81" s="130">
        <v>1999</v>
      </c>
      <c r="F81" s="125" t="s">
        <v>736</v>
      </c>
      <c r="G81" s="125">
        <v>51</v>
      </c>
      <c r="H81" s="85">
        <v>12549.099999999999</v>
      </c>
      <c r="I81" s="85" t="s">
        <v>630</v>
      </c>
      <c r="J81" s="128">
        <v>33665</v>
      </c>
      <c r="K81" s="128">
        <f t="shared" si="0"/>
        <v>1716915</v>
      </c>
      <c r="L81" s="125" t="s">
        <v>682</v>
      </c>
      <c r="M81" s="85" t="s">
        <v>47</v>
      </c>
      <c r="N81" s="85" t="s">
        <v>1491</v>
      </c>
    </row>
    <row r="82" spans="2:14" ht="15.75" thickBot="1" x14ac:dyDescent="0.3">
      <c r="B82" s="82" t="s">
        <v>542</v>
      </c>
      <c r="C82" s="83" t="s">
        <v>629</v>
      </c>
      <c r="D82" s="124" t="s">
        <v>620</v>
      </c>
      <c r="E82" s="130">
        <v>2003</v>
      </c>
      <c r="F82" s="125" t="s">
        <v>732</v>
      </c>
      <c r="G82" s="125">
        <v>63</v>
      </c>
      <c r="H82" s="85">
        <v>14179.469999999998</v>
      </c>
      <c r="I82" s="85" t="s">
        <v>630</v>
      </c>
      <c r="J82" s="128">
        <v>35031</v>
      </c>
      <c r="K82" s="128">
        <f t="shared" si="0"/>
        <v>2206953</v>
      </c>
      <c r="L82" s="125" t="s">
        <v>683</v>
      </c>
      <c r="M82" s="85" t="s">
        <v>47</v>
      </c>
      <c r="N82" s="85" t="s">
        <v>1491</v>
      </c>
    </row>
    <row r="83" spans="2:14" ht="15.75" thickBot="1" x14ac:dyDescent="0.3">
      <c r="B83" s="82" t="s">
        <v>542</v>
      </c>
      <c r="C83" s="83" t="s">
        <v>629</v>
      </c>
      <c r="D83" s="124" t="s">
        <v>620</v>
      </c>
      <c r="E83" s="130">
        <v>2003</v>
      </c>
      <c r="F83" s="125" t="s">
        <v>732</v>
      </c>
      <c r="G83" s="125">
        <v>63</v>
      </c>
      <c r="H83" s="85">
        <v>13415.009999999998</v>
      </c>
      <c r="I83" s="85" t="s">
        <v>630</v>
      </c>
      <c r="J83" s="128">
        <v>35198</v>
      </c>
      <c r="K83" s="128">
        <f t="shared" si="0"/>
        <v>2217474</v>
      </c>
      <c r="L83" s="125" t="s">
        <v>684</v>
      </c>
      <c r="M83" s="85" t="s">
        <v>47</v>
      </c>
      <c r="N83" s="85" t="s">
        <v>1491</v>
      </c>
    </row>
    <row r="84" spans="2:14" ht="15.75" thickBot="1" x14ac:dyDescent="0.3">
      <c r="B84" s="82" t="s">
        <v>542</v>
      </c>
      <c r="C84" s="83" t="s">
        <v>629</v>
      </c>
      <c r="D84" s="124" t="s">
        <v>620</v>
      </c>
      <c r="E84" s="130">
        <v>2003</v>
      </c>
      <c r="F84" s="125" t="s">
        <v>732</v>
      </c>
      <c r="G84" s="125">
        <v>63</v>
      </c>
      <c r="H84" s="85">
        <v>20117.580000000002</v>
      </c>
      <c r="I84" s="85" t="s">
        <v>630</v>
      </c>
      <c r="J84" s="128">
        <v>50006</v>
      </c>
      <c r="K84" s="128">
        <f t="shared" si="0"/>
        <v>3150378</v>
      </c>
      <c r="L84" s="125" t="s">
        <v>685</v>
      </c>
      <c r="M84" s="85" t="s">
        <v>47</v>
      </c>
      <c r="N84" s="85" t="s">
        <v>1491</v>
      </c>
    </row>
    <row r="85" spans="2:14" ht="15.75" thickBot="1" x14ac:dyDescent="0.3">
      <c r="B85" s="82" t="s">
        <v>542</v>
      </c>
      <c r="C85" s="83" t="s">
        <v>629</v>
      </c>
      <c r="D85" s="124" t="s">
        <v>620</v>
      </c>
      <c r="E85" s="130">
        <v>2010</v>
      </c>
      <c r="F85" s="125" t="s">
        <v>734</v>
      </c>
      <c r="G85" s="125">
        <v>70</v>
      </c>
      <c r="H85" s="85">
        <v>23099.971000000001</v>
      </c>
      <c r="I85" s="85" t="s">
        <v>630</v>
      </c>
      <c r="J85" s="128">
        <v>58544</v>
      </c>
      <c r="K85" s="128">
        <f t="shared" si="0"/>
        <v>4098080</v>
      </c>
      <c r="L85" s="125" t="s">
        <v>686</v>
      </c>
      <c r="M85" s="85" t="s">
        <v>47</v>
      </c>
      <c r="N85" s="85" t="s">
        <v>1491</v>
      </c>
    </row>
    <row r="86" spans="2:14" ht="15.75" thickBot="1" x14ac:dyDescent="0.3">
      <c r="B86" s="82" t="s">
        <v>542</v>
      </c>
      <c r="C86" s="83" t="s">
        <v>629</v>
      </c>
      <c r="D86" s="124" t="s">
        <v>620</v>
      </c>
      <c r="E86" s="130">
        <v>2009</v>
      </c>
      <c r="F86" s="125" t="s">
        <v>734</v>
      </c>
      <c r="G86" s="125">
        <v>83</v>
      </c>
      <c r="H86" s="85">
        <v>41325.509999999995</v>
      </c>
      <c r="I86" s="85" t="s">
        <v>630</v>
      </c>
      <c r="J86" s="128">
        <v>104817</v>
      </c>
      <c r="K86" s="128">
        <f t="shared" si="0"/>
        <v>8699811</v>
      </c>
      <c r="L86" s="125" t="s">
        <v>687</v>
      </c>
      <c r="M86" s="85" t="s">
        <v>47</v>
      </c>
      <c r="N86" s="85" t="s">
        <v>1491</v>
      </c>
    </row>
    <row r="87" spans="2:14" ht="15.75" thickBot="1" x14ac:dyDescent="0.3">
      <c r="B87" s="82" t="s">
        <v>542</v>
      </c>
      <c r="C87" s="83" t="s">
        <v>629</v>
      </c>
      <c r="D87" s="124" t="s">
        <v>620</v>
      </c>
      <c r="E87" s="130">
        <v>2008</v>
      </c>
      <c r="F87" s="125" t="s">
        <v>731</v>
      </c>
      <c r="G87" s="125">
        <v>59</v>
      </c>
      <c r="H87" s="85">
        <v>30694.179999999997</v>
      </c>
      <c r="I87" s="85" t="s">
        <v>630</v>
      </c>
      <c r="J87" s="128">
        <v>82517</v>
      </c>
      <c r="K87" s="128">
        <f t="shared" si="0"/>
        <v>4868503</v>
      </c>
      <c r="L87" s="125" t="s">
        <v>688</v>
      </c>
      <c r="M87" s="85" t="s">
        <v>47</v>
      </c>
      <c r="N87" s="85" t="s">
        <v>1491</v>
      </c>
    </row>
    <row r="88" spans="2:14" ht="15.75" thickBot="1" x14ac:dyDescent="0.3">
      <c r="B88" s="82" t="s">
        <v>542</v>
      </c>
      <c r="C88" s="83" t="s">
        <v>629</v>
      </c>
      <c r="D88" s="124" t="s">
        <v>620</v>
      </c>
      <c r="E88" s="130">
        <v>2000</v>
      </c>
      <c r="F88" s="125" t="s">
        <v>735</v>
      </c>
      <c r="G88" s="125">
        <v>53</v>
      </c>
      <c r="H88" s="85">
        <v>12375.380000000001</v>
      </c>
      <c r="I88" s="85" t="s">
        <v>630</v>
      </c>
      <c r="J88" s="128">
        <v>36193</v>
      </c>
      <c r="K88" s="128">
        <f t="shared" si="0"/>
        <v>1918229</v>
      </c>
      <c r="L88" s="125" t="s">
        <v>689</v>
      </c>
      <c r="M88" s="85" t="s">
        <v>47</v>
      </c>
      <c r="N88" s="85" t="s">
        <v>1491</v>
      </c>
    </row>
    <row r="89" spans="2:14" ht="15.75" thickBot="1" x14ac:dyDescent="0.3">
      <c r="B89" s="82" t="s">
        <v>542</v>
      </c>
      <c r="C89" s="83" t="s">
        <v>629</v>
      </c>
      <c r="D89" s="124" t="s">
        <v>620</v>
      </c>
      <c r="E89" s="130">
        <v>1997</v>
      </c>
      <c r="F89" s="125" t="s">
        <v>736</v>
      </c>
      <c r="G89" s="125">
        <v>83</v>
      </c>
      <c r="H89" s="85">
        <v>9186.77</v>
      </c>
      <c r="I89" s="85" t="s">
        <v>630</v>
      </c>
      <c r="J89" s="128">
        <v>24182</v>
      </c>
      <c r="K89" s="128">
        <f t="shared" si="0"/>
        <v>2007106</v>
      </c>
      <c r="L89" s="125" t="s">
        <v>690</v>
      </c>
      <c r="M89" s="85" t="s">
        <v>47</v>
      </c>
      <c r="N89" s="85" t="s">
        <v>1491</v>
      </c>
    </row>
    <row r="90" spans="2:14" ht="15.75" thickBot="1" x14ac:dyDescent="0.3">
      <c r="B90" s="82" t="s">
        <v>542</v>
      </c>
      <c r="C90" s="83" t="s">
        <v>629</v>
      </c>
      <c r="D90" s="124" t="s">
        <v>620</v>
      </c>
      <c r="E90" s="130">
        <v>1998</v>
      </c>
      <c r="F90" s="125" t="s">
        <v>736</v>
      </c>
      <c r="G90" s="125">
        <v>66</v>
      </c>
      <c r="H90" s="85">
        <v>4298.08</v>
      </c>
      <c r="I90" s="85" t="s">
        <v>630</v>
      </c>
      <c r="J90" s="128">
        <v>12250</v>
      </c>
      <c r="K90" s="128">
        <f t="shared" si="0"/>
        <v>808500</v>
      </c>
      <c r="L90" s="125" t="s">
        <v>691</v>
      </c>
      <c r="M90" s="85" t="s">
        <v>47</v>
      </c>
      <c r="N90" s="85" t="s">
        <v>1491</v>
      </c>
    </row>
    <row r="91" spans="2:14" ht="15.75" thickBot="1" x14ac:dyDescent="0.3">
      <c r="B91" s="82" t="s">
        <v>542</v>
      </c>
      <c r="C91" s="83" t="s">
        <v>629</v>
      </c>
      <c r="D91" s="124" t="s">
        <v>620</v>
      </c>
      <c r="E91" s="130">
        <v>2003</v>
      </c>
      <c r="F91" s="125" t="s">
        <v>732</v>
      </c>
      <c r="G91" s="125">
        <v>63</v>
      </c>
      <c r="H91" s="85">
        <v>19873.660000000003</v>
      </c>
      <c r="I91" s="85" t="s">
        <v>630</v>
      </c>
      <c r="J91" s="128">
        <v>50662</v>
      </c>
      <c r="K91" s="128">
        <f t="shared" si="0"/>
        <v>3191706</v>
      </c>
      <c r="L91" s="125" t="s">
        <v>692</v>
      </c>
      <c r="M91" s="85" t="s">
        <v>47</v>
      </c>
      <c r="N91" s="85" t="s">
        <v>1491</v>
      </c>
    </row>
    <row r="92" spans="2:14" ht="15.75" thickBot="1" x14ac:dyDescent="0.3">
      <c r="B92" s="82" t="s">
        <v>542</v>
      </c>
      <c r="C92" s="83" t="s">
        <v>629</v>
      </c>
      <c r="D92" s="124" t="s">
        <v>620</v>
      </c>
      <c r="E92" s="130">
        <v>1999</v>
      </c>
      <c r="F92" s="125" t="s">
        <v>736</v>
      </c>
      <c r="G92" s="125">
        <v>83</v>
      </c>
      <c r="H92" s="85">
        <v>11561.64</v>
      </c>
      <c r="I92" s="85" t="s">
        <v>630</v>
      </c>
      <c r="J92" s="128">
        <v>33758</v>
      </c>
      <c r="K92" s="128">
        <f t="shared" si="0"/>
        <v>2801914</v>
      </c>
      <c r="L92" s="125" t="s">
        <v>693</v>
      </c>
      <c r="M92" s="85" t="s">
        <v>47</v>
      </c>
      <c r="N92" s="85" t="s">
        <v>1491</v>
      </c>
    </row>
    <row r="93" spans="2:14" ht="15.75" thickBot="1" x14ac:dyDescent="0.3">
      <c r="B93" s="82" t="s">
        <v>542</v>
      </c>
      <c r="C93" s="83" t="s">
        <v>629</v>
      </c>
      <c r="D93" s="124" t="s">
        <v>620</v>
      </c>
      <c r="E93" s="130">
        <v>2009</v>
      </c>
      <c r="F93" s="125" t="s">
        <v>734</v>
      </c>
      <c r="G93" s="125">
        <v>98</v>
      </c>
      <c r="H93" s="85">
        <v>39825.485000000001</v>
      </c>
      <c r="I93" s="85" t="s">
        <v>630</v>
      </c>
      <c r="J93" s="128">
        <v>100862</v>
      </c>
      <c r="K93" s="128">
        <f t="shared" si="0"/>
        <v>9884476</v>
      </c>
      <c r="L93" s="125" t="s">
        <v>694</v>
      </c>
      <c r="M93" s="85" t="s">
        <v>47</v>
      </c>
      <c r="N93" s="85" t="s">
        <v>1491</v>
      </c>
    </row>
    <row r="94" spans="2:14" ht="15.75" thickBot="1" x14ac:dyDescent="0.3">
      <c r="B94" s="82" t="s">
        <v>542</v>
      </c>
      <c r="C94" s="83" t="s">
        <v>629</v>
      </c>
      <c r="D94" s="124" t="s">
        <v>620</v>
      </c>
      <c r="E94" s="130">
        <v>2008</v>
      </c>
      <c r="F94" s="125" t="s">
        <v>731</v>
      </c>
      <c r="G94" s="125">
        <v>82</v>
      </c>
      <c r="H94" s="85">
        <v>12057.630000000001</v>
      </c>
      <c r="I94" s="85" t="s">
        <v>630</v>
      </c>
      <c r="J94" s="128">
        <v>36208</v>
      </c>
      <c r="K94" s="128">
        <f t="shared" si="0"/>
        <v>2969056</v>
      </c>
      <c r="L94" s="125" t="s">
        <v>695</v>
      </c>
      <c r="M94" s="85" t="s">
        <v>47</v>
      </c>
      <c r="N94" s="85" t="s">
        <v>1491</v>
      </c>
    </row>
    <row r="95" spans="2:14" ht="15.75" thickBot="1" x14ac:dyDescent="0.3">
      <c r="B95" s="82" t="s">
        <v>542</v>
      </c>
      <c r="C95" s="83" t="s">
        <v>629</v>
      </c>
      <c r="D95" s="124" t="s">
        <v>620</v>
      </c>
      <c r="E95" s="130">
        <v>2008</v>
      </c>
      <c r="F95" s="125" t="s">
        <v>731</v>
      </c>
      <c r="G95" s="125">
        <v>95</v>
      </c>
      <c r="H95" s="85">
        <v>45243.237999999998</v>
      </c>
      <c r="I95" s="85" t="s">
        <v>630</v>
      </c>
      <c r="J95" s="128">
        <v>110221</v>
      </c>
      <c r="K95" s="128">
        <f t="shared" ref="K95:K158" si="1">J95*G95</f>
        <v>10470995</v>
      </c>
      <c r="L95" s="125" t="s">
        <v>696</v>
      </c>
      <c r="M95" s="85" t="s">
        <v>47</v>
      </c>
      <c r="N95" s="85" t="s">
        <v>1491</v>
      </c>
    </row>
    <row r="96" spans="2:14" ht="15.75" thickBot="1" x14ac:dyDescent="0.3">
      <c r="B96" s="82" t="s">
        <v>542</v>
      </c>
      <c r="C96" s="83" t="s">
        <v>629</v>
      </c>
      <c r="D96" s="124" t="s">
        <v>620</v>
      </c>
      <c r="E96" s="130">
        <v>2002</v>
      </c>
      <c r="F96" s="125" t="s">
        <v>732</v>
      </c>
      <c r="G96" s="125">
        <v>97</v>
      </c>
      <c r="H96" s="85">
        <v>8912.1600000000017</v>
      </c>
      <c r="I96" s="85" t="s">
        <v>630</v>
      </c>
      <c r="J96" s="128">
        <v>20961</v>
      </c>
      <c r="K96" s="128">
        <f t="shared" si="1"/>
        <v>2033217</v>
      </c>
      <c r="L96" s="125" t="s">
        <v>697</v>
      </c>
      <c r="M96" s="85" t="s">
        <v>47</v>
      </c>
      <c r="N96" s="85" t="s">
        <v>1491</v>
      </c>
    </row>
    <row r="97" spans="2:14" ht="15.75" thickBot="1" x14ac:dyDescent="0.3">
      <c r="B97" s="82" t="s">
        <v>542</v>
      </c>
      <c r="C97" s="83" t="s">
        <v>629</v>
      </c>
      <c r="D97" s="124" t="s">
        <v>620</v>
      </c>
      <c r="E97" s="130">
        <v>2004</v>
      </c>
      <c r="F97" s="125" t="s">
        <v>732</v>
      </c>
      <c r="G97" s="125">
        <v>76</v>
      </c>
      <c r="H97" s="85">
        <v>17252.909999999996</v>
      </c>
      <c r="I97" s="85" t="s">
        <v>630</v>
      </c>
      <c r="J97" s="128">
        <v>43976</v>
      </c>
      <c r="K97" s="128">
        <f t="shared" si="1"/>
        <v>3342176</v>
      </c>
      <c r="L97" s="125" t="s">
        <v>698</v>
      </c>
      <c r="M97" s="85" t="s">
        <v>47</v>
      </c>
      <c r="N97" s="85" t="s">
        <v>1491</v>
      </c>
    </row>
    <row r="98" spans="2:14" ht="15.75" thickBot="1" x14ac:dyDescent="0.3">
      <c r="B98" s="82" t="s">
        <v>542</v>
      </c>
      <c r="C98" s="83" t="s">
        <v>629</v>
      </c>
      <c r="D98" s="124" t="s">
        <v>620</v>
      </c>
      <c r="E98" s="130">
        <v>2004</v>
      </c>
      <c r="F98" s="125" t="s">
        <v>732</v>
      </c>
      <c r="G98" s="125">
        <v>76</v>
      </c>
      <c r="H98" s="85">
        <v>19092.59</v>
      </c>
      <c r="I98" s="85" t="s">
        <v>630</v>
      </c>
      <c r="J98" s="128">
        <v>50578</v>
      </c>
      <c r="K98" s="128">
        <f t="shared" si="1"/>
        <v>3843928</v>
      </c>
      <c r="L98" s="125" t="s">
        <v>699</v>
      </c>
      <c r="M98" s="85" t="s">
        <v>47</v>
      </c>
      <c r="N98" s="85" t="s">
        <v>1491</v>
      </c>
    </row>
    <row r="99" spans="2:14" ht="15.75" thickBot="1" x14ac:dyDescent="0.3">
      <c r="B99" s="82" t="s">
        <v>542</v>
      </c>
      <c r="C99" s="83" t="s">
        <v>629</v>
      </c>
      <c r="D99" s="124" t="s">
        <v>620</v>
      </c>
      <c r="E99" s="130">
        <v>2005</v>
      </c>
      <c r="F99" s="125" t="s">
        <v>732</v>
      </c>
      <c r="G99" s="125">
        <v>36</v>
      </c>
      <c r="H99" s="85">
        <v>14070.639999999998</v>
      </c>
      <c r="I99" s="85" t="s">
        <v>630</v>
      </c>
      <c r="J99" s="128">
        <v>45959</v>
      </c>
      <c r="K99" s="128">
        <f t="shared" si="1"/>
        <v>1654524</v>
      </c>
      <c r="L99" s="125" t="s">
        <v>700</v>
      </c>
      <c r="M99" s="85" t="s">
        <v>47</v>
      </c>
      <c r="N99" s="85" t="s">
        <v>1491</v>
      </c>
    </row>
    <row r="100" spans="2:14" ht="15.75" thickBot="1" x14ac:dyDescent="0.3">
      <c r="B100" s="82" t="s">
        <v>542</v>
      </c>
      <c r="C100" s="83" t="s">
        <v>629</v>
      </c>
      <c r="D100" s="124" t="s">
        <v>620</v>
      </c>
      <c r="E100" s="130">
        <v>2005</v>
      </c>
      <c r="F100" s="125" t="s">
        <v>732</v>
      </c>
      <c r="G100" s="125">
        <v>36</v>
      </c>
      <c r="H100" s="85">
        <v>13223.41</v>
      </c>
      <c r="I100" s="85" t="s">
        <v>630</v>
      </c>
      <c r="J100" s="128">
        <v>38621</v>
      </c>
      <c r="K100" s="128">
        <f t="shared" si="1"/>
        <v>1390356</v>
      </c>
      <c r="L100" s="125" t="s">
        <v>701</v>
      </c>
      <c r="M100" s="85" t="s">
        <v>47</v>
      </c>
      <c r="N100" s="85" t="s">
        <v>1491</v>
      </c>
    </row>
    <row r="101" spans="2:14" ht="15.75" thickBot="1" x14ac:dyDescent="0.3">
      <c r="B101" s="82" t="s">
        <v>542</v>
      </c>
      <c r="C101" s="83" t="s">
        <v>629</v>
      </c>
      <c r="D101" s="124" t="s">
        <v>620</v>
      </c>
      <c r="E101" s="130">
        <v>2005</v>
      </c>
      <c r="F101" s="125" t="s">
        <v>732</v>
      </c>
      <c r="G101" s="125">
        <v>36</v>
      </c>
      <c r="H101" s="85">
        <v>12660.159999999998</v>
      </c>
      <c r="I101" s="85" t="s">
        <v>630</v>
      </c>
      <c r="J101" s="128">
        <v>38186</v>
      </c>
      <c r="K101" s="128">
        <f t="shared" si="1"/>
        <v>1374696</v>
      </c>
      <c r="L101" s="125" t="s">
        <v>702</v>
      </c>
      <c r="M101" s="85" t="s">
        <v>47</v>
      </c>
      <c r="N101" s="85" t="s">
        <v>1491</v>
      </c>
    </row>
    <row r="102" spans="2:14" ht="15.75" thickBot="1" x14ac:dyDescent="0.3">
      <c r="B102" s="82" t="s">
        <v>542</v>
      </c>
      <c r="C102" s="83" t="s">
        <v>629</v>
      </c>
      <c r="D102" s="124" t="s">
        <v>620</v>
      </c>
      <c r="E102" s="130">
        <v>2001</v>
      </c>
      <c r="F102" s="125" t="s">
        <v>732</v>
      </c>
      <c r="G102" s="125">
        <v>55</v>
      </c>
      <c r="H102" s="85">
        <v>6800.5700000000006</v>
      </c>
      <c r="I102" s="85" t="s">
        <v>630</v>
      </c>
      <c r="J102" s="128">
        <v>16564</v>
      </c>
      <c r="K102" s="128">
        <f t="shared" si="1"/>
        <v>911020</v>
      </c>
      <c r="L102" s="125" t="s">
        <v>703</v>
      </c>
      <c r="M102" s="85" t="s">
        <v>47</v>
      </c>
      <c r="N102" s="85" t="s">
        <v>1491</v>
      </c>
    </row>
    <row r="103" spans="2:14" ht="15.75" thickBot="1" x14ac:dyDescent="0.3">
      <c r="B103" s="82" t="s">
        <v>542</v>
      </c>
      <c r="C103" s="83" t="s">
        <v>629</v>
      </c>
      <c r="D103" s="124" t="s">
        <v>620</v>
      </c>
      <c r="E103" s="130">
        <v>2001</v>
      </c>
      <c r="F103" s="125" t="s">
        <v>732</v>
      </c>
      <c r="G103" s="125">
        <v>49</v>
      </c>
      <c r="H103" s="85">
        <v>0</v>
      </c>
      <c r="I103" s="85" t="s">
        <v>630</v>
      </c>
      <c r="J103" s="128">
        <v>0</v>
      </c>
      <c r="K103" s="128">
        <f t="shared" si="1"/>
        <v>0</v>
      </c>
      <c r="L103" s="125" t="s">
        <v>704</v>
      </c>
      <c r="M103" s="85" t="s">
        <v>47</v>
      </c>
      <c r="N103" s="85" t="s">
        <v>1491</v>
      </c>
    </row>
    <row r="104" spans="2:14" ht="15.75" thickBot="1" x14ac:dyDescent="0.3">
      <c r="B104" s="82" t="s">
        <v>542</v>
      </c>
      <c r="C104" s="83" t="s">
        <v>629</v>
      </c>
      <c r="D104" s="124" t="s">
        <v>620</v>
      </c>
      <c r="E104" s="130">
        <v>2004</v>
      </c>
      <c r="F104" s="125" t="s">
        <v>732</v>
      </c>
      <c r="G104" s="125">
        <v>49</v>
      </c>
      <c r="H104" s="85">
        <v>28835.781999999999</v>
      </c>
      <c r="I104" s="85" t="s">
        <v>630</v>
      </c>
      <c r="J104" s="128">
        <v>79217</v>
      </c>
      <c r="K104" s="128">
        <f t="shared" si="1"/>
        <v>3881633</v>
      </c>
      <c r="L104" s="125" t="s">
        <v>705</v>
      </c>
      <c r="M104" s="85" t="s">
        <v>47</v>
      </c>
      <c r="N104" s="85" t="s">
        <v>1491</v>
      </c>
    </row>
    <row r="105" spans="2:14" ht="15.75" thickBot="1" x14ac:dyDescent="0.3">
      <c r="B105" s="82" t="s">
        <v>542</v>
      </c>
      <c r="C105" s="83" t="s">
        <v>629</v>
      </c>
      <c r="D105" s="124" t="s">
        <v>620</v>
      </c>
      <c r="E105" s="130">
        <v>2004</v>
      </c>
      <c r="F105" s="125" t="s">
        <v>732</v>
      </c>
      <c r="G105" s="125">
        <v>49</v>
      </c>
      <c r="H105" s="85">
        <v>23734.95</v>
      </c>
      <c r="I105" s="85" t="s">
        <v>630</v>
      </c>
      <c r="J105" s="128">
        <v>62619</v>
      </c>
      <c r="K105" s="128">
        <f t="shared" si="1"/>
        <v>3068331</v>
      </c>
      <c r="L105" s="125" t="s">
        <v>706</v>
      </c>
      <c r="M105" s="85" t="s">
        <v>47</v>
      </c>
      <c r="N105" s="85" t="s">
        <v>1491</v>
      </c>
    </row>
    <row r="106" spans="2:14" ht="15.75" thickBot="1" x14ac:dyDescent="0.3">
      <c r="B106" s="82" t="s">
        <v>542</v>
      </c>
      <c r="C106" s="83" t="s">
        <v>629</v>
      </c>
      <c r="D106" s="124" t="s">
        <v>620</v>
      </c>
      <c r="E106" s="130">
        <v>2004</v>
      </c>
      <c r="F106" s="125" t="s">
        <v>732</v>
      </c>
      <c r="G106" s="125">
        <v>55</v>
      </c>
      <c r="H106" s="85">
        <v>396.44000000000005</v>
      </c>
      <c r="I106" s="85" t="s">
        <v>630</v>
      </c>
      <c r="J106" s="128">
        <v>1015</v>
      </c>
      <c r="K106" s="128">
        <f t="shared" si="1"/>
        <v>55825</v>
      </c>
      <c r="L106" s="125" t="s">
        <v>707</v>
      </c>
      <c r="M106" s="85" t="s">
        <v>47</v>
      </c>
      <c r="N106" s="85" t="s">
        <v>1491</v>
      </c>
    </row>
    <row r="107" spans="2:14" ht="15.75" thickBot="1" x14ac:dyDescent="0.3">
      <c r="B107" s="82" t="s">
        <v>542</v>
      </c>
      <c r="C107" s="83" t="s">
        <v>629</v>
      </c>
      <c r="D107" s="124" t="s">
        <v>620</v>
      </c>
      <c r="E107" s="130">
        <v>2004</v>
      </c>
      <c r="F107" s="125" t="s">
        <v>732</v>
      </c>
      <c r="G107" s="125">
        <v>55</v>
      </c>
      <c r="H107" s="85">
        <v>18331.68</v>
      </c>
      <c r="I107" s="85" t="s">
        <v>630</v>
      </c>
      <c r="J107" s="128">
        <v>43101</v>
      </c>
      <c r="K107" s="128">
        <f t="shared" si="1"/>
        <v>2370555</v>
      </c>
      <c r="L107" s="125" t="s">
        <v>708</v>
      </c>
      <c r="M107" s="85" t="s">
        <v>47</v>
      </c>
      <c r="N107" s="85" t="s">
        <v>1491</v>
      </c>
    </row>
    <row r="108" spans="2:14" ht="15.75" thickBot="1" x14ac:dyDescent="0.3">
      <c r="B108" s="82" t="s">
        <v>542</v>
      </c>
      <c r="C108" s="83" t="s">
        <v>629</v>
      </c>
      <c r="D108" s="124" t="s">
        <v>620</v>
      </c>
      <c r="E108" s="130">
        <v>2004</v>
      </c>
      <c r="F108" s="125" t="s">
        <v>732</v>
      </c>
      <c r="G108" s="125">
        <v>55</v>
      </c>
      <c r="H108" s="85">
        <v>13682.288000000002</v>
      </c>
      <c r="I108" s="85" t="s">
        <v>630</v>
      </c>
      <c r="J108" s="128">
        <v>32065</v>
      </c>
      <c r="K108" s="128">
        <f t="shared" si="1"/>
        <v>1763575</v>
      </c>
      <c r="L108" s="125" t="s">
        <v>709</v>
      </c>
      <c r="M108" s="85" t="s">
        <v>47</v>
      </c>
      <c r="N108" s="85" t="s">
        <v>1491</v>
      </c>
    </row>
    <row r="109" spans="2:14" ht="15.75" thickBot="1" x14ac:dyDescent="0.3">
      <c r="B109" s="82" t="s">
        <v>542</v>
      </c>
      <c r="C109" s="83" t="s">
        <v>629</v>
      </c>
      <c r="D109" s="124" t="s">
        <v>620</v>
      </c>
      <c r="E109" s="130">
        <v>2005</v>
      </c>
      <c r="F109" s="125" t="s">
        <v>732</v>
      </c>
      <c r="G109" s="125">
        <v>66</v>
      </c>
      <c r="H109" s="85">
        <v>29475.360000000001</v>
      </c>
      <c r="I109" s="85" t="s">
        <v>630</v>
      </c>
      <c r="J109" s="128">
        <v>84990</v>
      </c>
      <c r="K109" s="128">
        <f t="shared" si="1"/>
        <v>5609340</v>
      </c>
      <c r="L109" s="125" t="s">
        <v>710</v>
      </c>
      <c r="M109" s="85" t="s">
        <v>47</v>
      </c>
      <c r="N109" s="85" t="s">
        <v>1491</v>
      </c>
    </row>
    <row r="110" spans="2:14" ht="15.75" thickBot="1" x14ac:dyDescent="0.3">
      <c r="B110" s="82" t="s">
        <v>542</v>
      </c>
      <c r="C110" s="83" t="s">
        <v>629</v>
      </c>
      <c r="D110" s="124" t="s">
        <v>620</v>
      </c>
      <c r="E110" s="130">
        <v>2005</v>
      </c>
      <c r="F110" s="125" t="s">
        <v>732</v>
      </c>
      <c r="G110" s="125">
        <v>66</v>
      </c>
      <c r="H110" s="85">
        <v>30447.382000000001</v>
      </c>
      <c r="I110" s="85" t="s">
        <v>630</v>
      </c>
      <c r="J110" s="128">
        <v>89443</v>
      </c>
      <c r="K110" s="128">
        <f t="shared" si="1"/>
        <v>5903238</v>
      </c>
      <c r="L110" s="125" t="s">
        <v>711</v>
      </c>
      <c r="M110" s="85" t="s">
        <v>47</v>
      </c>
      <c r="N110" s="85" t="s">
        <v>1491</v>
      </c>
    </row>
    <row r="111" spans="2:14" ht="15.75" thickBot="1" x14ac:dyDescent="0.3">
      <c r="B111" s="82" t="s">
        <v>542</v>
      </c>
      <c r="C111" s="83" t="s">
        <v>629</v>
      </c>
      <c r="D111" s="124" t="s">
        <v>620</v>
      </c>
      <c r="E111" s="130">
        <v>2005</v>
      </c>
      <c r="F111" s="125" t="s">
        <v>732</v>
      </c>
      <c r="G111" s="125">
        <v>37</v>
      </c>
      <c r="H111" s="85">
        <v>26339.739999999998</v>
      </c>
      <c r="I111" s="85" t="s">
        <v>630</v>
      </c>
      <c r="J111" s="128">
        <v>74032</v>
      </c>
      <c r="K111" s="128">
        <f t="shared" si="1"/>
        <v>2739184</v>
      </c>
      <c r="L111" s="125" t="s">
        <v>712</v>
      </c>
      <c r="M111" s="85" t="s">
        <v>47</v>
      </c>
      <c r="N111" s="85" t="s">
        <v>1491</v>
      </c>
    </row>
    <row r="112" spans="2:14" ht="15.75" thickBot="1" x14ac:dyDescent="0.3">
      <c r="B112" s="82" t="s">
        <v>542</v>
      </c>
      <c r="C112" s="83" t="s">
        <v>629</v>
      </c>
      <c r="D112" s="124" t="s">
        <v>620</v>
      </c>
      <c r="E112" s="130">
        <v>2005</v>
      </c>
      <c r="F112" s="125" t="s">
        <v>732</v>
      </c>
      <c r="G112" s="125">
        <v>37</v>
      </c>
      <c r="H112" s="85">
        <v>21581.800000000003</v>
      </c>
      <c r="I112" s="85" t="s">
        <v>630</v>
      </c>
      <c r="J112" s="128">
        <v>61792</v>
      </c>
      <c r="K112" s="128">
        <f t="shared" si="1"/>
        <v>2286304</v>
      </c>
      <c r="L112" s="125" t="s">
        <v>713</v>
      </c>
      <c r="M112" s="85" t="s">
        <v>47</v>
      </c>
      <c r="N112" s="85" t="s">
        <v>1491</v>
      </c>
    </row>
    <row r="113" spans="2:14" ht="15.75" thickBot="1" x14ac:dyDescent="0.3">
      <c r="B113" s="82" t="s">
        <v>542</v>
      </c>
      <c r="C113" s="83" t="s">
        <v>629</v>
      </c>
      <c r="D113" s="124" t="s">
        <v>620</v>
      </c>
      <c r="E113" s="130">
        <v>2005</v>
      </c>
      <c r="F113" s="125" t="s">
        <v>732</v>
      </c>
      <c r="G113" s="125">
        <v>37</v>
      </c>
      <c r="H113" s="85">
        <v>26180.250000000004</v>
      </c>
      <c r="I113" s="85" t="s">
        <v>630</v>
      </c>
      <c r="J113" s="128">
        <v>73022</v>
      </c>
      <c r="K113" s="128">
        <f t="shared" si="1"/>
        <v>2701814</v>
      </c>
      <c r="L113" s="125" t="s">
        <v>714</v>
      </c>
      <c r="M113" s="85" t="s">
        <v>47</v>
      </c>
      <c r="N113" s="85" t="s">
        <v>1491</v>
      </c>
    </row>
    <row r="114" spans="2:14" ht="15.75" thickBot="1" x14ac:dyDescent="0.3">
      <c r="B114" s="82" t="s">
        <v>542</v>
      </c>
      <c r="C114" s="83" t="s">
        <v>629</v>
      </c>
      <c r="D114" s="124" t="s">
        <v>620</v>
      </c>
      <c r="E114" s="130">
        <v>2005</v>
      </c>
      <c r="F114" s="125" t="s">
        <v>732</v>
      </c>
      <c r="G114" s="125">
        <v>37</v>
      </c>
      <c r="H114" s="85">
        <v>24396.719999999998</v>
      </c>
      <c r="I114" s="85" t="s">
        <v>630</v>
      </c>
      <c r="J114" s="128">
        <v>69096</v>
      </c>
      <c r="K114" s="128">
        <f t="shared" si="1"/>
        <v>2556552</v>
      </c>
      <c r="L114" s="125" t="s">
        <v>715</v>
      </c>
      <c r="M114" s="85" t="s">
        <v>47</v>
      </c>
      <c r="N114" s="85" t="s">
        <v>1491</v>
      </c>
    </row>
    <row r="115" spans="2:14" ht="15.75" thickBot="1" x14ac:dyDescent="0.3">
      <c r="B115" s="82" t="s">
        <v>542</v>
      </c>
      <c r="C115" s="83" t="s">
        <v>629</v>
      </c>
      <c r="D115" s="124" t="s">
        <v>620</v>
      </c>
      <c r="E115" s="130">
        <v>2007</v>
      </c>
      <c r="F115" s="125" t="s">
        <v>731</v>
      </c>
      <c r="G115" s="125">
        <v>55</v>
      </c>
      <c r="H115" s="85">
        <v>32162.57</v>
      </c>
      <c r="I115" s="85" t="s">
        <v>630</v>
      </c>
      <c r="J115" s="128">
        <v>94218</v>
      </c>
      <c r="K115" s="128">
        <f t="shared" si="1"/>
        <v>5181990</v>
      </c>
      <c r="L115" s="125" t="s">
        <v>716</v>
      </c>
      <c r="M115" s="85" t="s">
        <v>47</v>
      </c>
      <c r="N115" s="85" t="s">
        <v>1491</v>
      </c>
    </row>
    <row r="116" spans="2:14" ht="15.75" thickBot="1" x14ac:dyDescent="0.3">
      <c r="B116" s="82" t="s">
        <v>542</v>
      </c>
      <c r="C116" s="83" t="s">
        <v>629</v>
      </c>
      <c r="D116" s="124" t="s">
        <v>620</v>
      </c>
      <c r="E116" s="130">
        <v>2007</v>
      </c>
      <c r="F116" s="125" t="s">
        <v>731</v>
      </c>
      <c r="G116" s="125">
        <v>55</v>
      </c>
      <c r="H116" s="85">
        <v>167.89</v>
      </c>
      <c r="I116" s="85" t="s">
        <v>630</v>
      </c>
      <c r="J116" s="128">
        <v>493</v>
      </c>
      <c r="K116" s="128">
        <f t="shared" si="1"/>
        <v>27115</v>
      </c>
      <c r="L116" s="125" t="s">
        <v>717</v>
      </c>
      <c r="M116" s="85" t="s">
        <v>47</v>
      </c>
      <c r="N116" s="85" t="s">
        <v>1491</v>
      </c>
    </row>
    <row r="117" spans="2:14" ht="15.75" thickBot="1" x14ac:dyDescent="0.3">
      <c r="B117" s="82" t="s">
        <v>542</v>
      </c>
      <c r="C117" s="83" t="s">
        <v>629</v>
      </c>
      <c r="D117" s="124" t="s">
        <v>620</v>
      </c>
      <c r="E117" s="130">
        <v>2007</v>
      </c>
      <c r="F117" s="125" t="s">
        <v>731</v>
      </c>
      <c r="G117" s="125">
        <v>55</v>
      </c>
      <c r="H117" s="85">
        <v>13114.44</v>
      </c>
      <c r="I117" s="85" t="s">
        <v>630</v>
      </c>
      <c r="J117" s="128">
        <v>34761</v>
      </c>
      <c r="K117" s="128">
        <f t="shared" si="1"/>
        <v>1911855</v>
      </c>
      <c r="L117" s="125" t="s">
        <v>718</v>
      </c>
      <c r="M117" s="85" t="s">
        <v>47</v>
      </c>
      <c r="N117" s="85" t="s">
        <v>1491</v>
      </c>
    </row>
    <row r="118" spans="2:14" ht="15.75" thickBot="1" x14ac:dyDescent="0.3">
      <c r="B118" s="82" t="s">
        <v>542</v>
      </c>
      <c r="C118" s="83" t="s">
        <v>629</v>
      </c>
      <c r="D118" s="124" t="s">
        <v>620</v>
      </c>
      <c r="E118" s="130">
        <v>2008</v>
      </c>
      <c r="F118" s="125" t="s">
        <v>731</v>
      </c>
      <c r="G118" s="125">
        <v>53</v>
      </c>
      <c r="H118" s="85">
        <v>23804.739999999994</v>
      </c>
      <c r="I118" s="85" t="s">
        <v>630</v>
      </c>
      <c r="J118" s="128">
        <v>66781</v>
      </c>
      <c r="K118" s="128">
        <f t="shared" si="1"/>
        <v>3539393</v>
      </c>
      <c r="L118" s="125" t="s">
        <v>719</v>
      </c>
      <c r="M118" s="85" t="s">
        <v>47</v>
      </c>
      <c r="N118" s="85" t="s">
        <v>1491</v>
      </c>
    </row>
    <row r="119" spans="2:14" ht="15.75" thickBot="1" x14ac:dyDescent="0.3">
      <c r="B119" s="82" t="s">
        <v>542</v>
      </c>
      <c r="C119" s="83" t="s">
        <v>629</v>
      </c>
      <c r="D119" s="124" t="s">
        <v>620</v>
      </c>
      <c r="E119" s="130">
        <v>2008</v>
      </c>
      <c r="F119" s="125" t="s">
        <v>731</v>
      </c>
      <c r="G119" s="125">
        <v>53</v>
      </c>
      <c r="H119" s="85">
        <v>30463.319</v>
      </c>
      <c r="I119" s="85" t="s">
        <v>630</v>
      </c>
      <c r="J119" s="128">
        <v>87059</v>
      </c>
      <c r="K119" s="128">
        <f t="shared" si="1"/>
        <v>4614127</v>
      </c>
      <c r="L119" s="125" t="s">
        <v>720</v>
      </c>
      <c r="M119" s="85" t="s">
        <v>47</v>
      </c>
      <c r="N119" s="85" t="s">
        <v>1491</v>
      </c>
    </row>
    <row r="120" spans="2:14" ht="15.75" thickBot="1" x14ac:dyDescent="0.3">
      <c r="B120" s="82" t="s">
        <v>542</v>
      </c>
      <c r="C120" s="83" t="s">
        <v>629</v>
      </c>
      <c r="D120" s="124" t="s">
        <v>620</v>
      </c>
      <c r="E120" s="130">
        <v>2008</v>
      </c>
      <c r="F120" s="125" t="s">
        <v>731</v>
      </c>
      <c r="G120" s="125">
        <v>53</v>
      </c>
      <c r="H120" s="85">
        <v>22606.762000000002</v>
      </c>
      <c r="I120" s="85" t="s">
        <v>630</v>
      </c>
      <c r="J120" s="128">
        <v>61165</v>
      </c>
      <c r="K120" s="128">
        <f t="shared" si="1"/>
        <v>3241745</v>
      </c>
      <c r="L120" s="125" t="s">
        <v>721</v>
      </c>
      <c r="M120" s="85" t="s">
        <v>47</v>
      </c>
      <c r="N120" s="85" t="s">
        <v>1491</v>
      </c>
    </row>
    <row r="121" spans="2:14" ht="15.75" thickBot="1" x14ac:dyDescent="0.3">
      <c r="B121" s="82" t="s">
        <v>542</v>
      </c>
      <c r="C121" s="83" t="s">
        <v>629</v>
      </c>
      <c r="D121" s="124" t="s">
        <v>620</v>
      </c>
      <c r="E121" s="130">
        <v>2011</v>
      </c>
      <c r="F121" s="125" t="s">
        <v>734</v>
      </c>
      <c r="G121" s="125">
        <v>53</v>
      </c>
      <c r="H121" s="85">
        <v>28818.769</v>
      </c>
      <c r="I121" s="85" t="s">
        <v>630</v>
      </c>
      <c r="J121" s="128">
        <v>85004</v>
      </c>
      <c r="K121" s="128">
        <f t="shared" si="1"/>
        <v>4505212</v>
      </c>
      <c r="L121" s="125" t="s">
        <v>722</v>
      </c>
      <c r="M121" s="85" t="s">
        <v>47</v>
      </c>
      <c r="N121" s="85" t="s">
        <v>1491</v>
      </c>
    </row>
    <row r="122" spans="2:14" ht="15.75" thickBot="1" x14ac:dyDescent="0.3">
      <c r="B122" s="82" t="s">
        <v>542</v>
      </c>
      <c r="C122" s="83" t="s">
        <v>629</v>
      </c>
      <c r="D122" s="124" t="s">
        <v>620</v>
      </c>
      <c r="E122" s="130">
        <v>2012</v>
      </c>
      <c r="F122" s="125" t="s">
        <v>734</v>
      </c>
      <c r="G122" s="125">
        <v>53</v>
      </c>
      <c r="H122" s="85">
        <v>35979.361000000004</v>
      </c>
      <c r="I122" s="85" t="s">
        <v>630</v>
      </c>
      <c r="J122" s="128">
        <v>114644</v>
      </c>
      <c r="K122" s="128">
        <f t="shared" si="1"/>
        <v>6076132</v>
      </c>
      <c r="L122" s="125" t="s">
        <v>723</v>
      </c>
      <c r="M122" s="85" t="s">
        <v>47</v>
      </c>
      <c r="N122" s="85" t="s">
        <v>1491</v>
      </c>
    </row>
    <row r="123" spans="2:14" ht="15.75" thickBot="1" x14ac:dyDescent="0.3">
      <c r="B123" s="82" t="s">
        <v>542</v>
      </c>
      <c r="C123" s="83" t="s">
        <v>629</v>
      </c>
      <c r="D123" s="124" t="s">
        <v>620</v>
      </c>
      <c r="E123" s="130">
        <v>2012</v>
      </c>
      <c r="F123" s="125" t="s">
        <v>734</v>
      </c>
      <c r="G123" s="125">
        <v>53</v>
      </c>
      <c r="H123" s="85">
        <v>32929.273000000001</v>
      </c>
      <c r="I123" s="85" t="s">
        <v>630</v>
      </c>
      <c r="J123" s="128">
        <v>102431</v>
      </c>
      <c r="K123" s="128">
        <f t="shared" si="1"/>
        <v>5428843</v>
      </c>
      <c r="L123" s="125" t="s">
        <v>724</v>
      </c>
      <c r="M123" s="85" t="s">
        <v>47</v>
      </c>
      <c r="N123" s="85" t="s">
        <v>1491</v>
      </c>
    </row>
    <row r="124" spans="2:14" ht="15.75" thickBot="1" x14ac:dyDescent="0.3">
      <c r="B124" s="82" t="s">
        <v>542</v>
      </c>
      <c r="C124" s="83" t="s">
        <v>629</v>
      </c>
      <c r="D124" s="124" t="s">
        <v>620</v>
      </c>
      <c r="E124" s="130">
        <v>2013</v>
      </c>
      <c r="F124" s="125" t="s">
        <v>733</v>
      </c>
      <c r="G124" s="125">
        <v>53</v>
      </c>
      <c r="H124" s="85">
        <v>21326.17</v>
      </c>
      <c r="I124" s="85" t="s">
        <v>630</v>
      </c>
      <c r="J124" s="128">
        <v>62763</v>
      </c>
      <c r="K124" s="128">
        <f t="shared" si="1"/>
        <v>3326439</v>
      </c>
      <c r="L124" s="125" t="s">
        <v>725</v>
      </c>
      <c r="M124" s="85" t="s">
        <v>47</v>
      </c>
      <c r="N124" s="85" t="s">
        <v>1491</v>
      </c>
    </row>
    <row r="125" spans="2:14" ht="15.75" thickBot="1" x14ac:dyDescent="0.3">
      <c r="B125" s="82" t="s">
        <v>542</v>
      </c>
      <c r="C125" s="83" t="s">
        <v>629</v>
      </c>
      <c r="D125" s="124" t="s">
        <v>620</v>
      </c>
      <c r="E125" s="130">
        <v>2013</v>
      </c>
      <c r="F125" s="125" t="s">
        <v>733</v>
      </c>
      <c r="G125" s="125">
        <v>53</v>
      </c>
      <c r="H125" s="85">
        <v>24436.764999999999</v>
      </c>
      <c r="I125" s="85" t="s">
        <v>630</v>
      </c>
      <c r="J125" s="128">
        <v>72319</v>
      </c>
      <c r="K125" s="128">
        <f t="shared" si="1"/>
        <v>3832907</v>
      </c>
      <c r="L125" s="125" t="s">
        <v>726</v>
      </c>
      <c r="M125" s="85" t="s">
        <v>47</v>
      </c>
      <c r="N125" s="85" t="s">
        <v>1491</v>
      </c>
    </row>
    <row r="126" spans="2:14" ht="15.75" thickBot="1" x14ac:dyDescent="0.3">
      <c r="B126" s="82" t="s">
        <v>542</v>
      </c>
      <c r="C126" s="83" t="s">
        <v>629</v>
      </c>
      <c r="D126" s="124" t="s">
        <v>620</v>
      </c>
      <c r="E126" s="130">
        <v>2013</v>
      </c>
      <c r="F126" s="125" t="s">
        <v>733</v>
      </c>
      <c r="G126" s="125">
        <v>53</v>
      </c>
      <c r="H126" s="85">
        <v>34362.79</v>
      </c>
      <c r="I126" s="85" t="s">
        <v>630</v>
      </c>
      <c r="J126" s="128">
        <v>104421</v>
      </c>
      <c r="K126" s="128">
        <f t="shared" si="1"/>
        <v>5534313</v>
      </c>
      <c r="L126" s="125" t="s">
        <v>727</v>
      </c>
      <c r="M126" s="85" t="s">
        <v>47</v>
      </c>
      <c r="N126" s="85" t="s">
        <v>1491</v>
      </c>
    </row>
    <row r="127" spans="2:14" ht="15.75" thickBot="1" x14ac:dyDescent="0.3">
      <c r="B127" s="82" t="s">
        <v>542</v>
      </c>
      <c r="C127" s="83" t="s">
        <v>629</v>
      </c>
      <c r="D127" s="124" t="s">
        <v>620</v>
      </c>
      <c r="E127" s="130">
        <v>2013</v>
      </c>
      <c r="F127" s="125" t="s">
        <v>733</v>
      </c>
      <c r="G127" s="125">
        <v>53</v>
      </c>
      <c r="H127" s="85">
        <v>31002.146999999997</v>
      </c>
      <c r="I127" s="85" t="s">
        <v>630</v>
      </c>
      <c r="J127" s="128">
        <v>95463</v>
      </c>
      <c r="K127" s="128">
        <f t="shared" si="1"/>
        <v>5059539</v>
      </c>
      <c r="L127" s="125" t="s">
        <v>728</v>
      </c>
      <c r="M127" s="85" t="s">
        <v>47</v>
      </c>
      <c r="N127" s="85" t="s">
        <v>1491</v>
      </c>
    </row>
    <row r="128" spans="2:14" ht="15.75" thickBot="1" x14ac:dyDescent="0.3">
      <c r="B128" s="82" t="s">
        <v>542</v>
      </c>
      <c r="C128" s="83" t="s">
        <v>629</v>
      </c>
      <c r="D128" s="124" t="s">
        <v>620</v>
      </c>
      <c r="E128" s="130">
        <v>2013</v>
      </c>
      <c r="F128" s="125" t="s">
        <v>733</v>
      </c>
      <c r="G128" s="125">
        <v>53</v>
      </c>
      <c r="H128" s="85">
        <v>22341.880000000005</v>
      </c>
      <c r="I128" s="85" t="s">
        <v>630</v>
      </c>
      <c r="J128" s="128">
        <v>65301</v>
      </c>
      <c r="K128" s="128">
        <f t="shared" si="1"/>
        <v>3460953</v>
      </c>
      <c r="L128" s="125" t="s">
        <v>729</v>
      </c>
      <c r="M128" s="85" t="s">
        <v>47</v>
      </c>
      <c r="N128" s="85" t="s">
        <v>1491</v>
      </c>
    </row>
    <row r="129" spans="2:14" ht="15.75" thickBot="1" x14ac:dyDescent="0.3">
      <c r="B129" s="82" t="s">
        <v>543</v>
      </c>
      <c r="C129" s="83" t="s">
        <v>629</v>
      </c>
      <c r="D129" s="124" t="s">
        <v>620</v>
      </c>
      <c r="E129" s="130">
        <v>1994</v>
      </c>
      <c r="F129" s="125" t="s">
        <v>736</v>
      </c>
      <c r="G129" s="125">
        <v>48</v>
      </c>
      <c r="H129" s="85">
        <v>15217.359999999997</v>
      </c>
      <c r="I129" s="85" t="s">
        <v>630</v>
      </c>
      <c r="J129" s="128">
        <v>41034</v>
      </c>
      <c r="K129" s="128">
        <f t="shared" si="1"/>
        <v>1969632</v>
      </c>
      <c r="L129" s="125" t="s">
        <v>737</v>
      </c>
      <c r="M129" s="85" t="s">
        <v>47</v>
      </c>
      <c r="N129" s="85" t="s">
        <v>1491</v>
      </c>
    </row>
    <row r="130" spans="2:14" ht="15.75" thickBot="1" x14ac:dyDescent="0.3">
      <c r="B130" s="82" t="s">
        <v>543</v>
      </c>
      <c r="C130" s="83" t="s">
        <v>629</v>
      </c>
      <c r="D130" s="124" t="s">
        <v>620</v>
      </c>
      <c r="E130" s="130">
        <v>2003</v>
      </c>
      <c r="F130" s="125" t="s">
        <v>732</v>
      </c>
      <c r="G130" s="125">
        <v>35</v>
      </c>
      <c r="H130" s="85">
        <v>5331.37</v>
      </c>
      <c r="I130" s="85" t="s">
        <v>630</v>
      </c>
      <c r="J130" s="128">
        <v>15857</v>
      </c>
      <c r="K130" s="128">
        <f t="shared" si="1"/>
        <v>554995</v>
      </c>
      <c r="L130" s="125" t="s">
        <v>738</v>
      </c>
      <c r="M130" s="85" t="s">
        <v>47</v>
      </c>
      <c r="N130" s="85" t="s">
        <v>1491</v>
      </c>
    </row>
    <row r="131" spans="2:14" ht="15.75" thickBot="1" x14ac:dyDescent="0.3">
      <c r="B131" s="82" t="s">
        <v>543</v>
      </c>
      <c r="C131" s="83" t="s">
        <v>629</v>
      </c>
      <c r="D131" s="124" t="s">
        <v>620</v>
      </c>
      <c r="E131" s="130">
        <v>1993</v>
      </c>
      <c r="F131" s="125" t="s">
        <v>736</v>
      </c>
      <c r="G131" s="125">
        <v>69</v>
      </c>
      <c r="H131" s="85">
        <v>6935.09</v>
      </c>
      <c r="I131" s="85" t="s">
        <v>630</v>
      </c>
      <c r="J131" s="128">
        <v>19052</v>
      </c>
      <c r="K131" s="128">
        <f t="shared" si="1"/>
        <v>1314588</v>
      </c>
      <c r="L131" s="125" t="s">
        <v>739</v>
      </c>
      <c r="M131" s="85" t="s">
        <v>47</v>
      </c>
      <c r="N131" s="85" t="s">
        <v>1491</v>
      </c>
    </row>
    <row r="132" spans="2:14" ht="15.75" thickBot="1" x14ac:dyDescent="0.3">
      <c r="B132" s="82" t="s">
        <v>543</v>
      </c>
      <c r="C132" s="83" t="s">
        <v>629</v>
      </c>
      <c r="D132" s="124" t="s">
        <v>620</v>
      </c>
      <c r="E132" s="130">
        <v>1993</v>
      </c>
      <c r="F132" s="125" t="s">
        <v>736</v>
      </c>
      <c r="G132" s="125">
        <v>69</v>
      </c>
      <c r="H132" s="85">
        <v>2863.24</v>
      </c>
      <c r="I132" s="85" t="s">
        <v>630</v>
      </c>
      <c r="J132" s="128">
        <v>8153</v>
      </c>
      <c r="K132" s="128">
        <f t="shared" si="1"/>
        <v>562557</v>
      </c>
      <c r="L132" s="125" t="s">
        <v>740</v>
      </c>
      <c r="M132" s="85" t="s">
        <v>47</v>
      </c>
      <c r="N132" s="85" t="s">
        <v>1491</v>
      </c>
    </row>
    <row r="133" spans="2:14" ht="15.75" thickBot="1" x14ac:dyDescent="0.3">
      <c r="B133" s="82" t="s">
        <v>543</v>
      </c>
      <c r="C133" s="83" t="s">
        <v>629</v>
      </c>
      <c r="D133" s="124" t="s">
        <v>620</v>
      </c>
      <c r="E133" s="130">
        <v>2006</v>
      </c>
      <c r="F133" s="125" t="s">
        <v>731</v>
      </c>
      <c r="G133" s="125">
        <v>59</v>
      </c>
      <c r="H133" s="85">
        <v>4313.29</v>
      </c>
      <c r="I133" s="85" t="s">
        <v>630</v>
      </c>
      <c r="J133" s="128">
        <v>11224</v>
      </c>
      <c r="K133" s="128">
        <f t="shared" si="1"/>
        <v>662216</v>
      </c>
      <c r="L133" s="125" t="s">
        <v>741</v>
      </c>
      <c r="M133" s="85" t="s">
        <v>47</v>
      </c>
      <c r="N133" s="85" t="s">
        <v>1491</v>
      </c>
    </row>
    <row r="134" spans="2:14" ht="15.75" thickBot="1" x14ac:dyDescent="0.3">
      <c r="B134" s="82" t="s">
        <v>543</v>
      </c>
      <c r="C134" s="83" t="s">
        <v>629</v>
      </c>
      <c r="D134" s="124" t="s">
        <v>620</v>
      </c>
      <c r="E134" s="130">
        <v>2007</v>
      </c>
      <c r="F134" s="125" t="s">
        <v>731</v>
      </c>
      <c r="G134" s="125">
        <v>55</v>
      </c>
      <c r="H134" s="85">
        <v>19414.569999999996</v>
      </c>
      <c r="I134" s="85" t="s">
        <v>630</v>
      </c>
      <c r="J134" s="128">
        <v>55186</v>
      </c>
      <c r="K134" s="128">
        <f t="shared" si="1"/>
        <v>3035230</v>
      </c>
      <c r="L134" s="125" t="s">
        <v>742</v>
      </c>
      <c r="M134" s="85" t="s">
        <v>47</v>
      </c>
      <c r="N134" s="85" t="s">
        <v>1491</v>
      </c>
    </row>
    <row r="135" spans="2:14" ht="15.75" thickBot="1" x14ac:dyDescent="0.3">
      <c r="B135" s="82" t="s">
        <v>543</v>
      </c>
      <c r="C135" s="83" t="s">
        <v>629</v>
      </c>
      <c r="D135" s="124" t="s">
        <v>620</v>
      </c>
      <c r="E135" s="130">
        <v>2007</v>
      </c>
      <c r="F135" s="125" t="s">
        <v>731</v>
      </c>
      <c r="G135" s="125">
        <v>53</v>
      </c>
      <c r="H135" s="85">
        <v>19718.091</v>
      </c>
      <c r="I135" s="85" t="s">
        <v>630</v>
      </c>
      <c r="J135" s="128">
        <v>56685</v>
      </c>
      <c r="K135" s="128">
        <f t="shared" si="1"/>
        <v>3004305</v>
      </c>
      <c r="L135" s="125" t="s">
        <v>743</v>
      </c>
      <c r="M135" s="85" t="s">
        <v>47</v>
      </c>
      <c r="N135" s="85" t="s">
        <v>1491</v>
      </c>
    </row>
    <row r="136" spans="2:14" ht="15.75" thickBot="1" x14ac:dyDescent="0.3">
      <c r="B136" s="82" t="s">
        <v>543</v>
      </c>
      <c r="C136" s="83" t="s">
        <v>629</v>
      </c>
      <c r="D136" s="124" t="s">
        <v>620</v>
      </c>
      <c r="E136" s="130">
        <v>1999</v>
      </c>
      <c r="F136" s="125" t="s">
        <v>736</v>
      </c>
      <c r="G136" s="125">
        <v>68</v>
      </c>
      <c r="H136" s="85">
        <v>14937.45</v>
      </c>
      <c r="I136" s="85" t="s">
        <v>630</v>
      </c>
      <c r="J136" s="128">
        <v>29936</v>
      </c>
      <c r="K136" s="128">
        <f t="shared" si="1"/>
        <v>2035648</v>
      </c>
      <c r="L136" s="125" t="s">
        <v>744</v>
      </c>
      <c r="M136" s="85" t="s">
        <v>47</v>
      </c>
      <c r="N136" s="85" t="s">
        <v>1491</v>
      </c>
    </row>
    <row r="137" spans="2:14" ht="15.75" thickBot="1" x14ac:dyDescent="0.3">
      <c r="B137" s="82" t="s">
        <v>543</v>
      </c>
      <c r="C137" s="83" t="s">
        <v>629</v>
      </c>
      <c r="D137" s="124" t="s">
        <v>620</v>
      </c>
      <c r="E137" s="130">
        <v>2007</v>
      </c>
      <c r="F137" s="125" t="s">
        <v>731</v>
      </c>
      <c r="G137" s="125">
        <v>78</v>
      </c>
      <c r="H137" s="85">
        <v>17943.759999999998</v>
      </c>
      <c r="I137" s="85" t="s">
        <v>630</v>
      </c>
      <c r="J137" s="128">
        <v>46214</v>
      </c>
      <c r="K137" s="128">
        <f t="shared" si="1"/>
        <v>3604692</v>
      </c>
      <c r="L137" s="125" t="s">
        <v>745</v>
      </c>
      <c r="M137" s="85" t="s">
        <v>47</v>
      </c>
      <c r="N137" s="85" t="s">
        <v>1491</v>
      </c>
    </row>
    <row r="138" spans="2:14" ht="15.75" thickBot="1" x14ac:dyDescent="0.3">
      <c r="B138" s="82" t="s">
        <v>543</v>
      </c>
      <c r="C138" s="83" t="s">
        <v>629</v>
      </c>
      <c r="D138" s="124" t="s">
        <v>620</v>
      </c>
      <c r="E138" s="130">
        <v>2007</v>
      </c>
      <c r="F138" s="125" t="s">
        <v>731</v>
      </c>
      <c r="G138" s="125">
        <v>78</v>
      </c>
      <c r="H138" s="85">
        <v>19397.279999999995</v>
      </c>
      <c r="I138" s="85" t="s">
        <v>630</v>
      </c>
      <c r="J138" s="128">
        <v>50390</v>
      </c>
      <c r="K138" s="128">
        <f t="shared" si="1"/>
        <v>3930420</v>
      </c>
      <c r="L138" s="125" t="s">
        <v>746</v>
      </c>
      <c r="M138" s="85" t="s">
        <v>47</v>
      </c>
      <c r="N138" s="85" t="s">
        <v>1491</v>
      </c>
    </row>
    <row r="139" spans="2:14" ht="15.75" thickBot="1" x14ac:dyDescent="0.3">
      <c r="B139" s="82" t="s">
        <v>543</v>
      </c>
      <c r="C139" s="83" t="s">
        <v>629</v>
      </c>
      <c r="D139" s="124" t="s">
        <v>620</v>
      </c>
      <c r="E139" s="130">
        <v>2007</v>
      </c>
      <c r="F139" s="125" t="s">
        <v>731</v>
      </c>
      <c r="G139" s="125">
        <v>56</v>
      </c>
      <c r="H139" s="85">
        <v>9318.4199999999983</v>
      </c>
      <c r="I139" s="85" t="s">
        <v>630</v>
      </c>
      <c r="J139" s="128">
        <v>24160</v>
      </c>
      <c r="K139" s="128">
        <f t="shared" si="1"/>
        <v>1352960</v>
      </c>
      <c r="L139" s="125" t="s">
        <v>747</v>
      </c>
      <c r="M139" s="85" t="s">
        <v>47</v>
      </c>
      <c r="N139" s="85" t="s">
        <v>1491</v>
      </c>
    </row>
    <row r="140" spans="2:14" ht="15.75" thickBot="1" x14ac:dyDescent="0.3">
      <c r="B140" s="82" t="s">
        <v>543</v>
      </c>
      <c r="C140" s="83" t="s">
        <v>629</v>
      </c>
      <c r="D140" s="124" t="s">
        <v>620</v>
      </c>
      <c r="E140" s="130">
        <v>1996</v>
      </c>
      <c r="F140" s="125" t="s">
        <v>736</v>
      </c>
      <c r="G140" s="125">
        <v>84</v>
      </c>
      <c r="H140" s="85">
        <v>16175.02</v>
      </c>
      <c r="I140" s="85" t="s">
        <v>630</v>
      </c>
      <c r="J140" s="128">
        <v>43688</v>
      </c>
      <c r="K140" s="128">
        <f t="shared" si="1"/>
        <v>3669792</v>
      </c>
      <c r="L140" s="125" t="s">
        <v>748</v>
      </c>
      <c r="M140" s="85" t="s">
        <v>47</v>
      </c>
      <c r="N140" s="85" t="s">
        <v>1491</v>
      </c>
    </row>
    <row r="141" spans="2:14" ht="15.75" thickBot="1" x14ac:dyDescent="0.3">
      <c r="B141" s="82" t="s">
        <v>543</v>
      </c>
      <c r="C141" s="83" t="s">
        <v>629</v>
      </c>
      <c r="D141" s="124" t="s">
        <v>620</v>
      </c>
      <c r="E141" s="130">
        <v>2008</v>
      </c>
      <c r="F141" s="125" t="s">
        <v>731</v>
      </c>
      <c r="G141" s="125">
        <v>53</v>
      </c>
      <c r="H141" s="85">
        <v>14779.58</v>
      </c>
      <c r="I141" s="85" t="s">
        <v>630</v>
      </c>
      <c r="J141" s="128">
        <v>39694</v>
      </c>
      <c r="K141" s="128">
        <f t="shared" si="1"/>
        <v>2103782</v>
      </c>
      <c r="L141" s="125" t="s">
        <v>749</v>
      </c>
      <c r="M141" s="85" t="s">
        <v>47</v>
      </c>
      <c r="N141" s="85" t="s">
        <v>1491</v>
      </c>
    </row>
    <row r="142" spans="2:14" ht="15.75" thickBot="1" x14ac:dyDescent="0.3">
      <c r="B142" s="82" t="s">
        <v>543</v>
      </c>
      <c r="C142" s="83" t="s">
        <v>629</v>
      </c>
      <c r="D142" s="124" t="s">
        <v>620</v>
      </c>
      <c r="E142" s="130">
        <v>2008</v>
      </c>
      <c r="F142" s="125" t="s">
        <v>731</v>
      </c>
      <c r="G142" s="125">
        <v>55</v>
      </c>
      <c r="H142" s="85">
        <v>23696.313999999998</v>
      </c>
      <c r="I142" s="85" t="s">
        <v>630</v>
      </c>
      <c r="J142" s="128">
        <v>67212</v>
      </c>
      <c r="K142" s="128">
        <f t="shared" si="1"/>
        <v>3696660</v>
      </c>
      <c r="L142" s="125" t="s">
        <v>750</v>
      </c>
      <c r="M142" s="85" t="s">
        <v>47</v>
      </c>
      <c r="N142" s="85" t="s">
        <v>1491</v>
      </c>
    </row>
    <row r="143" spans="2:14" ht="15.75" thickBot="1" x14ac:dyDescent="0.3">
      <c r="B143" s="82" t="s">
        <v>543</v>
      </c>
      <c r="C143" s="83" t="s">
        <v>629</v>
      </c>
      <c r="D143" s="124" t="s">
        <v>620</v>
      </c>
      <c r="E143" s="130">
        <v>2008</v>
      </c>
      <c r="F143" s="125" t="s">
        <v>731</v>
      </c>
      <c r="G143" s="125">
        <v>53</v>
      </c>
      <c r="H143" s="85">
        <v>20554.689999999999</v>
      </c>
      <c r="I143" s="85" t="s">
        <v>630</v>
      </c>
      <c r="J143" s="128">
        <v>50784</v>
      </c>
      <c r="K143" s="128">
        <f t="shared" si="1"/>
        <v>2691552</v>
      </c>
      <c r="L143" s="125" t="s">
        <v>751</v>
      </c>
      <c r="M143" s="85" t="s">
        <v>47</v>
      </c>
      <c r="N143" s="85" t="s">
        <v>1491</v>
      </c>
    </row>
    <row r="144" spans="2:14" ht="15.75" thickBot="1" x14ac:dyDescent="0.3">
      <c r="B144" s="82" t="s">
        <v>543</v>
      </c>
      <c r="C144" s="83" t="s">
        <v>629</v>
      </c>
      <c r="D144" s="124" t="s">
        <v>620</v>
      </c>
      <c r="E144" s="130">
        <v>2009</v>
      </c>
      <c r="F144" s="125" t="s">
        <v>734</v>
      </c>
      <c r="G144" s="125">
        <v>52</v>
      </c>
      <c r="H144" s="85">
        <v>24282.400000000001</v>
      </c>
      <c r="I144" s="85" t="s">
        <v>630</v>
      </c>
      <c r="J144" s="128">
        <v>55788</v>
      </c>
      <c r="K144" s="128">
        <f t="shared" si="1"/>
        <v>2900976</v>
      </c>
      <c r="L144" s="125" t="s">
        <v>752</v>
      </c>
      <c r="M144" s="85" t="s">
        <v>47</v>
      </c>
      <c r="N144" s="85" t="s">
        <v>1491</v>
      </c>
    </row>
    <row r="145" spans="2:14" ht="15.75" thickBot="1" x14ac:dyDescent="0.3">
      <c r="B145" s="82" t="s">
        <v>543</v>
      </c>
      <c r="C145" s="83" t="s">
        <v>629</v>
      </c>
      <c r="D145" s="124" t="s">
        <v>620</v>
      </c>
      <c r="E145" s="130">
        <v>2001</v>
      </c>
      <c r="F145" s="125" t="s">
        <v>732</v>
      </c>
      <c r="G145" s="125">
        <v>55</v>
      </c>
      <c r="H145" s="85">
        <v>15284.740000000002</v>
      </c>
      <c r="I145" s="85" t="s">
        <v>630</v>
      </c>
      <c r="J145" s="128">
        <v>39535</v>
      </c>
      <c r="K145" s="128">
        <f t="shared" si="1"/>
        <v>2174425</v>
      </c>
      <c r="L145" s="125" t="s">
        <v>753</v>
      </c>
      <c r="M145" s="85" t="s">
        <v>47</v>
      </c>
      <c r="N145" s="85" t="s">
        <v>1491</v>
      </c>
    </row>
    <row r="146" spans="2:14" ht="15.75" thickBot="1" x14ac:dyDescent="0.3">
      <c r="B146" s="82" t="s">
        <v>543</v>
      </c>
      <c r="C146" s="83" t="s">
        <v>629</v>
      </c>
      <c r="D146" s="124" t="s">
        <v>620</v>
      </c>
      <c r="E146" s="130">
        <v>2001</v>
      </c>
      <c r="F146" s="125" t="s">
        <v>732</v>
      </c>
      <c r="G146" s="125">
        <v>55</v>
      </c>
      <c r="H146" s="85">
        <v>12484.79</v>
      </c>
      <c r="I146" s="85" t="s">
        <v>630</v>
      </c>
      <c r="J146" s="128">
        <v>32406</v>
      </c>
      <c r="K146" s="128">
        <f t="shared" si="1"/>
        <v>1782330</v>
      </c>
      <c r="L146" s="125" t="s">
        <v>754</v>
      </c>
      <c r="M146" s="85" t="s">
        <v>47</v>
      </c>
      <c r="N146" s="85" t="s">
        <v>1491</v>
      </c>
    </row>
    <row r="147" spans="2:14" ht="15.75" thickBot="1" x14ac:dyDescent="0.3">
      <c r="B147" s="82" t="s">
        <v>543</v>
      </c>
      <c r="C147" s="83" t="s">
        <v>629</v>
      </c>
      <c r="D147" s="124" t="s">
        <v>620</v>
      </c>
      <c r="E147" s="130">
        <v>2001</v>
      </c>
      <c r="F147" s="125" t="s">
        <v>732</v>
      </c>
      <c r="G147" s="125">
        <v>55</v>
      </c>
      <c r="H147" s="85">
        <v>17140.52</v>
      </c>
      <c r="I147" s="85" t="s">
        <v>630</v>
      </c>
      <c r="J147" s="128">
        <v>43652</v>
      </c>
      <c r="K147" s="128">
        <f t="shared" si="1"/>
        <v>2400860</v>
      </c>
      <c r="L147" s="125" t="s">
        <v>755</v>
      </c>
      <c r="M147" s="85" t="s">
        <v>47</v>
      </c>
      <c r="N147" s="85" t="s">
        <v>1491</v>
      </c>
    </row>
    <row r="148" spans="2:14" ht="15.75" thickBot="1" x14ac:dyDescent="0.3">
      <c r="B148" s="82" t="s">
        <v>543</v>
      </c>
      <c r="C148" s="83" t="s">
        <v>629</v>
      </c>
      <c r="D148" s="124" t="s">
        <v>620</v>
      </c>
      <c r="E148" s="130">
        <v>1993</v>
      </c>
      <c r="F148" s="125" t="s">
        <v>736</v>
      </c>
      <c r="G148" s="125">
        <v>56</v>
      </c>
      <c r="H148" s="85">
        <v>32.96</v>
      </c>
      <c r="I148" s="85" t="s">
        <v>630</v>
      </c>
      <c r="J148" s="128">
        <v>96</v>
      </c>
      <c r="K148" s="128">
        <f t="shared" si="1"/>
        <v>5376</v>
      </c>
      <c r="L148" s="125" t="s">
        <v>756</v>
      </c>
      <c r="M148" s="85" t="s">
        <v>47</v>
      </c>
      <c r="N148" s="85" t="s">
        <v>1491</v>
      </c>
    </row>
    <row r="149" spans="2:14" ht="15.75" thickBot="1" x14ac:dyDescent="0.3">
      <c r="B149" s="82" t="s">
        <v>543</v>
      </c>
      <c r="C149" s="83" t="s">
        <v>629</v>
      </c>
      <c r="D149" s="124" t="s">
        <v>620</v>
      </c>
      <c r="E149" s="130">
        <v>2001</v>
      </c>
      <c r="F149" s="125" t="s">
        <v>732</v>
      </c>
      <c r="G149" s="125">
        <v>81</v>
      </c>
      <c r="H149" s="85">
        <v>16385.36</v>
      </c>
      <c r="I149" s="85" t="s">
        <v>630</v>
      </c>
      <c r="J149" s="128">
        <v>46054</v>
      </c>
      <c r="K149" s="128">
        <f t="shared" si="1"/>
        <v>3730374</v>
      </c>
      <c r="L149" s="125" t="s">
        <v>757</v>
      </c>
      <c r="M149" s="85" t="s">
        <v>47</v>
      </c>
      <c r="N149" s="85" t="s">
        <v>1491</v>
      </c>
    </row>
    <row r="150" spans="2:14" ht="15.75" thickBot="1" x14ac:dyDescent="0.3">
      <c r="B150" s="82" t="s">
        <v>543</v>
      </c>
      <c r="C150" s="83" t="s">
        <v>629</v>
      </c>
      <c r="D150" s="124" t="s">
        <v>620</v>
      </c>
      <c r="E150" s="130">
        <v>1994</v>
      </c>
      <c r="F150" s="125" t="s">
        <v>736</v>
      </c>
      <c r="G150" s="125">
        <v>48</v>
      </c>
      <c r="H150" s="85">
        <v>15811.140000000001</v>
      </c>
      <c r="I150" s="85" t="s">
        <v>630</v>
      </c>
      <c r="J150" s="128">
        <v>40547</v>
      </c>
      <c r="K150" s="128">
        <f t="shared" si="1"/>
        <v>1946256</v>
      </c>
      <c r="L150" s="125" t="s">
        <v>758</v>
      </c>
      <c r="M150" s="85" t="s">
        <v>47</v>
      </c>
      <c r="N150" s="85" t="s">
        <v>1491</v>
      </c>
    </row>
    <row r="151" spans="2:14" ht="15.75" thickBot="1" x14ac:dyDescent="0.3">
      <c r="B151" s="82" t="s">
        <v>543</v>
      </c>
      <c r="C151" s="83" t="s">
        <v>629</v>
      </c>
      <c r="D151" s="124" t="s">
        <v>620</v>
      </c>
      <c r="E151" s="130">
        <v>1996</v>
      </c>
      <c r="F151" s="125" t="s">
        <v>736</v>
      </c>
      <c r="G151" s="125">
        <v>18</v>
      </c>
      <c r="H151" s="85">
        <v>10594.76</v>
      </c>
      <c r="I151" s="85" t="s">
        <v>630</v>
      </c>
      <c r="J151" s="128">
        <v>27565</v>
      </c>
      <c r="K151" s="128">
        <f t="shared" si="1"/>
        <v>496170</v>
      </c>
      <c r="L151" s="125" t="s">
        <v>759</v>
      </c>
      <c r="M151" s="85" t="s">
        <v>47</v>
      </c>
      <c r="N151" s="85" t="s">
        <v>1491</v>
      </c>
    </row>
    <row r="152" spans="2:14" ht="15.75" thickBot="1" x14ac:dyDescent="0.3">
      <c r="B152" s="82" t="s">
        <v>543</v>
      </c>
      <c r="C152" s="83" t="s">
        <v>629</v>
      </c>
      <c r="D152" s="124" t="s">
        <v>620</v>
      </c>
      <c r="E152" s="130">
        <v>2009</v>
      </c>
      <c r="F152" s="125" t="s">
        <v>734</v>
      </c>
      <c r="G152" s="125">
        <v>84</v>
      </c>
      <c r="H152" s="85">
        <v>26598.429999999997</v>
      </c>
      <c r="I152" s="85" t="s">
        <v>630</v>
      </c>
      <c r="J152" s="128">
        <v>71280</v>
      </c>
      <c r="K152" s="128">
        <f t="shared" si="1"/>
        <v>5987520</v>
      </c>
      <c r="L152" s="125" t="s">
        <v>760</v>
      </c>
      <c r="M152" s="85" t="s">
        <v>47</v>
      </c>
      <c r="N152" s="85" t="s">
        <v>1491</v>
      </c>
    </row>
    <row r="153" spans="2:14" ht="15.75" thickBot="1" x14ac:dyDescent="0.3">
      <c r="B153" s="82" t="s">
        <v>543</v>
      </c>
      <c r="C153" s="83" t="s">
        <v>629</v>
      </c>
      <c r="D153" s="124" t="s">
        <v>620</v>
      </c>
      <c r="E153" s="130">
        <v>1996</v>
      </c>
      <c r="F153" s="125" t="s">
        <v>736</v>
      </c>
      <c r="G153" s="125">
        <v>56</v>
      </c>
      <c r="H153" s="85">
        <v>12614.150000000001</v>
      </c>
      <c r="I153" s="85" t="s">
        <v>630</v>
      </c>
      <c r="J153" s="128">
        <v>33211</v>
      </c>
      <c r="K153" s="128">
        <f t="shared" si="1"/>
        <v>1859816</v>
      </c>
      <c r="L153" s="125" t="s">
        <v>761</v>
      </c>
      <c r="M153" s="85" t="s">
        <v>47</v>
      </c>
      <c r="N153" s="85" t="s">
        <v>1491</v>
      </c>
    </row>
    <row r="154" spans="2:14" ht="15.75" thickBot="1" x14ac:dyDescent="0.3">
      <c r="B154" s="82" t="s">
        <v>543</v>
      </c>
      <c r="C154" s="83" t="s">
        <v>629</v>
      </c>
      <c r="D154" s="124" t="s">
        <v>620</v>
      </c>
      <c r="E154" s="130">
        <v>2005</v>
      </c>
      <c r="F154" s="125" t="s">
        <v>732</v>
      </c>
      <c r="G154" s="125">
        <v>82</v>
      </c>
      <c r="H154" s="85">
        <v>18486.034999999996</v>
      </c>
      <c r="I154" s="85" t="s">
        <v>630</v>
      </c>
      <c r="J154" s="128">
        <v>47387</v>
      </c>
      <c r="K154" s="128">
        <f t="shared" si="1"/>
        <v>3885734</v>
      </c>
      <c r="L154" s="125" t="s">
        <v>762</v>
      </c>
      <c r="M154" s="85" t="s">
        <v>47</v>
      </c>
      <c r="N154" s="85" t="s">
        <v>1491</v>
      </c>
    </row>
    <row r="155" spans="2:14" ht="15.75" thickBot="1" x14ac:dyDescent="0.3">
      <c r="B155" s="82" t="s">
        <v>543</v>
      </c>
      <c r="C155" s="83" t="s">
        <v>629</v>
      </c>
      <c r="D155" s="124" t="s">
        <v>620</v>
      </c>
      <c r="E155" s="130">
        <v>2008</v>
      </c>
      <c r="F155" s="125" t="s">
        <v>731</v>
      </c>
      <c r="G155" s="125">
        <v>53</v>
      </c>
      <c r="H155" s="85">
        <v>25072.320000000003</v>
      </c>
      <c r="I155" s="85" t="s">
        <v>630</v>
      </c>
      <c r="J155" s="128">
        <v>72208</v>
      </c>
      <c r="K155" s="128">
        <f t="shared" si="1"/>
        <v>3827024</v>
      </c>
      <c r="L155" s="125" t="s">
        <v>763</v>
      </c>
      <c r="M155" s="85" t="s">
        <v>47</v>
      </c>
      <c r="N155" s="85" t="s">
        <v>1491</v>
      </c>
    </row>
    <row r="156" spans="2:14" ht="15.75" thickBot="1" x14ac:dyDescent="0.3">
      <c r="B156" s="82" t="s">
        <v>543</v>
      </c>
      <c r="C156" s="83" t="s">
        <v>629</v>
      </c>
      <c r="D156" s="124" t="s">
        <v>620</v>
      </c>
      <c r="E156" s="130">
        <v>2003</v>
      </c>
      <c r="F156" s="125" t="s">
        <v>732</v>
      </c>
      <c r="G156" s="125">
        <v>98</v>
      </c>
      <c r="H156" s="85">
        <v>11939.890000000001</v>
      </c>
      <c r="I156" s="85" t="s">
        <v>630</v>
      </c>
      <c r="J156" s="128">
        <v>25497</v>
      </c>
      <c r="K156" s="128">
        <f t="shared" si="1"/>
        <v>2498706</v>
      </c>
      <c r="L156" s="125" t="s">
        <v>764</v>
      </c>
      <c r="M156" s="85" t="s">
        <v>47</v>
      </c>
      <c r="N156" s="85" t="s">
        <v>1491</v>
      </c>
    </row>
    <row r="157" spans="2:14" ht="15.75" thickBot="1" x14ac:dyDescent="0.3">
      <c r="B157" s="82" t="s">
        <v>543</v>
      </c>
      <c r="C157" s="83" t="s">
        <v>629</v>
      </c>
      <c r="D157" s="124" t="s">
        <v>620</v>
      </c>
      <c r="E157" s="130">
        <v>2005</v>
      </c>
      <c r="F157" s="125" t="s">
        <v>732</v>
      </c>
      <c r="G157" s="125">
        <v>57</v>
      </c>
      <c r="H157" s="85">
        <v>26606.32</v>
      </c>
      <c r="I157" s="85" t="s">
        <v>630</v>
      </c>
      <c r="J157" s="128">
        <v>74341</v>
      </c>
      <c r="K157" s="128">
        <f t="shared" si="1"/>
        <v>4237437</v>
      </c>
      <c r="L157" s="125" t="s">
        <v>765</v>
      </c>
      <c r="M157" s="85" t="s">
        <v>47</v>
      </c>
      <c r="N157" s="85" t="s">
        <v>1491</v>
      </c>
    </row>
    <row r="158" spans="2:14" ht="15.75" thickBot="1" x14ac:dyDescent="0.3">
      <c r="B158" s="82" t="s">
        <v>543</v>
      </c>
      <c r="C158" s="83" t="s">
        <v>629</v>
      </c>
      <c r="D158" s="124" t="s">
        <v>620</v>
      </c>
      <c r="E158" s="130">
        <v>2009</v>
      </c>
      <c r="F158" s="125" t="s">
        <v>734</v>
      </c>
      <c r="G158" s="125">
        <v>53</v>
      </c>
      <c r="H158" s="85">
        <v>24024.37</v>
      </c>
      <c r="I158" s="85" t="s">
        <v>630</v>
      </c>
      <c r="J158" s="128">
        <v>62556</v>
      </c>
      <c r="K158" s="128">
        <f t="shared" si="1"/>
        <v>3315468</v>
      </c>
      <c r="L158" s="125" t="s">
        <v>766</v>
      </c>
      <c r="M158" s="85" t="s">
        <v>47</v>
      </c>
      <c r="N158" s="85" t="s">
        <v>1491</v>
      </c>
    </row>
    <row r="159" spans="2:14" ht="15.75" thickBot="1" x14ac:dyDescent="0.3">
      <c r="B159" s="82" t="s">
        <v>543</v>
      </c>
      <c r="C159" s="83" t="s">
        <v>629</v>
      </c>
      <c r="D159" s="124" t="s">
        <v>620</v>
      </c>
      <c r="E159" s="130">
        <v>2009</v>
      </c>
      <c r="F159" s="125" t="s">
        <v>734</v>
      </c>
      <c r="G159" s="125">
        <v>53</v>
      </c>
      <c r="H159" s="85">
        <v>7939.06</v>
      </c>
      <c r="I159" s="85" t="s">
        <v>630</v>
      </c>
      <c r="J159" s="128">
        <v>20649</v>
      </c>
      <c r="K159" s="128">
        <f t="shared" ref="K159:K222" si="2">J159*G159</f>
        <v>1094397</v>
      </c>
      <c r="L159" s="125" t="s">
        <v>767</v>
      </c>
      <c r="M159" s="85" t="s">
        <v>47</v>
      </c>
      <c r="N159" s="85" t="s">
        <v>1491</v>
      </c>
    </row>
    <row r="160" spans="2:14" ht="15.75" thickBot="1" x14ac:dyDescent="0.3">
      <c r="B160" s="82" t="s">
        <v>543</v>
      </c>
      <c r="C160" s="83" t="s">
        <v>629</v>
      </c>
      <c r="D160" s="124" t="s">
        <v>620</v>
      </c>
      <c r="E160" s="130">
        <v>2009</v>
      </c>
      <c r="F160" s="125" t="s">
        <v>734</v>
      </c>
      <c r="G160" s="125">
        <v>37</v>
      </c>
      <c r="H160" s="85">
        <v>13018.130000000001</v>
      </c>
      <c r="I160" s="85" t="s">
        <v>630</v>
      </c>
      <c r="J160" s="128">
        <v>38665</v>
      </c>
      <c r="K160" s="128">
        <f t="shared" si="2"/>
        <v>1430605</v>
      </c>
      <c r="L160" s="125" t="s">
        <v>768</v>
      </c>
      <c r="M160" s="85" t="s">
        <v>47</v>
      </c>
      <c r="N160" s="85" t="s">
        <v>1491</v>
      </c>
    </row>
    <row r="161" spans="2:14" ht="15.75" thickBot="1" x14ac:dyDescent="0.3">
      <c r="B161" s="82" t="s">
        <v>543</v>
      </c>
      <c r="C161" s="83" t="s">
        <v>629</v>
      </c>
      <c r="D161" s="124" t="s">
        <v>620</v>
      </c>
      <c r="E161" s="130">
        <v>2009</v>
      </c>
      <c r="F161" s="125" t="s">
        <v>734</v>
      </c>
      <c r="G161" s="125">
        <v>27</v>
      </c>
      <c r="H161" s="85">
        <v>6340.0999999999995</v>
      </c>
      <c r="I161" s="85" t="s">
        <v>630</v>
      </c>
      <c r="J161" s="128">
        <v>32243</v>
      </c>
      <c r="K161" s="128">
        <f t="shared" si="2"/>
        <v>870561</v>
      </c>
      <c r="L161" s="125" t="s">
        <v>769</v>
      </c>
      <c r="M161" s="85" t="s">
        <v>47</v>
      </c>
      <c r="N161" s="85" t="s">
        <v>1491</v>
      </c>
    </row>
    <row r="162" spans="2:14" ht="15.75" thickBot="1" x14ac:dyDescent="0.3">
      <c r="B162" s="82" t="s">
        <v>543</v>
      </c>
      <c r="C162" s="83" t="s">
        <v>629</v>
      </c>
      <c r="D162" s="124" t="s">
        <v>620</v>
      </c>
      <c r="E162" s="130">
        <v>2009</v>
      </c>
      <c r="F162" s="125" t="s">
        <v>734</v>
      </c>
      <c r="G162" s="125">
        <v>27</v>
      </c>
      <c r="H162" s="85">
        <v>5658.94</v>
      </c>
      <c r="I162" s="85" t="s">
        <v>630</v>
      </c>
      <c r="J162" s="128">
        <v>28827</v>
      </c>
      <c r="K162" s="128">
        <f t="shared" si="2"/>
        <v>778329</v>
      </c>
      <c r="L162" s="125" t="s">
        <v>770</v>
      </c>
      <c r="M162" s="85" t="s">
        <v>47</v>
      </c>
      <c r="N162" s="85" t="s">
        <v>1491</v>
      </c>
    </row>
    <row r="163" spans="2:14" ht="15.75" thickBot="1" x14ac:dyDescent="0.3">
      <c r="B163" s="82" t="s">
        <v>543</v>
      </c>
      <c r="C163" s="83" t="s">
        <v>629</v>
      </c>
      <c r="D163" s="124" t="s">
        <v>620</v>
      </c>
      <c r="E163" s="130">
        <v>2009</v>
      </c>
      <c r="F163" s="125" t="s">
        <v>734</v>
      </c>
      <c r="G163" s="125">
        <v>27</v>
      </c>
      <c r="H163" s="85">
        <v>3639.6500000000005</v>
      </c>
      <c r="I163" s="85" t="s">
        <v>630</v>
      </c>
      <c r="J163" s="128">
        <v>17017</v>
      </c>
      <c r="K163" s="128">
        <f t="shared" si="2"/>
        <v>459459</v>
      </c>
      <c r="L163" s="125" t="s">
        <v>771</v>
      </c>
      <c r="M163" s="85" t="s">
        <v>47</v>
      </c>
      <c r="N163" s="85" t="s">
        <v>1491</v>
      </c>
    </row>
    <row r="164" spans="2:14" ht="15.75" thickBot="1" x14ac:dyDescent="0.3">
      <c r="B164" s="82" t="s">
        <v>543</v>
      </c>
      <c r="C164" s="83" t="s">
        <v>629</v>
      </c>
      <c r="D164" s="124" t="s">
        <v>620</v>
      </c>
      <c r="E164" s="130">
        <v>2005</v>
      </c>
      <c r="F164" s="125" t="s">
        <v>732</v>
      </c>
      <c r="G164" s="125">
        <v>57</v>
      </c>
      <c r="H164" s="85">
        <v>16992.020000000004</v>
      </c>
      <c r="I164" s="85" t="s">
        <v>630</v>
      </c>
      <c r="J164" s="128">
        <v>46065</v>
      </c>
      <c r="K164" s="128">
        <f t="shared" si="2"/>
        <v>2625705</v>
      </c>
      <c r="L164" s="125" t="s">
        <v>772</v>
      </c>
      <c r="M164" s="85" t="s">
        <v>47</v>
      </c>
      <c r="N164" s="85" t="s">
        <v>1491</v>
      </c>
    </row>
    <row r="165" spans="2:14" ht="15.75" thickBot="1" x14ac:dyDescent="0.3">
      <c r="B165" s="82" t="s">
        <v>543</v>
      </c>
      <c r="C165" s="83" t="s">
        <v>629</v>
      </c>
      <c r="D165" s="124" t="s">
        <v>620</v>
      </c>
      <c r="E165" s="130">
        <v>2005</v>
      </c>
      <c r="F165" s="125" t="s">
        <v>732</v>
      </c>
      <c r="G165" s="125">
        <v>76</v>
      </c>
      <c r="H165" s="85">
        <v>21523.93</v>
      </c>
      <c r="I165" s="85" t="s">
        <v>630</v>
      </c>
      <c r="J165" s="128">
        <v>53341</v>
      </c>
      <c r="K165" s="128">
        <f t="shared" si="2"/>
        <v>4053916</v>
      </c>
      <c r="L165" s="125" t="s">
        <v>773</v>
      </c>
      <c r="M165" s="85" t="s">
        <v>47</v>
      </c>
      <c r="N165" s="85" t="s">
        <v>1491</v>
      </c>
    </row>
    <row r="166" spans="2:14" ht="15.75" thickBot="1" x14ac:dyDescent="0.3">
      <c r="B166" s="82" t="s">
        <v>543</v>
      </c>
      <c r="C166" s="83" t="s">
        <v>629</v>
      </c>
      <c r="D166" s="124" t="s">
        <v>620</v>
      </c>
      <c r="E166" s="130">
        <v>2009</v>
      </c>
      <c r="F166" s="125" t="s">
        <v>734</v>
      </c>
      <c r="G166" s="125">
        <v>55</v>
      </c>
      <c r="H166" s="85">
        <v>23755.930000000004</v>
      </c>
      <c r="I166" s="85" t="s">
        <v>630</v>
      </c>
      <c r="J166" s="128">
        <v>59889</v>
      </c>
      <c r="K166" s="128">
        <f t="shared" si="2"/>
        <v>3293895</v>
      </c>
      <c r="L166" s="125" t="s">
        <v>774</v>
      </c>
      <c r="M166" s="85" t="s">
        <v>47</v>
      </c>
      <c r="N166" s="85" t="s">
        <v>1491</v>
      </c>
    </row>
    <row r="167" spans="2:14" ht="15.75" thickBot="1" x14ac:dyDescent="0.3">
      <c r="B167" s="82" t="s">
        <v>543</v>
      </c>
      <c r="C167" s="83" t="s">
        <v>629</v>
      </c>
      <c r="D167" s="124" t="s">
        <v>620</v>
      </c>
      <c r="E167" s="130">
        <v>2009</v>
      </c>
      <c r="F167" s="125" t="s">
        <v>734</v>
      </c>
      <c r="G167" s="125">
        <v>55</v>
      </c>
      <c r="H167" s="85">
        <v>22723.639999999996</v>
      </c>
      <c r="I167" s="85" t="s">
        <v>630</v>
      </c>
      <c r="J167" s="128">
        <v>56282</v>
      </c>
      <c r="K167" s="128">
        <f t="shared" si="2"/>
        <v>3095510</v>
      </c>
      <c r="L167" s="125" t="s">
        <v>775</v>
      </c>
      <c r="M167" s="85" t="s">
        <v>47</v>
      </c>
      <c r="N167" s="85" t="s">
        <v>1491</v>
      </c>
    </row>
    <row r="168" spans="2:14" ht="15.75" thickBot="1" x14ac:dyDescent="0.3">
      <c r="B168" s="82" t="s">
        <v>543</v>
      </c>
      <c r="C168" s="83" t="s">
        <v>629</v>
      </c>
      <c r="D168" s="124" t="s">
        <v>620</v>
      </c>
      <c r="E168" s="130">
        <v>2007</v>
      </c>
      <c r="F168" s="125" t="s">
        <v>731</v>
      </c>
      <c r="G168" s="125">
        <v>21</v>
      </c>
      <c r="H168" s="85">
        <v>6796.4900000000007</v>
      </c>
      <c r="I168" s="85" t="s">
        <v>630</v>
      </c>
      <c r="J168" s="128">
        <v>32897</v>
      </c>
      <c r="K168" s="128">
        <f t="shared" si="2"/>
        <v>690837</v>
      </c>
      <c r="L168" s="125" t="s">
        <v>776</v>
      </c>
      <c r="M168" s="85" t="s">
        <v>47</v>
      </c>
      <c r="N168" s="85" t="s">
        <v>1491</v>
      </c>
    </row>
    <row r="169" spans="2:14" ht="15.75" thickBot="1" x14ac:dyDescent="0.3">
      <c r="B169" s="82" t="s">
        <v>543</v>
      </c>
      <c r="C169" s="83" t="s">
        <v>629</v>
      </c>
      <c r="D169" s="124" t="s">
        <v>620</v>
      </c>
      <c r="E169" s="130">
        <v>2009</v>
      </c>
      <c r="F169" s="125" t="s">
        <v>734</v>
      </c>
      <c r="G169" s="125">
        <v>71</v>
      </c>
      <c r="H169" s="85">
        <v>1698.72</v>
      </c>
      <c r="I169" s="85" t="s">
        <v>630</v>
      </c>
      <c r="J169" s="128">
        <v>3765</v>
      </c>
      <c r="K169" s="128">
        <f t="shared" si="2"/>
        <v>267315</v>
      </c>
      <c r="L169" s="125" t="s">
        <v>777</v>
      </c>
      <c r="M169" s="85" t="s">
        <v>47</v>
      </c>
      <c r="N169" s="85" t="s">
        <v>1491</v>
      </c>
    </row>
    <row r="170" spans="2:14" ht="15.75" thickBot="1" x14ac:dyDescent="0.3">
      <c r="B170" s="82" t="s">
        <v>543</v>
      </c>
      <c r="C170" s="83" t="s">
        <v>629</v>
      </c>
      <c r="D170" s="124" t="s">
        <v>620</v>
      </c>
      <c r="E170" s="130">
        <v>2009</v>
      </c>
      <c r="F170" s="125" t="s">
        <v>734</v>
      </c>
      <c r="G170" s="125">
        <v>71</v>
      </c>
      <c r="H170" s="85">
        <v>29439.13</v>
      </c>
      <c r="I170" s="85" t="s">
        <v>630</v>
      </c>
      <c r="J170" s="128">
        <v>68467</v>
      </c>
      <c r="K170" s="128">
        <f t="shared" si="2"/>
        <v>4861157</v>
      </c>
      <c r="L170" s="125" t="s">
        <v>778</v>
      </c>
      <c r="M170" s="85" t="s">
        <v>47</v>
      </c>
      <c r="N170" s="85" t="s">
        <v>1491</v>
      </c>
    </row>
    <row r="171" spans="2:14" ht="15.75" thickBot="1" x14ac:dyDescent="0.3">
      <c r="B171" s="82" t="s">
        <v>543</v>
      </c>
      <c r="C171" s="83" t="s">
        <v>629</v>
      </c>
      <c r="D171" s="124" t="s">
        <v>620</v>
      </c>
      <c r="E171" s="130">
        <v>2016</v>
      </c>
      <c r="F171" s="125" t="s">
        <v>733</v>
      </c>
      <c r="G171" s="125">
        <v>64</v>
      </c>
      <c r="H171" s="85">
        <v>15232.62</v>
      </c>
      <c r="I171" s="85" t="s">
        <v>630</v>
      </c>
      <c r="J171" s="128">
        <v>43910</v>
      </c>
      <c r="K171" s="128">
        <f t="shared" si="2"/>
        <v>2810240</v>
      </c>
      <c r="L171" s="125" t="s">
        <v>779</v>
      </c>
      <c r="M171" s="85" t="s">
        <v>47</v>
      </c>
      <c r="N171" s="85" t="s">
        <v>1491</v>
      </c>
    </row>
    <row r="172" spans="2:14" ht="15.75" thickBot="1" x14ac:dyDescent="0.3">
      <c r="B172" s="82" t="s">
        <v>543</v>
      </c>
      <c r="C172" s="83" t="s">
        <v>629</v>
      </c>
      <c r="D172" s="124" t="s">
        <v>620</v>
      </c>
      <c r="E172" s="130">
        <v>1999</v>
      </c>
      <c r="F172" s="125" t="s">
        <v>736</v>
      </c>
      <c r="G172" s="125">
        <v>51</v>
      </c>
      <c r="H172" s="85">
        <v>833</v>
      </c>
      <c r="I172" s="85" t="s">
        <v>630</v>
      </c>
      <c r="J172" s="128">
        <v>1974</v>
      </c>
      <c r="K172" s="128">
        <f t="shared" si="2"/>
        <v>100674</v>
      </c>
      <c r="L172" s="125" t="s">
        <v>780</v>
      </c>
      <c r="M172" s="85" t="s">
        <v>47</v>
      </c>
      <c r="N172" s="85" t="s">
        <v>1491</v>
      </c>
    </row>
    <row r="173" spans="2:14" ht="15.75" thickBot="1" x14ac:dyDescent="0.3">
      <c r="B173" s="82" t="s">
        <v>543</v>
      </c>
      <c r="C173" s="83" t="s">
        <v>629</v>
      </c>
      <c r="D173" s="124" t="s">
        <v>620</v>
      </c>
      <c r="E173" s="130">
        <v>2001</v>
      </c>
      <c r="F173" s="125" t="s">
        <v>732</v>
      </c>
      <c r="G173" s="125">
        <v>55</v>
      </c>
      <c r="H173" s="85">
        <v>11210.88</v>
      </c>
      <c r="I173" s="85" t="s">
        <v>630</v>
      </c>
      <c r="J173" s="128">
        <v>30054</v>
      </c>
      <c r="K173" s="128">
        <f t="shared" si="2"/>
        <v>1652970</v>
      </c>
      <c r="L173" s="125" t="s">
        <v>781</v>
      </c>
      <c r="M173" s="85" t="s">
        <v>47</v>
      </c>
      <c r="N173" s="85" t="s">
        <v>1491</v>
      </c>
    </row>
    <row r="174" spans="2:14" ht="15.75" thickBot="1" x14ac:dyDescent="0.3">
      <c r="B174" s="82" t="s">
        <v>543</v>
      </c>
      <c r="C174" s="83" t="s">
        <v>629</v>
      </c>
      <c r="D174" s="124" t="s">
        <v>620</v>
      </c>
      <c r="E174" s="130">
        <v>1996</v>
      </c>
      <c r="F174" s="125" t="s">
        <v>736</v>
      </c>
      <c r="G174" s="125">
        <v>53</v>
      </c>
      <c r="H174" s="85">
        <v>3204.88</v>
      </c>
      <c r="I174" s="85" t="s">
        <v>630</v>
      </c>
      <c r="J174" s="128">
        <v>8703</v>
      </c>
      <c r="K174" s="128">
        <f t="shared" si="2"/>
        <v>461259</v>
      </c>
      <c r="L174" s="125" t="s">
        <v>782</v>
      </c>
      <c r="M174" s="85" t="s">
        <v>47</v>
      </c>
      <c r="N174" s="85" t="s">
        <v>1491</v>
      </c>
    </row>
    <row r="175" spans="2:14" ht="15.75" thickBot="1" x14ac:dyDescent="0.3">
      <c r="B175" s="82" t="s">
        <v>543</v>
      </c>
      <c r="C175" s="83" t="s">
        <v>629</v>
      </c>
      <c r="D175" s="124" t="s">
        <v>620</v>
      </c>
      <c r="E175" s="130">
        <v>2002</v>
      </c>
      <c r="F175" s="125" t="s">
        <v>732</v>
      </c>
      <c r="G175" s="125">
        <v>57</v>
      </c>
      <c r="H175" s="85">
        <v>20607.59</v>
      </c>
      <c r="I175" s="85" t="s">
        <v>630</v>
      </c>
      <c r="J175" s="128">
        <v>50574</v>
      </c>
      <c r="K175" s="128">
        <f t="shared" si="2"/>
        <v>2882718</v>
      </c>
      <c r="L175" s="125" t="s">
        <v>783</v>
      </c>
      <c r="M175" s="85" t="s">
        <v>47</v>
      </c>
      <c r="N175" s="85" t="s">
        <v>1491</v>
      </c>
    </row>
    <row r="176" spans="2:14" ht="15.75" thickBot="1" x14ac:dyDescent="0.3">
      <c r="B176" s="82" t="s">
        <v>543</v>
      </c>
      <c r="C176" s="83" t="s">
        <v>629</v>
      </c>
      <c r="D176" s="124" t="s">
        <v>620</v>
      </c>
      <c r="E176" s="130">
        <v>2002</v>
      </c>
      <c r="F176" s="125" t="s">
        <v>732</v>
      </c>
      <c r="G176" s="125">
        <v>89</v>
      </c>
      <c r="H176" s="85">
        <v>14017.890000000001</v>
      </c>
      <c r="I176" s="85" t="s">
        <v>630</v>
      </c>
      <c r="J176" s="128">
        <v>36778</v>
      </c>
      <c r="K176" s="128">
        <f t="shared" si="2"/>
        <v>3273242</v>
      </c>
      <c r="L176" s="125" t="s">
        <v>784</v>
      </c>
      <c r="M176" s="85" t="s">
        <v>47</v>
      </c>
      <c r="N176" s="85" t="s">
        <v>1491</v>
      </c>
    </row>
    <row r="177" spans="2:14" ht="15.75" thickBot="1" x14ac:dyDescent="0.3">
      <c r="B177" s="82" t="s">
        <v>543</v>
      </c>
      <c r="C177" s="83" t="s">
        <v>629</v>
      </c>
      <c r="D177" s="124" t="s">
        <v>620</v>
      </c>
      <c r="E177" s="130">
        <v>2002</v>
      </c>
      <c r="F177" s="125" t="s">
        <v>732</v>
      </c>
      <c r="G177" s="125">
        <v>89</v>
      </c>
      <c r="H177" s="85">
        <v>15036.06</v>
      </c>
      <c r="I177" s="85" t="s">
        <v>630</v>
      </c>
      <c r="J177" s="128">
        <v>37609</v>
      </c>
      <c r="K177" s="128">
        <f t="shared" si="2"/>
        <v>3347201</v>
      </c>
      <c r="L177" s="125" t="s">
        <v>785</v>
      </c>
      <c r="M177" s="85" t="s">
        <v>47</v>
      </c>
      <c r="N177" s="85" t="s">
        <v>1491</v>
      </c>
    </row>
    <row r="178" spans="2:14" ht="15.75" thickBot="1" x14ac:dyDescent="0.3">
      <c r="B178" s="82" t="s">
        <v>543</v>
      </c>
      <c r="C178" s="83" t="s">
        <v>629</v>
      </c>
      <c r="D178" s="124" t="s">
        <v>620</v>
      </c>
      <c r="E178" s="130">
        <v>2000</v>
      </c>
      <c r="F178" s="125" t="s">
        <v>735</v>
      </c>
      <c r="G178" s="125">
        <v>83</v>
      </c>
      <c r="H178" s="85">
        <v>9550.3200000000015</v>
      </c>
      <c r="I178" s="85" t="s">
        <v>630</v>
      </c>
      <c r="J178" s="128">
        <v>22566</v>
      </c>
      <c r="K178" s="128">
        <f t="shared" si="2"/>
        <v>1872978</v>
      </c>
      <c r="L178" s="125" t="s">
        <v>786</v>
      </c>
      <c r="M178" s="85" t="s">
        <v>47</v>
      </c>
      <c r="N178" s="85" t="s">
        <v>1491</v>
      </c>
    </row>
    <row r="179" spans="2:14" ht="15.75" thickBot="1" x14ac:dyDescent="0.3">
      <c r="B179" s="82" t="s">
        <v>543</v>
      </c>
      <c r="C179" s="83" t="s">
        <v>629</v>
      </c>
      <c r="D179" s="124" t="s">
        <v>620</v>
      </c>
      <c r="E179" s="130">
        <v>2004</v>
      </c>
      <c r="F179" s="125" t="s">
        <v>732</v>
      </c>
      <c r="G179" s="125">
        <v>85</v>
      </c>
      <c r="H179" s="85">
        <v>6120.52</v>
      </c>
      <c r="I179" s="85" t="s">
        <v>630</v>
      </c>
      <c r="J179" s="128">
        <v>15790</v>
      </c>
      <c r="K179" s="128">
        <f t="shared" si="2"/>
        <v>1342150</v>
      </c>
      <c r="L179" s="125" t="s">
        <v>787</v>
      </c>
      <c r="M179" s="85" t="s">
        <v>47</v>
      </c>
      <c r="N179" s="85" t="s">
        <v>1491</v>
      </c>
    </row>
    <row r="180" spans="2:14" ht="15.75" thickBot="1" x14ac:dyDescent="0.3">
      <c r="B180" s="82" t="s">
        <v>543</v>
      </c>
      <c r="C180" s="83" t="s">
        <v>629</v>
      </c>
      <c r="D180" s="124" t="s">
        <v>620</v>
      </c>
      <c r="E180" s="130">
        <v>2004</v>
      </c>
      <c r="F180" s="125" t="s">
        <v>732</v>
      </c>
      <c r="G180" s="125">
        <v>85</v>
      </c>
      <c r="H180" s="85">
        <v>17161.03</v>
      </c>
      <c r="I180" s="85" t="s">
        <v>630</v>
      </c>
      <c r="J180" s="128">
        <v>44715</v>
      </c>
      <c r="K180" s="128">
        <f t="shared" si="2"/>
        <v>3800775</v>
      </c>
      <c r="L180" s="125" t="s">
        <v>788</v>
      </c>
      <c r="M180" s="85" t="s">
        <v>47</v>
      </c>
      <c r="N180" s="85" t="s">
        <v>1491</v>
      </c>
    </row>
    <row r="181" spans="2:14" ht="15.75" thickBot="1" x14ac:dyDescent="0.3">
      <c r="B181" s="82" t="s">
        <v>543</v>
      </c>
      <c r="C181" s="83" t="s">
        <v>629</v>
      </c>
      <c r="D181" s="124" t="s">
        <v>620</v>
      </c>
      <c r="E181" s="130">
        <v>2021</v>
      </c>
      <c r="F181" s="125" t="s">
        <v>733</v>
      </c>
      <c r="G181" s="125">
        <v>76</v>
      </c>
      <c r="H181" s="85">
        <v>4568.6200000000008</v>
      </c>
      <c r="I181" s="85" t="s">
        <v>630</v>
      </c>
      <c r="J181" s="128">
        <v>11534</v>
      </c>
      <c r="K181" s="128">
        <f t="shared" si="2"/>
        <v>876584</v>
      </c>
      <c r="L181" s="125" t="s">
        <v>789</v>
      </c>
      <c r="M181" s="85" t="s">
        <v>47</v>
      </c>
      <c r="N181" s="85" t="s">
        <v>1491</v>
      </c>
    </row>
    <row r="182" spans="2:14" ht="15.75" thickBot="1" x14ac:dyDescent="0.3">
      <c r="B182" s="82" t="s">
        <v>543</v>
      </c>
      <c r="C182" s="83" t="s">
        <v>629</v>
      </c>
      <c r="D182" s="124" t="s">
        <v>620</v>
      </c>
      <c r="E182" s="130">
        <v>2021</v>
      </c>
      <c r="F182" s="125" t="s">
        <v>733</v>
      </c>
      <c r="G182" s="125">
        <v>76</v>
      </c>
      <c r="H182" s="85">
        <v>5768.28</v>
      </c>
      <c r="I182" s="85" t="s">
        <v>630</v>
      </c>
      <c r="J182" s="128">
        <v>13536</v>
      </c>
      <c r="K182" s="128">
        <f t="shared" si="2"/>
        <v>1028736</v>
      </c>
      <c r="L182" s="125" t="s">
        <v>790</v>
      </c>
      <c r="M182" s="85" t="s">
        <v>47</v>
      </c>
      <c r="N182" s="85" t="s">
        <v>1491</v>
      </c>
    </row>
    <row r="183" spans="2:14" ht="15.75" thickBot="1" x14ac:dyDescent="0.3">
      <c r="B183" s="82" t="s">
        <v>543</v>
      </c>
      <c r="C183" s="83" t="s">
        <v>629</v>
      </c>
      <c r="D183" s="124" t="s">
        <v>620</v>
      </c>
      <c r="E183" s="130">
        <v>2003</v>
      </c>
      <c r="F183" s="125" t="s">
        <v>732</v>
      </c>
      <c r="G183" s="125">
        <v>74</v>
      </c>
      <c r="H183" s="85">
        <v>15031.73</v>
      </c>
      <c r="I183" s="85" t="s">
        <v>630</v>
      </c>
      <c r="J183" s="128">
        <v>34761</v>
      </c>
      <c r="K183" s="128">
        <f t="shared" si="2"/>
        <v>2572314</v>
      </c>
      <c r="L183" s="125" t="s">
        <v>791</v>
      </c>
      <c r="M183" s="85" t="s">
        <v>47</v>
      </c>
      <c r="N183" s="85" t="s">
        <v>1491</v>
      </c>
    </row>
    <row r="184" spans="2:14" ht="15.75" thickBot="1" x14ac:dyDescent="0.3">
      <c r="B184" s="82" t="s">
        <v>543</v>
      </c>
      <c r="C184" s="83" t="s">
        <v>629</v>
      </c>
      <c r="D184" s="124" t="s">
        <v>620</v>
      </c>
      <c r="E184" s="130">
        <v>2005</v>
      </c>
      <c r="F184" s="125" t="s">
        <v>732</v>
      </c>
      <c r="G184" s="125">
        <v>75</v>
      </c>
      <c r="H184" s="85">
        <v>22102.880000000001</v>
      </c>
      <c r="I184" s="85" t="s">
        <v>630</v>
      </c>
      <c r="J184" s="128">
        <v>59072</v>
      </c>
      <c r="K184" s="128">
        <f t="shared" si="2"/>
        <v>4430400</v>
      </c>
      <c r="L184" s="125" t="s">
        <v>792</v>
      </c>
      <c r="M184" s="85" t="s">
        <v>47</v>
      </c>
      <c r="N184" s="85" t="s">
        <v>1491</v>
      </c>
    </row>
    <row r="185" spans="2:14" ht="15.75" thickBot="1" x14ac:dyDescent="0.3">
      <c r="B185" s="82" t="s">
        <v>543</v>
      </c>
      <c r="C185" s="83" t="s">
        <v>629</v>
      </c>
      <c r="D185" s="124" t="s">
        <v>620</v>
      </c>
      <c r="E185" s="130">
        <v>2005</v>
      </c>
      <c r="F185" s="125" t="s">
        <v>732</v>
      </c>
      <c r="G185" s="125">
        <v>75</v>
      </c>
      <c r="H185" s="85">
        <v>16921.710000000003</v>
      </c>
      <c r="I185" s="85" t="s">
        <v>630</v>
      </c>
      <c r="J185" s="128">
        <v>44470</v>
      </c>
      <c r="K185" s="128">
        <f t="shared" si="2"/>
        <v>3335250</v>
      </c>
      <c r="L185" s="125" t="s">
        <v>793</v>
      </c>
      <c r="M185" s="85" t="s">
        <v>47</v>
      </c>
      <c r="N185" s="85" t="s">
        <v>1491</v>
      </c>
    </row>
    <row r="186" spans="2:14" ht="15.75" thickBot="1" x14ac:dyDescent="0.3">
      <c r="B186" s="82" t="s">
        <v>543</v>
      </c>
      <c r="C186" s="83" t="s">
        <v>629</v>
      </c>
      <c r="D186" s="124" t="s">
        <v>620</v>
      </c>
      <c r="E186" s="130">
        <v>2001</v>
      </c>
      <c r="F186" s="125" t="s">
        <v>732</v>
      </c>
      <c r="G186" s="125">
        <v>55</v>
      </c>
      <c r="H186" s="85">
        <v>15980.650000000001</v>
      </c>
      <c r="I186" s="85" t="s">
        <v>630</v>
      </c>
      <c r="J186" s="128">
        <v>41973</v>
      </c>
      <c r="K186" s="128">
        <f t="shared" si="2"/>
        <v>2308515</v>
      </c>
      <c r="L186" s="125" t="s">
        <v>794</v>
      </c>
      <c r="M186" s="85" t="s">
        <v>47</v>
      </c>
      <c r="N186" s="85" t="s">
        <v>1491</v>
      </c>
    </row>
    <row r="187" spans="2:14" ht="15.75" thickBot="1" x14ac:dyDescent="0.3">
      <c r="B187" s="82" t="s">
        <v>543</v>
      </c>
      <c r="C187" s="83" t="s">
        <v>629</v>
      </c>
      <c r="D187" s="124" t="s">
        <v>620</v>
      </c>
      <c r="E187" s="130">
        <v>2000</v>
      </c>
      <c r="F187" s="125" t="s">
        <v>735</v>
      </c>
      <c r="G187" s="125">
        <v>60</v>
      </c>
      <c r="H187" s="85">
        <v>10924.94</v>
      </c>
      <c r="I187" s="85" t="s">
        <v>630</v>
      </c>
      <c r="J187" s="128">
        <v>29903</v>
      </c>
      <c r="K187" s="128">
        <f t="shared" si="2"/>
        <v>1794180</v>
      </c>
      <c r="L187" s="125" t="s">
        <v>795</v>
      </c>
      <c r="M187" s="85" t="s">
        <v>47</v>
      </c>
      <c r="N187" s="85" t="s">
        <v>1491</v>
      </c>
    </row>
    <row r="188" spans="2:14" ht="15.75" thickBot="1" x14ac:dyDescent="0.3">
      <c r="B188" s="82" t="s">
        <v>543</v>
      </c>
      <c r="C188" s="83" t="s">
        <v>629</v>
      </c>
      <c r="D188" s="124" t="s">
        <v>620</v>
      </c>
      <c r="E188" s="130">
        <v>2004</v>
      </c>
      <c r="F188" s="125" t="s">
        <v>732</v>
      </c>
      <c r="G188" s="125">
        <v>51</v>
      </c>
      <c r="H188" s="85">
        <v>6790.3499999999995</v>
      </c>
      <c r="I188" s="85" t="s">
        <v>630</v>
      </c>
      <c r="J188" s="128">
        <v>17843</v>
      </c>
      <c r="K188" s="128">
        <f t="shared" si="2"/>
        <v>909993</v>
      </c>
      <c r="L188" s="125" t="s">
        <v>796</v>
      </c>
      <c r="M188" s="85" t="s">
        <v>47</v>
      </c>
      <c r="N188" s="85" t="s">
        <v>1491</v>
      </c>
    </row>
    <row r="189" spans="2:14" ht="15.75" thickBot="1" x14ac:dyDescent="0.3">
      <c r="B189" s="82" t="s">
        <v>543</v>
      </c>
      <c r="C189" s="83" t="s">
        <v>629</v>
      </c>
      <c r="D189" s="124" t="s">
        <v>620</v>
      </c>
      <c r="E189" s="130">
        <v>2004</v>
      </c>
      <c r="F189" s="125" t="s">
        <v>732</v>
      </c>
      <c r="G189" s="125">
        <v>51</v>
      </c>
      <c r="H189" s="85">
        <v>16397.030000000002</v>
      </c>
      <c r="I189" s="85" t="s">
        <v>630</v>
      </c>
      <c r="J189" s="128">
        <v>48533</v>
      </c>
      <c r="K189" s="128">
        <f t="shared" si="2"/>
        <v>2475183</v>
      </c>
      <c r="L189" s="125" t="s">
        <v>797</v>
      </c>
      <c r="M189" s="85" t="s">
        <v>47</v>
      </c>
      <c r="N189" s="85" t="s">
        <v>1491</v>
      </c>
    </row>
    <row r="190" spans="2:14" ht="15.75" thickBot="1" x14ac:dyDescent="0.3">
      <c r="B190" s="82" t="s">
        <v>543</v>
      </c>
      <c r="C190" s="83" t="s">
        <v>629</v>
      </c>
      <c r="D190" s="124" t="s">
        <v>620</v>
      </c>
      <c r="E190" s="130">
        <v>2004</v>
      </c>
      <c r="F190" s="125" t="s">
        <v>732</v>
      </c>
      <c r="G190" s="125">
        <v>51</v>
      </c>
      <c r="H190" s="85">
        <v>18613.21</v>
      </c>
      <c r="I190" s="85" t="s">
        <v>630</v>
      </c>
      <c r="J190" s="128">
        <v>49382</v>
      </c>
      <c r="K190" s="128">
        <f t="shared" si="2"/>
        <v>2518482</v>
      </c>
      <c r="L190" s="125" t="s">
        <v>798</v>
      </c>
      <c r="M190" s="85" t="s">
        <v>47</v>
      </c>
      <c r="N190" s="85" t="s">
        <v>1491</v>
      </c>
    </row>
    <row r="191" spans="2:14" ht="15.75" thickBot="1" x14ac:dyDescent="0.3">
      <c r="B191" s="82" t="s">
        <v>543</v>
      </c>
      <c r="C191" s="83" t="s">
        <v>629</v>
      </c>
      <c r="D191" s="124" t="s">
        <v>620</v>
      </c>
      <c r="E191" s="130">
        <v>2002</v>
      </c>
      <c r="F191" s="125" t="s">
        <v>732</v>
      </c>
      <c r="G191" s="125">
        <v>75</v>
      </c>
      <c r="H191" s="85">
        <v>16955.809999999998</v>
      </c>
      <c r="I191" s="85" t="s">
        <v>630</v>
      </c>
      <c r="J191" s="128">
        <v>40702</v>
      </c>
      <c r="K191" s="128">
        <f t="shared" si="2"/>
        <v>3052650</v>
      </c>
      <c r="L191" s="125" t="s">
        <v>799</v>
      </c>
      <c r="M191" s="85" t="s">
        <v>47</v>
      </c>
      <c r="N191" s="85" t="s">
        <v>1491</v>
      </c>
    </row>
    <row r="192" spans="2:14" ht="15.75" thickBot="1" x14ac:dyDescent="0.3">
      <c r="B192" s="82" t="s">
        <v>543</v>
      </c>
      <c r="C192" s="83" t="s">
        <v>629</v>
      </c>
      <c r="D192" s="124" t="s">
        <v>620</v>
      </c>
      <c r="E192" s="130">
        <v>2004</v>
      </c>
      <c r="F192" s="125" t="s">
        <v>732</v>
      </c>
      <c r="G192" s="125">
        <v>82</v>
      </c>
      <c r="H192" s="85">
        <v>17559.130000000005</v>
      </c>
      <c r="I192" s="85" t="s">
        <v>630</v>
      </c>
      <c r="J192" s="128">
        <v>49251</v>
      </c>
      <c r="K192" s="128">
        <f t="shared" si="2"/>
        <v>4038582</v>
      </c>
      <c r="L192" s="125" t="s">
        <v>800</v>
      </c>
      <c r="M192" s="85" t="s">
        <v>47</v>
      </c>
      <c r="N192" s="85" t="s">
        <v>1491</v>
      </c>
    </row>
    <row r="193" spans="2:14" ht="15.75" thickBot="1" x14ac:dyDescent="0.3">
      <c r="B193" s="82" t="s">
        <v>543</v>
      </c>
      <c r="C193" s="83" t="s">
        <v>629</v>
      </c>
      <c r="D193" s="124" t="s">
        <v>620</v>
      </c>
      <c r="E193" s="130">
        <v>2015</v>
      </c>
      <c r="F193" s="125" t="s">
        <v>733</v>
      </c>
      <c r="G193" s="125">
        <v>25</v>
      </c>
      <c r="H193" s="85">
        <v>3647.0099999999993</v>
      </c>
      <c r="I193" s="85" t="s">
        <v>630</v>
      </c>
      <c r="J193" s="128">
        <v>18563</v>
      </c>
      <c r="K193" s="128">
        <f t="shared" si="2"/>
        <v>464075</v>
      </c>
      <c r="L193" s="125" t="s">
        <v>801</v>
      </c>
      <c r="M193" s="85" t="s">
        <v>47</v>
      </c>
      <c r="N193" s="85" t="s">
        <v>1491</v>
      </c>
    </row>
    <row r="194" spans="2:14" ht="15.75" thickBot="1" x14ac:dyDescent="0.3">
      <c r="B194" s="82" t="s">
        <v>543</v>
      </c>
      <c r="C194" s="83" t="s">
        <v>629</v>
      </c>
      <c r="D194" s="124" t="s">
        <v>620</v>
      </c>
      <c r="E194" s="130">
        <v>2015</v>
      </c>
      <c r="F194" s="125" t="s">
        <v>733</v>
      </c>
      <c r="G194" s="125">
        <v>25</v>
      </c>
      <c r="H194" s="85">
        <v>4364.3999999999987</v>
      </c>
      <c r="I194" s="85" t="s">
        <v>630</v>
      </c>
      <c r="J194" s="128">
        <v>20920</v>
      </c>
      <c r="K194" s="128">
        <f t="shared" si="2"/>
        <v>523000</v>
      </c>
      <c r="L194" s="125" t="s">
        <v>802</v>
      </c>
      <c r="M194" s="85" t="s">
        <v>47</v>
      </c>
      <c r="N194" s="85" t="s">
        <v>1491</v>
      </c>
    </row>
    <row r="195" spans="2:14" ht="15.75" thickBot="1" x14ac:dyDescent="0.3">
      <c r="B195" s="82" t="s">
        <v>543</v>
      </c>
      <c r="C195" s="83" t="s">
        <v>629</v>
      </c>
      <c r="D195" s="124" t="s">
        <v>620</v>
      </c>
      <c r="E195" s="130">
        <v>2011</v>
      </c>
      <c r="F195" s="125" t="s">
        <v>734</v>
      </c>
      <c r="G195" s="125">
        <v>51</v>
      </c>
      <c r="H195" s="85">
        <v>16369.689999999999</v>
      </c>
      <c r="I195" s="85" t="s">
        <v>630</v>
      </c>
      <c r="J195" s="128">
        <v>45075</v>
      </c>
      <c r="K195" s="128">
        <f t="shared" si="2"/>
        <v>2298825</v>
      </c>
      <c r="L195" s="125" t="s">
        <v>803</v>
      </c>
      <c r="M195" s="85" t="s">
        <v>47</v>
      </c>
      <c r="N195" s="85" t="s">
        <v>1491</v>
      </c>
    </row>
    <row r="196" spans="2:14" ht="15.75" thickBot="1" x14ac:dyDescent="0.3">
      <c r="B196" s="82" t="s">
        <v>543</v>
      </c>
      <c r="C196" s="83" t="s">
        <v>629</v>
      </c>
      <c r="D196" s="124" t="s">
        <v>620</v>
      </c>
      <c r="E196" s="130">
        <v>2007</v>
      </c>
      <c r="F196" s="125" t="s">
        <v>731</v>
      </c>
      <c r="G196" s="125">
        <v>21</v>
      </c>
      <c r="H196" s="85">
        <v>6271.43</v>
      </c>
      <c r="I196" s="85" t="s">
        <v>630</v>
      </c>
      <c r="J196" s="128">
        <v>28985</v>
      </c>
      <c r="K196" s="128">
        <f t="shared" si="2"/>
        <v>608685</v>
      </c>
      <c r="L196" s="125" t="s">
        <v>804</v>
      </c>
      <c r="M196" s="85" t="s">
        <v>47</v>
      </c>
      <c r="N196" s="85" t="s">
        <v>1491</v>
      </c>
    </row>
    <row r="197" spans="2:14" ht="15.75" thickBot="1" x14ac:dyDescent="0.3">
      <c r="B197" s="82" t="s">
        <v>543</v>
      </c>
      <c r="C197" s="83" t="s">
        <v>629</v>
      </c>
      <c r="D197" s="124" t="s">
        <v>620</v>
      </c>
      <c r="E197" s="130">
        <v>2008</v>
      </c>
      <c r="F197" s="125" t="s">
        <v>731</v>
      </c>
      <c r="G197" s="125">
        <v>82</v>
      </c>
      <c r="H197" s="85">
        <v>4457.9400000000005</v>
      </c>
      <c r="I197" s="85" t="s">
        <v>630</v>
      </c>
      <c r="J197" s="128">
        <v>10395</v>
      </c>
      <c r="K197" s="128">
        <f t="shared" si="2"/>
        <v>852390</v>
      </c>
      <c r="L197" s="125" t="s">
        <v>805</v>
      </c>
      <c r="M197" s="85" t="s">
        <v>47</v>
      </c>
      <c r="N197" s="85" t="s">
        <v>1491</v>
      </c>
    </row>
    <row r="198" spans="2:14" ht="15.75" thickBot="1" x14ac:dyDescent="0.3">
      <c r="B198" s="82" t="s">
        <v>543</v>
      </c>
      <c r="C198" s="83" t="s">
        <v>629</v>
      </c>
      <c r="D198" s="124" t="s">
        <v>620</v>
      </c>
      <c r="E198" s="130">
        <v>2008</v>
      </c>
      <c r="F198" s="125" t="s">
        <v>731</v>
      </c>
      <c r="G198" s="125">
        <v>34</v>
      </c>
      <c r="H198" s="85">
        <v>10875.630000000001</v>
      </c>
      <c r="I198" s="85" t="s">
        <v>630</v>
      </c>
      <c r="J198" s="128">
        <v>32986</v>
      </c>
      <c r="K198" s="128">
        <f t="shared" si="2"/>
        <v>1121524</v>
      </c>
      <c r="L198" s="125" t="s">
        <v>806</v>
      </c>
      <c r="M198" s="85" t="s">
        <v>47</v>
      </c>
      <c r="N198" s="85" t="s">
        <v>1491</v>
      </c>
    </row>
    <row r="199" spans="2:14" ht="15.75" thickBot="1" x14ac:dyDescent="0.3">
      <c r="B199" s="82" t="s">
        <v>543</v>
      </c>
      <c r="C199" s="83" t="s">
        <v>629</v>
      </c>
      <c r="D199" s="124" t="s">
        <v>620</v>
      </c>
      <c r="E199" s="130">
        <v>2008</v>
      </c>
      <c r="F199" s="125" t="s">
        <v>731</v>
      </c>
      <c r="G199" s="125">
        <v>83</v>
      </c>
      <c r="H199" s="85">
        <v>15205.82</v>
      </c>
      <c r="I199" s="85" t="s">
        <v>630</v>
      </c>
      <c r="J199" s="128">
        <v>33898</v>
      </c>
      <c r="K199" s="128">
        <f t="shared" si="2"/>
        <v>2813534</v>
      </c>
      <c r="L199" s="125" t="s">
        <v>807</v>
      </c>
      <c r="M199" s="85" t="s">
        <v>47</v>
      </c>
      <c r="N199" s="85" t="s">
        <v>1491</v>
      </c>
    </row>
    <row r="200" spans="2:14" ht="15.75" thickBot="1" x14ac:dyDescent="0.3">
      <c r="B200" s="82" t="s">
        <v>543</v>
      </c>
      <c r="C200" s="83" t="s">
        <v>629</v>
      </c>
      <c r="D200" s="124" t="s">
        <v>620</v>
      </c>
      <c r="E200" s="130">
        <v>2003</v>
      </c>
      <c r="F200" s="125" t="s">
        <v>732</v>
      </c>
      <c r="G200" s="125">
        <v>81</v>
      </c>
      <c r="H200" s="85">
        <v>16232.279000000002</v>
      </c>
      <c r="I200" s="85" t="s">
        <v>630</v>
      </c>
      <c r="J200" s="128">
        <v>35032</v>
      </c>
      <c r="K200" s="128">
        <f t="shared" si="2"/>
        <v>2837592</v>
      </c>
      <c r="L200" s="125" t="s">
        <v>808</v>
      </c>
      <c r="M200" s="85" t="s">
        <v>47</v>
      </c>
      <c r="N200" s="85" t="s">
        <v>1491</v>
      </c>
    </row>
    <row r="201" spans="2:14" ht="15.75" thickBot="1" x14ac:dyDescent="0.3">
      <c r="B201" s="82" t="s">
        <v>543</v>
      </c>
      <c r="C201" s="83" t="s">
        <v>629</v>
      </c>
      <c r="D201" s="124" t="s">
        <v>620</v>
      </c>
      <c r="E201" s="130">
        <v>2000</v>
      </c>
      <c r="F201" s="125" t="s">
        <v>735</v>
      </c>
      <c r="G201" s="125">
        <v>50</v>
      </c>
      <c r="H201" s="85">
        <v>17187.219999999998</v>
      </c>
      <c r="I201" s="85" t="s">
        <v>630</v>
      </c>
      <c r="J201" s="128">
        <v>46726</v>
      </c>
      <c r="K201" s="128">
        <f t="shared" si="2"/>
        <v>2336300</v>
      </c>
      <c r="L201" s="125" t="s">
        <v>809</v>
      </c>
      <c r="M201" s="85" t="s">
        <v>47</v>
      </c>
      <c r="N201" s="85" t="s">
        <v>1491</v>
      </c>
    </row>
    <row r="202" spans="2:14" ht="15.75" thickBot="1" x14ac:dyDescent="0.3">
      <c r="B202" s="82" t="s">
        <v>543</v>
      </c>
      <c r="C202" s="83" t="s">
        <v>629</v>
      </c>
      <c r="D202" s="124" t="s">
        <v>620</v>
      </c>
      <c r="E202" s="130">
        <v>2002</v>
      </c>
      <c r="F202" s="125" t="s">
        <v>732</v>
      </c>
      <c r="G202" s="125">
        <v>62</v>
      </c>
      <c r="H202" s="85">
        <v>11878.68</v>
      </c>
      <c r="I202" s="85" t="s">
        <v>630</v>
      </c>
      <c r="J202" s="128">
        <v>33881</v>
      </c>
      <c r="K202" s="128">
        <f t="shared" si="2"/>
        <v>2100622</v>
      </c>
      <c r="L202" s="125" t="s">
        <v>810</v>
      </c>
      <c r="M202" s="85" t="s">
        <v>47</v>
      </c>
      <c r="N202" s="85" t="s">
        <v>1491</v>
      </c>
    </row>
    <row r="203" spans="2:14" ht="15.75" thickBot="1" x14ac:dyDescent="0.3">
      <c r="B203" s="82" t="s">
        <v>543</v>
      </c>
      <c r="C203" s="83" t="s">
        <v>629</v>
      </c>
      <c r="D203" s="124" t="s">
        <v>620</v>
      </c>
      <c r="E203" s="130">
        <v>2000</v>
      </c>
      <c r="F203" s="125" t="s">
        <v>735</v>
      </c>
      <c r="G203" s="125">
        <v>71</v>
      </c>
      <c r="H203" s="85">
        <v>13530.810000000001</v>
      </c>
      <c r="I203" s="85" t="s">
        <v>630</v>
      </c>
      <c r="J203" s="128">
        <v>37957</v>
      </c>
      <c r="K203" s="128">
        <f t="shared" si="2"/>
        <v>2694947</v>
      </c>
      <c r="L203" s="125" t="s">
        <v>811</v>
      </c>
      <c r="M203" s="85" t="s">
        <v>47</v>
      </c>
      <c r="N203" s="85" t="s">
        <v>1491</v>
      </c>
    </row>
    <row r="204" spans="2:14" ht="15.75" thickBot="1" x14ac:dyDescent="0.3">
      <c r="B204" s="82" t="s">
        <v>543</v>
      </c>
      <c r="C204" s="83" t="s">
        <v>629</v>
      </c>
      <c r="D204" s="124" t="s">
        <v>620</v>
      </c>
      <c r="E204" s="130">
        <v>2001</v>
      </c>
      <c r="F204" s="125" t="s">
        <v>732</v>
      </c>
      <c r="G204" s="125">
        <v>62</v>
      </c>
      <c r="H204" s="85">
        <v>12341.089999999998</v>
      </c>
      <c r="I204" s="85" t="s">
        <v>630</v>
      </c>
      <c r="J204" s="128">
        <v>34742</v>
      </c>
      <c r="K204" s="128">
        <f t="shared" si="2"/>
        <v>2154004</v>
      </c>
      <c r="L204" s="125" t="s">
        <v>812</v>
      </c>
      <c r="M204" s="85" t="s">
        <v>47</v>
      </c>
      <c r="N204" s="85" t="s">
        <v>1491</v>
      </c>
    </row>
    <row r="205" spans="2:14" ht="15.75" thickBot="1" x14ac:dyDescent="0.3">
      <c r="B205" s="82" t="s">
        <v>543</v>
      </c>
      <c r="C205" s="83" t="s">
        <v>629</v>
      </c>
      <c r="D205" s="124" t="s">
        <v>620</v>
      </c>
      <c r="E205" s="130">
        <v>2000</v>
      </c>
      <c r="F205" s="125" t="s">
        <v>735</v>
      </c>
      <c r="G205" s="125">
        <v>83</v>
      </c>
      <c r="H205" s="85">
        <v>19746</v>
      </c>
      <c r="I205" s="85" t="s">
        <v>630</v>
      </c>
      <c r="J205" s="128">
        <v>51293</v>
      </c>
      <c r="K205" s="128">
        <f t="shared" si="2"/>
        <v>4257319</v>
      </c>
      <c r="L205" s="125" t="s">
        <v>813</v>
      </c>
      <c r="M205" s="85" t="s">
        <v>47</v>
      </c>
      <c r="N205" s="85" t="s">
        <v>1491</v>
      </c>
    </row>
    <row r="206" spans="2:14" ht="15.75" thickBot="1" x14ac:dyDescent="0.3">
      <c r="B206" s="82" t="s">
        <v>543</v>
      </c>
      <c r="C206" s="83" t="s">
        <v>629</v>
      </c>
      <c r="D206" s="124" t="s">
        <v>620</v>
      </c>
      <c r="E206" s="130">
        <v>2018</v>
      </c>
      <c r="F206" s="125" t="s">
        <v>733</v>
      </c>
      <c r="G206" s="125">
        <v>29</v>
      </c>
      <c r="H206" s="85">
        <v>8218.2100000000009</v>
      </c>
      <c r="I206" s="85" t="s">
        <v>630</v>
      </c>
      <c r="J206" s="128">
        <v>39017</v>
      </c>
      <c r="K206" s="128">
        <f t="shared" si="2"/>
        <v>1131493</v>
      </c>
      <c r="L206" s="125" t="s">
        <v>814</v>
      </c>
      <c r="M206" s="85" t="s">
        <v>47</v>
      </c>
      <c r="N206" s="85" t="s">
        <v>1491</v>
      </c>
    </row>
    <row r="207" spans="2:14" ht="15.75" thickBot="1" x14ac:dyDescent="0.3">
      <c r="B207" s="82" t="s">
        <v>543</v>
      </c>
      <c r="C207" s="83" t="s">
        <v>629</v>
      </c>
      <c r="D207" s="124" t="s">
        <v>620</v>
      </c>
      <c r="E207" s="130">
        <v>2008</v>
      </c>
      <c r="F207" s="125" t="s">
        <v>731</v>
      </c>
      <c r="G207" s="125">
        <v>59</v>
      </c>
      <c r="H207" s="85">
        <v>21671.4</v>
      </c>
      <c r="I207" s="85" t="s">
        <v>630</v>
      </c>
      <c r="J207" s="128">
        <v>54571</v>
      </c>
      <c r="K207" s="128">
        <f t="shared" si="2"/>
        <v>3219689</v>
      </c>
      <c r="L207" s="125" t="s">
        <v>815</v>
      </c>
      <c r="M207" s="85" t="s">
        <v>47</v>
      </c>
      <c r="N207" s="85" t="s">
        <v>1491</v>
      </c>
    </row>
    <row r="208" spans="2:14" ht="15.75" thickBot="1" x14ac:dyDescent="0.3">
      <c r="B208" s="82" t="s">
        <v>543</v>
      </c>
      <c r="C208" s="83" t="s">
        <v>629</v>
      </c>
      <c r="D208" s="124" t="s">
        <v>620</v>
      </c>
      <c r="E208" s="130">
        <v>1997</v>
      </c>
      <c r="F208" s="125" t="s">
        <v>736</v>
      </c>
      <c r="G208" s="125">
        <v>70</v>
      </c>
      <c r="H208" s="85">
        <v>15683.56</v>
      </c>
      <c r="I208" s="85" t="s">
        <v>630</v>
      </c>
      <c r="J208" s="128">
        <v>42015</v>
      </c>
      <c r="K208" s="128">
        <f t="shared" si="2"/>
        <v>2941050</v>
      </c>
      <c r="L208" s="125" t="s">
        <v>816</v>
      </c>
      <c r="M208" s="85" t="s">
        <v>47</v>
      </c>
      <c r="N208" s="85" t="s">
        <v>1491</v>
      </c>
    </row>
    <row r="209" spans="2:14" ht="15.75" thickBot="1" x14ac:dyDescent="0.3">
      <c r="B209" s="82" t="s">
        <v>543</v>
      </c>
      <c r="C209" s="83" t="s">
        <v>629</v>
      </c>
      <c r="D209" s="124" t="s">
        <v>620</v>
      </c>
      <c r="E209" s="130">
        <v>2000</v>
      </c>
      <c r="F209" s="125" t="s">
        <v>735</v>
      </c>
      <c r="G209" s="125">
        <v>43</v>
      </c>
      <c r="H209" s="85">
        <v>17141.269999999997</v>
      </c>
      <c r="I209" s="85" t="s">
        <v>630</v>
      </c>
      <c r="J209" s="128">
        <v>39925</v>
      </c>
      <c r="K209" s="128">
        <f t="shared" si="2"/>
        <v>1716775</v>
      </c>
      <c r="L209" s="125" t="s">
        <v>817</v>
      </c>
      <c r="M209" s="85" t="s">
        <v>47</v>
      </c>
      <c r="N209" s="85" t="s">
        <v>1491</v>
      </c>
    </row>
    <row r="210" spans="2:14" ht="15.75" thickBot="1" x14ac:dyDescent="0.3">
      <c r="B210" s="82" t="s">
        <v>543</v>
      </c>
      <c r="C210" s="83" t="s">
        <v>629</v>
      </c>
      <c r="D210" s="124" t="s">
        <v>620</v>
      </c>
      <c r="E210" s="130">
        <v>1998</v>
      </c>
      <c r="F210" s="125" t="s">
        <v>736</v>
      </c>
      <c r="G210" s="125">
        <v>70</v>
      </c>
      <c r="H210" s="85">
        <v>10045.560000000001</v>
      </c>
      <c r="I210" s="85" t="s">
        <v>630</v>
      </c>
      <c r="J210" s="128">
        <v>25602</v>
      </c>
      <c r="K210" s="128">
        <f t="shared" si="2"/>
        <v>1792140</v>
      </c>
      <c r="L210" s="125" t="s">
        <v>818</v>
      </c>
      <c r="M210" s="85" t="s">
        <v>47</v>
      </c>
      <c r="N210" s="85" t="s">
        <v>1491</v>
      </c>
    </row>
    <row r="211" spans="2:14" ht="15.75" thickBot="1" x14ac:dyDescent="0.3">
      <c r="B211" s="82" t="s">
        <v>543</v>
      </c>
      <c r="C211" s="83" t="s">
        <v>629</v>
      </c>
      <c r="D211" s="124" t="s">
        <v>620</v>
      </c>
      <c r="E211" s="130">
        <v>1998</v>
      </c>
      <c r="F211" s="125" t="s">
        <v>736</v>
      </c>
      <c r="G211" s="125">
        <v>70</v>
      </c>
      <c r="H211" s="85">
        <v>17734.580000000002</v>
      </c>
      <c r="I211" s="85" t="s">
        <v>630</v>
      </c>
      <c r="J211" s="128">
        <v>43788</v>
      </c>
      <c r="K211" s="128">
        <f t="shared" si="2"/>
        <v>3065160</v>
      </c>
      <c r="L211" s="125" t="s">
        <v>819</v>
      </c>
      <c r="M211" s="85" t="s">
        <v>47</v>
      </c>
      <c r="N211" s="85" t="s">
        <v>1491</v>
      </c>
    </row>
    <row r="212" spans="2:14" ht="15.75" thickBot="1" x14ac:dyDescent="0.3">
      <c r="B212" s="82" t="s">
        <v>543</v>
      </c>
      <c r="C212" s="83" t="s">
        <v>629</v>
      </c>
      <c r="D212" s="124" t="s">
        <v>620</v>
      </c>
      <c r="E212" s="130">
        <v>2011</v>
      </c>
      <c r="F212" s="125" t="s">
        <v>734</v>
      </c>
      <c r="G212" s="125">
        <v>53</v>
      </c>
      <c r="H212" s="85">
        <v>15795.645</v>
      </c>
      <c r="I212" s="85" t="s">
        <v>630</v>
      </c>
      <c r="J212" s="128">
        <v>51911</v>
      </c>
      <c r="K212" s="128">
        <f t="shared" si="2"/>
        <v>2751283</v>
      </c>
      <c r="L212" s="125" t="s">
        <v>820</v>
      </c>
      <c r="M212" s="85" t="s">
        <v>47</v>
      </c>
      <c r="N212" s="85" t="s">
        <v>1491</v>
      </c>
    </row>
    <row r="213" spans="2:14" ht="15.75" thickBot="1" x14ac:dyDescent="0.3">
      <c r="B213" s="82" t="s">
        <v>543</v>
      </c>
      <c r="C213" s="83" t="s">
        <v>629</v>
      </c>
      <c r="D213" s="124" t="s">
        <v>620</v>
      </c>
      <c r="E213" s="130">
        <v>2011</v>
      </c>
      <c r="F213" s="125" t="s">
        <v>734</v>
      </c>
      <c r="G213" s="125">
        <v>53</v>
      </c>
      <c r="H213" s="85">
        <v>20868.808000000001</v>
      </c>
      <c r="I213" s="85" t="s">
        <v>630</v>
      </c>
      <c r="J213" s="128">
        <v>65820</v>
      </c>
      <c r="K213" s="128">
        <f t="shared" si="2"/>
        <v>3488460</v>
      </c>
      <c r="L213" s="125" t="s">
        <v>821</v>
      </c>
      <c r="M213" s="85" t="s">
        <v>47</v>
      </c>
      <c r="N213" s="85" t="s">
        <v>1491</v>
      </c>
    </row>
    <row r="214" spans="2:14" ht="15.75" thickBot="1" x14ac:dyDescent="0.3">
      <c r="B214" s="82" t="s">
        <v>543</v>
      </c>
      <c r="C214" s="83" t="s">
        <v>629</v>
      </c>
      <c r="D214" s="124" t="s">
        <v>620</v>
      </c>
      <c r="E214" s="130">
        <v>1996</v>
      </c>
      <c r="F214" s="125" t="s">
        <v>736</v>
      </c>
      <c r="G214" s="125">
        <v>80</v>
      </c>
      <c r="H214" s="85">
        <v>11521.949999999999</v>
      </c>
      <c r="I214" s="85" t="s">
        <v>630</v>
      </c>
      <c r="J214" s="128">
        <v>32252</v>
      </c>
      <c r="K214" s="128">
        <f t="shared" si="2"/>
        <v>2580160</v>
      </c>
      <c r="L214" s="125" t="s">
        <v>822</v>
      </c>
      <c r="M214" s="85" t="s">
        <v>47</v>
      </c>
      <c r="N214" s="85" t="s">
        <v>1491</v>
      </c>
    </row>
    <row r="215" spans="2:14" ht="15.75" thickBot="1" x14ac:dyDescent="0.3">
      <c r="B215" s="82" t="s">
        <v>543</v>
      </c>
      <c r="C215" s="83" t="s">
        <v>629</v>
      </c>
      <c r="D215" s="124" t="s">
        <v>620</v>
      </c>
      <c r="E215" s="130">
        <v>1997</v>
      </c>
      <c r="F215" s="125" t="s">
        <v>736</v>
      </c>
      <c r="G215" s="125">
        <v>70</v>
      </c>
      <c r="H215" s="85">
        <v>5502.49</v>
      </c>
      <c r="I215" s="85" t="s">
        <v>630</v>
      </c>
      <c r="J215" s="128">
        <v>16574</v>
      </c>
      <c r="K215" s="128">
        <f t="shared" si="2"/>
        <v>1160180</v>
      </c>
      <c r="L215" s="125" t="s">
        <v>823</v>
      </c>
      <c r="M215" s="85" t="s">
        <v>47</v>
      </c>
      <c r="N215" s="85" t="s">
        <v>1491</v>
      </c>
    </row>
    <row r="216" spans="2:14" ht="15.75" thickBot="1" x14ac:dyDescent="0.3">
      <c r="B216" s="82" t="s">
        <v>543</v>
      </c>
      <c r="C216" s="83" t="s">
        <v>629</v>
      </c>
      <c r="D216" s="124" t="s">
        <v>620</v>
      </c>
      <c r="E216" s="130">
        <v>2007</v>
      </c>
      <c r="F216" s="125" t="s">
        <v>731</v>
      </c>
      <c r="G216" s="125">
        <v>74</v>
      </c>
      <c r="H216" s="85">
        <v>18436.290000000005</v>
      </c>
      <c r="I216" s="85" t="s">
        <v>630</v>
      </c>
      <c r="J216" s="128">
        <v>48829</v>
      </c>
      <c r="K216" s="128">
        <f t="shared" si="2"/>
        <v>3613346</v>
      </c>
      <c r="L216" s="125" t="s">
        <v>824</v>
      </c>
      <c r="M216" s="85" t="s">
        <v>47</v>
      </c>
      <c r="N216" s="85" t="s">
        <v>1491</v>
      </c>
    </row>
    <row r="217" spans="2:14" ht="15.75" thickBot="1" x14ac:dyDescent="0.3">
      <c r="B217" s="82" t="s">
        <v>543</v>
      </c>
      <c r="C217" s="83" t="s">
        <v>629</v>
      </c>
      <c r="D217" s="124" t="s">
        <v>620</v>
      </c>
      <c r="E217" s="130">
        <v>2008</v>
      </c>
      <c r="F217" s="125" t="s">
        <v>731</v>
      </c>
      <c r="G217" s="125">
        <v>82</v>
      </c>
      <c r="H217" s="85">
        <v>17479</v>
      </c>
      <c r="I217" s="85" t="s">
        <v>630</v>
      </c>
      <c r="J217" s="128">
        <v>49414</v>
      </c>
      <c r="K217" s="128">
        <f t="shared" si="2"/>
        <v>4051948</v>
      </c>
      <c r="L217" s="125" t="s">
        <v>825</v>
      </c>
      <c r="M217" s="85" t="s">
        <v>47</v>
      </c>
      <c r="N217" s="85" t="s">
        <v>1491</v>
      </c>
    </row>
    <row r="218" spans="2:14" ht="15.75" thickBot="1" x14ac:dyDescent="0.3">
      <c r="B218" s="82" t="s">
        <v>543</v>
      </c>
      <c r="C218" s="83" t="s">
        <v>629</v>
      </c>
      <c r="D218" s="124" t="s">
        <v>620</v>
      </c>
      <c r="E218" s="130">
        <v>2008</v>
      </c>
      <c r="F218" s="125" t="s">
        <v>731</v>
      </c>
      <c r="G218" s="125">
        <v>82</v>
      </c>
      <c r="H218" s="85">
        <v>26773.24</v>
      </c>
      <c r="I218" s="85" t="s">
        <v>630</v>
      </c>
      <c r="J218" s="128">
        <v>73424</v>
      </c>
      <c r="K218" s="128">
        <f t="shared" si="2"/>
        <v>6020768</v>
      </c>
      <c r="L218" s="125" t="s">
        <v>826</v>
      </c>
      <c r="M218" s="85" t="s">
        <v>47</v>
      </c>
      <c r="N218" s="85" t="s">
        <v>1491</v>
      </c>
    </row>
    <row r="219" spans="2:14" ht="15.75" thickBot="1" x14ac:dyDescent="0.3">
      <c r="B219" s="82" t="s">
        <v>543</v>
      </c>
      <c r="C219" s="83" t="s">
        <v>629</v>
      </c>
      <c r="D219" s="124" t="s">
        <v>620</v>
      </c>
      <c r="E219" s="130">
        <v>2008</v>
      </c>
      <c r="F219" s="125" t="s">
        <v>731</v>
      </c>
      <c r="G219" s="125">
        <v>82</v>
      </c>
      <c r="H219" s="85">
        <v>18546.07</v>
      </c>
      <c r="I219" s="85" t="s">
        <v>630</v>
      </c>
      <c r="J219" s="128">
        <v>50334</v>
      </c>
      <c r="K219" s="128">
        <f t="shared" si="2"/>
        <v>4127388</v>
      </c>
      <c r="L219" s="125" t="s">
        <v>827</v>
      </c>
      <c r="M219" s="85" t="s">
        <v>47</v>
      </c>
      <c r="N219" s="85" t="s">
        <v>1491</v>
      </c>
    </row>
    <row r="220" spans="2:14" ht="15.75" thickBot="1" x14ac:dyDescent="0.3">
      <c r="B220" s="82" t="s">
        <v>543</v>
      </c>
      <c r="C220" s="83" t="s">
        <v>629</v>
      </c>
      <c r="D220" s="124" t="s">
        <v>620</v>
      </c>
      <c r="E220" s="130">
        <v>2004</v>
      </c>
      <c r="F220" s="125" t="s">
        <v>732</v>
      </c>
      <c r="G220" s="125">
        <v>55</v>
      </c>
      <c r="H220" s="85">
        <v>16524.219999999998</v>
      </c>
      <c r="I220" s="85" t="s">
        <v>630</v>
      </c>
      <c r="J220" s="128">
        <v>42097</v>
      </c>
      <c r="K220" s="128">
        <f t="shared" si="2"/>
        <v>2315335</v>
      </c>
      <c r="L220" s="125" t="s">
        <v>828</v>
      </c>
      <c r="M220" s="85" t="s">
        <v>47</v>
      </c>
      <c r="N220" s="85" t="s">
        <v>1491</v>
      </c>
    </row>
    <row r="221" spans="2:14" ht="15.75" thickBot="1" x14ac:dyDescent="0.3">
      <c r="B221" s="82" t="s">
        <v>543</v>
      </c>
      <c r="C221" s="83" t="s">
        <v>629</v>
      </c>
      <c r="D221" s="124" t="s">
        <v>620</v>
      </c>
      <c r="E221" s="130">
        <v>2004</v>
      </c>
      <c r="F221" s="125" t="s">
        <v>732</v>
      </c>
      <c r="G221" s="125">
        <v>76</v>
      </c>
      <c r="H221" s="85">
        <v>4267.2699999999995</v>
      </c>
      <c r="I221" s="85" t="s">
        <v>630</v>
      </c>
      <c r="J221" s="128">
        <v>10782</v>
      </c>
      <c r="K221" s="128">
        <f t="shared" si="2"/>
        <v>819432</v>
      </c>
      <c r="L221" s="125" t="s">
        <v>829</v>
      </c>
      <c r="M221" s="85" t="s">
        <v>47</v>
      </c>
      <c r="N221" s="85" t="s">
        <v>1491</v>
      </c>
    </row>
    <row r="222" spans="2:14" ht="15.75" thickBot="1" x14ac:dyDescent="0.3">
      <c r="B222" s="82" t="s">
        <v>543</v>
      </c>
      <c r="C222" s="83" t="s">
        <v>629</v>
      </c>
      <c r="D222" s="124" t="s">
        <v>620</v>
      </c>
      <c r="E222" s="130">
        <v>2005</v>
      </c>
      <c r="F222" s="125" t="s">
        <v>732</v>
      </c>
      <c r="G222" s="125">
        <v>86</v>
      </c>
      <c r="H222" s="85">
        <v>19362.620000000003</v>
      </c>
      <c r="I222" s="85" t="s">
        <v>630</v>
      </c>
      <c r="J222" s="128">
        <v>48172</v>
      </c>
      <c r="K222" s="128">
        <f t="shared" si="2"/>
        <v>4142792</v>
      </c>
      <c r="L222" s="125" t="s">
        <v>830</v>
      </c>
      <c r="M222" s="85" t="s">
        <v>47</v>
      </c>
      <c r="N222" s="85" t="s">
        <v>1491</v>
      </c>
    </row>
    <row r="223" spans="2:14" ht="15.75" thickBot="1" x14ac:dyDescent="0.3">
      <c r="B223" s="82" t="s">
        <v>543</v>
      </c>
      <c r="C223" s="83" t="s">
        <v>629</v>
      </c>
      <c r="D223" s="124" t="s">
        <v>620</v>
      </c>
      <c r="E223" s="130">
        <v>2005</v>
      </c>
      <c r="F223" s="125" t="s">
        <v>732</v>
      </c>
      <c r="G223" s="125">
        <v>86</v>
      </c>
      <c r="H223" s="85">
        <v>16083.529999999999</v>
      </c>
      <c r="I223" s="85" t="s">
        <v>630</v>
      </c>
      <c r="J223" s="128">
        <v>41213</v>
      </c>
      <c r="K223" s="128">
        <f t="shared" ref="K223:K286" si="3">J223*G223</f>
        <v>3544318</v>
      </c>
      <c r="L223" s="125" t="s">
        <v>831</v>
      </c>
      <c r="M223" s="85" t="s">
        <v>47</v>
      </c>
      <c r="N223" s="85" t="s">
        <v>1491</v>
      </c>
    </row>
    <row r="224" spans="2:14" ht="15.75" thickBot="1" x14ac:dyDescent="0.3">
      <c r="B224" s="82" t="s">
        <v>543</v>
      </c>
      <c r="C224" s="83" t="s">
        <v>629</v>
      </c>
      <c r="D224" s="124" t="s">
        <v>620</v>
      </c>
      <c r="E224" s="130">
        <v>1995</v>
      </c>
      <c r="F224" s="125" t="s">
        <v>736</v>
      </c>
      <c r="G224" s="125">
        <v>70</v>
      </c>
      <c r="H224" s="85">
        <v>9468.7799999999988</v>
      </c>
      <c r="I224" s="85" t="s">
        <v>630</v>
      </c>
      <c r="J224" s="128">
        <v>26497</v>
      </c>
      <c r="K224" s="128">
        <f t="shared" si="3"/>
        <v>1854790</v>
      </c>
      <c r="L224" s="125" t="s">
        <v>832</v>
      </c>
      <c r="M224" s="85" t="s">
        <v>47</v>
      </c>
      <c r="N224" s="85" t="s">
        <v>1491</v>
      </c>
    </row>
    <row r="225" spans="2:14" ht="15.75" thickBot="1" x14ac:dyDescent="0.3">
      <c r="B225" s="82" t="s">
        <v>543</v>
      </c>
      <c r="C225" s="83" t="s">
        <v>629</v>
      </c>
      <c r="D225" s="124" t="s">
        <v>620</v>
      </c>
      <c r="E225" s="130">
        <v>2006</v>
      </c>
      <c r="F225" s="125" t="s">
        <v>731</v>
      </c>
      <c r="G225" s="125">
        <v>55</v>
      </c>
      <c r="H225" s="85">
        <v>6109</v>
      </c>
      <c r="I225" s="85" t="s">
        <v>630</v>
      </c>
      <c r="J225" s="128">
        <v>15581</v>
      </c>
      <c r="K225" s="128">
        <f t="shared" si="3"/>
        <v>856955</v>
      </c>
      <c r="L225" s="125" t="s">
        <v>833</v>
      </c>
      <c r="M225" s="85" t="s">
        <v>47</v>
      </c>
      <c r="N225" s="85" t="s">
        <v>1491</v>
      </c>
    </row>
    <row r="226" spans="2:14" ht="15.75" thickBot="1" x14ac:dyDescent="0.3">
      <c r="B226" s="82" t="s">
        <v>543</v>
      </c>
      <c r="C226" s="83" t="s">
        <v>629</v>
      </c>
      <c r="D226" s="124" t="s">
        <v>620</v>
      </c>
      <c r="E226" s="130">
        <v>2008</v>
      </c>
      <c r="F226" s="125" t="s">
        <v>731</v>
      </c>
      <c r="G226" s="125">
        <v>35</v>
      </c>
      <c r="H226" s="85">
        <v>5870.3099999999995</v>
      </c>
      <c r="I226" s="85" t="s">
        <v>630</v>
      </c>
      <c r="J226" s="128">
        <v>18513</v>
      </c>
      <c r="K226" s="128">
        <f t="shared" si="3"/>
        <v>647955</v>
      </c>
      <c r="L226" s="125" t="s">
        <v>834</v>
      </c>
      <c r="M226" s="85" t="s">
        <v>47</v>
      </c>
      <c r="N226" s="85" t="s">
        <v>1491</v>
      </c>
    </row>
    <row r="227" spans="2:14" ht="15.75" thickBot="1" x14ac:dyDescent="0.3">
      <c r="B227" s="82" t="s">
        <v>543</v>
      </c>
      <c r="C227" s="83" t="s">
        <v>629</v>
      </c>
      <c r="D227" s="124" t="s">
        <v>620</v>
      </c>
      <c r="E227" s="130">
        <v>2010</v>
      </c>
      <c r="F227" s="125" t="s">
        <v>734</v>
      </c>
      <c r="G227" s="125">
        <v>35</v>
      </c>
      <c r="H227" s="85">
        <v>13188.7</v>
      </c>
      <c r="I227" s="85" t="s">
        <v>630</v>
      </c>
      <c r="J227" s="128">
        <v>42253</v>
      </c>
      <c r="K227" s="128">
        <f t="shared" si="3"/>
        <v>1478855</v>
      </c>
      <c r="L227" s="125" t="s">
        <v>835</v>
      </c>
      <c r="M227" s="85" t="s">
        <v>47</v>
      </c>
      <c r="N227" s="85" t="s">
        <v>1491</v>
      </c>
    </row>
    <row r="228" spans="2:14" ht="15.75" thickBot="1" x14ac:dyDescent="0.3">
      <c r="B228" s="82" t="s">
        <v>543</v>
      </c>
      <c r="C228" s="83" t="s">
        <v>629</v>
      </c>
      <c r="D228" s="124" t="s">
        <v>620</v>
      </c>
      <c r="E228" s="130">
        <v>2010</v>
      </c>
      <c r="F228" s="125" t="s">
        <v>734</v>
      </c>
      <c r="G228" s="125">
        <v>35</v>
      </c>
      <c r="H228" s="85">
        <v>4673.18</v>
      </c>
      <c r="I228" s="85" t="s">
        <v>630</v>
      </c>
      <c r="J228" s="128">
        <v>14624</v>
      </c>
      <c r="K228" s="128">
        <f t="shared" si="3"/>
        <v>511840</v>
      </c>
      <c r="L228" s="125" t="s">
        <v>836</v>
      </c>
      <c r="M228" s="85" t="s">
        <v>47</v>
      </c>
      <c r="N228" s="85" t="s">
        <v>1491</v>
      </c>
    </row>
    <row r="229" spans="2:14" ht="15.75" thickBot="1" x14ac:dyDescent="0.3">
      <c r="B229" s="82" t="s">
        <v>543</v>
      </c>
      <c r="C229" s="83" t="s">
        <v>629</v>
      </c>
      <c r="D229" s="124" t="s">
        <v>620</v>
      </c>
      <c r="E229" s="130">
        <v>2001</v>
      </c>
      <c r="F229" s="125" t="s">
        <v>732</v>
      </c>
      <c r="G229" s="125">
        <v>55</v>
      </c>
      <c r="H229" s="85">
        <v>14951.09</v>
      </c>
      <c r="I229" s="85" t="s">
        <v>630</v>
      </c>
      <c r="J229" s="128">
        <v>39500</v>
      </c>
      <c r="K229" s="128">
        <f t="shared" si="3"/>
        <v>2172500</v>
      </c>
      <c r="L229" s="125" t="s">
        <v>837</v>
      </c>
      <c r="M229" s="85" t="s">
        <v>47</v>
      </c>
      <c r="N229" s="85" t="s">
        <v>1491</v>
      </c>
    </row>
    <row r="230" spans="2:14" ht="15.75" thickBot="1" x14ac:dyDescent="0.3">
      <c r="B230" s="82" t="s">
        <v>543</v>
      </c>
      <c r="C230" s="83" t="s">
        <v>629</v>
      </c>
      <c r="D230" s="124" t="s">
        <v>620</v>
      </c>
      <c r="E230" s="130">
        <v>2001</v>
      </c>
      <c r="F230" s="125" t="s">
        <v>732</v>
      </c>
      <c r="G230" s="125">
        <v>55</v>
      </c>
      <c r="H230" s="85">
        <v>4591.04</v>
      </c>
      <c r="I230" s="85" t="s">
        <v>630</v>
      </c>
      <c r="J230" s="128">
        <v>11894</v>
      </c>
      <c r="K230" s="128">
        <f t="shared" si="3"/>
        <v>654170</v>
      </c>
      <c r="L230" s="125" t="s">
        <v>838</v>
      </c>
      <c r="M230" s="85" t="s">
        <v>47</v>
      </c>
      <c r="N230" s="85" t="s">
        <v>1491</v>
      </c>
    </row>
    <row r="231" spans="2:14" ht="15.75" thickBot="1" x14ac:dyDescent="0.3">
      <c r="B231" s="82" t="s">
        <v>543</v>
      </c>
      <c r="C231" s="83" t="s">
        <v>629</v>
      </c>
      <c r="D231" s="124" t="s">
        <v>620</v>
      </c>
      <c r="E231" s="130">
        <v>2001</v>
      </c>
      <c r="F231" s="125" t="s">
        <v>732</v>
      </c>
      <c r="G231" s="125">
        <v>55</v>
      </c>
      <c r="H231" s="85">
        <v>11715.32</v>
      </c>
      <c r="I231" s="85" t="s">
        <v>630</v>
      </c>
      <c r="J231" s="128">
        <v>29899</v>
      </c>
      <c r="K231" s="128">
        <f t="shared" si="3"/>
        <v>1644445</v>
      </c>
      <c r="L231" s="125" t="s">
        <v>839</v>
      </c>
      <c r="M231" s="85" t="s">
        <v>47</v>
      </c>
      <c r="N231" s="85" t="s">
        <v>1491</v>
      </c>
    </row>
    <row r="232" spans="2:14" ht="15.75" thickBot="1" x14ac:dyDescent="0.3">
      <c r="B232" s="82" t="s">
        <v>543</v>
      </c>
      <c r="C232" s="83" t="s">
        <v>629</v>
      </c>
      <c r="D232" s="124" t="s">
        <v>620</v>
      </c>
      <c r="E232" s="130">
        <v>2000</v>
      </c>
      <c r="F232" s="125" t="s">
        <v>735</v>
      </c>
      <c r="G232" s="125">
        <v>51</v>
      </c>
      <c r="H232" s="85">
        <v>13542.309999999998</v>
      </c>
      <c r="I232" s="85" t="s">
        <v>630</v>
      </c>
      <c r="J232" s="128">
        <v>36835</v>
      </c>
      <c r="K232" s="128">
        <f t="shared" si="3"/>
        <v>1878585</v>
      </c>
      <c r="L232" s="125" t="s">
        <v>840</v>
      </c>
      <c r="M232" s="85" t="s">
        <v>47</v>
      </c>
      <c r="N232" s="85" t="s">
        <v>1491</v>
      </c>
    </row>
    <row r="233" spans="2:14" ht="15.75" thickBot="1" x14ac:dyDescent="0.3">
      <c r="B233" s="82" t="s">
        <v>543</v>
      </c>
      <c r="C233" s="83" t="s">
        <v>629</v>
      </c>
      <c r="D233" s="124" t="s">
        <v>620</v>
      </c>
      <c r="E233" s="130">
        <v>2005</v>
      </c>
      <c r="F233" s="125" t="s">
        <v>732</v>
      </c>
      <c r="G233" s="125">
        <v>66</v>
      </c>
      <c r="H233" s="85">
        <v>15823.76</v>
      </c>
      <c r="I233" s="85" t="s">
        <v>630</v>
      </c>
      <c r="J233" s="128">
        <v>42623</v>
      </c>
      <c r="K233" s="128">
        <f t="shared" si="3"/>
        <v>2813118</v>
      </c>
      <c r="L233" s="125" t="s">
        <v>841</v>
      </c>
      <c r="M233" s="85" t="s">
        <v>47</v>
      </c>
      <c r="N233" s="85" t="s">
        <v>1491</v>
      </c>
    </row>
    <row r="234" spans="2:14" ht="15.75" thickBot="1" x14ac:dyDescent="0.3">
      <c r="B234" s="82" t="s">
        <v>543</v>
      </c>
      <c r="C234" s="83" t="s">
        <v>629</v>
      </c>
      <c r="D234" s="124" t="s">
        <v>620</v>
      </c>
      <c r="E234" s="130">
        <v>2004</v>
      </c>
      <c r="F234" s="125" t="s">
        <v>732</v>
      </c>
      <c r="G234" s="125">
        <v>53</v>
      </c>
      <c r="H234" s="85">
        <v>13774.29</v>
      </c>
      <c r="I234" s="85" t="s">
        <v>630</v>
      </c>
      <c r="J234" s="128">
        <v>38614</v>
      </c>
      <c r="K234" s="128">
        <f t="shared" si="3"/>
        <v>2046542</v>
      </c>
      <c r="L234" s="125" t="s">
        <v>842</v>
      </c>
      <c r="M234" s="85" t="s">
        <v>47</v>
      </c>
      <c r="N234" s="85" t="s">
        <v>1491</v>
      </c>
    </row>
    <row r="235" spans="2:14" ht="15.75" thickBot="1" x14ac:dyDescent="0.3">
      <c r="B235" s="82" t="s">
        <v>543</v>
      </c>
      <c r="C235" s="83" t="s">
        <v>629</v>
      </c>
      <c r="D235" s="124" t="s">
        <v>620</v>
      </c>
      <c r="E235" s="130">
        <v>2004</v>
      </c>
      <c r="F235" s="125" t="s">
        <v>732</v>
      </c>
      <c r="G235" s="125">
        <v>49</v>
      </c>
      <c r="H235" s="85">
        <v>11512.480000000001</v>
      </c>
      <c r="I235" s="85" t="s">
        <v>630</v>
      </c>
      <c r="J235" s="128">
        <v>29365</v>
      </c>
      <c r="K235" s="128">
        <f t="shared" si="3"/>
        <v>1438885</v>
      </c>
      <c r="L235" s="125" t="s">
        <v>843</v>
      </c>
      <c r="M235" s="85" t="s">
        <v>47</v>
      </c>
      <c r="N235" s="85" t="s">
        <v>1491</v>
      </c>
    </row>
    <row r="236" spans="2:14" ht="15.75" thickBot="1" x14ac:dyDescent="0.3">
      <c r="B236" s="82" t="s">
        <v>543</v>
      </c>
      <c r="C236" s="83" t="s">
        <v>629</v>
      </c>
      <c r="D236" s="124" t="s">
        <v>620</v>
      </c>
      <c r="E236" s="130">
        <v>2004</v>
      </c>
      <c r="F236" s="125" t="s">
        <v>732</v>
      </c>
      <c r="G236" s="125">
        <v>55</v>
      </c>
      <c r="H236" s="85">
        <v>15196.119999999999</v>
      </c>
      <c r="I236" s="85" t="s">
        <v>630</v>
      </c>
      <c r="J236" s="128">
        <v>37619</v>
      </c>
      <c r="K236" s="128">
        <f t="shared" si="3"/>
        <v>2069045</v>
      </c>
      <c r="L236" s="125" t="s">
        <v>844</v>
      </c>
      <c r="M236" s="85" t="s">
        <v>47</v>
      </c>
      <c r="N236" s="85" t="s">
        <v>1491</v>
      </c>
    </row>
    <row r="237" spans="2:14" ht="15.75" thickBot="1" x14ac:dyDescent="0.3">
      <c r="B237" s="82" t="s">
        <v>543</v>
      </c>
      <c r="C237" s="83" t="s">
        <v>629</v>
      </c>
      <c r="D237" s="124" t="s">
        <v>620</v>
      </c>
      <c r="E237" s="130">
        <v>2004</v>
      </c>
      <c r="F237" s="125" t="s">
        <v>732</v>
      </c>
      <c r="G237" s="125">
        <v>55</v>
      </c>
      <c r="H237" s="85">
        <v>12880.480000000001</v>
      </c>
      <c r="I237" s="85" t="s">
        <v>630</v>
      </c>
      <c r="J237" s="128">
        <v>32223</v>
      </c>
      <c r="K237" s="128">
        <f t="shared" si="3"/>
        <v>1772265</v>
      </c>
      <c r="L237" s="125" t="s">
        <v>845</v>
      </c>
      <c r="M237" s="85" t="s">
        <v>47</v>
      </c>
      <c r="N237" s="85" t="s">
        <v>1491</v>
      </c>
    </row>
    <row r="238" spans="2:14" ht="15.75" thickBot="1" x14ac:dyDescent="0.3">
      <c r="B238" s="82" t="s">
        <v>543</v>
      </c>
      <c r="C238" s="83" t="s">
        <v>629</v>
      </c>
      <c r="D238" s="124" t="s">
        <v>620</v>
      </c>
      <c r="E238" s="130">
        <v>2005</v>
      </c>
      <c r="F238" s="125" t="s">
        <v>732</v>
      </c>
      <c r="G238" s="125">
        <v>66</v>
      </c>
      <c r="H238" s="85">
        <v>8322.39</v>
      </c>
      <c r="I238" s="85" t="s">
        <v>630</v>
      </c>
      <c r="J238" s="128">
        <v>23301</v>
      </c>
      <c r="K238" s="128">
        <f t="shared" si="3"/>
        <v>1537866</v>
      </c>
      <c r="L238" s="125" t="s">
        <v>846</v>
      </c>
      <c r="M238" s="85" t="s">
        <v>47</v>
      </c>
      <c r="N238" s="85" t="s">
        <v>1491</v>
      </c>
    </row>
    <row r="239" spans="2:14" ht="15.75" thickBot="1" x14ac:dyDescent="0.3">
      <c r="B239" s="82" t="s">
        <v>543</v>
      </c>
      <c r="C239" s="83" t="s">
        <v>629</v>
      </c>
      <c r="D239" s="124" t="s">
        <v>620</v>
      </c>
      <c r="E239" s="130">
        <v>2005</v>
      </c>
      <c r="F239" s="125" t="s">
        <v>732</v>
      </c>
      <c r="G239" s="125">
        <v>37</v>
      </c>
      <c r="H239" s="85">
        <v>19124.299999999996</v>
      </c>
      <c r="I239" s="85" t="s">
        <v>630</v>
      </c>
      <c r="J239" s="128">
        <v>51903</v>
      </c>
      <c r="K239" s="128">
        <f t="shared" si="3"/>
        <v>1920411</v>
      </c>
      <c r="L239" s="125" t="s">
        <v>847</v>
      </c>
      <c r="M239" s="85" t="s">
        <v>47</v>
      </c>
      <c r="N239" s="85" t="s">
        <v>1491</v>
      </c>
    </row>
    <row r="240" spans="2:14" ht="15.75" thickBot="1" x14ac:dyDescent="0.3">
      <c r="B240" s="82" t="s">
        <v>543</v>
      </c>
      <c r="C240" s="83" t="s">
        <v>629</v>
      </c>
      <c r="D240" s="124" t="s">
        <v>620</v>
      </c>
      <c r="E240" s="130">
        <v>2005</v>
      </c>
      <c r="F240" s="125" t="s">
        <v>732</v>
      </c>
      <c r="G240" s="125">
        <v>37</v>
      </c>
      <c r="H240" s="85">
        <v>14291.93</v>
      </c>
      <c r="I240" s="85" t="s">
        <v>630</v>
      </c>
      <c r="J240" s="128">
        <v>43254</v>
      </c>
      <c r="K240" s="128">
        <f t="shared" si="3"/>
        <v>1600398</v>
      </c>
      <c r="L240" s="125" t="s">
        <v>848</v>
      </c>
      <c r="M240" s="85" t="s">
        <v>47</v>
      </c>
      <c r="N240" s="85" t="s">
        <v>1491</v>
      </c>
    </row>
    <row r="241" spans="2:14" ht="15.75" thickBot="1" x14ac:dyDescent="0.3">
      <c r="B241" s="82" t="s">
        <v>543</v>
      </c>
      <c r="C241" s="83" t="s">
        <v>629</v>
      </c>
      <c r="D241" s="124" t="s">
        <v>620</v>
      </c>
      <c r="E241" s="130">
        <v>2005</v>
      </c>
      <c r="F241" s="125" t="s">
        <v>732</v>
      </c>
      <c r="G241" s="125">
        <v>37</v>
      </c>
      <c r="H241" s="85">
        <v>16712.95</v>
      </c>
      <c r="I241" s="85" t="s">
        <v>630</v>
      </c>
      <c r="J241" s="128">
        <v>48427</v>
      </c>
      <c r="K241" s="128">
        <f t="shared" si="3"/>
        <v>1791799</v>
      </c>
      <c r="L241" s="125" t="s">
        <v>849</v>
      </c>
      <c r="M241" s="85" t="s">
        <v>47</v>
      </c>
      <c r="N241" s="85" t="s">
        <v>1491</v>
      </c>
    </row>
    <row r="242" spans="2:14" ht="15.75" thickBot="1" x14ac:dyDescent="0.3">
      <c r="B242" s="82" t="s">
        <v>543</v>
      </c>
      <c r="C242" s="83" t="s">
        <v>629</v>
      </c>
      <c r="D242" s="124" t="s">
        <v>620</v>
      </c>
      <c r="E242" s="130">
        <v>2005</v>
      </c>
      <c r="F242" s="125" t="s">
        <v>732</v>
      </c>
      <c r="G242" s="125">
        <v>37</v>
      </c>
      <c r="H242" s="85">
        <v>13225.6</v>
      </c>
      <c r="I242" s="85" t="s">
        <v>630</v>
      </c>
      <c r="J242" s="128">
        <v>39219</v>
      </c>
      <c r="K242" s="128">
        <f t="shared" si="3"/>
        <v>1451103</v>
      </c>
      <c r="L242" s="125" t="s">
        <v>850</v>
      </c>
      <c r="M242" s="85" t="s">
        <v>47</v>
      </c>
      <c r="N242" s="85" t="s">
        <v>1491</v>
      </c>
    </row>
    <row r="243" spans="2:14" ht="15.75" thickBot="1" x14ac:dyDescent="0.3">
      <c r="B243" s="82" t="s">
        <v>543</v>
      </c>
      <c r="C243" s="83" t="s">
        <v>629</v>
      </c>
      <c r="D243" s="124" t="s">
        <v>620</v>
      </c>
      <c r="E243" s="130">
        <v>2005</v>
      </c>
      <c r="F243" s="125" t="s">
        <v>732</v>
      </c>
      <c r="G243" s="125">
        <v>37</v>
      </c>
      <c r="H243" s="85">
        <v>19825.165000000001</v>
      </c>
      <c r="I243" s="85" t="s">
        <v>630</v>
      </c>
      <c r="J243" s="128">
        <v>54312</v>
      </c>
      <c r="K243" s="128">
        <f t="shared" si="3"/>
        <v>2009544</v>
      </c>
      <c r="L243" s="125" t="s">
        <v>851</v>
      </c>
      <c r="M243" s="85" t="s">
        <v>47</v>
      </c>
      <c r="N243" s="85" t="s">
        <v>1491</v>
      </c>
    </row>
    <row r="244" spans="2:14" ht="15.75" thickBot="1" x14ac:dyDescent="0.3">
      <c r="B244" s="82" t="s">
        <v>543</v>
      </c>
      <c r="C244" s="83" t="s">
        <v>629</v>
      </c>
      <c r="D244" s="124" t="s">
        <v>620</v>
      </c>
      <c r="E244" s="130">
        <v>2005</v>
      </c>
      <c r="F244" s="125" t="s">
        <v>732</v>
      </c>
      <c r="G244" s="125">
        <v>37</v>
      </c>
      <c r="H244" s="85">
        <v>7526.4000000000005</v>
      </c>
      <c r="I244" s="85" t="s">
        <v>630</v>
      </c>
      <c r="J244" s="128">
        <v>20746</v>
      </c>
      <c r="K244" s="128">
        <f t="shared" si="3"/>
        <v>767602</v>
      </c>
      <c r="L244" s="125" t="s">
        <v>852</v>
      </c>
      <c r="M244" s="85" t="s">
        <v>47</v>
      </c>
      <c r="N244" s="85" t="s">
        <v>1491</v>
      </c>
    </row>
    <row r="245" spans="2:14" ht="15.75" thickBot="1" x14ac:dyDescent="0.3">
      <c r="B245" s="82" t="s">
        <v>543</v>
      </c>
      <c r="C245" s="83" t="s">
        <v>629</v>
      </c>
      <c r="D245" s="124" t="s">
        <v>620</v>
      </c>
      <c r="E245" s="130">
        <v>2005</v>
      </c>
      <c r="F245" s="125" t="s">
        <v>732</v>
      </c>
      <c r="G245" s="125">
        <v>37</v>
      </c>
      <c r="H245" s="85">
        <v>20046.690000000002</v>
      </c>
      <c r="I245" s="85" t="s">
        <v>630</v>
      </c>
      <c r="J245" s="128">
        <v>54544</v>
      </c>
      <c r="K245" s="128">
        <f t="shared" si="3"/>
        <v>2018128</v>
      </c>
      <c r="L245" s="125" t="s">
        <v>853</v>
      </c>
      <c r="M245" s="85" t="s">
        <v>47</v>
      </c>
      <c r="N245" s="85" t="s">
        <v>1491</v>
      </c>
    </row>
    <row r="246" spans="2:14" ht="15.75" thickBot="1" x14ac:dyDescent="0.3">
      <c r="B246" s="82" t="s">
        <v>543</v>
      </c>
      <c r="C246" s="83" t="s">
        <v>629</v>
      </c>
      <c r="D246" s="124" t="s">
        <v>620</v>
      </c>
      <c r="E246" s="130">
        <v>2005</v>
      </c>
      <c r="F246" s="125" t="s">
        <v>732</v>
      </c>
      <c r="G246" s="125">
        <v>37</v>
      </c>
      <c r="H246" s="85">
        <v>5491.9</v>
      </c>
      <c r="I246" s="85" t="s">
        <v>630</v>
      </c>
      <c r="J246" s="128">
        <v>16060</v>
      </c>
      <c r="K246" s="128">
        <f t="shared" si="3"/>
        <v>594220</v>
      </c>
      <c r="L246" s="125" t="s">
        <v>854</v>
      </c>
      <c r="M246" s="85" t="s">
        <v>47</v>
      </c>
      <c r="N246" s="85" t="s">
        <v>1491</v>
      </c>
    </row>
    <row r="247" spans="2:14" ht="15.75" thickBot="1" x14ac:dyDescent="0.3">
      <c r="B247" s="82" t="s">
        <v>543</v>
      </c>
      <c r="C247" s="83" t="s">
        <v>629</v>
      </c>
      <c r="D247" s="124" t="s">
        <v>620</v>
      </c>
      <c r="E247" s="130">
        <v>2005</v>
      </c>
      <c r="F247" s="125" t="s">
        <v>732</v>
      </c>
      <c r="G247" s="125">
        <v>37</v>
      </c>
      <c r="H247" s="85">
        <v>21956.990999999998</v>
      </c>
      <c r="I247" s="85" t="s">
        <v>630</v>
      </c>
      <c r="J247" s="128">
        <v>60348</v>
      </c>
      <c r="K247" s="128">
        <f t="shared" si="3"/>
        <v>2232876</v>
      </c>
      <c r="L247" s="125" t="s">
        <v>855</v>
      </c>
      <c r="M247" s="85" t="s">
        <v>47</v>
      </c>
      <c r="N247" s="85" t="s">
        <v>1491</v>
      </c>
    </row>
    <row r="248" spans="2:14" ht="15.75" thickBot="1" x14ac:dyDescent="0.3">
      <c r="B248" s="82" t="s">
        <v>543</v>
      </c>
      <c r="C248" s="83" t="s">
        <v>629</v>
      </c>
      <c r="D248" s="124" t="s">
        <v>620</v>
      </c>
      <c r="E248" s="130">
        <v>2007</v>
      </c>
      <c r="F248" s="125" t="s">
        <v>731</v>
      </c>
      <c r="G248" s="125">
        <v>55</v>
      </c>
      <c r="H248" s="85">
        <v>22187.574000000001</v>
      </c>
      <c r="I248" s="85" t="s">
        <v>630</v>
      </c>
      <c r="J248" s="128">
        <v>60977</v>
      </c>
      <c r="K248" s="128">
        <f t="shared" si="3"/>
        <v>3353735</v>
      </c>
      <c r="L248" s="125" t="s">
        <v>856</v>
      </c>
      <c r="M248" s="85" t="s">
        <v>47</v>
      </c>
      <c r="N248" s="85" t="s">
        <v>1491</v>
      </c>
    </row>
    <row r="249" spans="2:14" ht="15.75" thickBot="1" x14ac:dyDescent="0.3">
      <c r="B249" s="82" t="s">
        <v>543</v>
      </c>
      <c r="C249" s="83" t="s">
        <v>629</v>
      </c>
      <c r="D249" s="124" t="s">
        <v>620</v>
      </c>
      <c r="E249" s="130">
        <v>2013</v>
      </c>
      <c r="F249" s="125" t="s">
        <v>733</v>
      </c>
      <c r="G249" s="125">
        <v>53</v>
      </c>
      <c r="H249" s="85">
        <v>21644.26</v>
      </c>
      <c r="I249" s="85" t="s">
        <v>630</v>
      </c>
      <c r="J249" s="128">
        <v>62042</v>
      </c>
      <c r="K249" s="128">
        <f t="shared" si="3"/>
        <v>3288226</v>
      </c>
      <c r="L249" s="125" t="s">
        <v>857</v>
      </c>
      <c r="M249" s="85" t="s">
        <v>47</v>
      </c>
      <c r="N249" s="85" t="s">
        <v>1491</v>
      </c>
    </row>
    <row r="250" spans="2:14" ht="15.75" thickBot="1" x14ac:dyDescent="0.3">
      <c r="B250" s="82" t="s">
        <v>543</v>
      </c>
      <c r="C250" s="83" t="s">
        <v>629</v>
      </c>
      <c r="D250" s="124" t="s">
        <v>620</v>
      </c>
      <c r="E250" s="130">
        <v>2013</v>
      </c>
      <c r="F250" s="125" t="s">
        <v>733</v>
      </c>
      <c r="G250" s="125">
        <v>53</v>
      </c>
      <c r="H250" s="85">
        <v>16702.331999999999</v>
      </c>
      <c r="I250" s="85" t="s">
        <v>630</v>
      </c>
      <c r="J250" s="128">
        <v>50843</v>
      </c>
      <c r="K250" s="128">
        <f t="shared" si="3"/>
        <v>2694679</v>
      </c>
      <c r="L250" s="125" t="s">
        <v>858</v>
      </c>
      <c r="M250" s="85" t="s">
        <v>47</v>
      </c>
      <c r="N250" s="85" t="s">
        <v>1491</v>
      </c>
    </row>
    <row r="251" spans="2:14" ht="15.75" thickBot="1" x14ac:dyDescent="0.3">
      <c r="B251" s="82" t="s">
        <v>545</v>
      </c>
      <c r="C251" s="83" t="s">
        <v>629</v>
      </c>
      <c r="D251" s="124" t="s">
        <v>620</v>
      </c>
      <c r="E251" s="130">
        <v>2019</v>
      </c>
      <c r="F251" s="125" t="s">
        <v>733</v>
      </c>
      <c r="G251" s="125">
        <v>53</v>
      </c>
      <c r="H251" s="85">
        <v>30721.37</v>
      </c>
      <c r="I251" s="85" t="s">
        <v>630</v>
      </c>
      <c r="J251" s="128">
        <v>125345</v>
      </c>
      <c r="K251" s="128">
        <f t="shared" si="3"/>
        <v>6643285</v>
      </c>
      <c r="L251" s="125" t="s">
        <v>859</v>
      </c>
      <c r="M251" s="85" t="s">
        <v>47</v>
      </c>
      <c r="N251" s="85" t="s">
        <v>1491</v>
      </c>
    </row>
    <row r="252" spans="2:14" ht="15.75" thickBot="1" x14ac:dyDescent="0.3">
      <c r="B252" s="82" t="s">
        <v>545</v>
      </c>
      <c r="C252" s="83" t="s">
        <v>629</v>
      </c>
      <c r="D252" s="124" t="s">
        <v>620</v>
      </c>
      <c r="E252" s="130">
        <v>2019</v>
      </c>
      <c r="F252" s="125" t="s">
        <v>733</v>
      </c>
      <c r="G252" s="125">
        <v>53</v>
      </c>
      <c r="H252" s="85">
        <v>21905.25</v>
      </c>
      <c r="I252" s="85" t="s">
        <v>630</v>
      </c>
      <c r="J252" s="128">
        <v>88805</v>
      </c>
      <c r="K252" s="128">
        <f t="shared" si="3"/>
        <v>4706665</v>
      </c>
      <c r="L252" s="125" t="s">
        <v>860</v>
      </c>
      <c r="M252" s="85" t="s">
        <v>47</v>
      </c>
      <c r="N252" s="85" t="s">
        <v>1491</v>
      </c>
    </row>
    <row r="253" spans="2:14" ht="15.75" thickBot="1" x14ac:dyDescent="0.3">
      <c r="B253" s="82" t="s">
        <v>545</v>
      </c>
      <c r="C253" s="83" t="s">
        <v>629</v>
      </c>
      <c r="D253" s="124" t="s">
        <v>620</v>
      </c>
      <c r="E253" s="130">
        <v>2019</v>
      </c>
      <c r="F253" s="125" t="s">
        <v>733</v>
      </c>
      <c r="G253" s="125">
        <v>53</v>
      </c>
      <c r="H253" s="85">
        <v>22278.77</v>
      </c>
      <c r="I253" s="85" t="s">
        <v>630</v>
      </c>
      <c r="J253" s="128">
        <v>88546</v>
      </c>
      <c r="K253" s="128">
        <f t="shared" si="3"/>
        <v>4692938</v>
      </c>
      <c r="L253" s="125" t="s">
        <v>861</v>
      </c>
      <c r="M253" s="85" t="s">
        <v>47</v>
      </c>
      <c r="N253" s="85" t="s">
        <v>1491</v>
      </c>
    </row>
    <row r="254" spans="2:14" ht="15.75" thickBot="1" x14ac:dyDescent="0.3">
      <c r="B254" s="82" t="s">
        <v>545</v>
      </c>
      <c r="C254" s="83" t="s">
        <v>629</v>
      </c>
      <c r="D254" s="124" t="s">
        <v>620</v>
      </c>
      <c r="E254" s="130">
        <v>2019</v>
      </c>
      <c r="F254" s="125" t="s">
        <v>733</v>
      </c>
      <c r="G254" s="125">
        <v>53</v>
      </c>
      <c r="H254" s="85">
        <v>22057.75</v>
      </c>
      <c r="I254" s="85" t="s">
        <v>630</v>
      </c>
      <c r="J254" s="128">
        <v>91538</v>
      </c>
      <c r="K254" s="128">
        <f t="shared" si="3"/>
        <v>4851514</v>
      </c>
      <c r="L254" s="125" t="s">
        <v>862</v>
      </c>
      <c r="M254" s="85" t="s">
        <v>47</v>
      </c>
      <c r="N254" s="85" t="s">
        <v>1491</v>
      </c>
    </row>
    <row r="255" spans="2:14" ht="15.75" thickBot="1" x14ac:dyDescent="0.3">
      <c r="B255" s="82" t="s">
        <v>545</v>
      </c>
      <c r="C255" s="83" t="s">
        <v>629</v>
      </c>
      <c r="D255" s="124" t="s">
        <v>620</v>
      </c>
      <c r="E255" s="130">
        <v>2019</v>
      </c>
      <c r="F255" s="125" t="s">
        <v>733</v>
      </c>
      <c r="G255" s="125">
        <v>53</v>
      </c>
      <c r="H255" s="85">
        <v>34800.58</v>
      </c>
      <c r="I255" s="85" t="s">
        <v>630</v>
      </c>
      <c r="J255" s="128">
        <v>141959</v>
      </c>
      <c r="K255" s="128">
        <f t="shared" si="3"/>
        <v>7523827</v>
      </c>
      <c r="L255" s="125" t="s">
        <v>863</v>
      </c>
      <c r="M255" s="85" t="s">
        <v>47</v>
      </c>
      <c r="N255" s="85" t="s">
        <v>1491</v>
      </c>
    </row>
    <row r="256" spans="2:14" ht="15.75" thickBot="1" x14ac:dyDescent="0.3">
      <c r="B256" s="82" t="s">
        <v>545</v>
      </c>
      <c r="C256" s="83" t="s">
        <v>629</v>
      </c>
      <c r="D256" s="124" t="s">
        <v>620</v>
      </c>
      <c r="E256" s="130">
        <v>2019</v>
      </c>
      <c r="F256" s="125" t="s">
        <v>733</v>
      </c>
      <c r="G256" s="125">
        <v>53</v>
      </c>
      <c r="H256" s="85">
        <v>28332.68</v>
      </c>
      <c r="I256" s="85" t="s">
        <v>630</v>
      </c>
      <c r="J256" s="128">
        <v>111639</v>
      </c>
      <c r="K256" s="128">
        <f t="shared" si="3"/>
        <v>5916867</v>
      </c>
      <c r="L256" s="125" t="s">
        <v>864</v>
      </c>
      <c r="M256" s="85" t="s">
        <v>47</v>
      </c>
      <c r="N256" s="85" t="s">
        <v>1491</v>
      </c>
    </row>
    <row r="257" spans="2:14" ht="15.75" thickBot="1" x14ac:dyDescent="0.3">
      <c r="B257" s="82" t="s">
        <v>545</v>
      </c>
      <c r="C257" s="83" t="s">
        <v>629</v>
      </c>
      <c r="D257" s="124" t="s">
        <v>620</v>
      </c>
      <c r="E257" s="130">
        <v>2019</v>
      </c>
      <c r="F257" s="125" t="s">
        <v>733</v>
      </c>
      <c r="G257" s="125">
        <v>39</v>
      </c>
      <c r="H257" s="85">
        <v>14209.59</v>
      </c>
      <c r="I257" s="85" t="s">
        <v>630</v>
      </c>
      <c r="J257" s="128">
        <v>50385</v>
      </c>
      <c r="K257" s="128">
        <f t="shared" si="3"/>
        <v>1965015</v>
      </c>
      <c r="L257" s="125" t="s">
        <v>865</v>
      </c>
      <c r="M257" s="85" t="s">
        <v>47</v>
      </c>
      <c r="N257" s="85" t="s">
        <v>1491</v>
      </c>
    </row>
    <row r="258" spans="2:14" ht="15.75" thickBot="1" x14ac:dyDescent="0.3">
      <c r="B258" s="82" t="s">
        <v>545</v>
      </c>
      <c r="C258" s="83" t="s">
        <v>629</v>
      </c>
      <c r="D258" s="124" t="s">
        <v>620</v>
      </c>
      <c r="E258" s="130">
        <v>2019</v>
      </c>
      <c r="F258" s="125" t="s">
        <v>733</v>
      </c>
      <c r="G258" s="125">
        <v>39</v>
      </c>
      <c r="H258" s="85">
        <v>14914.73</v>
      </c>
      <c r="I258" s="85" t="s">
        <v>630</v>
      </c>
      <c r="J258" s="128">
        <v>54595</v>
      </c>
      <c r="K258" s="128">
        <f t="shared" si="3"/>
        <v>2129205</v>
      </c>
      <c r="L258" s="125" t="s">
        <v>866</v>
      </c>
      <c r="M258" s="85" t="s">
        <v>47</v>
      </c>
      <c r="N258" s="85" t="s">
        <v>1491</v>
      </c>
    </row>
    <row r="259" spans="2:14" ht="15.75" thickBot="1" x14ac:dyDescent="0.3">
      <c r="B259" s="82" t="s">
        <v>545</v>
      </c>
      <c r="C259" s="83" t="s">
        <v>629</v>
      </c>
      <c r="D259" s="124" t="s">
        <v>620</v>
      </c>
      <c r="E259" s="130">
        <v>2019</v>
      </c>
      <c r="F259" s="125" t="s">
        <v>733</v>
      </c>
      <c r="G259" s="125">
        <v>63</v>
      </c>
      <c r="H259" s="85">
        <v>58340.22</v>
      </c>
      <c r="I259" s="85" t="s">
        <v>630</v>
      </c>
      <c r="J259" s="128">
        <v>193964</v>
      </c>
      <c r="K259" s="128">
        <f t="shared" si="3"/>
        <v>12219732</v>
      </c>
      <c r="L259" s="125" t="s">
        <v>867</v>
      </c>
      <c r="M259" s="85" t="s">
        <v>47</v>
      </c>
      <c r="N259" s="85" t="s">
        <v>1491</v>
      </c>
    </row>
    <row r="260" spans="2:14" ht="15.75" thickBot="1" x14ac:dyDescent="0.3">
      <c r="B260" s="82" t="s">
        <v>545</v>
      </c>
      <c r="C260" s="83" t="s">
        <v>629</v>
      </c>
      <c r="D260" s="124" t="s">
        <v>620</v>
      </c>
      <c r="E260" s="130">
        <v>2019</v>
      </c>
      <c r="F260" s="125" t="s">
        <v>733</v>
      </c>
      <c r="G260" s="125">
        <v>19</v>
      </c>
      <c r="H260" s="85">
        <v>4640.3600000000006</v>
      </c>
      <c r="I260" s="85" t="s">
        <v>630</v>
      </c>
      <c r="J260" s="128">
        <v>25605</v>
      </c>
      <c r="K260" s="128">
        <f t="shared" si="3"/>
        <v>486495</v>
      </c>
      <c r="L260" s="125" t="s">
        <v>868</v>
      </c>
      <c r="M260" s="85" t="s">
        <v>47</v>
      </c>
      <c r="N260" s="85" t="s">
        <v>1491</v>
      </c>
    </row>
    <row r="261" spans="2:14" ht="15.75" thickBot="1" x14ac:dyDescent="0.3">
      <c r="B261" s="82" t="s">
        <v>545</v>
      </c>
      <c r="C261" s="83" t="s">
        <v>629</v>
      </c>
      <c r="D261" s="124" t="s">
        <v>620</v>
      </c>
      <c r="E261" s="130">
        <v>2019</v>
      </c>
      <c r="F261" s="125" t="s">
        <v>733</v>
      </c>
      <c r="G261" s="125">
        <v>39</v>
      </c>
      <c r="H261" s="85">
        <v>14279.4</v>
      </c>
      <c r="I261" s="85" t="s">
        <v>630</v>
      </c>
      <c r="J261" s="128">
        <v>52981</v>
      </c>
      <c r="K261" s="128">
        <f t="shared" si="3"/>
        <v>2066259</v>
      </c>
      <c r="L261" s="125" t="s">
        <v>869</v>
      </c>
      <c r="M261" s="85" t="s">
        <v>47</v>
      </c>
      <c r="N261" s="85" t="s">
        <v>1491</v>
      </c>
    </row>
    <row r="262" spans="2:14" ht="15.75" thickBot="1" x14ac:dyDescent="0.3">
      <c r="B262" s="82" t="s">
        <v>545</v>
      </c>
      <c r="C262" s="83" t="s">
        <v>629</v>
      </c>
      <c r="D262" s="124" t="s">
        <v>620</v>
      </c>
      <c r="E262" s="130">
        <v>2019</v>
      </c>
      <c r="F262" s="125" t="s">
        <v>733</v>
      </c>
      <c r="G262" s="125">
        <v>53</v>
      </c>
      <c r="H262" s="85">
        <v>27826.34</v>
      </c>
      <c r="I262" s="85" t="s">
        <v>630</v>
      </c>
      <c r="J262" s="128">
        <v>110366</v>
      </c>
      <c r="K262" s="128">
        <f t="shared" si="3"/>
        <v>5849398</v>
      </c>
      <c r="L262" s="125" t="s">
        <v>870</v>
      </c>
      <c r="M262" s="85" t="s">
        <v>47</v>
      </c>
      <c r="N262" s="85" t="s">
        <v>1491</v>
      </c>
    </row>
    <row r="263" spans="2:14" ht="15.75" thickBot="1" x14ac:dyDescent="0.3">
      <c r="B263" s="82" t="s">
        <v>545</v>
      </c>
      <c r="C263" s="83" t="s">
        <v>629</v>
      </c>
      <c r="D263" s="124" t="s">
        <v>620</v>
      </c>
      <c r="E263" s="130">
        <v>2019</v>
      </c>
      <c r="F263" s="125" t="s">
        <v>733</v>
      </c>
      <c r="G263" s="125">
        <v>29</v>
      </c>
      <c r="H263" s="85">
        <v>3666.77</v>
      </c>
      <c r="I263" s="85" t="s">
        <v>630</v>
      </c>
      <c r="J263" s="128">
        <v>16135</v>
      </c>
      <c r="K263" s="128">
        <f t="shared" si="3"/>
        <v>467915</v>
      </c>
      <c r="L263" s="125" t="s">
        <v>871</v>
      </c>
      <c r="M263" s="85" t="s">
        <v>47</v>
      </c>
      <c r="N263" s="85" t="s">
        <v>1491</v>
      </c>
    </row>
    <row r="264" spans="2:14" ht="15.75" thickBot="1" x14ac:dyDescent="0.3">
      <c r="B264" s="82" t="s">
        <v>545</v>
      </c>
      <c r="C264" s="83" t="s">
        <v>629</v>
      </c>
      <c r="D264" s="124" t="s">
        <v>620</v>
      </c>
      <c r="E264" s="130">
        <v>2019</v>
      </c>
      <c r="F264" s="125" t="s">
        <v>733</v>
      </c>
      <c r="G264" s="125">
        <v>29</v>
      </c>
      <c r="H264" s="85">
        <v>3279.96</v>
      </c>
      <c r="I264" s="85" t="s">
        <v>630</v>
      </c>
      <c r="J264" s="128">
        <v>14522</v>
      </c>
      <c r="K264" s="128">
        <f t="shared" si="3"/>
        <v>421138</v>
      </c>
      <c r="L264" s="125" t="s">
        <v>872</v>
      </c>
      <c r="M264" s="85" t="s">
        <v>47</v>
      </c>
      <c r="N264" s="85" t="s">
        <v>1491</v>
      </c>
    </row>
    <row r="265" spans="2:14" ht="15.75" thickBot="1" x14ac:dyDescent="0.3">
      <c r="B265" s="82" t="s">
        <v>545</v>
      </c>
      <c r="C265" s="83" t="s">
        <v>629</v>
      </c>
      <c r="D265" s="124" t="s">
        <v>620</v>
      </c>
      <c r="E265" s="130">
        <v>2019</v>
      </c>
      <c r="F265" s="125" t="s">
        <v>733</v>
      </c>
      <c r="G265" s="125">
        <v>29</v>
      </c>
      <c r="H265" s="85">
        <v>3921.12</v>
      </c>
      <c r="I265" s="85" t="s">
        <v>630</v>
      </c>
      <c r="J265" s="128">
        <v>17984</v>
      </c>
      <c r="K265" s="128">
        <f t="shared" si="3"/>
        <v>521536</v>
      </c>
      <c r="L265" s="125" t="s">
        <v>873</v>
      </c>
      <c r="M265" s="85" t="s">
        <v>47</v>
      </c>
      <c r="N265" s="85" t="s">
        <v>1491</v>
      </c>
    </row>
    <row r="266" spans="2:14" ht="15.75" thickBot="1" x14ac:dyDescent="0.3">
      <c r="B266" s="82" t="s">
        <v>545</v>
      </c>
      <c r="C266" s="83" t="s">
        <v>629</v>
      </c>
      <c r="D266" s="124" t="s">
        <v>620</v>
      </c>
      <c r="E266" s="130">
        <v>2012</v>
      </c>
      <c r="F266" s="125" t="s">
        <v>734</v>
      </c>
      <c r="G266" s="125">
        <v>57</v>
      </c>
      <c r="H266" s="85">
        <v>21205.773000000001</v>
      </c>
      <c r="I266" s="85" t="s">
        <v>630</v>
      </c>
      <c r="J266" s="128">
        <v>68017</v>
      </c>
      <c r="K266" s="128">
        <f t="shared" si="3"/>
        <v>3876969</v>
      </c>
      <c r="L266" s="125" t="s">
        <v>874</v>
      </c>
      <c r="M266" s="85" t="s">
        <v>47</v>
      </c>
      <c r="N266" s="85" t="s">
        <v>1491</v>
      </c>
    </row>
    <row r="267" spans="2:14" ht="15.75" thickBot="1" x14ac:dyDescent="0.3">
      <c r="B267" s="82" t="s">
        <v>545</v>
      </c>
      <c r="C267" s="83" t="s">
        <v>629</v>
      </c>
      <c r="D267" s="124" t="s">
        <v>620</v>
      </c>
      <c r="E267" s="130">
        <v>2019</v>
      </c>
      <c r="F267" s="125" t="s">
        <v>733</v>
      </c>
      <c r="G267" s="125">
        <v>25</v>
      </c>
      <c r="H267" s="85">
        <v>15966.19</v>
      </c>
      <c r="I267" s="85" t="s">
        <v>630</v>
      </c>
      <c r="J267" s="128">
        <v>86875</v>
      </c>
      <c r="K267" s="128">
        <f t="shared" si="3"/>
        <v>2171875</v>
      </c>
      <c r="L267" s="125" t="s">
        <v>875</v>
      </c>
      <c r="M267" s="85" t="s">
        <v>47</v>
      </c>
      <c r="N267" s="85" t="s">
        <v>1491</v>
      </c>
    </row>
    <row r="268" spans="2:14" ht="15.75" thickBot="1" x14ac:dyDescent="0.3">
      <c r="B268" s="82" t="s">
        <v>545</v>
      </c>
      <c r="C268" s="83" t="s">
        <v>629</v>
      </c>
      <c r="D268" s="124" t="s">
        <v>620</v>
      </c>
      <c r="E268" s="130">
        <v>2015</v>
      </c>
      <c r="F268" s="125" t="s">
        <v>733</v>
      </c>
      <c r="G268" s="125">
        <v>25</v>
      </c>
      <c r="H268" s="85">
        <v>1456.77</v>
      </c>
      <c r="I268" s="85" t="s">
        <v>630</v>
      </c>
      <c r="J268" s="128">
        <v>7253</v>
      </c>
      <c r="K268" s="128">
        <f t="shared" si="3"/>
        <v>181325</v>
      </c>
      <c r="L268" s="125" t="s">
        <v>876</v>
      </c>
      <c r="M268" s="85" t="s">
        <v>47</v>
      </c>
      <c r="N268" s="85" t="s">
        <v>1491</v>
      </c>
    </row>
    <row r="269" spans="2:14" ht="15.75" thickBot="1" x14ac:dyDescent="0.3">
      <c r="B269" s="82" t="s">
        <v>545</v>
      </c>
      <c r="C269" s="83" t="s">
        <v>629</v>
      </c>
      <c r="D269" s="124" t="s">
        <v>620</v>
      </c>
      <c r="E269" s="130">
        <v>2019</v>
      </c>
      <c r="F269" s="125" t="s">
        <v>733</v>
      </c>
      <c r="G269" s="125">
        <v>25</v>
      </c>
      <c r="H269" s="85">
        <v>6130.18</v>
      </c>
      <c r="I269" s="85" t="s">
        <v>630</v>
      </c>
      <c r="J269" s="128">
        <v>35935</v>
      </c>
      <c r="K269" s="128">
        <f t="shared" si="3"/>
        <v>898375</v>
      </c>
      <c r="L269" s="125" t="s">
        <v>877</v>
      </c>
      <c r="M269" s="85" t="s">
        <v>47</v>
      </c>
      <c r="N269" s="85" t="s">
        <v>1491</v>
      </c>
    </row>
    <row r="270" spans="2:14" ht="15.75" thickBot="1" x14ac:dyDescent="0.3">
      <c r="B270" s="82" t="s">
        <v>545</v>
      </c>
      <c r="C270" s="83" t="s">
        <v>629</v>
      </c>
      <c r="D270" s="124" t="s">
        <v>620</v>
      </c>
      <c r="E270" s="130">
        <v>2020</v>
      </c>
      <c r="F270" s="125" t="s">
        <v>733</v>
      </c>
      <c r="G270" s="125">
        <v>53</v>
      </c>
      <c r="H270" s="85">
        <v>26206.86</v>
      </c>
      <c r="I270" s="85" t="s">
        <v>630</v>
      </c>
      <c r="J270" s="128">
        <v>105882</v>
      </c>
      <c r="K270" s="128">
        <f t="shared" si="3"/>
        <v>5611746</v>
      </c>
      <c r="L270" s="125" t="s">
        <v>878</v>
      </c>
      <c r="M270" s="85" t="s">
        <v>47</v>
      </c>
      <c r="N270" s="85" t="s">
        <v>1491</v>
      </c>
    </row>
    <row r="271" spans="2:14" ht="15.75" thickBot="1" x14ac:dyDescent="0.3">
      <c r="B271" s="82" t="s">
        <v>545</v>
      </c>
      <c r="C271" s="83" t="s">
        <v>629</v>
      </c>
      <c r="D271" s="124" t="s">
        <v>620</v>
      </c>
      <c r="E271" s="130">
        <v>2020</v>
      </c>
      <c r="F271" s="125" t="s">
        <v>733</v>
      </c>
      <c r="G271" s="125">
        <v>53</v>
      </c>
      <c r="H271" s="85">
        <v>26831.059999999998</v>
      </c>
      <c r="I271" s="85" t="s">
        <v>630</v>
      </c>
      <c r="J271" s="128">
        <v>104124</v>
      </c>
      <c r="K271" s="128">
        <f t="shared" si="3"/>
        <v>5518572</v>
      </c>
      <c r="L271" s="125" t="s">
        <v>879</v>
      </c>
      <c r="M271" s="85" t="s">
        <v>47</v>
      </c>
      <c r="N271" s="85" t="s">
        <v>1491</v>
      </c>
    </row>
    <row r="272" spans="2:14" ht="15.75" thickBot="1" x14ac:dyDescent="0.3">
      <c r="B272" s="82" t="s">
        <v>545</v>
      </c>
      <c r="C272" s="83" t="s">
        <v>629</v>
      </c>
      <c r="D272" s="124" t="s">
        <v>620</v>
      </c>
      <c r="E272" s="130">
        <v>2020</v>
      </c>
      <c r="F272" s="125" t="s">
        <v>733</v>
      </c>
      <c r="G272" s="125">
        <v>53</v>
      </c>
      <c r="H272" s="85">
        <v>28882.090000000004</v>
      </c>
      <c r="I272" s="85" t="s">
        <v>630</v>
      </c>
      <c r="J272" s="128">
        <v>116828</v>
      </c>
      <c r="K272" s="128">
        <f t="shared" si="3"/>
        <v>6191884</v>
      </c>
      <c r="L272" s="125" t="s">
        <v>880</v>
      </c>
      <c r="M272" s="85" t="s">
        <v>47</v>
      </c>
      <c r="N272" s="85" t="s">
        <v>1491</v>
      </c>
    </row>
    <row r="273" spans="2:14" ht="15.75" thickBot="1" x14ac:dyDescent="0.3">
      <c r="B273" s="82" t="s">
        <v>545</v>
      </c>
      <c r="C273" s="83" t="s">
        <v>629</v>
      </c>
      <c r="D273" s="124" t="s">
        <v>620</v>
      </c>
      <c r="E273" s="130">
        <v>2020</v>
      </c>
      <c r="F273" s="125" t="s">
        <v>733</v>
      </c>
      <c r="G273" s="125">
        <v>53</v>
      </c>
      <c r="H273" s="85">
        <v>32375.040000000001</v>
      </c>
      <c r="I273" s="85" t="s">
        <v>630</v>
      </c>
      <c r="J273" s="128">
        <v>132282</v>
      </c>
      <c r="K273" s="128">
        <f t="shared" si="3"/>
        <v>7010946</v>
      </c>
      <c r="L273" s="125" t="s">
        <v>881</v>
      </c>
      <c r="M273" s="85" t="s">
        <v>47</v>
      </c>
      <c r="N273" s="85" t="s">
        <v>1491</v>
      </c>
    </row>
    <row r="274" spans="2:14" ht="15.75" thickBot="1" x14ac:dyDescent="0.3">
      <c r="B274" s="82" t="s">
        <v>545</v>
      </c>
      <c r="C274" s="83" t="s">
        <v>629</v>
      </c>
      <c r="D274" s="124" t="s">
        <v>620</v>
      </c>
      <c r="E274" s="130">
        <v>2020</v>
      </c>
      <c r="F274" s="125" t="s">
        <v>733</v>
      </c>
      <c r="G274" s="125">
        <v>63</v>
      </c>
      <c r="H274" s="85">
        <v>71262.09</v>
      </c>
      <c r="I274" s="85" t="s">
        <v>630</v>
      </c>
      <c r="J274" s="128">
        <v>246632</v>
      </c>
      <c r="K274" s="128">
        <f t="shared" si="3"/>
        <v>15537816</v>
      </c>
      <c r="L274" s="125" t="s">
        <v>882</v>
      </c>
      <c r="M274" s="85" t="s">
        <v>47</v>
      </c>
      <c r="N274" s="85" t="s">
        <v>1491</v>
      </c>
    </row>
    <row r="275" spans="2:14" ht="15.75" thickBot="1" x14ac:dyDescent="0.3">
      <c r="B275" s="82" t="s">
        <v>545</v>
      </c>
      <c r="C275" s="83" t="s">
        <v>629</v>
      </c>
      <c r="D275" s="124" t="s">
        <v>620</v>
      </c>
      <c r="E275" s="130">
        <v>2020</v>
      </c>
      <c r="F275" s="125" t="s">
        <v>733</v>
      </c>
      <c r="G275" s="125">
        <v>29</v>
      </c>
      <c r="H275" s="85">
        <v>3506.84</v>
      </c>
      <c r="I275" s="85" t="s">
        <v>630</v>
      </c>
      <c r="J275" s="128">
        <v>18896</v>
      </c>
      <c r="K275" s="128">
        <f t="shared" si="3"/>
        <v>547984</v>
      </c>
      <c r="L275" s="125" t="s">
        <v>883</v>
      </c>
      <c r="M275" s="85" t="s">
        <v>47</v>
      </c>
      <c r="N275" s="85" t="s">
        <v>1491</v>
      </c>
    </row>
    <row r="276" spans="2:14" ht="15.75" thickBot="1" x14ac:dyDescent="0.3">
      <c r="B276" s="82" t="s">
        <v>545</v>
      </c>
      <c r="C276" s="83" t="s">
        <v>629</v>
      </c>
      <c r="D276" s="124" t="s">
        <v>620</v>
      </c>
      <c r="E276" s="130">
        <v>2020</v>
      </c>
      <c r="F276" s="125" t="s">
        <v>733</v>
      </c>
      <c r="G276" s="125">
        <v>29</v>
      </c>
      <c r="H276" s="85">
        <v>2928.9499999999994</v>
      </c>
      <c r="I276" s="85" t="s">
        <v>630</v>
      </c>
      <c r="J276" s="128">
        <v>13405</v>
      </c>
      <c r="K276" s="128">
        <f t="shared" si="3"/>
        <v>388745</v>
      </c>
      <c r="L276" s="125" t="s">
        <v>884</v>
      </c>
      <c r="M276" s="85" t="s">
        <v>47</v>
      </c>
      <c r="N276" s="85" t="s">
        <v>1491</v>
      </c>
    </row>
    <row r="277" spans="2:14" ht="15.75" thickBot="1" x14ac:dyDescent="0.3">
      <c r="B277" s="82" t="s">
        <v>545</v>
      </c>
      <c r="C277" s="83" t="s">
        <v>629</v>
      </c>
      <c r="D277" s="124" t="s">
        <v>620</v>
      </c>
      <c r="E277" s="130">
        <v>2020</v>
      </c>
      <c r="F277" s="125" t="s">
        <v>733</v>
      </c>
      <c r="G277" s="125">
        <v>29</v>
      </c>
      <c r="H277" s="85">
        <v>2184.25</v>
      </c>
      <c r="I277" s="85" t="s">
        <v>630</v>
      </c>
      <c r="J277" s="128">
        <v>10445</v>
      </c>
      <c r="K277" s="128">
        <f t="shared" si="3"/>
        <v>302905</v>
      </c>
      <c r="L277" s="125" t="s">
        <v>885</v>
      </c>
      <c r="M277" s="85" t="s">
        <v>47</v>
      </c>
      <c r="N277" s="85" t="s">
        <v>1491</v>
      </c>
    </row>
    <row r="278" spans="2:14" ht="15.75" thickBot="1" x14ac:dyDescent="0.3">
      <c r="B278" s="82" t="s">
        <v>545</v>
      </c>
      <c r="C278" s="83" t="s">
        <v>629</v>
      </c>
      <c r="D278" s="124" t="s">
        <v>620</v>
      </c>
      <c r="E278" s="130">
        <v>2020</v>
      </c>
      <c r="F278" s="125" t="s">
        <v>733</v>
      </c>
      <c r="G278" s="125">
        <v>29</v>
      </c>
      <c r="H278" s="85">
        <v>2619.5500000000002</v>
      </c>
      <c r="I278" s="85" t="s">
        <v>630</v>
      </c>
      <c r="J278" s="128">
        <v>12291</v>
      </c>
      <c r="K278" s="128">
        <f t="shared" si="3"/>
        <v>356439</v>
      </c>
      <c r="L278" s="125" t="s">
        <v>886</v>
      </c>
      <c r="M278" s="85" t="s">
        <v>47</v>
      </c>
      <c r="N278" s="85" t="s">
        <v>1491</v>
      </c>
    </row>
    <row r="279" spans="2:14" ht="15.75" thickBot="1" x14ac:dyDescent="0.3">
      <c r="B279" s="82" t="s">
        <v>545</v>
      </c>
      <c r="C279" s="83" t="s">
        <v>629</v>
      </c>
      <c r="D279" s="124" t="s">
        <v>620</v>
      </c>
      <c r="E279" s="130">
        <v>2007</v>
      </c>
      <c r="F279" s="125" t="s">
        <v>731</v>
      </c>
      <c r="G279" s="125">
        <v>53</v>
      </c>
      <c r="H279" s="85">
        <v>14582.240000000002</v>
      </c>
      <c r="I279" s="85" t="s">
        <v>630</v>
      </c>
      <c r="J279" s="128">
        <v>46318</v>
      </c>
      <c r="K279" s="128">
        <f t="shared" si="3"/>
        <v>2454854</v>
      </c>
      <c r="L279" s="125" t="s">
        <v>887</v>
      </c>
      <c r="M279" s="85" t="s">
        <v>47</v>
      </c>
      <c r="N279" s="85" t="s">
        <v>1491</v>
      </c>
    </row>
    <row r="280" spans="2:14" ht="15.75" thickBot="1" x14ac:dyDescent="0.3">
      <c r="B280" s="82" t="s">
        <v>545</v>
      </c>
      <c r="C280" s="83" t="s">
        <v>629</v>
      </c>
      <c r="D280" s="124" t="s">
        <v>620</v>
      </c>
      <c r="E280" s="130">
        <v>2015</v>
      </c>
      <c r="F280" s="125" t="s">
        <v>733</v>
      </c>
      <c r="G280" s="125">
        <v>39</v>
      </c>
      <c r="H280" s="85">
        <v>14058.049999999997</v>
      </c>
      <c r="I280" s="85" t="s">
        <v>630</v>
      </c>
      <c r="J280" s="128">
        <v>48166</v>
      </c>
      <c r="K280" s="128">
        <f t="shared" si="3"/>
        <v>1878474</v>
      </c>
      <c r="L280" s="125" t="s">
        <v>888</v>
      </c>
      <c r="M280" s="85" t="s">
        <v>47</v>
      </c>
      <c r="N280" s="85" t="s">
        <v>1491</v>
      </c>
    </row>
    <row r="281" spans="2:14" ht="15.75" thickBot="1" x14ac:dyDescent="0.3">
      <c r="B281" s="82" t="s">
        <v>545</v>
      </c>
      <c r="C281" s="83" t="s">
        <v>629</v>
      </c>
      <c r="D281" s="124" t="s">
        <v>620</v>
      </c>
      <c r="E281" s="130">
        <v>2009</v>
      </c>
      <c r="F281" s="125" t="s">
        <v>734</v>
      </c>
      <c r="G281" s="125">
        <v>53</v>
      </c>
      <c r="H281" s="85">
        <v>21001.829999999998</v>
      </c>
      <c r="I281" s="85" t="s">
        <v>630</v>
      </c>
      <c r="J281" s="128">
        <v>71395</v>
      </c>
      <c r="K281" s="128">
        <f t="shared" si="3"/>
        <v>3783935</v>
      </c>
      <c r="L281" s="125" t="s">
        <v>889</v>
      </c>
      <c r="M281" s="85" t="s">
        <v>47</v>
      </c>
      <c r="N281" s="85" t="s">
        <v>1491</v>
      </c>
    </row>
    <row r="282" spans="2:14" ht="15.75" thickBot="1" x14ac:dyDescent="0.3">
      <c r="B282" s="82" t="s">
        <v>545</v>
      </c>
      <c r="C282" s="83" t="s">
        <v>629</v>
      </c>
      <c r="D282" s="124" t="s">
        <v>620</v>
      </c>
      <c r="E282" s="130">
        <v>2009</v>
      </c>
      <c r="F282" s="125" t="s">
        <v>734</v>
      </c>
      <c r="G282" s="125">
        <v>53</v>
      </c>
      <c r="H282" s="85">
        <v>12231.150000000001</v>
      </c>
      <c r="I282" s="85" t="s">
        <v>630</v>
      </c>
      <c r="J282" s="128">
        <v>41243</v>
      </c>
      <c r="K282" s="128">
        <f t="shared" si="3"/>
        <v>2185879</v>
      </c>
      <c r="L282" s="125" t="s">
        <v>890</v>
      </c>
      <c r="M282" s="85" t="s">
        <v>47</v>
      </c>
      <c r="N282" s="85" t="s">
        <v>1491</v>
      </c>
    </row>
    <row r="283" spans="2:14" ht="15.75" thickBot="1" x14ac:dyDescent="0.3">
      <c r="B283" s="82" t="s">
        <v>545</v>
      </c>
      <c r="C283" s="83" t="s">
        <v>629</v>
      </c>
      <c r="D283" s="124" t="s">
        <v>620</v>
      </c>
      <c r="E283" s="130">
        <v>2009</v>
      </c>
      <c r="F283" s="125" t="s">
        <v>734</v>
      </c>
      <c r="G283" s="125">
        <v>53</v>
      </c>
      <c r="H283" s="85">
        <v>27746.19</v>
      </c>
      <c r="I283" s="85" t="s">
        <v>630</v>
      </c>
      <c r="J283" s="128">
        <v>95053</v>
      </c>
      <c r="K283" s="128">
        <f t="shared" si="3"/>
        <v>5037809</v>
      </c>
      <c r="L283" s="125" t="s">
        <v>891</v>
      </c>
      <c r="M283" s="85" t="s">
        <v>47</v>
      </c>
      <c r="N283" s="85" t="s">
        <v>1491</v>
      </c>
    </row>
    <row r="284" spans="2:14" ht="15.75" thickBot="1" x14ac:dyDescent="0.3">
      <c r="B284" s="82" t="s">
        <v>545</v>
      </c>
      <c r="C284" s="83" t="s">
        <v>629</v>
      </c>
      <c r="D284" s="124" t="s">
        <v>620</v>
      </c>
      <c r="E284" s="130">
        <v>2009</v>
      </c>
      <c r="F284" s="125" t="s">
        <v>734</v>
      </c>
      <c r="G284" s="125">
        <v>53</v>
      </c>
      <c r="H284" s="85">
        <v>715.03</v>
      </c>
      <c r="I284" s="85" t="s">
        <v>630</v>
      </c>
      <c r="J284" s="128">
        <v>2334</v>
      </c>
      <c r="K284" s="128">
        <f t="shared" si="3"/>
        <v>123702</v>
      </c>
      <c r="L284" s="125" t="s">
        <v>892</v>
      </c>
      <c r="M284" s="85" t="s">
        <v>47</v>
      </c>
      <c r="N284" s="85" t="s">
        <v>1491</v>
      </c>
    </row>
    <row r="285" spans="2:14" ht="15.75" thickBot="1" x14ac:dyDescent="0.3">
      <c r="B285" s="82" t="s">
        <v>545</v>
      </c>
      <c r="C285" s="83" t="s">
        <v>629</v>
      </c>
      <c r="D285" s="124" t="s">
        <v>620</v>
      </c>
      <c r="E285" s="130">
        <v>2009</v>
      </c>
      <c r="F285" s="125" t="s">
        <v>734</v>
      </c>
      <c r="G285" s="125">
        <v>53</v>
      </c>
      <c r="H285" s="85">
        <v>18801.990000000005</v>
      </c>
      <c r="I285" s="85" t="s">
        <v>630</v>
      </c>
      <c r="J285" s="128">
        <v>57080</v>
      </c>
      <c r="K285" s="128">
        <f t="shared" si="3"/>
        <v>3025240</v>
      </c>
      <c r="L285" s="125" t="s">
        <v>893</v>
      </c>
      <c r="M285" s="85" t="s">
        <v>47</v>
      </c>
      <c r="N285" s="85" t="s">
        <v>1491</v>
      </c>
    </row>
    <row r="286" spans="2:14" ht="15.75" thickBot="1" x14ac:dyDescent="0.3">
      <c r="B286" s="82" t="s">
        <v>545</v>
      </c>
      <c r="C286" s="83" t="s">
        <v>629</v>
      </c>
      <c r="D286" s="124" t="s">
        <v>620</v>
      </c>
      <c r="E286" s="130">
        <v>2009</v>
      </c>
      <c r="F286" s="125" t="s">
        <v>734</v>
      </c>
      <c r="G286" s="125">
        <v>53</v>
      </c>
      <c r="H286" s="85">
        <v>26092.83</v>
      </c>
      <c r="I286" s="85" t="s">
        <v>630</v>
      </c>
      <c r="J286" s="128">
        <v>80002</v>
      </c>
      <c r="K286" s="128">
        <f t="shared" si="3"/>
        <v>4240106</v>
      </c>
      <c r="L286" s="125" t="s">
        <v>894</v>
      </c>
      <c r="M286" s="85" t="s">
        <v>47</v>
      </c>
      <c r="N286" s="85" t="s">
        <v>1491</v>
      </c>
    </row>
    <row r="287" spans="2:14" ht="15.75" thickBot="1" x14ac:dyDescent="0.3">
      <c r="B287" s="82" t="s">
        <v>545</v>
      </c>
      <c r="C287" s="83" t="s">
        <v>629</v>
      </c>
      <c r="D287" s="124" t="s">
        <v>620</v>
      </c>
      <c r="E287" s="130">
        <v>2009</v>
      </c>
      <c r="F287" s="125" t="s">
        <v>734</v>
      </c>
      <c r="G287" s="125">
        <v>53</v>
      </c>
      <c r="H287" s="85">
        <v>21195.390000000003</v>
      </c>
      <c r="I287" s="85" t="s">
        <v>630</v>
      </c>
      <c r="J287" s="128">
        <v>65608</v>
      </c>
      <c r="K287" s="128">
        <f t="shared" ref="K287:K350" si="4">J287*G287</f>
        <v>3477224</v>
      </c>
      <c r="L287" s="125" t="s">
        <v>895</v>
      </c>
      <c r="M287" s="85" t="s">
        <v>47</v>
      </c>
      <c r="N287" s="85" t="s">
        <v>1491</v>
      </c>
    </row>
    <row r="288" spans="2:14" ht="15.75" thickBot="1" x14ac:dyDescent="0.3">
      <c r="B288" s="82" t="s">
        <v>545</v>
      </c>
      <c r="C288" s="83" t="s">
        <v>629</v>
      </c>
      <c r="D288" s="124" t="s">
        <v>620</v>
      </c>
      <c r="E288" s="130">
        <v>2009</v>
      </c>
      <c r="F288" s="125" t="s">
        <v>734</v>
      </c>
      <c r="G288" s="125">
        <v>53</v>
      </c>
      <c r="H288" s="85">
        <v>18345.189999999999</v>
      </c>
      <c r="I288" s="85" t="s">
        <v>630</v>
      </c>
      <c r="J288" s="128">
        <v>56274</v>
      </c>
      <c r="K288" s="128">
        <f t="shared" si="4"/>
        <v>2982522</v>
      </c>
      <c r="L288" s="125" t="s">
        <v>896</v>
      </c>
      <c r="M288" s="85" t="s">
        <v>47</v>
      </c>
      <c r="N288" s="85" t="s">
        <v>1491</v>
      </c>
    </row>
    <row r="289" spans="2:14" ht="15.75" thickBot="1" x14ac:dyDescent="0.3">
      <c r="B289" s="82" t="s">
        <v>545</v>
      </c>
      <c r="C289" s="83" t="s">
        <v>629</v>
      </c>
      <c r="D289" s="124" t="s">
        <v>620</v>
      </c>
      <c r="E289" s="130">
        <v>2009</v>
      </c>
      <c r="F289" s="125" t="s">
        <v>734</v>
      </c>
      <c r="G289" s="125">
        <v>25</v>
      </c>
      <c r="H289" s="85">
        <v>0</v>
      </c>
      <c r="I289" s="85" t="s">
        <v>630</v>
      </c>
      <c r="J289" s="128">
        <v>0</v>
      </c>
      <c r="K289" s="128">
        <f t="shared" si="4"/>
        <v>0</v>
      </c>
      <c r="L289" s="125" t="s">
        <v>897</v>
      </c>
      <c r="M289" s="85" t="s">
        <v>47</v>
      </c>
      <c r="N289" s="85" t="s">
        <v>1491</v>
      </c>
    </row>
    <row r="290" spans="2:14" ht="15.75" thickBot="1" x14ac:dyDescent="0.3">
      <c r="B290" s="82" t="s">
        <v>545</v>
      </c>
      <c r="C290" s="83" t="s">
        <v>629</v>
      </c>
      <c r="D290" s="124" t="s">
        <v>620</v>
      </c>
      <c r="E290" s="130">
        <v>2010</v>
      </c>
      <c r="F290" s="125" t="s">
        <v>734</v>
      </c>
      <c r="G290" s="125">
        <v>53</v>
      </c>
      <c r="H290" s="85">
        <v>29419.870000000003</v>
      </c>
      <c r="I290" s="85" t="s">
        <v>630</v>
      </c>
      <c r="J290" s="128">
        <v>99900</v>
      </c>
      <c r="K290" s="128">
        <f t="shared" si="4"/>
        <v>5294700</v>
      </c>
      <c r="L290" s="125" t="s">
        <v>898</v>
      </c>
      <c r="M290" s="85" t="s">
        <v>47</v>
      </c>
      <c r="N290" s="85" t="s">
        <v>1491</v>
      </c>
    </row>
    <row r="291" spans="2:14" ht="15.75" thickBot="1" x14ac:dyDescent="0.3">
      <c r="B291" s="82" t="s">
        <v>545</v>
      </c>
      <c r="C291" s="83" t="s">
        <v>629</v>
      </c>
      <c r="D291" s="124" t="s">
        <v>620</v>
      </c>
      <c r="E291" s="130">
        <v>2016</v>
      </c>
      <c r="F291" s="125" t="s">
        <v>733</v>
      </c>
      <c r="G291" s="125">
        <v>53</v>
      </c>
      <c r="H291" s="85">
        <v>27604.68</v>
      </c>
      <c r="I291" s="85" t="s">
        <v>630</v>
      </c>
      <c r="J291" s="128">
        <v>100322</v>
      </c>
      <c r="K291" s="128">
        <f t="shared" si="4"/>
        <v>5317066</v>
      </c>
      <c r="L291" s="125" t="s">
        <v>899</v>
      </c>
      <c r="M291" s="85" t="s">
        <v>47</v>
      </c>
      <c r="N291" s="85" t="s">
        <v>1491</v>
      </c>
    </row>
    <row r="292" spans="2:14" ht="15.75" thickBot="1" x14ac:dyDescent="0.3">
      <c r="B292" s="82" t="s">
        <v>545</v>
      </c>
      <c r="C292" s="83" t="s">
        <v>629</v>
      </c>
      <c r="D292" s="124" t="s">
        <v>620</v>
      </c>
      <c r="E292" s="130">
        <v>2016</v>
      </c>
      <c r="F292" s="125" t="s">
        <v>733</v>
      </c>
      <c r="G292" s="125">
        <v>53</v>
      </c>
      <c r="H292" s="85">
        <v>35040.909999999996</v>
      </c>
      <c r="I292" s="85" t="s">
        <v>630</v>
      </c>
      <c r="J292" s="128">
        <v>123555</v>
      </c>
      <c r="K292" s="128">
        <f t="shared" si="4"/>
        <v>6548415</v>
      </c>
      <c r="L292" s="125" t="s">
        <v>900</v>
      </c>
      <c r="M292" s="85" t="s">
        <v>47</v>
      </c>
      <c r="N292" s="85" t="s">
        <v>1491</v>
      </c>
    </row>
    <row r="293" spans="2:14" ht="15.75" thickBot="1" x14ac:dyDescent="0.3">
      <c r="B293" s="82" t="s">
        <v>545</v>
      </c>
      <c r="C293" s="83" t="s">
        <v>629</v>
      </c>
      <c r="D293" s="124" t="s">
        <v>620</v>
      </c>
      <c r="E293" s="130">
        <v>2016</v>
      </c>
      <c r="F293" s="125" t="s">
        <v>733</v>
      </c>
      <c r="G293" s="125">
        <v>53</v>
      </c>
      <c r="H293" s="85">
        <v>34558.770000000004</v>
      </c>
      <c r="I293" s="85" t="s">
        <v>630</v>
      </c>
      <c r="J293" s="128">
        <v>126205</v>
      </c>
      <c r="K293" s="128">
        <f t="shared" si="4"/>
        <v>6688865</v>
      </c>
      <c r="L293" s="125" t="s">
        <v>901</v>
      </c>
      <c r="M293" s="85" t="s">
        <v>47</v>
      </c>
      <c r="N293" s="85" t="s">
        <v>1491</v>
      </c>
    </row>
    <row r="294" spans="2:14" ht="15.75" thickBot="1" x14ac:dyDescent="0.3">
      <c r="B294" s="82" t="s">
        <v>545</v>
      </c>
      <c r="C294" s="83" t="s">
        <v>629</v>
      </c>
      <c r="D294" s="124" t="s">
        <v>620</v>
      </c>
      <c r="E294" s="130">
        <v>2016</v>
      </c>
      <c r="F294" s="125" t="s">
        <v>733</v>
      </c>
      <c r="G294" s="125">
        <v>53</v>
      </c>
      <c r="H294" s="85">
        <v>35617.640000000007</v>
      </c>
      <c r="I294" s="85" t="s">
        <v>630</v>
      </c>
      <c r="J294" s="128">
        <v>130238</v>
      </c>
      <c r="K294" s="128">
        <f t="shared" si="4"/>
        <v>6902614</v>
      </c>
      <c r="L294" s="125" t="s">
        <v>902</v>
      </c>
      <c r="M294" s="85" t="s">
        <v>47</v>
      </c>
      <c r="N294" s="85" t="s">
        <v>1491</v>
      </c>
    </row>
    <row r="295" spans="2:14" ht="15.75" thickBot="1" x14ac:dyDescent="0.3">
      <c r="B295" s="82" t="s">
        <v>545</v>
      </c>
      <c r="C295" s="83" t="s">
        <v>629</v>
      </c>
      <c r="D295" s="124" t="s">
        <v>620</v>
      </c>
      <c r="E295" s="130">
        <v>2016</v>
      </c>
      <c r="F295" s="125" t="s">
        <v>733</v>
      </c>
      <c r="G295" s="125">
        <v>63</v>
      </c>
      <c r="H295" s="85">
        <v>59307.360000000008</v>
      </c>
      <c r="I295" s="85" t="s">
        <v>630</v>
      </c>
      <c r="J295" s="128">
        <v>206306</v>
      </c>
      <c r="K295" s="128">
        <f t="shared" si="4"/>
        <v>12997278</v>
      </c>
      <c r="L295" s="125" t="s">
        <v>903</v>
      </c>
      <c r="M295" s="85" t="s">
        <v>47</v>
      </c>
      <c r="N295" s="85" t="s">
        <v>1491</v>
      </c>
    </row>
    <row r="296" spans="2:14" ht="15.75" thickBot="1" x14ac:dyDescent="0.3">
      <c r="B296" s="82" t="s">
        <v>545</v>
      </c>
      <c r="C296" s="83" t="s">
        <v>629</v>
      </c>
      <c r="D296" s="124" t="s">
        <v>620</v>
      </c>
      <c r="E296" s="130">
        <v>2016</v>
      </c>
      <c r="F296" s="125" t="s">
        <v>733</v>
      </c>
      <c r="G296" s="125">
        <v>63</v>
      </c>
      <c r="H296" s="85">
        <v>69130.320000000007</v>
      </c>
      <c r="I296" s="85" t="s">
        <v>630</v>
      </c>
      <c r="J296" s="128">
        <v>228726</v>
      </c>
      <c r="K296" s="128">
        <f t="shared" si="4"/>
        <v>14409738</v>
      </c>
      <c r="L296" s="125" t="s">
        <v>904</v>
      </c>
      <c r="M296" s="85" t="s">
        <v>47</v>
      </c>
      <c r="N296" s="85" t="s">
        <v>1491</v>
      </c>
    </row>
    <row r="297" spans="2:14" ht="15.75" thickBot="1" x14ac:dyDescent="0.3">
      <c r="B297" s="82" t="s">
        <v>545</v>
      </c>
      <c r="C297" s="83" t="s">
        <v>629</v>
      </c>
      <c r="D297" s="124" t="s">
        <v>620</v>
      </c>
      <c r="E297" s="130">
        <v>2016</v>
      </c>
      <c r="F297" s="125" t="s">
        <v>733</v>
      </c>
      <c r="G297" s="125">
        <v>19</v>
      </c>
      <c r="H297" s="85">
        <v>3892.47</v>
      </c>
      <c r="I297" s="85" t="s">
        <v>630</v>
      </c>
      <c r="J297" s="128">
        <v>21125</v>
      </c>
      <c r="K297" s="128">
        <f t="shared" si="4"/>
        <v>401375</v>
      </c>
      <c r="L297" s="125" t="s">
        <v>905</v>
      </c>
      <c r="M297" s="85" t="s">
        <v>47</v>
      </c>
      <c r="N297" s="85" t="s">
        <v>1491</v>
      </c>
    </row>
    <row r="298" spans="2:14" ht="15.75" thickBot="1" x14ac:dyDescent="0.3">
      <c r="B298" s="82" t="s">
        <v>545</v>
      </c>
      <c r="C298" s="83" t="s">
        <v>629</v>
      </c>
      <c r="D298" s="124" t="s">
        <v>620</v>
      </c>
      <c r="E298" s="130">
        <v>2016</v>
      </c>
      <c r="F298" s="125" t="s">
        <v>733</v>
      </c>
      <c r="G298" s="125">
        <v>40</v>
      </c>
      <c r="H298" s="85">
        <v>6581.4</v>
      </c>
      <c r="I298" s="85" t="s">
        <v>630</v>
      </c>
      <c r="J298" s="128">
        <v>21075</v>
      </c>
      <c r="K298" s="128">
        <f t="shared" si="4"/>
        <v>843000</v>
      </c>
      <c r="L298" s="125" t="s">
        <v>906</v>
      </c>
      <c r="M298" s="85" t="s">
        <v>47</v>
      </c>
      <c r="N298" s="85" t="s">
        <v>1491</v>
      </c>
    </row>
    <row r="299" spans="2:14" ht="15.75" thickBot="1" x14ac:dyDescent="0.3">
      <c r="B299" s="82" t="s">
        <v>545</v>
      </c>
      <c r="C299" s="83" t="s">
        <v>629</v>
      </c>
      <c r="D299" s="124" t="s">
        <v>620</v>
      </c>
      <c r="E299" s="130">
        <v>2016</v>
      </c>
      <c r="F299" s="125" t="s">
        <v>733</v>
      </c>
      <c r="G299" s="125">
        <v>40</v>
      </c>
      <c r="H299" s="85">
        <v>5522.1900000000005</v>
      </c>
      <c r="I299" s="85" t="s">
        <v>630</v>
      </c>
      <c r="J299" s="128">
        <v>17307</v>
      </c>
      <c r="K299" s="128">
        <f t="shared" si="4"/>
        <v>692280</v>
      </c>
      <c r="L299" s="125" t="s">
        <v>907</v>
      </c>
      <c r="M299" s="85" t="s">
        <v>47</v>
      </c>
      <c r="N299" s="85" t="s">
        <v>1491</v>
      </c>
    </row>
    <row r="300" spans="2:14" ht="15.75" thickBot="1" x14ac:dyDescent="0.3">
      <c r="B300" s="82" t="s">
        <v>545</v>
      </c>
      <c r="C300" s="83" t="s">
        <v>629</v>
      </c>
      <c r="D300" s="124" t="s">
        <v>620</v>
      </c>
      <c r="E300" s="130">
        <v>2016</v>
      </c>
      <c r="F300" s="125" t="s">
        <v>733</v>
      </c>
      <c r="G300" s="125">
        <v>31</v>
      </c>
      <c r="H300" s="85">
        <v>2913.13</v>
      </c>
      <c r="I300" s="85" t="s">
        <v>630</v>
      </c>
      <c r="J300" s="128">
        <v>9172</v>
      </c>
      <c r="K300" s="128">
        <f t="shared" si="4"/>
        <v>284332</v>
      </c>
      <c r="L300" s="125" t="s">
        <v>908</v>
      </c>
      <c r="M300" s="85" t="s">
        <v>47</v>
      </c>
      <c r="N300" s="85" t="s">
        <v>1491</v>
      </c>
    </row>
    <row r="301" spans="2:14" ht="15.75" thickBot="1" x14ac:dyDescent="0.3">
      <c r="B301" s="82" t="s">
        <v>545</v>
      </c>
      <c r="C301" s="83" t="s">
        <v>629</v>
      </c>
      <c r="D301" s="124" t="s">
        <v>620</v>
      </c>
      <c r="E301" s="130">
        <v>2016</v>
      </c>
      <c r="F301" s="125" t="s">
        <v>733</v>
      </c>
      <c r="G301" s="125">
        <v>31</v>
      </c>
      <c r="H301" s="85">
        <v>2328.1</v>
      </c>
      <c r="I301" s="85" t="s">
        <v>630</v>
      </c>
      <c r="J301" s="128">
        <v>7383</v>
      </c>
      <c r="K301" s="128">
        <f t="shared" si="4"/>
        <v>228873</v>
      </c>
      <c r="L301" s="125" t="s">
        <v>909</v>
      </c>
      <c r="M301" s="85" t="s">
        <v>47</v>
      </c>
      <c r="N301" s="85" t="s">
        <v>1491</v>
      </c>
    </row>
    <row r="302" spans="2:14" ht="15.75" thickBot="1" x14ac:dyDescent="0.3">
      <c r="B302" s="82" t="s">
        <v>545</v>
      </c>
      <c r="C302" s="83" t="s">
        <v>629</v>
      </c>
      <c r="D302" s="124" t="s">
        <v>620</v>
      </c>
      <c r="E302" s="130">
        <v>2012</v>
      </c>
      <c r="F302" s="125" t="s">
        <v>734</v>
      </c>
      <c r="G302" s="125">
        <v>63</v>
      </c>
      <c r="H302" s="85">
        <v>42370.46</v>
      </c>
      <c r="I302" s="85" t="s">
        <v>630</v>
      </c>
      <c r="J302" s="128">
        <v>138955</v>
      </c>
      <c r="K302" s="128">
        <f t="shared" si="4"/>
        <v>8754165</v>
      </c>
      <c r="L302" s="125" t="s">
        <v>910</v>
      </c>
      <c r="M302" s="85" t="s">
        <v>47</v>
      </c>
      <c r="N302" s="85" t="s">
        <v>1491</v>
      </c>
    </row>
    <row r="303" spans="2:14" ht="15.75" thickBot="1" x14ac:dyDescent="0.3">
      <c r="B303" s="82" t="s">
        <v>545</v>
      </c>
      <c r="C303" s="83" t="s">
        <v>629</v>
      </c>
      <c r="D303" s="124" t="s">
        <v>620</v>
      </c>
      <c r="E303" s="130">
        <v>2012</v>
      </c>
      <c r="F303" s="125" t="s">
        <v>734</v>
      </c>
      <c r="G303" s="125">
        <v>34</v>
      </c>
      <c r="H303" s="85">
        <v>7237.6859999999997</v>
      </c>
      <c r="I303" s="85" t="s">
        <v>630</v>
      </c>
      <c r="J303" s="128">
        <v>24977</v>
      </c>
      <c r="K303" s="128">
        <f t="shared" si="4"/>
        <v>849218</v>
      </c>
      <c r="L303" s="125" t="s">
        <v>911</v>
      </c>
      <c r="M303" s="85" t="s">
        <v>47</v>
      </c>
      <c r="N303" s="85" t="s">
        <v>1491</v>
      </c>
    </row>
    <row r="304" spans="2:14" ht="15.75" thickBot="1" x14ac:dyDescent="0.3">
      <c r="B304" s="82" t="s">
        <v>545</v>
      </c>
      <c r="C304" s="83" t="s">
        <v>629</v>
      </c>
      <c r="D304" s="124" t="s">
        <v>620</v>
      </c>
      <c r="E304" s="130">
        <v>2012</v>
      </c>
      <c r="F304" s="125" t="s">
        <v>734</v>
      </c>
      <c r="G304" s="125">
        <v>27</v>
      </c>
      <c r="H304" s="85">
        <v>2541.8700000000003</v>
      </c>
      <c r="I304" s="85" t="s">
        <v>630</v>
      </c>
      <c r="J304" s="128">
        <v>11979</v>
      </c>
      <c r="K304" s="128">
        <f t="shared" si="4"/>
        <v>323433</v>
      </c>
      <c r="L304" s="125" t="s">
        <v>912</v>
      </c>
      <c r="M304" s="85" t="s">
        <v>47</v>
      </c>
      <c r="N304" s="85" t="s">
        <v>1491</v>
      </c>
    </row>
    <row r="305" spans="2:14" ht="15.75" thickBot="1" x14ac:dyDescent="0.3">
      <c r="B305" s="82" t="s">
        <v>545</v>
      </c>
      <c r="C305" s="83" t="s">
        <v>629</v>
      </c>
      <c r="D305" s="124" t="s">
        <v>620</v>
      </c>
      <c r="E305" s="130">
        <v>2012</v>
      </c>
      <c r="F305" s="125" t="s">
        <v>734</v>
      </c>
      <c r="G305" s="125">
        <v>27</v>
      </c>
      <c r="H305" s="85">
        <v>2300.4899999999998</v>
      </c>
      <c r="I305" s="85" t="s">
        <v>630</v>
      </c>
      <c r="J305" s="128">
        <v>9754</v>
      </c>
      <c r="K305" s="128">
        <f t="shared" si="4"/>
        <v>263358</v>
      </c>
      <c r="L305" s="125" t="s">
        <v>913</v>
      </c>
      <c r="M305" s="85" t="s">
        <v>47</v>
      </c>
      <c r="N305" s="85" t="s">
        <v>1491</v>
      </c>
    </row>
    <row r="306" spans="2:14" ht="15.75" thickBot="1" x14ac:dyDescent="0.3">
      <c r="B306" s="82" t="s">
        <v>545</v>
      </c>
      <c r="C306" s="83" t="s">
        <v>629</v>
      </c>
      <c r="D306" s="124" t="s">
        <v>620</v>
      </c>
      <c r="E306" s="130">
        <v>2012</v>
      </c>
      <c r="F306" s="125" t="s">
        <v>734</v>
      </c>
      <c r="G306" s="125">
        <v>27</v>
      </c>
      <c r="H306" s="85">
        <v>1207.96</v>
      </c>
      <c r="I306" s="85" t="s">
        <v>630</v>
      </c>
      <c r="J306" s="128">
        <v>5427</v>
      </c>
      <c r="K306" s="128">
        <f t="shared" si="4"/>
        <v>146529</v>
      </c>
      <c r="L306" s="125" t="s">
        <v>914</v>
      </c>
      <c r="M306" s="85" t="s">
        <v>47</v>
      </c>
      <c r="N306" s="85" t="s">
        <v>1491</v>
      </c>
    </row>
    <row r="307" spans="2:14" ht="15.75" thickBot="1" x14ac:dyDescent="0.3">
      <c r="B307" s="82" t="s">
        <v>545</v>
      </c>
      <c r="C307" s="83" t="s">
        <v>629</v>
      </c>
      <c r="D307" s="124" t="s">
        <v>620</v>
      </c>
      <c r="E307" s="130">
        <v>2012</v>
      </c>
      <c r="F307" s="125" t="s">
        <v>734</v>
      </c>
      <c r="G307" s="125">
        <v>27</v>
      </c>
      <c r="H307" s="85">
        <v>1263.76</v>
      </c>
      <c r="I307" s="85" t="s">
        <v>630</v>
      </c>
      <c r="J307" s="128">
        <v>5948</v>
      </c>
      <c r="K307" s="128">
        <f t="shared" si="4"/>
        <v>160596</v>
      </c>
      <c r="L307" s="125" t="s">
        <v>915</v>
      </c>
      <c r="M307" s="85" t="s">
        <v>47</v>
      </c>
      <c r="N307" s="85" t="s">
        <v>1491</v>
      </c>
    </row>
    <row r="308" spans="2:14" ht="15.75" thickBot="1" x14ac:dyDescent="0.3">
      <c r="B308" s="82" t="s">
        <v>545</v>
      </c>
      <c r="C308" s="83" t="s">
        <v>629</v>
      </c>
      <c r="D308" s="124" t="s">
        <v>620</v>
      </c>
      <c r="E308" s="130">
        <v>2012</v>
      </c>
      <c r="F308" s="125" t="s">
        <v>734</v>
      </c>
      <c r="G308" s="125">
        <v>27</v>
      </c>
      <c r="H308" s="85">
        <v>1410.2800000000002</v>
      </c>
      <c r="I308" s="85" t="s">
        <v>630</v>
      </c>
      <c r="J308" s="128">
        <v>6316</v>
      </c>
      <c r="K308" s="128">
        <f t="shared" si="4"/>
        <v>170532</v>
      </c>
      <c r="L308" s="125" t="s">
        <v>916</v>
      </c>
      <c r="M308" s="85" t="s">
        <v>47</v>
      </c>
      <c r="N308" s="85" t="s">
        <v>1491</v>
      </c>
    </row>
    <row r="309" spans="2:14" ht="15.75" thickBot="1" x14ac:dyDescent="0.3">
      <c r="B309" s="82" t="s">
        <v>545</v>
      </c>
      <c r="C309" s="83" t="s">
        <v>629</v>
      </c>
      <c r="D309" s="124" t="s">
        <v>620</v>
      </c>
      <c r="E309" s="130">
        <v>2012</v>
      </c>
      <c r="F309" s="125" t="s">
        <v>734</v>
      </c>
      <c r="G309" s="125">
        <v>27</v>
      </c>
      <c r="H309" s="85">
        <v>2459.2599999999998</v>
      </c>
      <c r="I309" s="85" t="s">
        <v>630</v>
      </c>
      <c r="J309" s="128">
        <v>11500</v>
      </c>
      <c r="K309" s="128">
        <f t="shared" si="4"/>
        <v>310500</v>
      </c>
      <c r="L309" s="125" t="s">
        <v>917</v>
      </c>
      <c r="M309" s="85" t="s">
        <v>47</v>
      </c>
      <c r="N309" s="85" t="s">
        <v>1491</v>
      </c>
    </row>
    <row r="310" spans="2:14" ht="15.75" thickBot="1" x14ac:dyDescent="0.3">
      <c r="B310" s="82" t="s">
        <v>545</v>
      </c>
      <c r="C310" s="83" t="s">
        <v>629</v>
      </c>
      <c r="D310" s="124" t="s">
        <v>620</v>
      </c>
      <c r="E310" s="130">
        <v>2012</v>
      </c>
      <c r="F310" s="125" t="s">
        <v>734</v>
      </c>
      <c r="G310" s="125">
        <v>27</v>
      </c>
      <c r="H310" s="85">
        <v>1576.0700000000002</v>
      </c>
      <c r="I310" s="85" t="s">
        <v>630</v>
      </c>
      <c r="J310" s="128">
        <v>7205</v>
      </c>
      <c r="K310" s="128">
        <f t="shared" si="4"/>
        <v>194535</v>
      </c>
      <c r="L310" s="125" t="s">
        <v>918</v>
      </c>
      <c r="M310" s="85" t="s">
        <v>47</v>
      </c>
      <c r="N310" s="85" t="s">
        <v>1491</v>
      </c>
    </row>
    <row r="311" spans="2:14" ht="15.75" thickBot="1" x14ac:dyDescent="0.3">
      <c r="B311" s="82" t="s">
        <v>545</v>
      </c>
      <c r="C311" s="83" t="s">
        <v>629</v>
      </c>
      <c r="D311" s="124" t="s">
        <v>620</v>
      </c>
      <c r="E311" s="130">
        <v>2012</v>
      </c>
      <c r="F311" s="125" t="s">
        <v>734</v>
      </c>
      <c r="G311" s="125">
        <v>27</v>
      </c>
      <c r="H311" s="85">
        <v>1174.24</v>
      </c>
      <c r="I311" s="85" t="s">
        <v>630</v>
      </c>
      <c r="J311" s="128">
        <v>5349</v>
      </c>
      <c r="K311" s="128">
        <f t="shared" si="4"/>
        <v>144423</v>
      </c>
      <c r="L311" s="125" t="s">
        <v>919</v>
      </c>
      <c r="M311" s="85" t="s">
        <v>47</v>
      </c>
      <c r="N311" s="85" t="s">
        <v>1491</v>
      </c>
    </row>
    <row r="312" spans="2:14" ht="15.75" thickBot="1" x14ac:dyDescent="0.3">
      <c r="B312" s="82" t="s">
        <v>545</v>
      </c>
      <c r="C312" s="83" t="s">
        <v>629</v>
      </c>
      <c r="D312" s="124" t="s">
        <v>620</v>
      </c>
      <c r="E312" s="130">
        <v>2013</v>
      </c>
      <c r="F312" s="125" t="s">
        <v>733</v>
      </c>
      <c r="G312" s="125">
        <v>34</v>
      </c>
      <c r="H312" s="85">
        <v>12232.41</v>
      </c>
      <c r="I312" s="85" t="s">
        <v>630</v>
      </c>
      <c r="J312" s="128">
        <v>39665</v>
      </c>
      <c r="K312" s="128">
        <f t="shared" si="4"/>
        <v>1348610</v>
      </c>
      <c r="L312" s="125" t="s">
        <v>920</v>
      </c>
      <c r="M312" s="85" t="s">
        <v>47</v>
      </c>
      <c r="N312" s="85" t="s">
        <v>1491</v>
      </c>
    </row>
    <row r="313" spans="2:14" ht="15.75" thickBot="1" x14ac:dyDescent="0.3">
      <c r="B313" s="82" t="s">
        <v>545</v>
      </c>
      <c r="C313" s="83" t="s">
        <v>629</v>
      </c>
      <c r="D313" s="124" t="s">
        <v>620</v>
      </c>
      <c r="E313" s="130">
        <v>2013</v>
      </c>
      <c r="F313" s="125" t="s">
        <v>733</v>
      </c>
      <c r="G313" s="125">
        <v>34</v>
      </c>
      <c r="H313" s="85">
        <v>6851.369999999999</v>
      </c>
      <c r="I313" s="85" t="s">
        <v>630</v>
      </c>
      <c r="J313" s="128">
        <v>23512</v>
      </c>
      <c r="K313" s="128">
        <f t="shared" si="4"/>
        <v>799408</v>
      </c>
      <c r="L313" s="125" t="s">
        <v>921</v>
      </c>
      <c r="M313" s="85" t="s">
        <v>47</v>
      </c>
      <c r="N313" s="85" t="s">
        <v>1491</v>
      </c>
    </row>
    <row r="314" spans="2:14" ht="15.75" thickBot="1" x14ac:dyDescent="0.3">
      <c r="B314" s="82" t="s">
        <v>545</v>
      </c>
      <c r="C314" s="83" t="s">
        <v>629</v>
      </c>
      <c r="D314" s="124" t="s">
        <v>620</v>
      </c>
      <c r="E314" s="130">
        <v>2014</v>
      </c>
      <c r="F314" s="125" t="s">
        <v>733</v>
      </c>
      <c r="G314" s="125">
        <v>34</v>
      </c>
      <c r="H314" s="85">
        <v>14258.029999999999</v>
      </c>
      <c r="I314" s="85" t="s">
        <v>630</v>
      </c>
      <c r="J314" s="128">
        <v>50660</v>
      </c>
      <c r="K314" s="128">
        <f t="shared" si="4"/>
        <v>1722440</v>
      </c>
      <c r="L314" s="125" t="s">
        <v>922</v>
      </c>
      <c r="M314" s="85" t="s">
        <v>47</v>
      </c>
      <c r="N314" s="85" t="s">
        <v>1491</v>
      </c>
    </row>
    <row r="315" spans="2:14" ht="15.75" thickBot="1" x14ac:dyDescent="0.3">
      <c r="B315" s="82" t="s">
        <v>545</v>
      </c>
      <c r="C315" s="83" t="s">
        <v>629</v>
      </c>
      <c r="D315" s="124" t="s">
        <v>620</v>
      </c>
      <c r="E315" s="130">
        <v>2014</v>
      </c>
      <c r="F315" s="125" t="s">
        <v>733</v>
      </c>
      <c r="G315" s="125">
        <v>34</v>
      </c>
      <c r="H315" s="85">
        <v>12065.869999999999</v>
      </c>
      <c r="I315" s="85" t="s">
        <v>630</v>
      </c>
      <c r="J315" s="128">
        <v>42539</v>
      </c>
      <c r="K315" s="128">
        <f t="shared" si="4"/>
        <v>1446326</v>
      </c>
      <c r="L315" s="125" t="s">
        <v>923</v>
      </c>
      <c r="M315" s="85" t="s">
        <v>47</v>
      </c>
      <c r="N315" s="85" t="s">
        <v>1491</v>
      </c>
    </row>
    <row r="316" spans="2:14" ht="15.75" thickBot="1" x14ac:dyDescent="0.3">
      <c r="B316" s="82" t="s">
        <v>545</v>
      </c>
      <c r="C316" s="83" t="s">
        <v>629</v>
      </c>
      <c r="D316" s="124" t="s">
        <v>620</v>
      </c>
      <c r="E316" s="130">
        <v>2014</v>
      </c>
      <c r="F316" s="125" t="s">
        <v>733</v>
      </c>
      <c r="G316" s="125">
        <v>63</v>
      </c>
      <c r="H316" s="85">
        <v>17082.13</v>
      </c>
      <c r="I316" s="85" t="s">
        <v>630</v>
      </c>
      <c r="J316" s="128">
        <v>58494</v>
      </c>
      <c r="K316" s="128">
        <f t="shared" si="4"/>
        <v>3685122</v>
      </c>
      <c r="L316" s="125" t="s">
        <v>924</v>
      </c>
      <c r="M316" s="85" t="s">
        <v>47</v>
      </c>
      <c r="N316" s="85" t="s">
        <v>1491</v>
      </c>
    </row>
    <row r="317" spans="2:14" ht="15.75" thickBot="1" x14ac:dyDescent="0.3">
      <c r="B317" s="82" t="s">
        <v>545</v>
      </c>
      <c r="C317" s="83" t="s">
        <v>629</v>
      </c>
      <c r="D317" s="124" t="s">
        <v>620</v>
      </c>
      <c r="E317" s="130">
        <v>2014</v>
      </c>
      <c r="F317" s="125" t="s">
        <v>733</v>
      </c>
      <c r="G317" s="125">
        <v>53</v>
      </c>
      <c r="H317" s="85">
        <v>12172.220000000001</v>
      </c>
      <c r="I317" s="85" t="s">
        <v>630</v>
      </c>
      <c r="J317" s="128">
        <v>43699</v>
      </c>
      <c r="K317" s="128">
        <f t="shared" si="4"/>
        <v>2316047</v>
      </c>
      <c r="L317" s="125" t="s">
        <v>925</v>
      </c>
      <c r="M317" s="85" t="s">
        <v>47</v>
      </c>
      <c r="N317" s="85" t="s">
        <v>1491</v>
      </c>
    </row>
    <row r="318" spans="2:14" ht="15.75" thickBot="1" x14ac:dyDescent="0.3">
      <c r="B318" s="82" t="s">
        <v>545</v>
      </c>
      <c r="C318" s="83" t="s">
        <v>629</v>
      </c>
      <c r="D318" s="124" t="s">
        <v>620</v>
      </c>
      <c r="E318" s="130">
        <v>2014</v>
      </c>
      <c r="F318" s="125" t="s">
        <v>733</v>
      </c>
      <c r="G318" s="125">
        <v>53</v>
      </c>
      <c r="H318" s="85">
        <v>31099.68</v>
      </c>
      <c r="I318" s="85" t="s">
        <v>630</v>
      </c>
      <c r="J318" s="128">
        <v>111508</v>
      </c>
      <c r="K318" s="128">
        <f t="shared" si="4"/>
        <v>5909924</v>
      </c>
      <c r="L318" s="125" t="s">
        <v>926</v>
      </c>
      <c r="M318" s="85" t="s">
        <v>47</v>
      </c>
      <c r="N318" s="85" t="s">
        <v>1491</v>
      </c>
    </row>
    <row r="319" spans="2:14" ht="15.75" thickBot="1" x14ac:dyDescent="0.3">
      <c r="B319" s="82" t="s">
        <v>545</v>
      </c>
      <c r="C319" s="83" t="s">
        <v>629</v>
      </c>
      <c r="D319" s="124" t="s">
        <v>620</v>
      </c>
      <c r="E319" s="130">
        <v>2014</v>
      </c>
      <c r="F319" s="125" t="s">
        <v>733</v>
      </c>
      <c r="G319" s="125">
        <v>53</v>
      </c>
      <c r="H319" s="85">
        <v>25963.49</v>
      </c>
      <c r="I319" s="85" t="s">
        <v>630</v>
      </c>
      <c r="J319" s="128">
        <v>91271</v>
      </c>
      <c r="K319" s="128">
        <f t="shared" si="4"/>
        <v>4837363</v>
      </c>
      <c r="L319" s="125" t="s">
        <v>927</v>
      </c>
      <c r="M319" s="85" t="s">
        <v>47</v>
      </c>
      <c r="N319" s="85" t="s">
        <v>1491</v>
      </c>
    </row>
    <row r="320" spans="2:14" ht="15.75" thickBot="1" x14ac:dyDescent="0.3">
      <c r="B320" s="82" t="s">
        <v>545</v>
      </c>
      <c r="C320" s="83" t="s">
        <v>629</v>
      </c>
      <c r="D320" s="124" t="s">
        <v>620</v>
      </c>
      <c r="E320" s="130">
        <v>2017</v>
      </c>
      <c r="F320" s="125" t="s">
        <v>733</v>
      </c>
      <c r="G320" s="125">
        <v>53</v>
      </c>
      <c r="H320" s="85">
        <v>32299.860000000004</v>
      </c>
      <c r="I320" s="85" t="s">
        <v>630</v>
      </c>
      <c r="J320" s="128">
        <v>122547</v>
      </c>
      <c r="K320" s="128">
        <f t="shared" si="4"/>
        <v>6494991</v>
      </c>
      <c r="L320" s="125" t="s">
        <v>928</v>
      </c>
      <c r="M320" s="85" t="s">
        <v>47</v>
      </c>
      <c r="N320" s="85" t="s">
        <v>1491</v>
      </c>
    </row>
    <row r="321" spans="2:14" ht="15.75" thickBot="1" x14ac:dyDescent="0.3">
      <c r="B321" s="82" t="s">
        <v>545</v>
      </c>
      <c r="C321" s="83" t="s">
        <v>629</v>
      </c>
      <c r="D321" s="124" t="s">
        <v>620</v>
      </c>
      <c r="E321" s="130">
        <v>2017</v>
      </c>
      <c r="F321" s="125" t="s">
        <v>733</v>
      </c>
      <c r="G321" s="125">
        <v>53</v>
      </c>
      <c r="H321" s="85">
        <v>42730.66</v>
      </c>
      <c r="I321" s="85" t="s">
        <v>630</v>
      </c>
      <c r="J321" s="128">
        <v>156487</v>
      </c>
      <c r="K321" s="128">
        <f t="shared" si="4"/>
        <v>8293811</v>
      </c>
      <c r="L321" s="125" t="s">
        <v>929</v>
      </c>
      <c r="M321" s="85" t="s">
        <v>47</v>
      </c>
      <c r="N321" s="85" t="s">
        <v>1491</v>
      </c>
    </row>
    <row r="322" spans="2:14" ht="15.75" thickBot="1" x14ac:dyDescent="0.3">
      <c r="B322" s="82" t="s">
        <v>545</v>
      </c>
      <c r="C322" s="83" t="s">
        <v>629</v>
      </c>
      <c r="D322" s="124" t="s">
        <v>620</v>
      </c>
      <c r="E322" s="130">
        <v>2017</v>
      </c>
      <c r="F322" s="125" t="s">
        <v>733</v>
      </c>
      <c r="G322" s="125">
        <v>53</v>
      </c>
      <c r="H322" s="85">
        <v>33489.65</v>
      </c>
      <c r="I322" s="85" t="s">
        <v>630</v>
      </c>
      <c r="J322" s="128">
        <v>124692</v>
      </c>
      <c r="K322" s="128">
        <f t="shared" si="4"/>
        <v>6608676</v>
      </c>
      <c r="L322" s="125" t="s">
        <v>930</v>
      </c>
      <c r="M322" s="85" t="s">
        <v>47</v>
      </c>
      <c r="N322" s="85" t="s">
        <v>1491</v>
      </c>
    </row>
    <row r="323" spans="2:14" ht="15.75" thickBot="1" x14ac:dyDescent="0.3">
      <c r="B323" s="82" t="s">
        <v>545</v>
      </c>
      <c r="C323" s="83" t="s">
        <v>629</v>
      </c>
      <c r="D323" s="124" t="s">
        <v>620</v>
      </c>
      <c r="E323" s="130">
        <v>2017</v>
      </c>
      <c r="F323" s="125" t="s">
        <v>733</v>
      </c>
      <c r="G323" s="125">
        <v>63</v>
      </c>
      <c r="H323" s="85">
        <v>67064.59</v>
      </c>
      <c r="I323" s="85" t="s">
        <v>630</v>
      </c>
      <c r="J323" s="128">
        <v>215326</v>
      </c>
      <c r="K323" s="128">
        <f t="shared" si="4"/>
        <v>13565538</v>
      </c>
      <c r="L323" s="125" t="s">
        <v>931</v>
      </c>
      <c r="M323" s="85" t="s">
        <v>47</v>
      </c>
      <c r="N323" s="85" t="s">
        <v>1491</v>
      </c>
    </row>
    <row r="324" spans="2:14" ht="15.75" thickBot="1" x14ac:dyDescent="0.3">
      <c r="B324" s="82" t="s">
        <v>545</v>
      </c>
      <c r="C324" s="83" t="s">
        <v>629</v>
      </c>
      <c r="D324" s="124" t="s">
        <v>620</v>
      </c>
      <c r="E324" s="130">
        <v>2015</v>
      </c>
      <c r="F324" s="125" t="s">
        <v>733</v>
      </c>
      <c r="G324" s="125">
        <v>53</v>
      </c>
      <c r="H324" s="85">
        <v>38470.28</v>
      </c>
      <c r="I324" s="85" t="s">
        <v>630</v>
      </c>
      <c r="J324" s="128">
        <v>142442</v>
      </c>
      <c r="K324" s="128">
        <f t="shared" si="4"/>
        <v>7549426</v>
      </c>
      <c r="L324" s="125" t="s">
        <v>932</v>
      </c>
      <c r="M324" s="85" t="s">
        <v>47</v>
      </c>
      <c r="N324" s="85" t="s">
        <v>1491</v>
      </c>
    </row>
    <row r="325" spans="2:14" ht="15.75" thickBot="1" x14ac:dyDescent="0.3">
      <c r="B325" s="82" t="s">
        <v>545</v>
      </c>
      <c r="C325" s="83" t="s">
        <v>629</v>
      </c>
      <c r="D325" s="124" t="s">
        <v>620</v>
      </c>
      <c r="E325" s="130">
        <v>2015</v>
      </c>
      <c r="F325" s="125" t="s">
        <v>733</v>
      </c>
      <c r="G325" s="125">
        <v>53</v>
      </c>
      <c r="H325" s="85">
        <v>32867.699999999997</v>
      </c>
      <c r="I325" s="85" t="s">
        <v>630</v>
      </c>
      <c r="J325" s="128">
        <v>118345</v>
      </c>
      <c r="K325" s="128">
        <f t="shared" si="4"/>
        <v>6272285</v>
      </c>
      <c r="L325" s="125" t="s">
        <v>933</v>
      </c>
      <c r="M325" s="85" t="s">
        <v>47</v>
      </c>
      <c r="N325" s="85" t="s">
        <v>1491</v>
      </c>
    </row>
    <row r="326" spans="2:14" ht="15.75" thickBot="1" x14ac:dyDescent="0.3">
      <c r="B326" s="82" t="s">
        <v>545</v>
      </c>
      <c r="C326" s="83" t="s">
        <v>629</v>
      </c>
      <c r="D326" s="124" t="s">
        <v>620</v>
      </c>
      <c r="E326" s="130">
        <v>2017</v>
      </c>
      <c r="F326" s="125" t="s">
        <v>733</v>
      </c>
      <c r="G326" s="125">
        <v>19</v>
      </c>
      <c r="H326" s="85">
        <v>3839.3000000000006</v>
      </c>
      <c r="I326" s="85" t="s">
        <v>630</v>
      </c>
      <c r="J326" s="128">
        <v>24185</v>
      </c>
      <c r="K326" s="128">
        <f t="shared" si="4"/>
        <v>459515</v>
      </c>
      <c r="L326" s="125" t="s">
        <v>934</v>
      </c>
      <c r="M326" s="85" t="s">
        <v>47</v>
      </c>
      <c r="N326" s="85" t="s">
        <v>1491</v>
      </c>
    </row>
    <row r="327" spans="2:14" ht="15.75" thickBot="1" x14ac:dyDescent="0.3">
      <c r="B327" s="82" t="s">
        <v>545</v>
      </c>
      <c r="C327" s="83" t="s">
        <v>629</v>
      </c>
      <c r="D327" s="124" t="s">
        <v>620</v>
      </c>
      <c r="E327" s="130">
        <v>2017</v>
      </c>
      <c r="F327" s="125" t="s">
        <v>733</v>
      </c>
      <c r="G327" s="125">
        <v>19</v>
      </c>
      <c r="H327" s="85">
        <v>4408.57</v>
      </c>
      <c r="I327" s="85" t="s">
        <v>630</v>
      </c>
      <c r="J327" s="128">
        <v>25708</v>
      </c>
      <c r="K327" s="128">
        <f t="shared" si="4"/>
        <v>488452</v>
      </c>
      <c r="L327" s="125" t="s">
        <v>935</v>
      </c>
      <c r="M327" s="85" t="s">
        <v>47</v>
      </c>
      <c r="N327" s="85" t="s">
        <v>1491</v>
      </c>
    </row>
    <row r="328" spans="2:14" ht="15.75" thickBot="1" x14ac:dyDescent="0.3">
      <c r="B328" s="82" t="s">
        <v>545</v>
      </c>
      <c r="C328" s="83" t="s">
        <v>629</v>
      </c>
      <c r="D328" s="124" t="s">
        <v>620</v>
      </c>
      <c r="E328" s="130">
        <v>2017</v>
      </c>
      <c r="F328" s="125" t="s">
        <v>733</v>
      </c>
      <c r="G328" s="125">
        <v>53</v>
      </c>
      <c r="H328" s="85">
        <v>36875.950000000004</v>
      </c>
      <c r="I328" s="85" t="s">
        <v>630</v>
      </c>
      <c r="J328" s="128">
        <v>123524</v>
      </c>
      <c r="K328" s="128">
        <f t="shared" si="4"/>
        <v>6546772</v>
      </c>
      <c r="L328" s="125" t="s">
        <v>936</v>
      </c>
      <c r="M328" s="85" t="s">
        <v>47</v>
      </c>
      <c r="N328" s="85" t="s">
        <v>1491</v>
      </c>
    </row>
    <row r="329" spans="2:14" ht="15.75" thickBot="1" x14ac:dyDescent="0.3">
      <c r="B329" s="82" t="s">
        <v>545</v>
      </c>
      <c r="C329" s="83" t="s">
        <v>629</v>
      </c>
      <c r="D329" s="124" t="s">
        <v>620</v>
      </c>
      <c r="E329" s="130">
        <v>2017</v>
      </c>
      <c r="F329" s="125" t="s">
        <v>733</v>
      </c>
      <c r="G329" s="125">
        <v>39</v>
      </c>
      <c r="H329" s="85">
        <v>9808.9499999999989</v>
      </c>
      <c r="I329" s="85" t="s">
        <v>630</v>
      </c>
      <c r="J329" s="128">
        <v>36999</v>
      </c>
      <c r="K329" s="128">
        <f t="shared" si="4"/>
        <v>1442961</v>
      </c>
      <c r="L329" s="125" t="s">
        <v>937</v>
      </c>
      <c r="M329" s="85" t="s">
        <v>47</v>
      </c>
      <c r="N329" s="85" t="s">
        <v>1491</v>
      </c>
    </row>
    <row r="330" spans="2:14" ht="15.75" thickBot="1" x14ac:dyDescent="0.3">
      <c r="B330" s="82" t="s">
        <v>545</v>
      </c>
      <c r="C330" s="83" t="s">
        <v>629</v>
      </c>
      <c r="D330" s="124" t="s">
        <v>620</v>
      </c>
      <c r="E330" s="130">
        <v>2011</v>
      </c>
      <c r="F330" s="125" t="s">
        <v>734</v>
      </c>
      <c r="G330" s="125">
        <v>24</v>
      </c>
      <c r="H330" s="85">
        <v>307.83000000000004</v>
      </c>
      <c r="I330" s="85" t="s">
        <v>630</v>
      </c>
      <c r="J330" s="128">
        <v>1619</v>
      </c>
      <c r="K330" s="128">
        <f t="shared" si="4"/>
        <v>38856</v>
      </c>
      <c r="L330" s="125" t="s">
        <v>938</v>
      </c>
      <c r="M330" s="85" t="s">
        <v>47</v>
      </c>
      <c r="N330" s="85" t="s">
        <v>1491</v>
      </c>
    </row>
    <row r="331" spans="2:14" ht="15.75" thickBot="1" x14ac:dyDescent="0.3">
      <c r="B331" s="82" t="s">
        <v>545</v>
      </c>
      <c r="C331" s="83" t="s">
        <v>629</v>
      </c>
      <c r="D331" s="124" t="s">
        <v>620</v>
      </c>
      <c r="E331" s="130">
        <v>2011</v>
      </c>
      <c r="F331" s="125" t="s">
        <v>734</v>
      </c>
      <c r="G331" s="125">
        <v>24</v>
      </c>
      <c r="H331" s="85">
        <v>160</v>
      </c>
      <c r="I331" s="85" t="s">
        <v>630</v>
      </c>
      <c r="J331" s="128">
        <v>842</v>
      </c>
      <c r="K331" s="128">
        <f t="shared" si="4"/>
        <v>20208</v>
      </c>
      <c r="L331" s="125" t="s">
        <v>939</v>
      </c>
      <c r="M331" s="85" t="s">
        <v>47</v>
      </c>
      <c r="N331" s="85" t="s">
        <v>1491</v>
      </c>
    </row>
    <row r="332" spans="2:14" ht="15.75" thickBot="1" x14ac:dyDescent="0.3">
      <c r="B332" s="82" t="s">
        <v>545</v>
      </c>
      <c r="C332" s="83" t="s">
        <v>629</v>
      </c>
      <c r="D332" s="124" t="s">
        <v>620</v>
      </c>
      <c r="E332" s="130">
        <v>2011</v>
      </c>
      <c r="F332" s="125" t="s">
        <v>734</v>
      </c>
      <c r="G332" s="125">
        <v>53</v>
      </c>
      <c r="H332" s="85">
        <v>31241.179999999997</v>
      </c>
      <c r="I332" s="85" t="s">
        <v>630</v>
      </c>
      <c r="J332" s="128">
        <v>100710</v>
      </c>
      <c r="K332" s="128">
        <f t="shared" si="4"/>
        <v>5337630</v>
      </c>
      <c r="L332" s="125" t="s">
        <v>940</v>
      </c>
      <c r="M332" s="85" t="s">
        <v>47</v>
      </c>
      <c r="N332" s="85" t="s">
        <v>1491</v>
      </c>
    </row>
    <row r="333" spans="2:14" ht="15.75" thickBot="1" x14ac:dyDescent="0.3">
      <c r="B333" s="82" t="s">
        <v>545</v>
      </c>
      <c r="C333" s="83" t="s">
        <v>629</v>
      </c>
      <c r="D333" s="124" t="s">
        <v>620</v>
      </c>
      <c r="E333" s="130">
        <v>2011</v>
      </c>
      <c r="F333" s="125" t="s">
        <v>734</v>
      </c>
      <c r="G333" s="125">
        <v>53</v>
      </c>
      <c r="H333" s="85">
        <v>27251.46</v>
      </c>
      <c r="I333" s="85" t="s">
        <v>630</v>
      </c>
      <c r="J333" s="128">
        <v>87781</v>
      </c>
      <c r="K333" s="128">
        <f t="shared" si="4"/>
        <v>4652393</v>
      </c>
      <c r="L333" s="125" t="s">
        <v>941</v>
      </c>
      <c r="M333" s="85" t="s">
        <v>47</v>
      </c>
      <c r="N333" s="85" t="s">
        <v>1491</v>
      </c>
    </row>
    <row r="334" spans="2:14" ht="15.75" thickBot="1" x14ac:dyDescent="0.3">
      <c r="B334" s="82" t="s">
        <v>545</v>
      </c>
      <c r="C334" s="83" t="s">
        <v>629</v>
      </c>
      <c r="D334" s="124" t="s">
        <v>620</v>
      </c>
      <c r="E334" s="130">
        <v>2011</v>
      </c>
      <c r="F334" s="125" t="s">
        <v>734</v>
      </c>
      <c r="G334" s="125">
        <v>53</v>
      </c>
      <c r="H334" s="85">
        <v>33718.769999999997</v>
      </c>
      <c r="I334" s="85" t="s">
        <v>630</v>
      </c>
      <c r="J334" s="128">
        <v>108505</v>
      </c>
      <c r="K334" s="128">
        <f t="shared" si="4"/>
        <v>5750765</v>
      </c>
      <c r="L334" s="125" t="s">
        <v>942</v>
      </c>
      <c r="M334" s="85" t="s">
        <v>47</v>
      </c>
      <c r="N334" s="85" t="s">
        <v>1491</v>
      </c>
    </row>
    <row r="335" spans="2:14" ht="15.75" thickBot="1" x14ac:dyDescent="0.3">
      <c r="B335" s="82" t="s">
        <v>545</v>
      </c>
      <c r="C335" s="83" t="s">
        <v>629</v>
      </c>
      <c r="D335" s="124" t="s">
        <v>620</v>
      </c>
      <c r="E335" s="130">
        <v>2011</v>
      </c>
      <c r="F335" s="125" t="s">
        <v>734</v>
      </c>
      <c r="G335" s="125">
        <v>53</v>
      </c>
      <c r="H335" s="85">
        <v>29433.68</v>
      </c>
      <c r="I335" s="85" t="s">
        <v>630</v>
      </c>
      <c r="J335" s="128">
        <v>96489</v>
      </c>
      <c r="K335" s="128">
        <f t="shared" si="4"/>
        <v>5113917</v>
      </c>
      <c r="L335" s="125" t="s">
        <v>943</v>
      </c>
      <c r="M335" s="85" t="s">
        <v>47</v>
      </c>
      <c r="N335" s="85" t="s">
        <v>1491</v>
      </c>
    </row>
    <row r="336" spans="2:14" ht="15.75" thickBot="1" x14ac:dyDescent="0.3">
      <c r="B336" s="82" t="s">
        <v>545</v>
      </c>
      <c r="C336" s="83" t="s">
        <v>629</v>
      </c>
      <c r="D336" s="124" t="s">
        <v>620</v>
      </c>
      <c r="E336" s="130">
        <v>2018</v>
      </c>
      <c r="F336" s="125" t="s">
        <v>733</v>
      </c>
      <c r="G336" s="125">
        <v>39</v>
      </c>
      <c r="H336" s="85">
        <v>12347.79</v>
      </c>
      <c r="I336" s="85" t="s">
        <v>630</v>
      </c>
      <c r="J336" s="128">
        <v>47329</v>
      </c>
      <c r="K336" s="128">
        <f t="shared" si="4"/>
        <v>1845831</v>
      </c>
      <c r="L336" s="125" t="s">
        <v>944</v>
      </c>
      <c r="M336" s="85" t="s">
        <v>47</v>
      </c>
      <c r="N336" s="85" t="s">
        <v>1491</v>
      </c>
    </row>
    <row r="337" spans="2:14" ht="15.75" thickBot="1" x14ac:dyDescent="0.3">
      <c r="B337" s="82" t="s">
        <v>545</v>
      </c>
      <c r="C337" s="83" t="s">
        <v>629</v>
      </c>
      <c r="D337" s="124" t="s">
        <v>620</v>
      </c>
      <c r="E337" s="130">
        <v>2018</v>
      </c>
      <c r="F337" s="125" t="s">
        <v>733</v>
      </c>
      <c r="G337" s="125">
        <v>39</v>
      </c>
      <c r="H337" s="85">
        <v>13429.99</v>
      </c>
      <c r="I337" s="85" t="s">
        <v>630</v>
      </c>
      <c r="J337" s="128">
        <v>49071</v>
      </c>
      <c r="K337" s="128">
        <f t="shared" si="4"/>
        <v>1913769</v>
      </c>
      <c r="L337" s="125" t="s">
        <v>945</v>
      </c>
      <c r="M337" s="85" t="s">
        <v>47</v>
      </c>
      <c r="N337" s="85" t="s">
        <v>1491</v>
      </c>
    </row>
    <row r="338" spans="2:14" ht="15.75" thickBot="1" x14ac:dyDescent="0.3">
      <c r="B338" s="82" t="s">
        <v>545</v>
      </c>
      <c r="C338" s="83" t="s">
        <v>629</v>
      </c>
      <c r="D338" s="124" t="s">
        <v>620</v>
      </c>
      <c r="E338" s="130">
        <v>2018</v>
      </c>
      <c r="F338" s="125" t="s">
        <v>733</v>
      </c>
      <c r="G338" s="125">
        <v>63</v>
      </c>
      <c r="H338" s="85">
        <v>65543.069999999992</v>
      </c>
      <c r="I338" s="85" t="s">
        <v>630</v>
      </c>
      <c r="J338" s="128">
        <v>220250</v>
      </c>
      <c r="K338" s="128">
        <f t="shared" si="4"/>
        <v>13875750</v>
      </c>
      <c r="L338" s="125" t="s">
        <v>946</v>
      </c>
      <c r="M338" s="85" t="s">
        <v>47</v>
      </c>
      <c r="N338" s="85" t="s">
        <v>1491</v>
      </c>
    </row>
    <row r="339" spans="2:14" ht="15.75" thickBot="1" x14ac:dyDescent="0.3">
      <c r="B339" s="82" t="s">
        <v>545</v>
      </c>
      <c r="C339" s="83" t="s">
        <v>629</v>
      </c>
      <c r="D339" s="124" t="s">
        <v>620</v>
      </c>
      <c r="E339" s="130">
        <v>2018</v>
      </c>
      <c r="F339" s="125" t="s">
        <v>733</v>
      </c>
      <c r="G339" s="125">
        <v>53</v>
      </c>
      <c r="H339" s="85">
        <v>30511.730000000003</v>
      </c>
      <c r="I339" s="85" t="s">
        <v>630</v>
      </c>
      <c r="J339" s="128">
        <v>116248</v>
      </c>
      <c r="K339" s="128">
        <f t="shared" si="4"/>
        <v>6161144</v>
      </c>
      <c r="L339" s="125" t="s">
        <v>947</v>
      </c>
      <c r="M339" s="85" t="s">
        <v>47</v>
      </c>
      <c r="N339" s="85" t="s">
        <v>1491</v>
      </c>
    </row>
    <row r="340" spans="2:14" ht="15.75" thickBot="1" x14ac:dyDescent="0.3">
      <c r="B340" s="82" t="s">
        <v>545</v>
      </c>
      <c r="C340" s="83" t="s">
        <v>629</v>
      </c>
      <c r="D340" s="124" t="s">
        <v>620</v>
      </c>
      <c r="E340" s="130">
        <v>2018</v>
      </c>
      <c r="F340" s="125" t="s">
        <v>733</v>
      </c>
      <c r="G340" s="125">
        <v>53</v>
      </c>
      <c r="H340" s="85">
        <v>31745.849000000002</v>
      </c>
      <c r="I340" s="85" t="s">
        <v>630</v>
      </c>
      <c r="J340" s="128">
        <v>121767</v>
      </c>
      <c r="K340" s="128">
        <f t="shared" si="4"/>
        <v>6453651</v>
      </c>
      <c r="L340" s="125" t="s">
        <v>948</v>
      </c>
      <c r="M340" s="85" t="s">
        <v>47</v>
      </c>
      <c r="N340" s="85" t="s">
        <v>1491</v>
      </c>
    </row>
    <row r="341" spans="2:14" ht="15.75" thickBot="1" x14ac:dyDescent="0.3">
      <c r="B341" s="82" t="s">
        <v>545</v>
      </c>
      <c r="C341" s="83" t="s">
        <v>629</v>
      </c>
      <c r="D341" s="124" t="s">
        <v>620</v>
      </c>
      <c r="E341" s="130">
        <v>2018</v>
      </c>
      <c r="F341" s="125" t="s">
        <v>733</v>
      </c>
      <c r="G341" s="125">
        <v>53</v>
      </c>
      <c r="H341" s="85">
        <v>27923.670000000006</v>
      </c>
      <c r="I341" s="85" t="s">
        <v>630</v>
      </c>
      <c r="J341" s="128">
        <v>107728</v>
      </c>
      <c r="K341" s="128">
        <f t="shared" si="4"/>
        <v>5709584</v>
      </c>
      <c r="L341" s="125" t="s">
        <v>949</v>
      </c>
      <c r="M341" s="85" t="s">
        <v>47</v>
      </c>
      <c r="N341" s="85" t="s">
        <v>1491</v>
      </c>
    </row>
    <row r="342" spans="2:14" ht="15.75" thickBot="1" x14ac:dyDescent="0.3">
      <c r="B342" s="82" t="s">
        <v>545</v>
      </c>
      <c r="C342" s="83" t="s">
        <v>629</v>
      </c>
      <c r="D342" s="124" t="s">
        <v>620</v>
      </c>
      <c r="E342" s="130">
        <v>2018</v>
      </c>
      <c r="F342" s="125" t="s">
        <v>733</v>
      </c>
      <c r="G342" s="125">
        <v>53</v>
      </c>
      <c r="H342" s="85">
        <v>30285.879999999997</v>
      </c>
      <c r="I342" s="85" t="s">
        <v>630</v>
      </c>
      <c r="J342" s="128">
        <v>114741</v>
      </c>
      <c r="K342" s="128">
        <f t="shared" si="4"/>
        <v>6081273</v>
      </c>
      <c r="L342" s="125" t="s">
        <v>950</v>
      </c>
      <c r="M342" s="85" t="s">
        <v>47</v>
      </c>
      <c r="N342" s="85" t="s">
        <v>1491</v>
      </c>
    </row>
    <row r="343" spans="2:14" ht="15.75" thickBot="1" x14ac:dyDescent="0.3">
      <c r="B343" s="82" t="s">
        <v>545</v>
      </c>
      <c r="C343" s="83" t="s">
        <v>629</v>
      </c>
      <c r="D343" s="124" t="s">
        <v>620</v>
      </c>
      <c r="E343" s="130">
        <v>2018</v>
      </c>
      <c r="F343" s="125" t="s">
        <v>733</v>
      </c>
      <c r="G343" s="125">
        <v>35</v>
      </c>
      <c r="H343" s="85">
        <v>17200.559999999998</v>
      </c>
      <c r="I343" s="85" t="s">
        <v>630</v>
      </c>
      <c r="J343" s="128">
        <v>70297</v>
      </c>
      <c r="K343" s="128">
        <f t="shared" si="4"/>
        <v>2460395</v>
      </c>
      <c r="L343" s="125" t="s">
        <v>951</v>
      </c>
      <c r="M343" s="85" t="s">
        <v>47</v>
      </c>
      <c r="N343" s="85" t="s">
        <v>1491</v>
      </c>
    </row>
    <row r="344" spans="2:14" ht="15.75" thickBot="1" x14ac:dyDescent="0.3">
      <c r="B344" s="82" t="s">
        <v>545</v>
      </c>
      <c r="C344" s="83" t="s">
        <v>629</v>
      </c>
      <c r="D344" s="124" t="s">
        <v>620</v>
      </c>
      <c r="E344" s="130">
        <v>2018</v>
      </c>
      <c r="F344" s="125" t="s">
        <v>733</v>
      </c>
      <c r="G344" s="125">
        <v>52</v>
      </c>
      <c r="H344" s="85">
        <v>5967.85</v>
      </c>
      <c r="I344" s="85" t="s">
        <v>630</v>
      </c>
      <c r="J344" s="128">
        <v>19216</v>
      </c>
      <c r="K344" s="128">
        <f t="shared" si="4"/>
        <v>999232</v>
      </c>
      <c r="L344" s="125" t="s">
        <v>952</v>
      </c>
      <c r="M344" s="85" t="s">
        <v>47</v>
      </c>
      <c r="N344" s="85" t="s">
        <v>1491</v>
      </c>
    </row>
    <row r="345" spans="2:14" ht="15.75" thickBot="1" x14ac:dyDescent="0.3">
      <c r="B345" s="82" t="s">
        <v>545</v>
      </c>
      <c r="C345" s="83" t="s">
        <v>629</v>
      </c>
      <c r="D345" s="124" t="s">
        <v>620</v>
      </c>
      <c r="E345" s="130">
        <v>2018</v>
      </c>
      <c r="F345" s="125" t="s">
        <v>733</v>
      </c>
      <c r="G345" s="125">
        <v>19</v>
      </c>
      <c r="H345" s="85">
        <v>6139.4399999999987</v>
      </c>
      <c r="I345" s="85" t="s">
        <v>630</v>
      </c>
      <c r="J345" s="128">
        <v>43176</v>
      </c>
      <c r="K345" s="128">
        <f t="shared" si="4"/>
        <v>820344</v>
      </c>
      <c r="L345" s="125" t="s">
        <v>953</v>
      </c>
      <c r="M345" s="85" t="s">
        <v>47</v>
      </c>
      <c r="N345" s="85" t="s">
        <v>1491</v>
      </c>
    </row>
    <row r="346" spans="2:14" ht="15.75" thickBot="1" x14ac:dyDescent="0.3">
      <c r="B346" s="82" t="s">
        <v>545</v>
      </c>
      <c r="C346" s="83" t="s">
        <v>629</v>
      </c>
      <c r="D346" s="124" t="s">
        <v>620</v>
      </c>
      <c r="E346" s="130">
        <v>2018</v>
      </c>
      <c r="F346" s="125" t="s">
        <v>733</v>
      </c>
      <c r="G346" s="125">
        <v>19</v>
      </c>
      <c r="H346" s="85">
        <v>5828.0300000000016</v>
      </c>
      <c r="I346" s="85" t="s">
        <v>630</v>
      </c>
      <c r="J346" s="128">
        <v>38619</v>
      </c>
      <c r="K346" s="128">
        <f t="shared" si="4"/>
        <v>733761</v>
      </c>
      <c r="L346" s="125" t="s">
        <v>954</v>
      </c>
      <c r="M346" s="85" t="s">
        <v>47</v>
      </c>
      <c r="N346" s="85" t="s">
        <v>1491</v>
      </c>
    </row>
    <row r="347" spans="2:14" ht="15.75" thickBot="1" x14ac:dyDescent="0.3">
      <c r="B347" s="82" t="s">
        <v>545</v>
      </c>
      <c r="C347" s="83" t="s">
        <v>629</v>
      </c>
      <c r="D347" s="124" t="s">
        <v>620</v>
      </c>
      <c r="E347" s="130">
        <v>2018</v>
      </c>
      <c r="F347" s="125" t="s">
        <v>733</v>
      </c>
      <c r="G347" s="125">
        <v>19</v>
      </c>
      <c r="H347" s="85">
        <v>6817.1799999999994</v>
      </c>
      <c r="I347" s="85" t="s">
        <v>630</v>
      </c>
      <c r="J347" s="128">
        <v>46838</v>
      </c>
      <c r="K347" s="128">
        <f t="shared" si="4"/>
        <v>889922</v>
      </c>
      <c r="L347" s="125" t="s">
        <v>955</v>
      </c>
      <c r="M347" s="85" t="s">
        <v>47</v>
      </c>
      <c r="N347" s="85" t="s">
        <v>1491</v>
      </c>
    </row>
    <row r="348" spans="2:14" ht="15.75" thickBot="1" x14ac:dyDescent="0.3">
      <c r="B348" s="82" t="s">
        <v>545</v>
      </c>
      <c r="C348" s="83" t="s">
        <v>629</v>
      </c>
      <c r="D348" s="124" t="s">
        <v>620</v>
      </c>
      <c r="E348" s="130">
        <v>2005</v>
      </c>
      <c r="F348" s="125" t="s">
        <v>732</v>
      </c>
      <c r="G348" s="125">
        <v>36</v>
      </c>
      <c r="H348" s="85">
        <v>7451.99</v>
      </c>
      <c r="I348" s="85" t="s">
        <v>630</v>
      </c>
      <c r="J348" s="128">
        <v>23261</v>
      </c>
      <c r="K348" s="128">
        <f t="shared" si="4"/>
        <v>837396</v>
      </c>
      <c r="L348" s="125" t="s">
        <v>956</v>
      </c>
      <c r="M348" s="85" t="s">
        <v>47</v>
      </c>
      <c r="N348" s="85" t="s">
        <v>1491</v>
      </c>
    </row>
    <row r="349" spans="2:14" ht="15.75" thickBot="1" x14ac:dyDescent="0.3">
      <c r="B349" s="82" t="s">
        <v>545</v>
      </c>
      <c r="C349" s="83" t="s">
        <v>629</v>
      </c>
      <c r="D349" s="124" t="s">
        <v>620</v>
      </c>
      <c r="E349" s="130">
        <v>2011</v>
      </c>
      <c r="F349" s="125" t="s">
        <v>734</v>
      </c>
      <c r="G349" s="125">
        <v>34</v>
      </c>
      <c r="H349" s="85">
        <v>27550.990000000005</v>
      </c>
      <c r="I349" s="85" t="s">
        <v>630</v>
      </c>
      <c r="J349" s="128">
        <v>86247</v>
      </c>
      <c r="K349" s="128">
        <f t="shared" si="4"/>
        <v>2932398</v>
      </c>
      <c r="L349" s="125" t="s">
        <v>957</v>
      </c>
      <c r="M349" s="85" t="s">
        <v>47</v>
      </c>
      <c r="N349" s="85" t="s">
        <v>1491</v>
      </c>
    </row>
    <row r="350" spans="2:14" ht="15.75" thickBot="1" x14ac:dyDescent="0.3">
      <c r="B350" s="82" t="s">
        <v>545</v>
      </c>
      <c r="C350" s="83" t="s">
        <v>629</v>
      </c>
      <c r="D350" s="124" t="s">
        <v>620</v>
      </c>
      <c r="E350" s="130">
        <v>2012</v>
      </c>
      <c r="F350" s="125" t="s">
        <v>734</v>
      </c>
      <c r="G350" s="125">
        <v>53</v>
      </c>
      <c r="H350" s="85">
        <v>34377.899999999994</v>
      </c>
      <c r="I350" s="85" t="s">
        <v>630</v>
      </c>
      <c r="J350" s="128">
        <v>114509</v>
      </c>
      <c r="K350" s="128">
        <f t="shared" si="4"/>
        <v>6068977</v>
      </c>
      <c r="L350" s="125" t="s">
        <v>958</v>
      </c>
      <c r="M350" s="85" t="s">
        <v>47</v>
      </c>
      <c r="N350" s="85" t="s">
        <v>1491</v>
      </c>
    </row>
    <row r="351" spans="2:14" ht="15.75" thickBot="1" x14ac:dyDescent="0.3">
      <c r="B351" s="82" t="s">
        <v>545</v>
      </c>
      <c r="C351" s="83" t="s">
        <v>629</v>
      </c>
      <c r="D351" s="124" t="s">
        <v>620</v>
      </c>
      <c r="E351" s="130">
        <v>2013</v>
      </c>
      <c r="F351" s="125" t="s">
        <v>733</v>
      </c>
      <c r="G351" s="125">
        <v>53</v>
      </c>
      <c r="H351" s="85">
        <v>23980.310000000005</v>
      </c>
      <c r="I351" s="85" t="s">
        <v>630</v>
      </c>
      <c r="J351" s="128">
        <v>79554</v>
      </c>
      <c r="K351" s="128">
        <f t="shared" ref="K351:K414" si="5">J351*G351</f>
        <v>4216362</v>
      </c>
      <c r="L351" s="125" t="s">
        <v>959</v>
      </c>
      <c r="M351" s="85" t="s">
        <v>47</v>
      </c>
      <c r="N351" s="85" t="s">
        <v>1491</v>
      </c>
    </row>
    <row r="352" spans="2:14" ht="15.75" thickBot="1" x14ac:dyDescent="0.3">
      <c r="B352" s="82" t="s">
        <v>545</v>
      </c>
      <c r="C352" s="83" t="s">
        <v>629</v>
      </c>
      <c r="D352" s="124" t="s">
        <v>620</v>
      </c>
      <c r="E352" s="130">
        <v>2013</v>
      </c>
      <c r="F352" s="125" t="s">
        <v>733</v>
      </c>
      <c r="G352" s="125">
        <v>53</v>
      </c>
      <c r="H352" s="85">
        <v>0</v>
      </c>
      <c r="I352" s="85" t="s">
        <v>630</v>
      </c>
      <c r="J352" s="128">
        <v>0</v>
      </c>
      <c r="K352" s="128">
        <f t="shared" si="5"/>
        <v>0</v>
      </c>
      <c r="L352" s="125" t="s">
        <v>960</v>
      </c>
      <c r="M352" s="85" t="s">
        <v>47</v>
      </c>
      <c r="N352" s="85" t="s">
        <v>1491</v>
      </c>
    </row>
    <row r="353" spans="2:14" ht="15.75" thickBot="1" x14ac:dyDescent="0.3">
      <c r="B353" s="82" t="s">
        <v>545</v>
      </c>
      <c r="C353" s="83" t="s">
        <v>629</v>
      </c>
      <c r="D353" s="124" t="s">
        <v>620</v>
      </c>
      <c r="E353" s="130">
        <v>2013</v>
      </c>
      <c r="F353" s="125" t="s">
        <v>733</v>
      </c>
      <c r="G353" s="125">
        <v>55</v>
      </c>
      <c r="H353" s="85">
        <v>31687.210000000003</v>
      </c>
      <c r="I353" s="85" t="s">
        <v>630</v>
      </c>
      <c r="J353" s="128">
        <v>101173</v>
      </c>
      <c r="K353" s="128">
        <f t="shared" si="5"/>
        <v>5564515</v>
      </c>
      <c r="L353" s="125" t="s">
        <v>961</v>
      </c>
      <c r="M353" s="85" t="s">
        <v>47</v>
      </c>
      <c r="N353" s="85" t="s">
        <v>1491</v>
      </c>
    </row>
    <row r="354" spans="2:14" ht="15.75" thickBot="1" x14ac:dyDescent="0.3">
      <c r="B354" s="82" t="s">
        <v>545</v>
      </c>
      <c r="C354" s="83" t="s">
        <v>629</v>
      </c>
      <c r="D354" s="124" t="s">
        <v>620</v>
      </c>
      <c r="E354" s="130">
        <v>2014</v>
      </c>
      <c r="F354" s="125" t="s">
        <v>733</v>
      </c>
      <c r="G354" s="125">
        <v>53</v>
      </c>
      <c r="H354" s="85">
        <v>23223.269999999997</v>
      </c>
      <c r="I354" s="85" t="s">
        <v>630</v>
      </c>
      <c r="J354" s="128">
        <v>83307</v>
      </c>
      <c r="K354" s="128">
        <f t="shared" si="5"/>
        <v>4415271</v>
      </c>
      <c r="L354" s="125" t="s">
        <v>962</v>
      </c>
      <c r="M354" s="85" t="s">
        <v>47</v>
      </c>
      <c r="N354" s="85" t="s">
        <v>1491</v>
      </c>
    </row>
    <row r="355" spans="2:14" ht="15.75" thickBot="1" x14ac:dyDescent="0.3">
      <c r="B355" s="82" t="s">
        <v>545</v>
      </c>
      <c r="C355" s="83" t="s">
        <v>629</v>
      </c>
      <c r="D355" s="124" t="s">
        <v>620</v>
      </c>
      <c r="E355" s="130">
        <v>2014</v>
      </c>
      <c r="F355" s="125" t="s">
        <v>733</v>
      </c>
      <c r="G355" s="125">
        <v>53</v>
      </c>
      <c r="H355" s="85">
        <v>59276.82</v>
      </c>
      <c r="I355" s="85" t="s">
        <v>630</v>
      </c>
      <c r="J355" s="128">
        <v>207498</v>
      </c>
      <c r="K355" s="128">
        <f t="shared" si="5"/>
        <v>10997394</v>
      </c>
      <c r="L355" s="125" t="s">
        <v>963</v>
      </c>
      <c r="M355" s="85" t="s">
        <v>47</v>
      </c>
      <c r="N355" s="85" t="s">
        <v>1491</v>
      </c>
    </row>
    <row r="356" spans="2:14" ht="15.75" thickBot="1" x14ac:dyDescent="0.3">
      <c r="B356" s="82" t="s">
        <v>545</v>
      </c>
      <c r="C356" s="83" t="s">
        <v>629</v>
      </c>
      <c r="D356" s="124" t="s">
        <v>620</v>
      </c>
      <c r="E356" s="130">
        <v>2015</v>
      </c>
      <c r="F356" s="125" t="s">
        <v>733</v>
      </c>
      <c r="G356" s="125">
        <v>53</v>
      </c>
      <c r="H356" s="85">
        <v>48636.920000000006</v>
      </c>
      <c r="I356" s="85" t="s">
        <v>630</v>
      </c>
      <c r="J356" s="128">
        <v>181139</v>
      </c>
      <c r="K356" s="128">
        <f t="shared" si="5"/>
        <v>9600367</v>
      </c>
      <c r="L356" s="125" t="s">
        <v>964</v>
      </c>
      <c r="M356" s="85" t="s">
        <v>47</v>
      </c>
      <c r="N356" s="85" t="s">
        <v>1491</v>
      </c>
    </row>
    <row r="357" spans="2:14" ht="15.75" thickBot="1" x14ac:dyDescent="0.3">
      <c r="B357" s="82" t="s">
        <v>545</v>
      </c>
      <c r="C357" s="83" t="s">
        <v>629</v>
      </c>
      <c r="D357" s="124" t="s">
        <v>620</v>
      </c>
      <c r="E357" s="130">
        <v>2015</v>
      </c>
      <c r="F357" s="125" t="s">
        <v>733</v>
      </c>
      <c r="G357" s="125">
        <v>53</v>
      </c>
      <c r="H357" s="85">
        <v>51869.200000000004</v>
      </c>
      <c r="I357" s="85" t="s">
        <v>630</v>
      </c>
      <c r="J357" s="128">
        <v>189893</v>
      </c>
      <c r="K357" s="128">
        <f t="shared" si="5"/>
        <v>10064329</v>
      </c>
      <c r="L357" s="125" t="s">
        <v>965</v>
      </c>
      <c r="M357" s="85" t="s">
        <v>47</v>
      </c>
      <c r="N357" s="85" t="s">
        <v>1491</v>
      </c>
    </row>
    <row r="358" spans="2:14" ht="15.75" thickBot="1" x14ac:dyDescent="0.3">
      <c r="B358" s="82" t="s">
        <v>545</v>
      </c>
      <c r="C358" s="83" t="s">
        <v>629</v>
      </c>
      <c r="D358" s="124" t="s">
        <v>620</v>
      </c>
      <c r="E358" s="130">
        <v>2015</v>
      </c>
      <c r="F358" s="125" t="s">
        <v>733</v>
      </c>
      <c r="G358" s="125">
        <v>53</v>
      </c>
      <c r="H358" s="85">
        <v>59826.15</v>
      </c>
      <c r="I358" s="85" t="s">
        <v>630</v>
      </c>
      <c r="J358" s="128">
        <v>218929</v>
      </c>
      <c r="K358" s="128">
        <f t="shared" si="5"/>
        <v>11603237</v>
      </c>
      <c r="L358" s="125" t="s">
        <v>966</v>
      </c>
      <c r="M358" s="85" t="s">
        <v>47</v>
      </c>
      <c r="N358" s="85" t="s">
        <v>1491</v>
      </c>
    </row>
    <row r="359" spans="2:14" ht="15.75" thickBot="1" x14ac:dyDescent="0.3">
      <c r="B359" s="82" t="s">
        <v>545</v>
      </c>
      <c r="C359" s="83" t="s">
        <v>629</v>
      </c>
      <c r="D359" s="124" t="s">
        <v>620</v>
      </c>
      <c r="E359" s="130">
        <v>2015</v>
      </c>
      <c r="F359" s="125" t="s">
        <v>733</v>
      </c>
      <c r="G359" s="125">
        <v>53</v>
      </c>
      <c r="H359" s="85">
        <v>54196.82</v>
      </c>
      <c r="I359" s="85" t="s">
        <v>630</v>
      </c>
      <c r="J359" s="128">
        <v>203272</v>
      </c>
      <c r="K359" s="128">
        <f t="shared" si="5"/>
        <v>10773416</v>
      </c>
      <c r="L359" s="125" t="s">
        <v>967</v>
      </c>
      <c r="M359" s="85" t="s">
        <v>47</v>
      </c>
      <c r="N359" s="85" t="s">
        <v>1491</v>
      </c>
    </row>
    <row r="360" spans="2:14" ht="15.75" thickBot="1" x14ac:dyDescent="0.3">
      <c r="B360" s="82" t="s">
        <v>545</v>
      </c>
      <c r="C360" s="83" t="s">
        <v>629</v>
      </c>
      <c r="D360" s="124" t="s">
        <v>620</v>
      </c>
      <c r="E360" s="130">
        <v>2015</v>
      </c>
      <c r="F360" s="125" t="s">
        <v>733</v>
      </c>
      <c r="G360" s="125">
        <v>53</v>
      </c>
      <c r="H360" s="85">
        <v>53057.89</v>
      </c>
      <c r="I360" s="85" t="s">
        <v>630</v>
      </c>
      <c r="J360" s="128">
        <v>195890</v>
      </c>
      <c r="K360" s="128">
        <f t="shared" si="5"/>
        <v>10382170</v>
      </c>
      <c r="L360" s="125" t="s">
        <v>968</v>
      </c>
      <c r="M360" s="85" t="s">
        <v>47</v>
      </c>
      <c r="N360" s="85" t="s">
        <v>1491</v>
      </c>
    </row>
    <row r="361" spans="2:14" ht="15.75" thickBot="1" x14ac:dyDescent="0.3">
      <c r="B361" s="82" t="s">
        <v>545</v>
      </c>
      <c r="C361" s="83" t="s">
        <v>629</v>
      </c>
      <c r="D361" s="124" t="s">
        <v>620</v>
      </c>
      <c r="E361" s="130">
        <v>2016</v>
      </c>
      <c r="F361" s="125" t="s">
        <v>733</v>
      </c>
      <c r="G361" s="125">
        <v>53</v>
      </c>
      <c r="H361" s="85">
        <v>56407.200000000004</v>
      </c>
      <c r="I361" s="85" t="s">
        <v>630</v>
      </c>
      <c r="J361" s="128">
        <v>217394</v>
      </c>
      <c r="K361" s="128">
        <f t="shared" si="5"/>
        <v>11521882</v>
      </c>
      <c r="L361" s="125" t="s">
        <v>969</v>
      </c>
      <c r="M361" s="85" t="s">
        <v>47</v>
      </c>
      <c r="N361" s="85" t="s">
        <v>1491</v>
      </c>
    </row>
    <row r="362" spans="2:14" ht="15.75" thickBot="1" x14ac:dyDescent="0.3">
      <c r="B362" s="82" t="s">
        <v>545</v>
      </c>
      <c r="C362" s="83" t="s">
        <v>629</v>
      </c>
      <c r="D362" s="124" t="s">
        <v>620</v>
      </c>
      <c r="E362" s="130">
        <v>2016</v>
      </c>
      <c r="F362" s="125" t="s">
        <v>733</v>
      </c>
      <c r="G362" s="125">
        <v>53</v>
      </c>
      <c r="H362" s="85">
        <v>34811.760000000002</v>
      </c>
      <c r="I362" s="85" t="s">
        <v>630</v>
      </c>
      <c r="J362" s="128">
        <v>132746</v>
      </c>
      <c r="K362" s="128">
        <f t="shared" si="5"/>
        <v>7035538</v>
      </c>
      <c r="L362" s="125" t="s">
        <v>970</v>
      </c>
      <c r="M362" s="85" t="s">
        <v>47</v>
      </c>
      <c r="N362" s="85" t="s">
        <v>1491</v>
      </c>
    </row>
    <row r="363" spans="2:14" ht="15.75" thickBot="1" x14ac:dyDescent="0.3">
      <c r="B363" s="82" t="s">
        <v>545</v>
      </c>
      <c r="C363" s="83" t="s">
        <v>629</v>
      </c>
      <c r="D363" s="124" t="s">
        <v>620</v>
      </c>
      <c r="E363" s="130">
        <v>2016</v>
      </c>
      <c r="F363" s="125" t="s">
        <v>733</v>
      </c>
      <c r="G363" s="125">
        <v>53</v>
      </c>
      <c r="H363" s="85">
        <v>58695.99</v>
      </c>
      <c r="I363" s="85" t="s">
        <v>630</v>
      </c>
      <c r="J363" s="128">
        <v>223317</v>
      </c>
      <c r="K363" s="128">
        <f t="shared" si="5"/>
        <v>11835801</v>
      </c>
      <c r="L363" s="125" t="s">
        <v>971</v>
      </c>
      <c r="M363" s="85" t="s">
        <v>47</v>
      </c>
      <c r="N363" s="85" t="s">
        <v>1491</v>
      </c>
    </row>
    <row r="364" spans="2:14" ht="15.75" thickBot="1" x14ac:dyDescent="0.3">
      <c r="B364" s="82" t="s">
        <v>545</v>
      </c>
      <c r="C364" s="83" t="s">
        <v>629</v>
      </c>
      <c r="D364" s="124" t="s">
        <v>620</v>
      </c>
      <c r="E364" s="130">
        <v>2016</v>
      </c>
      <c r="F364" s="125" t="s">
        <v>733</v>
      </c>
      <c r="G364" s="125">
        <v>53</v>
      </c>
      <c r="H364" s="85">
        <v>51030.930000000008</v>
      </c>
      <c r="I364" s="85" t="s">
        <v>630</v>
      </c>
      <c r="J364" s="128">
        <v>200913</v>
      </c>
      <c r="K364" s="128">
        <f t="shared" si="5"/>
        <v>10648389</v>
      </c>
      <c r="L364" s="125" t="s">
        <v>972</v>
      </c>
      <c r="M364" s="85" t="s">
        <v>47</v>
      </c>
      <c r="N364" s="85" t="s">
        <v>1491</v>
      </c>
    </row>
    <row r="365" spans="2:14" ht="15.75" thickBot="1" x14ac:dyDescent="0.3">
      <c r="B365" s="82" t="s">
        <v>545</v>
      </c>
      <c r="C365" s="83" t="s">
        <v>629</v>
      </c>
      <c r="D365" s="124" t="s">
        <v>620</v>
      </c>
      <c r="E365" s="130">
        <v>2017</v>
      </c>
      <c r="F365" s="125" t="s">
        <v>733</v>
      </c>
      <c r="G365" s="125">
        <v>53</v>
      </c>
      <c r="H365" s="85">
        <v>69388.289999999994</v>
      </c>
      <c r="I365" s="85" t="s">
        <v>630</v>
      </c>
      <c r="J365" s="128">
        <v>282856</v>
      </c>
      <c r="K365" s="128">
        <f t="shared" si="5"/>
        <v>14991368</v>
      </c>
      <c r="L365" s="125" t="s">
        <v>973</v>
      </c>
      <c r="M365" s="85" t="s">
        <v>47</v>
      </c>
      <c r="N365" s="85" t="s">
        <v>1491</v>
      </c>
    </row>
    <row r="366" spans="2:14" ht="15.75" thickBot="1" x14ac:dyDescent="0.3">
      <c r="B366" s="82" t="s">
        <v>545</v>
      </c>
      <c r="C366" s="83" t="s">
        <v>629</v>
      </c>
      <c r="D366" s="124" t="s">
        <v>620</v>
      </c>
      <c r="E366" s="130">
        <v>2017</v>
      </c>
      <c r="F366" s="125" t="s">
        <v>733</v>
      </c>
      <c r="G366" s="125">
        <v>53</v>
      </c>
      <c r="H366" s="85">
        <v>65553.099999999991</v>
      </c>
      <c r="I366" s="85" t="s">
        <v>630</v>
      </c>
      <c r="J366" s="128">
        <v>260949</v>
      </c>
      <c r="K366" s="128">
        <f t="shared" si="5"/>
        <v>13830297</v>
      </c>
      <c r="L366" s="125" t="s">
        <v>974</v>
      </c>
      <c r="M366" s="85" t="s">
        <v>47</v>
      </c>
      <c r="N366" s="85" t="s">
        <v>1491</v>
      </c>
    </row>
    <row r="367" spans="2:14" ht="15.75" thickBot="1" x14ac:dyDescent="0.3">
      <c r="B367" s="82" t="s">
        <v>545</v>
      </c>
      <c r="C367" s="83" t="s">
        <v>629</v>
      </c>
      <c r="D367" s="124" t="s">
        <v>620</v>
      </c>
      <c r="E367" s="130">
        <v>2017</v>
      </c>
      <c r="F367" s="125" t="s">
        <v>733</v>
      </c>
      <c r="G367" s="125">
        <v>53</v>
      </c>
      <c r="H367" s="85">
        <v>68009.34</v>
      </c>
      <c r="I367" s="85" t="s">
        <v>630</v>
      </c>
      <c r="J367" s="128">
        <v>269747</v>
      </c>
      <c r="K367" s="128">
        <f t="shared" si="5"/>
        <v>14296591</v>
      </c>
      <c r="L367" s="125" t="s">
        <v>975</v>
      </c>
      <c r="M367" s="85" t="s">
        <v>47</v>
      </c>
      <c r="N367" s="85" t="s">
        <v>1491</v>
      </c>
    </row>
    <row r="368" spans="2:14" ht="15.75" thickBot="1" x14ac:dyDescent="0.3">
      <c r="B368" s="82" t="s">
        <v>545</v>
      </c>
      <c r="C368" s="83" t="s">
        <v>629</v>
      </c>
      <c r="D368" s="124" t="s">
        <v>620</v>
      </c>
      <c r="E368" s="130">
        <v>2017</v>
      </c>
      <c r="F368" s="125" t="s">
        <v>733</v>
      </c>
      <c r="G368" s="125">
        <v>53</v>
      </c>
      <c r="H368" s="85">
        <v>70619.38</v>
      </c>
      <c r="I368" s="85" t="s">
        <v>630</v>
      </c>
      <c r="J368" s="128">
        <v>289326</v>
      </c>
      <c r="K368" s="128">
        <f t="shared" si="5"/>
        <v>15334278</v>
      </c>
      <c r="L368" s="125" t="s">
        <v>976</v>
      </c>
      <c r="M368" s="85" t="s">
        <v>47</v>
      </c>
      <c r="N368" s="85" t="s">
        <v>1491</v>
      </c>
    </row>
    <row r="369" spans="2:14" ht="15.75" thickBot="1" x14ac:dyDescent="0.3">
      <c r="B369" s="82" t="s">
        <v>545</v>
      </c>
      <c r="C369" s="83" t="s">
        <v>629</v>
      </c>
      <c r="D369" s="124" t="s">
        <v>620</v>
      </c>
      <c r="E369" s="130">
        <v>2017</v>
      </c>
      <c r="F369" s="125" t="s">
        <v>733</v>
      </c>
      <c r="G369" s="125">
        <v>53</v>
      </c>
      <c r="H369" s="85">
        <v>61384.38</v>
      </c>
      <c r="I369" s="85" t="s">
        <v>630</v>
      </c>
      <c r="J369" s="128">
        <v>244318</v>
      </c>
      <c r="K369" s="128">
        <f t="shared" si="5"/>
        <v>12948854</v>
      </c>
      <c r="L369" s="125" t="s">
        <v>977</v>
      </c>
      <c r="M369" s="85" t="s">
        <v>47</v>
      </c>
      <c r="N369" s="85" t="s">
        <v>1491</v>
      </c>
    </row>
    <row r="370" spans="2:14" ht="15.75" thickBot="1" x14ac:dyDescent="0.3">
      <c r="B370" s="82" t="s">
        <v>545</v>
      </c>
      <c r="C370" s="83" t="s">
        <v>629</v>
      </c>
      <c r="D370" s="124" t="s">
        <v>620</v>
      </c>
      <c r="E370" s="130">
        <v>2017</v>
      </c>
      <c r="F370" s="125" t="s">
        <v>733</v>
      </c>
      <c r="G370" s="125">
        <v>53</v>
      </c>
      <c r="H370" s="85">
        <v>67336.189999999988</v>
      </c>
      <c r="I370" s="85" t="s">
        <v>630</v>
      </c>
      <c r="J370" s="128">
        <v>289003</v>
      </c>
      <c r="K370" s="128">
        <f t="shared" si="5"/>
        <v>15317159</v>
      </c>
      <c r="L370" s="125" t="s">
        <v>978</v>
      </c>
      <c r="M370" s="85" t="s">
        <v>47</v>
      </c>
      <c r="N370" s="85" t="s">
        <v>1491</v>
      </c>
    </row>
    <row r="371" spans="2:14" ht="15.75" thickBot="1" x14ac:dyDescent="0.3">
      <c r="B371" s="82" t="s">
        <v>545</v>
      </c>
      <c r="C371" s="83" t="s">
        <v>629</v>
      </c>
      <c r="D371" s="124" t="s">
        <v>620</v>
      </c>
      <c r="E371" s="130">
        <v>2017</v>
      </c>
      <c r="F371" s="125" t="s">
        <v>733</v>
      </c>
      <c r="G371" s="125">
        <v>53</v>
      </c>
      <c r="H371" s="85">
        <v>66525.02</v>
      </c>
      <c r="I371" s="85" t="s">
        <v>630</v>
      </c>
      <c r="J371" s="128">
        <v>283440</v>
      </c>
      <c r="K371" s="128">
        <f t="shared" si="5"/>
        <v>15022320</v>
      </c>
      <c r="L371" s="125" t="s">
        <v>979</v>
      </c>
      <c r="M371" s="85" t="s">
        <v>47</v>
      </c>
      <c r="N371" s="85" t="s">
        <v>1491</v>
      </c>
    </row>
    <row r="372" spans="2:14" ht="15.75" thickBot="1" x14ac:dyDescent="0.3">
      <c r="B372" s="82" t="s">
        <v>545</v>
      </c>
      <c r="C372" s="83" t="s">
        <v>629</v>
      </c>
      <c r="D372" s="124" t="s">
        <v>620</v>
      </c>
      <c r="E372" s="130">
        <v>2018</v>
      </c>
      <c r="F372" s="125" t="s">
        <v>733</v>
      </c>
      <c r="G372" s="125">
        <v>53</v>
      </c>
      <c r="H372" s="85">
        <v>66300.69</v>
      </c>
      <c r="I372" s="85" t="s">
        <v>630</v>
      </c>
      <c r="J372" s="128">
        <v>283859</v>
      </c>
      <c r="K372" s="128">
        <f t="shared" si="5"/>
        <v>15044527</v>
      </c>
      <c r="L372" s="125" t="s">
        <v>980</v>
      </c>
      <c r="M372" s="85" t="s">
        <v>47</v>
      </c>
      <c r="N372" s="85" t="s">
        <v>1491</v>
      </c>
    </row>
    <row r="373" spans="2:14" ht="15.75" thickBot="1" x14ac:dyDescent="0.3">
      <c r="B373" s="82" t="s">
        <v>545</v>
      </c>
      <c r="C373" s="83" t="s">
        <v>629</v>
      </c>
      <c r="D373" s="124" t="s">
        <v>620</v>
      </c>
      <c r="E373" s="130">
        <v>2018</v>
      </c>
      <c r="F373" s="125" t="s">
        <v>733</v>
      </c>
      <c r="G373" s="125">
        <v>53</v>
      </c>
      <c r="H373" s="85">
        <v>71297.759999999995</v>
      </c>
      <c r="I373" s="85" t="s">
        <v>630</v>
      </c>
      <c r="J373" s="128">
        <v>285753</v>
      </c>
      <c r="K373" s="128">
        <f t="shared" si="5"/>
        <v>15144909</v>
      </c>
      <c r="L373" s="125" t="s">
        <v>981</v>
      </c>
      <c r="M373" s="85" t="s">
        <v>47</v>
      </c>
      <c r="N373" s="85" t="s">
        <v>1491</v>
      </c>
    </row>
    <row r="374" spans="2:14" ht="15.75" thickBot="1" x14ac:dyDescent="0.3">
      <c r="B374" s="82" t="s">
        <v>545</v>
      </c>
      <c r="C374" s="83" t="s">
        <v>629</v>
      </c>
      <c r="D374" s="124" t="s">
        <v>620</v>
      </c>
      <c r="E374" s="130">
        <v>2018</v>
      </c>
      <c r="F374" s="125" t="s">
        <v>733</v>
      </c>
      <c r="G374" s="125">
        <v>53</v>
      </c>
      <c r="H374" s="85">
        <v>61019.81</v>
      </c>
      <c r="I374" s="85" t="s">
        <v>630</v>
      </c>
      <c r="J374" s="128">
        <v>249349</v>
      </c>
      <c r="K374" s="128">
        <f t="shared" si="5"/>
        <v>13215497</v>
      </c>
      <c r="L374" s="125" t="s">
        <v>982</v>
      </c>
      <c r="M374" s="85" t="s">
        <v>47</v>
      </c>
      <c r="N374" s="85" t="s">
        <v>1491</v>
      </c>
    </row>
    <row r="375" spans="2:14" ht="15.75" thickBot="1" x14ac:dyDescent="0.3">
      <c r="B375" s="82" t="s">
        <v>545</v>
      </c>
      <c r="C375" s="83" t="s">
        <v>629</v>
      </c>
      <c r="D375" s="124" t="s">
        <v>620</v>
      </c>
      <c r="E375" s="130">
        <v>2018</v>
      </c>
      <c r="F375" s="125" t="s">
        <v>733</v>
      </c>
      <c r="G375" s="125">
        <v>53</v>
      </c>
      <c r="H375" s="85">
        <v>1051.43</v>
      </c>
      <c r="I375" s="85" t="s">
        <v>630</v>
      </c>
      <c r="J375" s="128">
        <v>4487</v>
      </c>
      <c r="K375" s="128">
        <f t="shared" si="5"/>
        <v>237811</v>
      </c>
      <c r="L375" s="125" t="s">
        <v>983</v>
      </c>
      <c r="M375" s="85" t="s">
        <v>47</v>
      </c>
      <c r="N375" s="85" t="s">
        <v>1491</v>
      </c>
    </row>
    <row r="376" spans="2:14" ht="15.75" thickBot="1" x14ac:dyDescent="0.3">
      <c r="B376" s="82" t="s">
        <v>545</v>
      </c>
      <c r="C376" s="83" t="s">
        <v>629</v>
      </c>
      <c r="D376" s="124" t="s">
        <v>620</v>
      </c>
      <c r="E376" s="130">
        <v>2018</v>
      </c>
      <c r="F376" s="125" t="s">
        <v>733</v>
      </c>
      <c r="G376" s="125">
        <v>53</v>
      </c>
      <c r="H376" s="85">
        <v>2170.09</v>
      </c>
      <c r="I376" s="85" t="s">
        <v>630</v>
      </c>
      <c r="J376" s="128">
        <v>9016</v>
      </c>
      <c r="K376" s="128">
        <f t="shared" si="5"/>
        <v>477848</v>
      </c>
      <c r="L376" s="125" t="s">
        <v>984</v>
      </c>
      <c r="M376" s="85" t="s">
        <v>47</v>
      </c>
      <c r="N376" s="85" t="s">
        <v>1491</v>
      </c>
    </row>
    <row r="377" spans="2:14" ht="15.75" thickBot="1" x14ac:dyDescent="0.3">
      <c r="B377" s="82" t="s">
        <v>545</v>
      </c>
      <c r="C377" s="83" t="s">
        <v>629</v>
      </c>
      <c r="D377" s="124" t="s">
        <v>620</v>
      </c>
      <c r="E377" s="130">
        <v>2019</v>
      </c>
      <c r="F377" s="125" t="s">
        <v>733</v>
      </c>
      <c r="G377" s="125">
        <v>53</v>
      </c>
      <c r="H377" s="85">
        <v>651.51</v>
      </c>
      <c r="I377" s="85" t="s">
        <v>630</v>
      </c>
      <c r="J377" s="128">
        <v>2769</v>
      </c>
      <c r="K377" s="128">
        <f t="shared" si="5"/>
        <v>146757</v>
      </c>
      <c r="L377" s="125" t="s">
        <v>985</v>
      </c>
      <c r="M377" s="85" t="s">
        <v>47</v>
      </c>
      <c r="N377" s="85" t="s">
        <v>1491</v>
      </c>
    </row>
    <row r="378" spans="2:14" ht="15.75" thickBot="1" x14ac:dyDescent="0.3">
      <c r="B378" s="82" t="s">
        <v>545</v>
      </c>
      <c r="C378" s="83" t="s">
        <v>629</v>
      </c>
      <c r="D378" s="124" t="s">
        <v>620</v>
      </c>
      <c r="E378" s="130">
        <v>2019</v>
      </c>
      <c r="F378" s="125" t="s">
        <v>733</v>
      </c>
      <c r="G378" s="125">
        <v>53</v>
      </c>
      <c r="H378" s="85">
        <v>973.94</v>
      </c>
      <c r="I378" s="85" t="s">
        <v>630</v>
      </c>
      <c r="J378" s="128">
        <v>3882</v>
      </c>
      <c r="K378" s="128">
        <f t="shared" si="5"/>
        <v>205746</v>
      </c>
      <c r="L378" s="125" t="s">
        <v>986</v>
      </c>
      <c r="M378" s="85" t="s">
        <v>47</v>
      </c>
      <c r="N378" s="85" t="s">
        <v>1491</v>
      </c>
    </row>
    <row r="379" spans="2:14" ht="15.75" thickBot="1" x14ac:dyDescent="0.3">
      <c r="B379" s="82" t="s">
        <v>545</v>
      </c>
      <c r="C379" s="83" t="s">
        <v>629</v>
      </c>
      <c r="D379" s="124" t="s">
        <v>620</v>
      </c>
      <c r="E379" s="130">
        <v>2019</v>
      </c>
      <c r="F379" s="125" t="s">
        <v>733</v>
      </c>
      <c r="G379" s="125">
        <v>53</v>
      </c>
      <c r="H379" s="85">
        <v>1500.87</v>
      </c>
      <c r="I379" s="85" t="s">
        <v>630</v>
      </c>
      <c r="J379" s="128">
        <v>6827</v>
      </c>
      <c r="K379" s="128">
        <f t="shared" si="5"/>
        <v>361831</v>
      </c>
      <c r="L379" s="125" t="s">
        <v>987</v>
      </c>
      <c r="M379" s="85" t="s">
        <v>47</v>
      </c>
      <c r="N379" s="85" t="s">
        <v>1491</v>
      </c>
    </row>
    <row r="380" spans="2:14" ht="15.75" thickBot="1" x14ac:dyDescent="0.3">
      <c r="B380" s="82" t="s">
        <v>545</v>
      </c>
      <c r="C380" s="83" t="s">
        <v>629</v>
      </c>
      <c r="D380" s="124" t="s">
        <v>620</v>
      </c>
      <c r="E380" s="130">
        <v>2019</v>
      </c>
      <c r="F380" s="125" t="s">
        <v>733</v>
      </c>
      <c r="G380" s="125">
        <v>53</v>
      </c>
      <c r="H380" s="85">
        <v>1065.32</v>
      </c>
      <c r="I380" s="85" t="s">
        <v>630</v>
      </c>
      <c r="J380" s="128">
        <v>4475</v>
      </c>
      <c r="K380" s="128">
        <f t="shared" si="5"/>
        <v>237175</v>
      </c>
      <c r="L380" s="125" t="s">
        <v>988</v>
      </c>
      <c r="M380" s="85" t="s">
        <v>47</v>
      </c>
      <c r="N380" s="85" t="s">
        <v>1491</v>
      </c>
    </row>
    <row r="381" spans="2:14" ht="15.75" thickBot="1" x14ac:dyDescent="0.3">
      <c r="B381" s="82" t="s">
        <v>545</v>
      </c>
      <c r="C381" s="83" t="s">
        <v>629</v>
      </c>
      <c r="D381" s="124" t="s">
        <v>620</v>
      </c>
      <c r="E381" s="130">
        <v>2019</v>
      </c>
      <c r="F381" s="125" t="s">
        <v>733</v>
      </c>
      <c r="G381" s="125">
        <v>53</v>
      </c>
      <c r="H381" s="85">
        <v>1763.31</v>
      </c>
      <c r="I381" s="85" t="s">
        <v>630</v>
      </c>
      <c r="J381" s="128">
        <v>7238</v>
      </c>
      <c r="K381" s="128">
        <f t="shared" si="5"/>
        <v>383614</v>
      </c>
      <c r="L381" s="125" t="s">
        <v>989</v>
      </c>
      <c r="M381" s="85" t="s">
        <v>47</v>
      </c>
      <c r="N381" s="85" t="s">
        <v>1491</v>
      </c>
    </row>
    <row r="382" spans="2:14" ht="15.75" thickBot="1" x14ac:dyDescent="0.3">
      <c r="B382" s="82" t="s">
        <v>1072</v>
      </c>
      <c r="C382" s="83" t="s">
        <v>629</v>
      </c>
      <c r="D382" s="124" t="s">
        <v>620</v>
      </c>
      <c r="E382" s="130">
        <v>2015</v>
      </c>
      <c r="F382" s="125" t="s">
        <v>733</v>
      </c>
      <c r="G382" s="125">
        <v>19</v>
      </c>
      <c r="H382" s="85">
        <v>4139.5500000000011</v>
      </c>
      <c r="I382" s="85" t="s">
        <v>630</v>
      </c>
      <c r="J382" s="128">
        <v>25658</v>
      </c>
      <c r="K382" s="128">
        <f t="shared" si="5"/>
        <v>487502</v>
      </c>
      <c r="L382" s="125" t="s">
        <v>990</v>
      </c>
      <c r="M382" s="85" t="s">
        <v>47</v>
      </c>
      <c r="N382" s="85" t="s">
        <v>1491</v>
      </c>
    </row>
    <row r="383" spans="2:14" ht="15.75" thickBot="1" x14ac:dyDescent="0.3">
      <c r="B383" s="82" t="s">
        <v>1072</v>
      </c>
      <c r="C383" s="83" t="s">
        <v>629</v>
      </c>
      <c r="D383" s="124" t="s">
        <v>620</v>
      </c>
      <c r="E383" s="130">
        <v>2015</v>
      </c>
      <c r="F383" s="125" t="s">
        <v>733</v>
      </c>
      <c r="G383" s="125">
        <v>16</v>
      </c>
      <c r="H383" s="85">
        <v>544.30999999999995</v>
      </c>
      <c r="I383" s="85" t="s">
        <v>630</v>
      </c>
      <c r="J383" s="128">
        <v>3858</v>
      </c>
      <c r="K383" s="128">
        <f t="shared" si="5"/>
        <v>61728</v>
      </c>
      <c r="L383" s="125" t="s">
        <v>991</v>
      </c>
      <c r="M383" s="85" t="s">
        <v>47</v>
      </c>
      <c r="N383" s="85" t="s">
        <v>1491</v>
      </c>
    </row>
    <row r="384" spans="2:14" ht="15.75" thickBot="1" x14ac:dyDescent="0.3">
      <c r="B384" s="82" t="s">
        <v>1072</v>
      </c>
      <c r="C384" s="83" t="s">
        <v>629</v>
      </c>
      <c r="D384" s="124" t="s">
        <v>620</v>
      </c>
      <c r="E384" s="130">
        <v>2015</v>
      </c>
      <c r="F384" s="125" t="s">
        <v>733</v>
      </c>
      <c r="G384" s="125">
        <v>16</v>
      </c>
      <c r="H384" s="85">
        <v>752.56999999999994</v>
      </c>
      <c r="I384" s="85" t="s">
        <v>630</v>
      </c>
      <c r="J384" s="128">
        <v>5667</v>
      </c>
      <c r="K384" s="128">
        <f t="shared" si="5"/>
        <v>90672</v>
      </c>
      <c r="L384" s="125" t="s">
        <v>992</v>
      </c>
      <c r="M384" s="85" t="s">
        <v>47</v>
      </c>
      <c r="N384" s="85" t="s">
        <v>1491</v>
      </c>
    </row>
    <row r="385" spans="2:14" ht="15.75" thickBot="1" x14ac:dyDescent="0.3">
      <c r="B385" s="82" t="s">
        <v>1072</v>
      </c>
      <c r="C385" s="83" t="s">
        <v>629</v>
      </c>
      <c r="D385" s="124" t="s">
        <v>620</v>
      </c>
      <c r="E385" s="130">
        <v>2016</v>
      </c>
      <c r="F385" s="125" t="s">
        <v>733</v>
      </c>
      <c r="G385" s="125">
        <v>19</v>
      </c>
      <c r="H385" s="85">
        <v>979.27</v>
      </c>
      <c r="I385" s="85" t="s">
        <v>630</v>
      </c>
      <c r="J385" s="128">
        <v>5802</v>
      </c>
      <c r="K385" s="128">
        <f t="shared" si="5"/>
        <v>110238</v>
      </c>
      <c r="L385" s="125" t="s">
        <v>993</v>
      </c>
      <c r="M385" s="85" t="s">
        <v>47</v>
      </c>
      <c r="N385" s="85" t="s">
        <v>1491</v>
      </c>
    </row>
    <row r="386" spans="2:14" ht="15.75" thickBot="1" x14ac:dyDescent="0.3">
      <c r="B386" s="82" t="s">
        <v>1072</v>
      </c>
      <c r="C386" s="83" t="s">
        <v>629</v>
      </c>
      <c r="D386" s="124" t="s">
        <v>620</v>
      </c>
      <c r="E386" s="130">
        <v>2017</v>
      </c>
      <c r="F386" s="125" t="s">
        <v>733</v>
      </c>
      <c r="G386" s="125">
        <v>19</v>
      </c>
      <c r="H386" s="85">
        <v>4376.3900000000003</v>
      </c>
      <c r="I386" s="85" t="s">
        <v>630</v>
      </c>
      <c r="J386" s="128">
        <v>28795</v>
      </c>
      <c r="K386" s="128">
        <f t="shared" si="5"/>
        <v>547105</v>
      </c>
      <c r="L386" s="125" t="s">
        <v>994</v>
      </c>
      <c r="M386" s="85" t="s">
        <v>47</v>
      </c>
      <c r="N386" s="85" t="s">
        <v>1491</v>
      </c>
    </row>
    <row r="387" spans="2:14" ht="15.75" thickBot="1" x14ac:dyDescent="0.3">
      <c r="B387" s="82" t="s">
        <v>1072</v>
      </c>
      <c r="C387" s="83" t="s">
        <v>629</v>
      </c>
      <c r="D387" s="124" t="s">
        <v>620</v>
      </c>
      <c r="E387" s="130">
        <v>2019</v>
      </c>
      <c r="F387" s="125" t="s">
        <v>733</v>
      </c>
      <c r="G387" s="125">
        <v>39</v>
      </c>
      <c r="H387" s="85">
        <v>7226.95</v>
      </c>
      <c r="I387" s="85" t="s">
        <v>630</v>
      </c>
      <c r="J387" s="128">
        <v>25225</v>
      </c>
      <c r="K387" s="128">
        <f t="shared" si="5"/>
        <v>983775</v>
      </c>
      <c r="L387" s="125" t="s">
        <v>995</v>
      </c>
      <c r="M387" s="85" t="s">
        <v>47</v>
      </c>
      <c r="N387" s="85" t="s">
        <v>1491</v>
      </c>
    </row>
    <row r="388" spans="2:14" ht="15.75" thickBot="1" x14ac:dyDescent="0.3">
      <c r="B388" s="82" t="s">
        <v>1072</v>
      </c>
      <c r="C388" s="83" t="s">
        <v>629</v>
      </c>
      <c r="D388" s="124" t="s">
        <v>620</v>
      </c>
      <c r="E388" s="130">
        <v>2019</v>
      </c>
      <c r="F388" s="125" t="s">
        <v>733</v>
      </c>
      <c r="G388" s="125">
        <v>39</v>
      </c>
      <c r="H388" s="85">
        <v>7658.3600000000006</v>
      </c>
      <c r="I388" s="85" t="s">
        <v>630</v>
      </c>
      <c r="J388" s="128">
        <v>26936</v>
      </c>
      <c r="K388" s="128">
        <f t="shared" si="5"/>
        <v>1050504</v>
      </c>
      <c r="L388" s="125" t="s">
        <v>996</v>
      </c>
      <c r="M388" s="85" t="s">
        <v>47</v>
      </c>
      <c r="N388" s="85" t="s">
        <v>1491</v>
      </c>
    </row>
    <row r="389" spans="2:14" ht="15.75" thickBot="1" x14ac:dyDescent="0.3">
      <c r="B389" s="82" t="s">
        <v>1072</v>
      </c>
      <c r="C389" s="83" t="s">
        <v>629</v>
      </c>
      <c r="D389" s="124" t="s">
        <v>620</v>
      </c>
      <c r="E389" s="130">
        <v>2019</v>
      </c>
      <c r="F389" s="125" t="s">
        <v>733</v>
      </c>
      <c r="G389" s="125">
        <v>39</v>
      </c>
      <c r="H389" s="85">
        <v>8309.58</v>
      </c>
      <c r="I389" s="85" t="s">
        <v>630</v>
      </c>
      <c r="J389" s="128">
        <v>29782</v>
      </c>
      <c r="K389" s="128">
        <f t="shared" si="5"/>
        <v>1161498</v>
      </c>
      <c r="L389" s="125" t="s">
        <v>997</v>
      </c>
      <c r="M389" s="85" t="s">
        <v>47</v>
      </c>
      <c r="N389" s="85" t="s">
        <v>1491</v>
      </c>
    </row>
    <row r="390" spans="2:14" ht="15.75" thickBot="1" x14ac:dyDescent="0.3">
      <c r="B390" s="82" t="s">
        <v>1072</v>
      </c>
      <c r="C390" s="83" t="s">
        <v>629</v>
      </c>
      <c r="D390" s="124" t="s">
        <v>620</v>
      </c>
      <c r="E390" s="130">
        <v>2011</v>
      </c>
      <c r="F390" s="125" t="s">
        <v>734</v>
      </c>
      <c r="G390" s="125">
        <v>34</v>
      </c>
      <c r="H390" s="85">
        <v>246.87</v>
      </c>
      <c r="I390" s="85" t="s">
        <v>630</v>
      </c>
      <c r="J390" s="128">
        <v>726</v>
      </c>
      <c r="K390" s="128">
        <f t="shared" si="5"/>
        <v>24684</v>
      </c>
      <c r="L390" s="125" t="s">
        <v>998</v>
      </c>
      <c r="M390" s="85" t="s">
        <v>47</v>
      </c>
      <c r="N390" s="85" t="s">
        <v>1491</v>
      </c>
    </row>
    <row r="391" spans="2:14" ht="15.75" thickBot="1" x14ac:dyDescent="0.3">
      <c r="B391" s="82" t="s">
        <v>1072</v>
      </c>
      <c r="C391" s="83" t="s">
        <v>629</v>
      </c>
      <c r="D391" s="124" t="s">
        <v>620</v>
      </c>
      <c r="E391" s="130">
        <v>2012</v>
      </c>
      <c r="F391" s="125" t="s">
        <v>734</v>
      </c>
      <c r="G391" s="125">
        <v>34</v>
      </c>
      <c r="H391" s="85">
        <v>7925.7699999999995</v>
      </c>
      <c r="I391" s="85" t="s">
        <v>630</v>
      </c>
      <c r="J391" s="128">
        <v>25047</v>
      </c>
      <c r="K391" s="128">
        <f t="shared" si="5"/>
        <v>851598</v>
      </c>
      <c r="L391" s="125" t="s">
        <v>999</v>
      </c>
      <c r="M391" s="85" t="s">
        <v>47</v>
      </c>
      <c r="N391" s="85" t="s">
        <v>1491</v>
      </c>
    </row>
    <row r="392" spans="2:14" ht="15.75" thickBot="1" x14ac:dyDescent="0.3">
      <c r="B392" s="82" t="s">
        <v>1072</v>
      </c>
      <c r="C392" s="83" t="s">
        <v>629</v>
      </c>
      <c r="D392" s="124" t="s">
        <v>620</v>
      </c>
      <c r="E392" s="130">
        <v>2016</v>
      </c>
      <c r="F392" s="125" t="s">
        <v>733</v>
      </c>
      <c r="G392" s="125">
        <v>53</v>
      </c>
      <c r="H392" s="85">
        <v>7178.1799999999994</v>
      </c>
      <c r="I392" s="85" t="s">
        <v>630</v>
      </c>
      <c r="J392" s="128">
        <v>26925</v>
      </c>
      <c r="K392" s="128">
        <f t="shared" si="5"/>
        <v>1427025</v>
      </c>
      <c r="L392" s="125" t="s">
        <v>1000</v>
      </c>
      <c r="M392" s="85" t="s">
        <v>47</v>
      </c>
      <c r="N392" s="85" t="s">
        <v>1491</v>
      </c>
    </row>
    <row r="393" spans="2:14" ht="15.75" thickBot="1" x14ac:dyDescent="0.3">
      <c r="B393" s="82" t="s">
        <v>1072</v>
      </c>
      <c r="C393" s="83" t="s">
        <v>629</v>
      </c>
      <c r="D393" s="124" t="s">
        <v>620</v>
      </c>
      <c r="E393" s="130">
        <v>2016</v>
      </c>
      <c r="F393" s="125" t="s">
        <v>733</v>
      </c>
      <c r="G393" s="125">
        <v>59</v>
      </c>
      <c r="H393" s="85">
        <v>18486.580000000002</v>
      </c>
      <c r="I393" s="85" t="s">
        <v>630</v>
      </c>
      <c r="J393" s="128">
        <v>63081</v>
      </c>
      <c r="K393" s="128">
        <f t="shared" si="5"/>
        <v>3721779</v>
      </c>
      <c r="L393" s="125" t="s">
        <v>1001</v>
      </c>
      <c r="M393" s="85" t="s">
        <v>47</v>
      </c>
      <c r="N393" s="85" t="s">
        <v>1491</v>
      </c>
    </row>
    <row r="394" spans="2:14" ht="15.75" thickBot="1" x14ac:dyDescent="0.3">
      <c r="B394" s="82" t="s">
        <v>1072</v>
      </c>
      <c r="C394" s="83" t="s">
        <v>629</v>
      </c>
      <c r="D394" s="124" t="s">
        <v>620</v>
      </c>
      <c r="E394" s="130">
        <v>2016</v>
      </c>
      <c r="F394" s="125" t="s">
        <v>733</v>
      </c>
      <c r="G394" s="125">
        <v>59</v>
      </c>
      <c r="H394" s="85">
        <v>10952.270000000002</v>
      </c>
      <c r="I394" s="85" t="s">
        <v>630</v>
      </c>
      <c r="J394" s="128">
        <v>34911</v>
      </c>
      <c r="K394" s="128">
        <f t="shared" si="5"/>
        <v>2059749</v>
      </c>
      <c r="L394" s="125" t="s">
        <v>1002</v>
      </c>
      <c r="M394" s="85" t="s">
        <v>47</v>
      </c>
      <c r="N394" s="85" t="s">
        <v>1491</v>
      </c>
    </row>
    <row r="395" spans="2:14" ht="15.75" thickBot="1" x14ac:dyDescent="0.3">
      <c r="B395" s="82" t="s">
        <v>1072</v>
      </c>
      <c r="C395" s="83" t="s">
        <v>629</v>
      </c>
      <c r="D395" s="124" t="s">
        <v>620</v>
      </c>
      <c r="E395" s="130">
        <v>2016</v>
      </c>
      <c r="F395" s="125" t="s">
        <v>733</v>
      </c>
      <c r="G395" s="125">
        <v>59</v>
      </c>
      <c r="H395" s="85">
        <v>10485.450000000001</v>
      </c>
      <c r="I395" s="85" t="s">
        <v>630</v>
      </c>
      <c r="J395" s="128">
        <v>32927</v>
      </c>
      <c r="K395" s="128">
        <f t="shared" si="5"/>
        <v>1942693</v>
      </c>
      <c r="L395" s="125" t="s">
        <v>1003</v>
      </c>
      <c r="M395" s="85" t="s">
        <v>47</v>
      </c>
      <c r="N395" s="85" t="s">
        <v>1491</v>
      </c>
    </row>
    <row r="396" spans="2:14" ht="15.75" thickBot="1" x14ac:dyDescent="0.3">
      <c r="B396" s="82" t="s">
        <v>1072</v>
      </c>
      <c r="C396" s="83" t="s">
        <v>629</v>
      </c>
      <c r="D396" s="124" t="s">
        <v>620</v>
      </c>
      <c r="E396" s="130">
        <v>2016</v>
      </c>
      <c r="F396" s="125" t="s">
        <v>733</v>
      </c>
      <c r="G396" s="125">
        <v>59</v>
      </c>
      <c r="H396" s="85">
        <v>15267.969999999998</v>
      </c>
      <c r="I396" s="85" t="s">
        <v>630</v>
      </c>
      <c r="J396" s="128">
        <v>49610</v>
      </c>
      <c r="K396" s="128">
        <f t="shared" si="5"/>
        <v>2926990</v>
      </c>
      <c r="L396" s="125" t="s">
        <v>1004</v>
      </c>
      <c r="M396" s="85" t="s">
        <v>47</v>
      </c>
      <c r="N396" s="85" t="s">
        <v>1491</v>
      </c>
    </row>
    <row r="397" spans="2:14" ht="15.75" thickBot="1" x14ac:dyDescent="0.3">
      <c r="B397" s="82" t="s">
        <v>1072</v>
      </c>
      <c r="C397" s="83" t="s">
        <v>629</v>
      </c>
      <c r="D397" s="124" t="s">
        <v>620</v>
      </c>
      <c r="E397" s="130">
        <v>2016</v>
      </c>
      <c r="F397" s="125" t="s">
        <v>733</v>
      </c>
      <c r="G397" s="125">
        <v>59</v>
      </c>
      <c r="H397" s="85">
        <v>11377.73</v>
      </c>
      <c r="I397" s="85" t="s">
        <v>630</v>
      </c>
      <c r="J397" s="128">
        <v>37013</v>
      </c>
      <c r="K397" s="128">
        <f t="shared" si="5"/>
        <v>2183767</v>
      </c>
      <c r="L397" s="125" t="s">
        <v>1005</v>
      </c>
      <c r="M397" s="85" t="s">
        <v>47</v>
      </c>
      <c r="N397" s="85" t="s">
        <v>1491</v>
      </c>
    </row>
    <row r="398" spans="2:14" ht="15.75" thickBot="1" x14ac:dyDescent="0.3">
      <c r="B398" s="82" t="s">
        <v>1072</v>
      </c>
      <c r="C398" s="83" t="s">
        <v>629</v>
      </c>
      <c r="D398" s="124" t="s">
        <v>620</v>
      </c>
      <c r="E398" s="130">
        <v>2016</v>
      </c>
      <c r="F398" s="125" t="s">
        <v>733</v>
      </c>
      <c r="G398" s="125">
        <v>59</v>
      </c>
      <c r="H398" s="85">
        <v>4297.21</v>
      </c>
      <c r="I398" s="85" t="s">
        <v>630</v>
      </c>
      <c r="J398" s="128">
        <v>13997</v>
      </c>
      <c r="K398" s="128">
        <f t="shared" si="5"/>
        <v>825823</v>
      </c>
      <c r="L398" s="125" t="s">
        <v>1006</v>
      </c>
      <c r="M398" s="85" t="s">
        <v>47</v>
      </c>
      <c r="N398" s="85" t="s">
        <v>1491</v>
      </c>
    </row>
    <row r="399" spans="2:14" ht="15.75" thickBot="1" x14ac:dyDescent="0.3">
      <c r="B399" s="82" t="s">
        <v>1072</v>
      </c>
      <c r="C399" s="83" t="s">
        <v>629</v>
      </c>
      <c r="D399" s="124" t="s">
        <v>620</v>
      </c>
      <c r="E399" s="130">
        <v>2016</v>
      </c>
      <c r="F399" s="125" t="s">
        <v>733</v>
      </c>
      <c r="G399" s="125">
        <v>59</v>
      </c>
      <c r="H399" s="85">
        <v>6263.82</v>
      </c>
      <c r="I399" s="85" t="s">
        <v>630</v>
      </c>
      <c r="J399" s="128">
        <v>21077</v>
      </c>
      <c r="K399" s="128">
        <f t="shared" si="5"/>
        <v>1243543</v>
      </c>
      <c r="L399" s="125" t="s">
        <v>1007</v>
      </c>
      <c r="M399" s="85" t="s">
        <v>47</v>
      </c>
      <c r="N399" s="85" t="s">
        <v>1491</v>
      </c>
    </row>
    <row r="400" spans="2:14" ht="15.75" thickBot="1" x14ac:dyDescent="0.3">
      <c r="B400" s="82" t="s">
        <v>1072</v>
      </c>
      <c r="C400" s="83" t="s">
        <v>629</v>
      </c>
      <c r="D400" s="124" t="s">
        <v>620</v>
      </c>
      <c r="E400" s="130">
        <v>2016</v>
      </c>
      <c r="F400" s="125" t="s">
        <v>733</v>
      </c>
      <c r="G400" s="125">
        <v>59</v>
      </c>
      <c r="H400" s="85">
        <v>3168.91</v>
      </c>
      <c r="I400" s="85" t="s">
        <v>630</v>
      </c>
      <c r="J400" s="128">
        <v>11035</v>
      </c>
      <c r="K400" s="128">
        <f t="shared" si="5"/>
        <v>651065</v>
      </c>
      <c r="L400" s="125" t="s">
        <v>1008</v>
      </c>
      <c r="M400" s="85" t="s">
        <v>47</v>
      </c>
      <c r="N400" s="85" t="s">
        <v>1491</v>
      </c>
    </row>
    <row r="401" spans="2:14" ht="15.75" thickBot="1" x14ac:dyDescent="0.3">
      <c r="B401" s="82" t="s">
        <v>1072</v>
      </c>
      <c r="C401" s="83" t="s">
        <v>629</v>
      </c>
      <c r="D401" s="124" t="s">
        <v>620</v>
      </c>
      <c r="E401" s="130">
        <v>2016</v>
      </c>
      <c r="F401" s="125" t="s">
        <v>733</v>
      </c>
      <c r="G401" s="125">
        <v>53</v>
      </c>
      <c r="H401" s="85">
        <v>6255.06</v>
      </c>
      <c r="I401" s="85" t="s">
        <v>630</v>
      </c>
      <c r="J401" s="128">
        <v>21385</v>
      </c>
      <c r="K401" s="128">
        <f t="shared" si="5"/>
        <v>1133405</v>
      </c>
      <c r="L401" s="125" t="s">
        <v>1009</v>
      </c>
      <c r="M401" s="85" t="s">
        <v>47</v>
      </c>
      <c r="N401" s="85" t="s">
        <v>1491</v>
      </c>
    </row>
    <row r="402" spans="2:14" ht="15.75" thickBot="1" x14ac:dyDescent="0.3">
      <c r="B402" s="82" t="s">
        <v>1072</v>
      </c>
      <c r="C402" s="83" t="s">
        <v>629</v>
      </c>
      <c r="D402" s="124" t="s">
        <v>620</v>
      </c>
      <c r="E402" s="130">
        <v>2016</v>
      </c>
      <c r="F402" s="125" t="s">
        <v>733</v>
      </c>
      <c r="G402" s="125">
        <v>53</v>
      </c>
      <c r="H402" s="85">
        <v>8209.42</v>
      </c>
      <c r="I402" s="85" t="s">
        <v>630</v>
      </c>
      <c r="J402" s="128">
        <v>29000</v>
      </c>
      <c r="K402" s="128">
        <f t="shared" si="5"/>
        <v>1537000</v>
      </c>
      <c r="L402" s="125" t="s">
        <v>1010</v>
      </c>
      <c r="M402" s="85" t="s">
        <v>47</v>
      </c>
      <c r="N402" s="85" t="s">
        <v>1491</v>
      </c>
    </row>
    <row r="403" spans="2:14" ht="15.75" thickBot="1" x14ac:dyDescent="0.3">
      <c r="B403" s="82" t="s">
        <v>1072</v>
      </c>
      <c r="C403" s="83" t="s">
        <v>629</v>
      </c>
      <c r="D403" s="124" t="s">
        <v>620</v>
      </c>
      <c r="E403" s="130">
        <v>2016</v>
      </c>
      <c r="F403" s="125" t="s">
        <v>733</v>
      </c>
      <c r="G403" s="125">
        <v>53</v>
      </c>
      <c r="H403" s="85">
        <v>272.05</v>
      </c>
      <c r="I403" s="85" t="s">
        <v>630</v>
      </c>
      <c r="J403" s="128">
        <v>824</v>
      </c>
      <c r="K403" s="128">
        <f t="shared" si="5"/>
        <v>43672</v>
      </c>
      <c r="L403" s="125" t="s">
        <v>1011</v>
      </c>
      <c r="M403" s="85" t="s">
        <v>47</v>
      </c>
      <c r="N403" s="85" t="s">
        <v>1491</v>
      </c>
    </row>
    <row r="404" spans="2:14" ht="15.75" thickBot="1" x14ac:dyDescent="0.3">
      <c r="B404" s="82" t="s">
        <v>1072</v>
      </c>
      <c r="C404" s="83" t="s">
        <v>629</v>
      </c>
      <c r="D404" s="124" t="s">
        <v>620</v>
      </c>
      <c r="E404" s="130">
        <v>2016</v>
      </c>
      <c r="F404" s="125" t="s">
        <v>733</v>
      </c>
      <c r="G404" s="125">
        <v>53</v>
      </c>
      <c r="H404" s="85">
        <v>313.42</v>
      </c>
      <c r="I404" s="85" t="s">
        <v>630</v>
      </c>
      <c r="J404" s="128">
        <v>1160</v>
      </c>
      <c r="K404" s="128">
        <f t="shared" si="5"/>
        <v>61480</v>
      </c>
      <c r="L404" s="125" t="s">
        <v>1012</v>
      </c>
      <c r="M404" s="85" t="s">
        <v>47</v>
      </c>
      <c r="N404" s="85" t="s">
        <v>1491</v>
      </c>
    </row>
    <row r="405" spans="2:14" ht="15.75" thickBot="1" x14ac:dyDescent="0.3">
      <c r="B405" s="82" t="s">
        <v>1072</v>
      </c>
      <c r="C405" s="83" t="s">
        <v>629</v>
      </c>
      <c r="D405" s="124" t="s">
        <v>620</v>
      </c>
      <c r="E405" s="130">
        <v>2017</v>
      </c>
      <c r="F405" s="125" t="s">
        <v>733</v>
      </c>
      <c r="G405" s="125">
        <v>53</v>
      </c>
      <c r="H405" s="85">
        <v>10716.420000000002</v>
      </c>
      <c r="I405" s="85" t="s">
        <v>630</v>
      </c>
      <c r="J405" s="128">
        <v>40535</v>
      </c>
      <c r="K405" s="128">
        <f t="shared" si="5"/>
        <v>2148355</v>
      </c>
      <c r="L405" s="125" t="s">
        <v>1013</v>
      </c>
      <c r="M405" s="85" t="s">
        <v>47</v>
      </c>
      <c r="N405" s="85" t="s">
        <v>1491</v>
      </c>
    </row>
    <row r="406" spans="2:14" ht="15.75" thickBot="1" x14ac:dyDescent="0.3">
      <c r="B406" s="82" t="s">
        <v>1072</v>
      </c>
      <c r="C406" s="83" t="s">
        <v>629</v>
      </c>
      <c r="D406" s="124" t="s">
        <v>620</v>
      </c>
      <c r="E406" s="130">
        <v>2017</v>
      </c>
      <c r="F406" s="125" t="s">
        <v>733</v>
      </c>
      <c r="G406" s="125">
        <v>53</v>
      </c>
      <c r="H406" s="85">
        <v>12318.090000000002</v>
      </c>
      <c r="I406" s="85" t="s">
        <v>630</v>
      </c>
      <c r="J406" s="128">
        <v>46429</v>
      </c>
      <c r="K406" s="128">
        <f t="shared" si="5"/>
        <v>2460737</v>
      </c>
      <c r="L406" s="125" t="s">
        <v>1014</v>
      </c>
      <c r="M406" s="85" t="s">
        <v>47</v>
      </c>
      <c r="N406" s="85" t="s">
        <v>1491</v>
      </c>
    </row>
    <row r="407" spans="2:14" ht="15.75" thickBot="1" x14ac:dyDescent="0.3">
      <c r="B407" s="82" t="s">
        <v>1072</v>
      </c>
      <c r="C407" s="83" t="s">
        <v>629</v>
      </c>
      <c r="D407" s="124" t="s">
        <v>620</v>
      </c>
      <c r="E407" s="130">
        <v>2018</v>
      </c>
      <c r="F407" s="125" t="s">
        <v>733</v>
      </c>
      <c r="G407" s="125">
        <v>53</v>
      </c>
      <c r="H407" s="85">
        <v>11878.399999999998</v>
      </c>
      <c r="I407" s="85" t="s">
        <v>630</v>
      </c>
      <c r="J407" s="128">
        <v>43470</v>
      </c>
      <c r="K407" s="128">
        <f t="shared" si="5"/>
        <v>2303910</v>
      </c>
      <c r="L407" s="125" t="s">
        <v>1015</v>
      </c>
      <c r="M407" s="85" t="s">
        <v>47</v>
      </c>
      <c r="N407" s="85" t="s">
        <v>1491</v>
      </c>
    </row>
    <row r="408" spans="2:14" ht="15.75" thickBot="1" x14ac:dyDescent="0.3">
      <c r="B408" s="82" t="s">
        <v>1072</v>
      </c>
      <c r="C408" s="83" t="s">
        <v>629</v>
      </c>
      <c r="D408" s="124" t="s">
        <v>620</v>
      </c>
      <c r="E408" s="130">
        <v>2018</v>
      </c>
      <c r="F408" s="125" t="s">
        <v>733</v>
      </c>
      <c r="G408" s="125">
        <v>53</v>
      </c>
      <c r="H408" s="85">
        <v>10631.9</v>
      </c>
      <c r="I408" s="85" t="s">
        <v>630</v>
      </c>
      <c r="J408" s="128">
        <v>39963</v>
      </c>
      <c r="K408" s="128">
        <f t="shared" si="5"/>
        <v>2118039</v>
      </c>
      <c r="L408" s="125" t="s">
        <v>1016</v>
      </c>
      <c r="M408" s="85" t="s">
        <v>47</v>
      </c>
      <c r="N408" s="85" t="s">
        <v>1491</v>
      </c>
    </row>
    <row r="409" spans="2:14" ht="15.75" thickBot="1" x14ac:dyDescent="0.3">
      <c r="B409" s="82" t="s">
        <v>1072</v>
      </c>
      <c r="C409" s="83" t="s">
        <v>629</v>
      </c>
      <c r="D409" s="124" t="s">
        <v>620</v>
      </c>
      <c r="E409" s="130">
        <v>2018</v>
      </c>
      <c r="F409" s="125" t="s">
        <v>733</v>
      </c>
      <c r="G409" s="125">
        <v>53</v>
      </c>
      <c r="H409" s="85">
        <v>11356.649999999998</v>
      </c>
      <c r="I409" s="85" t="s">
        <v>630</v>
      </c>
      <c r="J409" s="128">
        <v>41794</v>
      </c>
      <c r="K409" s="128">
        <f t="shared" si="5"/>
        <v>2215082</v>
      </c>
      <c r="L409" s="125" t="s">
        <v>1017</v>
      </c>
      <c r="M409" s="85" t="s">
        <v>47</v>
      </c>
      <c r="N409" s="85" t="s">
        <v>1491</v>
      </c>
    </row>
    <row r="410" spans="2:14" ht="15.75" thickBot="1" x14ac:dyDescent="0.3">
      <c r="B410" s="82" t="s">
        <v>1072</v>
      </c>
      <c r="C410" s="83" t="s">
        <v>629</v>
      </c>
      <c r="D410" s="124" t="s">
        <v>620</v>
      </c>
      <c r="E410" s="130">
        <v>2018</v>
      </c>
      <c r="F410" s="125" t="s">
        <v>733</v>
      </c>
      <c r="G410" s="125">
        <v>53</v>
      </c>
      <c r="H410" s="85">
        <v>14387.7</v>
      </c>
      <c r="I410" s="85" t="s">
        <v>630</v>
      </c>
      <c r="J410" s="128">
        <v>54390</v>
      </c>
      <c r="K410" s="128">
        <f t="shared" si="5"/>
        <v>2882670</v>
      </c>
      <c r="L410" s="125" t="s">
        <v>1018</v>
      </c>
      <c r="M410" s="85" t="s">
        <v>47</v>
      </c>
      <c r="N410" s="85" t="s">
        <v>1491</v>
      </c>
    </row>
    <row r="411" spans="2:14" ht="15.75" thickBot="1" x14ac:dyDescent="0.3">
      <c r="B411" s="82" t="s">
        <v>1072</v>
      </c>
      <c r="C411" s="83" t="s">
        <v>629</v>
      </c>
      <c r="D411" s="124" t="s">
        <v>620</v>
      </c>
      <c r="E411" s="130">
        <v>2018</v>
      </c>
      <c r="F411" s="125" t="s">
        <v>733</v>
      </c>
      <c r="G411" s="125">
        <v>35</v>
      </c>
      <c r="H411" s="85">
        <v>10044.860000000002</v>
      </c>
      <c r="I411" s="85" t="s">
        <v>630</v>
      </c>
      <c r="J411" s="128">
        <v>42344</v>
      </c>
      <c r="K411" s="128">
        <f t="shared" si="5"/>
        <v>1482040</v>
      </c>
      <c r="L411" s="125" t="s">
        <v>1019</v>
      </c>
      <c r="M411" s="85" t="s">
        <v>47</v>
      </c>
      <c r="N411" s="85" t="s">
        <v>1491</v>
      </c>
    </row>
    <row r="412" spans="2:14" ht="15.75" thickBot="1" x14ac:dyDescent="0.3">
      <c r="B412" s="82" t="s">
        <v>1072</v>
      </c>
      <c r="C412" s="83" t="s">
        <v>629</v>
      </c>
      <c r="D412" s="124" t="s">
        <v>620</v>
      </c>
      <c r="E412" s="130">
        <v>2018</v>
      </c>
      <c r="F412" s="125" t="s">
        <v>733</v>
      </c>
      <c r="G412" s="125">
        <v>53</v>
      </c>
      <c r="H412" s="85">
        <v>13849.27</v>
      </c>
      <c r="I412" s="85" t="s">
        <v>630</v>
      </c>
      <c r="J412" s="128">
        <v>57954</v>
      </c>
      <c r="K412" s="128">
        <f t="shared" si="5"/>
        <v>3071562</v>
      </c>
      <c r="L412" s="125" t="s">
        <v>1020</v>
      </c>
      <c r="M412" s="85" t="s">
        <v>47</v>
      </c>
      <c r="N412" s="85" t="s">
        <v>1491</v>
      </c>
    </row>
    <row r="413" spans="2:14" ht="15.75" thickBot="1" x14ac:dyDescent="0.3">
      <c r="B413" s="82" t="s">
        <v>1072</v>
      </c>
      <c r="C413" s="83" t="s">
        <v>629</v>
      </c>
      <c r="D413" s="124" t="s">
        <v>620</v>
      </c>
      <c r="E413" s="130">
        <v>2018</v>
      </c>
      <c r="F413" s="125" t="s">
        <v>733</v>
      </c>
      <c r="G413" s="125">
        <v>53</v>
      </c>
      <c r="H413" s="85">
        <v>14687.83</v>
      </c>
      <c r="I413" s="85" t="s">
        <v>630</v>
      </c>
      <c r="J413" s="128">
        <v>60301</v>
      </c>
      <c r="K413" s="128">
        <f t="shared" si="5"/>
        <v>3195953</v>
      </c>
      <c r="L413" s="125" t="s">
        <v>1021</v>
      </c>
      <c r="M413" s="85" t="s">
        <v>47</v>
      </c>
      <c r="N413" s="85" t="s">
        <v>1491</v>
      </c>
    </row>
    <row r="414" spans="2:14" ht="15.75" thickBot="1" x14ac:dyDescent="0.3">
      <c r="B414" s="82" t="s">
        <v>1072</v>
      </c>
      <c r="C414" s="83" t="s">
        <v>629</v>
      </c>
      <c r="D414" s="124" t="s">
        <v>620</v>
      </c>
      <c r="E414" s="130">
        <v>2018</v>
      </c>
      <c r="F414" s="125" t="s">
        <v>733</v>
      </c>
      <c r="G414" s="125">
        <v>53</v>
      </c>
      <c r="H414" s="85">
        <v>12601.2</v>
      </c>
      <c r="I414" s="85" t="s">
        <v>630</v>
      </c>
      <c r="J414" s="128">
        <v>49298</v>
      </c>
      <c r="K414" s="128">
        <f t="shared" si="5"/>
        <v>2612794</v>
      </c>
      <c r="L414" s="125" t="s">
        <v>1022</v>
      </c>
      <c r="M414" s="85" t="s">
        <v>47</v>
      </c>
      <c r="N414" s="85" t="s">
        <v>1491</v>
      </c>
    </row>
    <row r="415" spans="2:14" ht="15.75" thickBot="1" x14ac:dyDescent="0.3">
      <c r="B415" s="82" t="s">
        <v>1072</v>
      </c>
      <c r="C415" s="83" t="s">
        <v>629</v>
      </c>
      <c r="D415" s="124" t="s">
        <v>620</v>
      </c>
      <c r="E415" s="130">
        <v>2018</v>
      </c>
      <c r="F415" s="125" t="s">
        <v>733</v>
      </c>
      <c r="G415" s="125">
        <v>53</v>
      </c>
      <c r="H415" s="85">
        <v>10844.6</v>
      </c>
      <c r="I415" s="85" t="s">
        <v>630</v>
      </c>
      <c r="J415" s="128">
        <v>43030</v>
      </c>
      <c r="K415" s="128">
        <f t="shared" ref="K415:K478" si="6">J415*G415</f>
        <v>2280590</v>
      </c>
      <c r="L415" s="125" t="s">
        <v>983</v>
      </c>
      <c r="M415" s="85" t="s">
        <v>47</v>
      </c>
      <c r="N415" s="85" t="s">
        <v>1491</v>
      </c>
    </row>
    <row r="416" spans="2:14" ht="15.75" thickBot="1" x14ac:dyDescent="0.3">
      <c r="B416" s="82" t="s">
        <v>1072</v>
      </c>
      <c r="C416" s="83" t="s">
        <v>629</v>
      </c>
      <c r="D416" s="124" t="s">
        <v>620</v>
      </c>
      <c r="E416" s="130">
        <v>2018</v>
      </c>
      <c r="F416" s="125" t="s">
        <v>733</v>
      </c>
      <c r="G416" s="125">
        <v>53</v>
      </c>
      <c r="H416" s="85">
        <v>11751.259999999998</v>
      </c>
      <c r="I416" s="85" t="s">
        <v>630</v>
      </c>
      <c r="J416" s="128">
        <v>47053</v>
      </c>
      <c r="K416" s="128">
        <f t="shared" si="6"/>
        <v>2493809</v>
      </c>
      <c r="L416" s="125" t="s">
        <v>984</v>
      </c>
      <c r="M416" s="85" t="s">
        <v>47</v>
      </c>
      <c r="N416" s="85" t="s">
        <v>1491</v>
      </c>
    </row>
    <row r="417" spans="2:14" ht="15.75" thickBot="1" x14ac:dyDescent="0.3">
      <c r="B417" s="82" t="s">
        <v>1072</v>
      </c>
      <c r="C417" s="83" t="s">
        <v>629</v>
      </c>
      <c r="D417" s="124" t="s">
        <v>620</v>
      </c>
      <c r="E417" s="130">
        <v>2019</v>
      </c>
      <c r="F417" s="125" t="s">
        <v>733</v>
      </c>
      <c r="G417" s="125">
        <v>53</v>
      </c>
      <c r="H417" s="85">
        <v>15283.91</v>
      </c>
      <c r="I417" s="85" t="s">
        <v>630</v>
      </c>
      <c r="J417" s="128">
        <v>59505</v>
      </c>
      <c r="K417" s="128">
        <f t="shared" si="6"/>
        <v>3153765</v>
      </c>
      <c r="L417" s="125" t="s">
        <v>1023</v>
      </c>
      <c r="M417" s="85" t="s">
        <v>47</v>
      </c>
      <c r="N417" s="85" t="s">
        <v>1491</v>
      </c>
    </row>
    <row r="418" spans="2:14" ht="15.75" thickBot="1" x14ac:dyDescent="0.3">
      <c r="B418" s="82" t="s">
        <v>1072</v>
      </c>
      <c r="C418" s="83" t="s">
        <v>629</v>
      </c>
      <c r="D418" s="124" t="s">
        <v>620</v>
      </c>
      <c r="E418" s="130">
        <v>2019</v>
      </c>
      <c r="F418" s="125" t="s">
        <v>733</v>
      </c>
      <c r="G418" s="125">
        <v>53</v>
      </c>
      <c r="H418" s="85">
        <v>13929.659999999998</v>
      </c>
      <c r="I418" s="85" t="s">
        <v>630</v>
      </c>
      <c r="J418" s="128">
        <v>55906</v>
      </c>
      <c r="K418" s="128">
        <f t="shared" si="6"/>
        <v>2963018</v>
      </c>
      <c r="L418" s="125" t="s">
        <v>1024</v>
      </c>
      <c r="M418" s="85" t="s">
        <v>47</v>
      </c>
      <c r="N418" s="85" t="s">
        <v>1491</v>
      </c>
    </row>
    <row r="419" spans="2:14" ht="15.75" thickBot="1" x14ac:dyDescent="0.3">
      <c r="B419" s="82" t="s">
        <v>1072</v>
      </c>
      <c r="C419" s="83" t="s">
        <v>629</v>
      </c>
      <c r="D419" s="124" t="s">
        <v>620</v>
      </c>
      <c r="E419" s="130">
        <v>2019</v>
      </c>
      <c r="F419" s="125" t="s">
        <v>733</v>
      </c>
      <c r="G419" s="125">
        <v>53</v>
      </c>
      <c r="H419" s="85">
        <v>11905.73</v>
      </c>
      <c r="I419" s="85" t="s">
        <v>630</v>
      </c>
      <c r="J419" s="128">
        <v>43750</v>
      </c>
      <c r="K419" s="128">
        <f t="shared" si="6"/>
        <v>2318750</v>
      </c>
      <c r="L419" s="125" t="s">
        <v>1025</v>
      </c>
      <c r="M419" s="85" t="s">
        <v>47</v>
      </c>
      <c r="N419" s="85" t="s">
        <v>1491</v>
      </c>
    </row>
    <row r="420" spans="2:14" ht="15.75" thickBot="1" x14ac:dyDescent="0.3">
      <c r="B420" s="82" t="s">
        <v>1072</v>
      </c>
      <c r="C420" s="83" t="s">
        <v>629</v>
      </c>
      <c r="D420" s="124" t="s">
        <v>620</v>
      </c>
      <c r="E420" s="130">
        <v>2019</v>
      </c>
      <c r="F420" s="125" t="s">
        <v>733</v>
      </c>
      <c r="G420" s="125">
        <v>53</v>
      </c>
      <c r="H420" s="85">
        <v>14767.039999999999</v>
      </c>
      <c r="I420" s="85" t="s">
        <v>630</v>
      </c>
      <c r="J420" s="128">
        <v>56164</v>
      </c>
      <c r="K420" s="128">
        <f t="shared" si="6"/>
        <v>2976692</v>
      </c>
      <c r="L420" s="125" t="s">
        <v>1026</v>
      </c>
      <c r="M420" s="85" t="s">
        <v>47</v>
      </c>
      <c r="N420" s="85" t="s">
        <v>1491</v>
      </c>
    </row>
    <row r="421" spans="2:14" ht="15.75" thickBot="1" x14ac:dyDescent="0.3">
      <c r="B421" s="82" t="s">
        <v>1072</v>
      </c>
      <c r="C421" s="83" t="s">
        <v>629</v>
      </c>
      <c r="D421" s="124" t="s">
        <v>620</v>
      </c>
      <c r="E421" s="130">
        <v>2019</v>
      </c>
      <c r="F421" s="125" t="s">
        <v>733</v>
      </c>
      <c r="G421" s="125">
        <v>53</v>
      </c>
      <c r="H421" s="85">
        <v>15187.18</v>
      </c>
      <c r="I421" s="85" t="s">
        <v>630</v>
      </c>
      <c r="J421" s="128">
        <v>58216</v>
      </c>
      <c r="K421" s="128">
        <f t="shared" si="6"/>
        <v>3085448</v>
      </c>
      <c r="L421" s="125" t="s">
        <v>1027</v>
      </c>
      <c r="M421" s="85" t="s">
        <v>47</v>
      </c>
      <c r="N421" s="85" t="s">
        <v>1491</v>
      </c>
    </row>
    <row r="422" spans="2:14" ht="15.75" thickBot="1" x14ac:dyDescent="0.3">
      <c r="B422" s="82" t="s">
        <v>1072</v>
      </c>
      <c r="C422" s="83" t="s">
        <v>629</v>
      </c>
      <c r="D422" s="124" t="s">
        <v>620</v>
      </c>
      <c r="E422" s="130">
        <v>2019</v>
      </c>
      <c r="F422" s="125" t="s">
        <v>733</v>
      </c>
      <c r="G422" s="125">
        <v>53</v>
      </c>
      <c r="H422" s="85">
        <v>15202.699999999999</v>
      </c>
      <c r="I422" s="85" t="s">
        <v>630</v>
      </c>
      <c r="J422" s="128">
        <v>60484</v>
      </c>
      <c r="K422" s="128">
        <f t="shared" si="6"/>
        <v>3205652</v>
      </c>
      <c r="L422" s="125" t="s">
        <v>1028</v>
      </c>
      <c r="M422" s="85" t="s">
        <v>47</v>
      </c>
      <c r="N422" s="85" t="s">
        <v>1491</v>
      </c>
    </row>
    <row r="423" spans="2:14" ht="15.75" thickBot="1" x14ac:dyDescent="0.3">
      <c r="B423" s="82" t="s">
        <v>1072</v>
      </c>
      <c r="C423" s="83" t="s">
        <v>629</v>
      </c>
      <c r="D423" s="124" t="s">
        <v>620</v>
      </c>
      <c r="E423" s="130">
        <v>2019</v>
      </c>
      <c r="F423" s="125" t="s">
        <v>733</v>
      </c>
      <c r="G423" s="125">
        <v>53</v>
      </c>
      <c r="H423" s="85">
        <v>15523.510000000002</v>
      </c>
      <c r="I423" s="85" t="s">
        <v>630</v>
      </c>
      <c r="J423" s="128">
        <v>59976</v>
      </c>
      <c r="K423" s="128">
        <f t="shared" si="6"/>
        <v>3178728</v>
      </c>
      <c r="L423" s="125" t="s">
        <v>1029</v>
      </c>
      <c r="M423" s="85" t="s">
        <v>47</v>
      </c>
      <c r="N423" s="85" t="s">
        <v>1491</v>
      </c>
    </row>
    <row r="424" spans="2:14" ht="15.75" thickBot="1" x14ac:dyDescent="0.3">
      <c r="B424" s="82" t="s">
        <v>1072</v>
      </c>
      <c r="C424" s="83" t="s">
        <v>629</v>
      </c>
      <c r="D424" s="124" t="s">
        <v>620</v>
      </c>
      <c r="E424" s="130">
        <v>2019</v>
      </c>
      <c r="F424" s="125" t="s">
        <v>733</v>
      </c>
      <c r="G424" s="125">
        <v>53</v>
      </c>
      <c r="H424" s="85">
        <v>19234.71</v>
      </c>
      <c r="I424" s="85" t="s">
        <v>630</v>
      </c>
      <c r="J424" s="128">
        <v>71789</v>
      </c>
      <c r="K424" s="128">
        <f t="shared" si="6"/>
        <v>3804817</v>
      </c>
      <c r="L424" s="125" t="s">
        <v>1030</v>
      </c>
      <c r="M424" s="85" t="s">
        <v>47</v>
      </c>
      <c r="N424" s="85" t="s">
        <v>1491</v>
      </c>
    </row>
    <row r="425" spans="2:14" ht="15.75" thickBot="1" x14ac:dyDescent="0.3">
      <c r="B425" s="82" t="s">
        <v>1072</v>
      </c>
      <c r="C425" s="83" t="s">
        <v>629</v>
      </c>
      <c r="D425" s="124" t="s">
        <v>620</v>
      </c>
      <c r="E425" s="130">
        <v>2019</v>
      </c>
      <c r="F425" s="125" t="s">
        <v>733</v>
      </c>
      <c r="G425" s="125">
        <v>53</v>
      </c>
      <c r="H425" s="85">
        <v>15929.42</v>
      </c>
      <c r="I425" s="85" t="s">
        <v>630</v>
      </c>
      <c r="J425" s="128">
        <v>62583</v>
      </c>
      <c r="K425" s="128">
        <f t="shared" si="6"/>
        <v>3316899</v>
      </c>
      <c r="L425" s="125" t="s">
        <v>1031</v>
      </c>
      <c r="M425" s="85" t="s">
        <v>47</v>
      </c>
      <c r="N425" s="85" t="s">
        <v>1491</v>
      </c>
    </row>
    <row r="426" spans="2:14" ht="15.75" thickBot="1" x14ac:dyDescent="0.3">
      <c r="B426" s="82" t="s">
        <v>1072</v>
      </c>
      <c r="C426" s="83" t="s">
        <v>629</v>
      </c>
      <c r="D426" s="124" t="s">
        <v>620</v>
      </c>
      <c r="E426" s="130">
        <v>2019</v>
      </c>
      <c r="F426" s="125" t="s">
        <v>733</v>
      </c>
      <c r="G426" s="125">
        <v>53</v>
      </c>
      <c r="H426" s="85">
        <v>16712.350000000002</v>
      </c>
      <c r="I426" s="85" t="s">
        <v>630</v>
      </c>
      <c r="J426" s="128">
        <v>66279</v>
      </c>
      <c r="K426" s="128">
        <f t="shared" si="6"/>
        <v>3512787</v>
      </c>
      <c r="L426" s="125" t="s">
        <v>1032</v>
      </c>
      <c r="M426" s="85" t="s">
        <v>47</v>
      </c>
      <c r="N426" s="85" t="s">
        <v>1491</v>
      </c>
    </row>
    <row r="427" spans="2:14" ht="15.75" thickBot="1" x14ac:dyDescent="0.3">
      <c r="B427" s="82" t="s">
        <v>1072</v>
      </c>
      <c r="C427" s="83" t="s">
        <v>629</v>
      </c>
      <c r="D427" s="124" t="s">
        <v>620</v>
      </c>
      <c r="E427" s="130">
        <v>2019</v>
      </c>
      <c r="F427" s="125" t="s">
        <v>733</v>
      </c>
      <c r="G427" s="125">
        <v>53</v>
      </c>
      <c r="H427" s="85">
        <v>16871.800000000003</v>
      </c>
      <c r="I427" s="85" t="s">
        <v>630</v>
      </c>
      <c r="J427" s="128">
        <v>65622</v>
      </c>
      <c r="K427" s="128">
        <f t="shared" si="6"/>
        <v>3477966</v>
      </c>
      <c r="L427" s="125" t="s">
        <v>1033</v>
      </c>
      <c r="M427" s="85" t="s">
        <v>47</v>
      </c>
      <c r="N427" s="85" t="s">
        <v>1491</v>
      </c>
    </row>
    <row r="428" spans="2:14" ht="15.75" thickBot="1" x14ac:dyDescent="0.3">
      <c r="B428" s="82" t="s">
        <v>1072</v>
      </c>
      <c r="C428" s="83" t="s">
        <v>629</v>
      </c>
      <c r="D428" s="124" t="s">
        <v>620</v>
      </c>
      <c r="E428" s="130">
        <v>2019</v>
      </c>
      <c r="F428" s="125" t="s">
        <v>733</v>
      </c>
      <c r="G428" s="125">
        <v>53</v>
      </c>
      <c r="H428" s="85">
        <v>15353.83</v>
      </c>
      <c r="I428" s="85" t="s">
        <v>630</v>
      </c>
      <c r="J428" s="128">
        <v>57874</v>
      </c>
      <c r="K428" s="128">
        <f t="shared" si="6"/>
        <v>3067322</v>
      </c>
      <c r="L428" s="125" t="s">
        <v>1034</v>
      </c>
      <c r="M428" s="85" t="s">
        <v>47</v>
      </c>
      <c r="N428" s="85" t="s">
        <v>1491</v>
      </c>
    </row>
    <row r="429" spans="2:14" ht="15.75" thickBot="1" x14ac:dyDescent="0.3">
      <c r="B429" s="82" t="s">
        <v>1072</v>
      </c>
      <c r="C429" s="83" t="s">
        <v>629</v>
      </c>
      <c r="D429" s="124" t="s">
        <v>620</v>
      </c>
      <c r="E429" s="130">
        <v>2019</v>
      </c>
      <c r="F429" s="125" t="s">
        <v>733</v>
      </c>
      <c r="G429" s="125">
        <v>53</v>
      </c>
      <c r="H429" s="85">
        <v>18094.776000000002</v>
      </c>
      <c r="I429" s="85" t="s">
        <v>630</v>
      </c>
      <c r="J429" s="128">
        <v>69945</v>
      </c>
      <c r="K429" s="128">
        <f t="shared" si="6"/>
        <v>3707085</v>
      </c>
      <c r="L429" s="125" t="s">
        <v>1035</v>
      </c>
      <c r="M429" s="85" t="s">
        <v>47</v>
      </c>
      <c r="N429" s="85" t="s">
        <v>1491</v>
      </c>
    </row>
    <row r="430" spans="2:14" ht="15.75" thickBot="1" x14ac:dyDescent="0.3">
      <c r="B430" s="82" t="s">
        <v>1072</v>
      </c>
      <c r="C430" s="83" t="s">
        <v>629</v>
      </c>
      <c r="D430" s="124" t="s">
        <v>620</v>
      </c>
      <c r="E430" s="130">
        <v>2019</v>
      </c>
      <c r="F430" s="125" t="s">
        <v>733</v>
      </c>
      <c r="G430" s="125">
        <v>53</v>
      </c>
      <c r="H430" s="85">
        <v>15780.01</v>
      </c>
      <c r="I430" s="85" t="s">
        <v>630</v>
      </c>
      <c r="J430" s="128">
        <v>61976</v>
      </c>
      <c r="K430" s="128">
        <f t="shared" si="6"/>
        <v>3284728</v>
      </c>
      <c r="L430" s="125" t="s">
        <v>1036</v>
      </c>
      <c r="M430" s="85" t="s">
        <v>47</v>
      </c>
      <c r="N430" s="85" t="s">
        <v>1491</v>
      </c>
    </row>
    <row r="431" spans="2:14" ht="15.75" thickBot="1" x14ac:dyDescent="0.3">
      <c r="B431" s="82" t="s">
        <v>1072</v>
      </c>
      <c r="C431" s="83" t="s">
        <v>629</v>
      </c>
      <c r="D431" s="124" t="s">
        <v>620</v>
      </c>
      <c r="E431" s="130">
        <v>2019</v>
      </c>
      <c r="F431" s="125" t="s">
        <v>733</v>
      </c>
      <c r="G431" s="125">
        <v>63</v>
      </c>
      <c r="H431" s="85">
        <v>3400.36</v>
      </c>
      <c r="I431" s="85" t="s">
        <v>630</v>
      </c>
      <c r="J431" s="128">
        <v>12294</v>
      </c>
      <c r="K431" s="128">
        <f t="shared" si="6"/>
        <v>774522</v>
      </c>
      <c r="L431" s="125" t="s">
        <v>1037</v>
      </c>
      <c r="M431" s="85" t="s">
        <v>47</v>
      </c>
      <c r="N431" s="85" t="s">
        <v>1491</v>
      </c>
    </row>
    <row r="432" spans="2:14" ht="15.75" thickBot="1" x14ac:dyDescent="0.3">
      <c r="B432" s="82" t="s">
        <v>1072</v>
      </c>
      <c r="C432" s="83" t="s">
        <v>629</v>
      </c>
      <c r="D432" s="124" t="s">
        <v>620</v>
      </c>
      <c r="E432" s="130">
        <v>2019</v>
      </c>
      <c r="F432" s="125" t="s">
        <v>733</v>
      </c>
      <c r="G432" s="125">
        <v>63</v>
      </c>
      <c r="H432" s="85">
        <v>33946.44</v>
      </c>
      <c r="I432" s="85" t="s">
        <v>630</v>
      </c>
      <c r="J432" s="128">
        <v>116354</v>
      </c>
      <c r="K432" s="128">
        <f t="shared" si="6"/>
        <v>7330302</v>
      </c>
      <c r="L432" s="125" t="s">
        <v>1038</v>
      </c>
      <c r="M432" s="85" t="s">
        <v>47</v>
      </c>
      <c r="N432" s="85" t="s">
        <v>1491</v>
      </c>
    </row>
    <row r="433" spans="2:14" ht="15.75" thickBot="1" x14ac:dyDescent="0.3">
      <c r="B433" s="82" t="s">
        <v>1072</v>
      </c>
      <c r="C433" s="83" t="s">
        <v>629</v>
      </c>
      <c r="D433" s="124" t="s">
        <v>620</v>
      </c>
      <c r="E433" s="130">
        <v>2019</v>
      </c>
      <c r="F433" s="125" t="s">
        <v>733</v>
      </c>
      <c r="G433" s="125">
        <v>53</v>
      </c>
      <c r="H433" s="85">
        <v>10457.48</v>
      </c>
      <c r="I433" s="85" t="s">
        <v>630</v>
      </c>
      <c r="J433" s="128">
        <v>41163</v>
      </c>
      <c r="K433" s="128">
        <f t="shared" si="6"/>
        <v>2181639</v>
      </c>
      <c r="L433" s="125" t="s">
        <v>985</v>
      </c>
      <c r="M433" s="85" t="s">
        <v>47</v>
      </c>
      <c r="N433" s="85" t="s">
        <v>1491</v>
      </c>
    </row>
    <row r="434" spans="2:14" ht="15.75" thickBot="1" x14ac:dyDescent="0.3">
      <c r="B434" s="82" t="s">
        <v>1072</v>
      </c>
      <c r="C434" s="83" t="s">
        <v>629</v>
      </c>
      <c r="D434" s="124" t="s">
        <v>620</v>
      </c>
      <c r="E434" s="130">
        <v>2019</v>
      </c>
      <c r="F434" s="125" t="s">
        <v>733</v>
      </c>
      <c r="G434" s="125">
        <v>53</v>
      </c>
      <c r="H434" s="85">
        <v>10440.58</v>
      </c>
      <c r="I434" s="85" t="s">
        <v>630</v>
      </c>
      <c r="J434" s="128">
        <v>42154</v>
      </c>
      <c r="K434" s="128">
        <f t="shared" si="6"/>
        <v>2234162</v>
      </c>
      <c r="L434" s="125" t="s">
        <v>986</v>
      </c>
      <c r="M434" s="85" t="s">
        <v>47</v>
      </c>
      <c r="N434" s="85" t="s">
        <v>1491</v>
      </c>
    </row>
    <row r="435" spans="2:14" ht="15.75" thickBot="1" x14ac:dyDescent="0.3">
      <c r="B435" s="82" t="s">
        <v>1072</v>
      </c>
      <c r="C435" s="83" t="s">
        <v>629</v>
      </c>
      <c r="D435" s="124" t="s">
        <v>620</v>
      </c>
      <c r="E435" s="130">
        <v>2019</v>
      </c>
      <c r="F435" s="125" t="s">
        <v>733</v>
      </c>
      <c r="G435" s="125">
        <v>53</v>
      </c>
      <c r="H435" s="85">
        <v>14231.21</v>
      </c>
      <c r="I435" s="85" t="s">
        <v>630</v>
      </c>
      <c r="J435" s="128">
        <v>57497</v>
      </c>
      <c r="K435" s="128">
        <f t="shared" si="6"/>
        <v>3047341</v>
      </c>
      <c r="L435" s="125" t="s">
        <v>987</v>
      </c>
      <c r="M435" s="85" t="s">
        <v>47</v>
      </c>
      <c r="N435" s="85" t="s">
        <v>1491</v>
      </c>
    </row>
    <row r="436" spans="2:14" ht="15.75" thickBot="1" x14ac:dyDescent="0.3">
      <c r="B436" s="82" t="s">
        <v>1072</v>
      </c>
      <c r="C436" s="83" t="s">
        <v>629</v>
      </c>
      <c r="D436" s="124" t="s">
        <v>620</v>
      </c>
      <c r="E436" s="130">
        <v>2019</v>
      </c>
      <c r="F436" s="125" t="s">
        <v>733</v>
      </c>
      <c r="G436" s="125">
        <v>53</v>
      </c>
      <c r="H436" s="85">
        <v>13581.148999999999</v>
      </c>
      <c r="I436" s="85" t="s">
        <v>630</v>
      </c>
      <c r="J436" s="128">
        <v>53865</v>
      </c>
      <c r="K436" s="128">
        <f t="shared" si="6"/>
        <v>2854845</v>
      </c>
      <c r="L436" s="125" t="s">
        <v>988</v>
      </c>
      <c r="M436" s="85" t="s">
        <v>47</v>
      </c>
      <c r="N436" s="85" t="s">
        <v>1491</v>
      </c>
    </row>
    <row r="437" spans="2:14" ht="15.75" thickBot="1" x14ac:dyDescent="0.3">
      <c r="B437" s="82" t="s">
        <v>1072</v>
      </c>
      <c r="C437" s="83" t="s">
        <v>629</v>
      </c>
      <c r="D437" s="124" t="s">
        <v>620</v>
      </c>
      <c r="E437" s="130">
        <v>2019</v>
      </c>
      <c r="F437" s="125" t="s">
        <v>733</v>
      </c>
      <c r="G437" s="125">
        <v>53</v>
      </c>
      <c r="H437" s="85">
        <v>14819.33</v>
      </c>
      <c r="I437" s="85" t="s">
        <v>630</v>
      </c>
      <c r="J437" s="128">
        <v>58413</v>
      </c>
      <c r="K437" s="128">
        <f t="shared" si="6"/>
        <v>3095889</v>
      </c>
      <c r="L437" s="125" t="s">
        <v>989</v>
      </c>
      <c r="M437" s="85" t="s">
        <v>47</v>
      </c>
      <c r="N437" s="85" t="s">
        <v>1491</v>
      </c>
    </row>
    <row r="438" spans="2:14" ht="15.75" thickBot="1" x14ac:dyDescent="0.3">
      <c r="B438" s="82" t="s">
        <v>1072</v>
      </c>
      <c r="C438" s="83" t="s">
        <v>629</v>
      </c>
      <c r="D438" s="124" t="s">
        <v>620</v>
      </c>
      <c r="E438" s="130">
        <v>2020</v>
      </c>
      <c r="F438" s="125" t="s">
        <v>733</v>
      </c>
      <c r="G438" s="125">
        <v>53</v>
      </c>
      <c r="H438" s="85">
        <v>14247.31</v>
      </c>
      <c r="I438" s="85" t="s">
        <v>630</v>
      </c>
      <c r="J438" s="128">
        <v>59709</v>
      </c>
      <c r="K438" s="128">
        <f t="shared" si="6"/>
        <v>3164577</v>
      </c>
      <c r="L438" s="125" t="s">
        <v>1039</v>
      </c>
      <c r="M438" s="85" t="s">
        <v>47</v>
      </c>
      <c r="N438" s="85" t="s">
        <v>1491</v>
      </c>
    </row>
    <row r="439" spans="2:14" ht="15.75" thickBot="1" x14ac:dyDescent="0.3">
      <c r="B439" s="82" t="s">
        <v>1072</v>
      </c>
      <c r="C439" s="83" t="s">
        <v>629</v>
      </c>
      <c r="D439" s="124" t="s">
        <v>620</v>
      </c>
      <c r="E439" s="130">
        <v>2020</v>
      </c>
      <c r="F439" s="125" t="s">
        <v>733</v>
      </c>
      <c r="G439" s="125">
        <v>53</v>
      </c>
      <c r="H439" s="85">
        <v>17400.64</v>
      </c>
      <c r="I439" s="85" t="s">
        <v>630</v>
      </c>
      <c r="J439" s="128">
        <v>68498</v>
      </c>
      <c r="K439" s="128">
        <f t="shared" si="6"/>
        <v>3630394</v>
      </c>
      <c r="L439" s="125" t="s">
        <v>1040</v>
      </c>
      <c r="M439" s="85" t="s">
        <v>47</v>
      </c>
      <c r="N439" s="85" t="s">
        <v>1491</v>
      </c>
    </row>
    <row r="440" spans="2:14" ht="15.75" thickBot="1" x14ac:dyDescent="0.3">
      <c r="B440" s="82" t="s">
        <v>1072</v>
      </c>
      <c r="C440" s="83" t="s">
        <v>629</v>
      </c>
      <c r="D440" s="124" t="s">
        <v>620</v>
      </c>
      <c r="E440" s="130">
        <v>2020</v>
      </c>
      <c r="F440" s="125" t="s">
        <v>733</v>
      </c>
      <c r="G440" s="125">
        <v>53</v>
      </c>
      <c r="H440" s="85">
        <v>17871.560000000001</v>
      </c>
      <c r="I440" s="85" t="s">
        <v>630</v>
      </c>
      <c r="J440" s="128">
        <v>74179</v>
      </c>
      <c r="K440" s="128">
        <f t="shared" si="6"/>
        <v>3931487</v>
      </c>
      <c r="L440" s="125" t="s">
        <v>1041</v>
      </c>
      <c r="M440" s="85" t="s">
        <v>47</v>
      </c>
      <c r="N440" s="85" t="s">
        <v>1491</v>
      </c>
    </row>
    <row r="441" spans="2:14" ht="15.75" thickBot="1" x14ac:dyDescent="0.3">
      <c r="B441" s="82" t="s">
        <v>1072</v>
      </c>
      <c r="C441" s="83" t="s">
        <v>629</v>
      </c>
      <c r="D441" s="124" t="s">
        <v>620</v>
      </c>
      <c r="E441" s="130">
        <v>2020</v>
      </c>
      <c r="F441" s="125" t="s">
        <v>733</v>
      </c>
      <c r="G441" s="125">
        <v>53</v>
      </c>
      <c r="H441" s="85">
        <v>16188.31</v>
      </c>
      <c r="I441" s="85" t="s">
        <v>630</v>
      </c>
      <c r="J441" s="128">
        <v>61880</v>
      </c>
      <c r="K441" s="128">
        <f t="shared" si="6"/>
        <v>3279640</v>
      </c>
      <c r="L441" s="125" t="s">
        <v>1042</v>
      </c>
      <c r="M441" s="85" t="s">
        <v>47</v>
      </c>
      <c r="N441" s="85" t="s">
        <v>1491</v>
      </c>
    </row>
    <row r="442" spans="2:14" ht="15.75" thickBot="1" x14ac:dyDescent="0.3">
      <c r="B442" s="82" t="s">
        <v>1072</v>
      </c>
      <c r="C442" s="83" t="s">
        <v>629</v>
      </c>
      <c r="D442" s="124" t="s">
        <v>620</v>
      </c>
      <c r="E442" s="130">
        <v>2020</v>
      </c>
      <c r="F442" s="125" t="s">
        <v>733</v>
      </c>
      <c r="G442" s="125">
        <v>53</v>
      </c>
      <c r="H442" s="85">
        <v>15087.91</v>
      </c>
      <c r="I442" s="85" t="s">
        <v>630</v>
      </c>
      <c r="J442" s="128">
        <v>59690</v>
      </c>
      <c r="K442" s="128">
        <f t="shared" si="6"/>
        <v>3163570</v>
      </c>
      <c r="L442" s="125" t="s">
        <v>1043</v>
      </c>
      <c r="M442" s="85" t="s">
        <v>47</v>
      </c>
      <c r="N442" s="85" t="s">
        <v>1491</v>
      </c>
    </row>
    <row r="443" spans="2:14" ht="15.75" thickBot="1" x14ac:dyDescent="0.3">
      <c r="B443" s="82" t="s">
        <v>1072</v>
      </c>
      <c r="C443" s="83" t="s">
        <v>629</v>
      </c>
      <c r="D443" s="124" t="s">
        <v>620</v>
      </c>
      <c r="E443" s="130">
        <v>2020</v>
      </c>
      <c r="F443" s="125" t="s">
        <v>733</v>
      </c>
      <c r="G443" s="125">
        <v>53</v>
      </c>
      <c r="H443" s="85">
        <v>16682.13</v>
      </c>
      <c r="I443" s="85" t="s">
        <v>630</v>
      </c>
      <c r="J443" s="128">
        <v>62517</v>
      </c>
      <c r="K443" s="128">
        <f t="shared" si="6"/>
        <v>3313401</v>
      </c>
      <c r="L443" s="125" t="s">
        <v>1044</v>
      </c>
      <c r="M443" s="85" t="s">
        <v>47</v>
      </c>
      <c r="N443" s="85" t="s">
        <v>1491</v>
      </c>
    </row>
    <row r="444" spans="2:14" ht="15.75" thickBot="1" x14ac:dyDescent="0.3">
      <c r="B444" s="82" t="s">
        <v>1072</v>
      </c>
      <c r="C444" s="83" t="s">
        <v>629</v>
      </c>
      <c r="D444" s="124" t="s">
        <v>620</v>
      </c>
      <c r="E444" s="130">
        <v>2020</v>
      </c>
      <c r="F444" s="125" t="s">
        <v>733</v>
      </c>
      <c r="G444" s="125">
        <v>53</v>
      </c>
      <c r="H444" s="85">
        <v>16403.079999999998</v>
      </c>
      <c r="I444" s="85" t="s">
        <v>630</v>
      </c>
      <c r="J444" s="128">
        <v>64038</v>
      </c>
      <c r="K444" s="128">
        <f t="shared" si="6"/>
        <v>3394014</v>
      </c>
      <c r="L444" s="125" t="s">
        <v>1045</v>
      </c>
      <c r="M444" s="85" t="s">
        <v>47</v>
      </c>
      <c r="N444" s="85" t="s">
        <v>1491</v>
      </c>
    </row>
    <row r="445" spans="2:14" ht="15.75" thickBot="1" x14ac:dyDescent="0.3">
      <c r="B445" s="82" t="s">
        <v>1072</v>
      </c>
      <c r="C445" s="83" t="s">
        <v>629</v>
      </c>
      <c r="D445" s="124" t="s">
        <v>620</v>
      </c>
      <c r="E445" s="130">
        <v>2020</v>
      </c>
      <c r="F445" s="125" t="s">
        <v>733</v>
      </c>
      <c r="G445" s="125">
        <v>53</v>
      </c>
      <c r="H445" s="85">
        <v>18758.18</v>
      </c>
      <c r="I445" s="85" t="s">
        <v>630</v>
      </c>
      <c r="J445" s="128">
        <v>75698</v>
      </c>
      <c r="K445" s="128">
        <f t="shared" si="6"/>
        <v>4011994</v>
      </c>
      <c r="L445" s="125" t="s">
        <v>1046</v>
      </c>
      <c r="M445" s="85" t="s">
        <v>47</v>
      </c>
      <c r="N445" s="85" t="s">
        <v>1491</v>
      </c>
    </row>
    <row r="446" spans="2:14" ht="15.75" thickBot="1" x14ac:dyDescent="0.3">
      <c r="B446" s="82" t="s">
        <v>1072</v>
      </c>
      <c r="C446" s="83" t="s">
        <v>629</v>
      </c>
      <c r="D446" s="124" t="s">
        <v>620</v>
      </c>
      <c r="E446" s="130">
        <v>2020</v>
      </c>
      <c r="F446" s="125" t="s">
        <v>733</v>
      </c>
      <c r="G446" s="125">
        <v>53</v>
      </c>
      <c r="H446" s="85">
        <v>15282.57</v>
      </c>
      <c r="I446" s="85" t="s">
        <v>630</v>
      </c>
      <c r="J446" s="128">
        <v>58816</v>
      </c>
      <c r="K446" s="128">
        <f t="shared" si="6"/>
        <v>3117248</v>
      </c>
      <c r="L446" s="125" t="s">
        <v>1047</v>
      </c>
      <c r="M446" s="85" t="s">
        <v>47</v>
      </c>
      <c r="N446" s="85" t="s">
        <v>1491</v>
      </c>
    </row>
    <row r="447" spans="2:14" ht="15.75" thickBot="1" x14ac:dyDescent="0.3">
      <c r="B447" s="82" t="s">
        <v>1072</v>
      </c>
      <c r="C447" s="83" t="s">
        <v>629</v>
      </c>
      <c r="D447" s="124" t="s">
        <v>620</v>
      </c>
      <c r="E447" s="130">
        <v>2020</v>
      </c>
      <c r="F447" s="125" t="s">
        <v>733</v>
      </c>
      <c r="G447" s="125">
        <v>53</v>
      </c>
      <c r="H447" s="85">
        <v>14809.520000000002</v>
      </c>
      <c r="I447" s="85" t="s">
        <v>630</v>
      </c>
      <c r="J447" s="128">
        <v>60824</v>
      </c>
      <c r="K447" s="128">
        <f t="shared" si="6"/>
        <v>3223672</v>
      </c>
      <c r="L447" s="125" t="s">
        <v>1048</v>
      </c>
      <c r="M447" s="85" t="s">
        <v>47</v>
      </c>
      <c r="N447" s="85" t="s">
        <v>1491</v>
      </c>
    </row>
    <row r="448" spans="2:14" ht="15.75" thickBot="1" x14ac:dyDescent="0.3">
      <c r="B448" s="82" t="s">
        <v>1072</v>
      </c>
      <c r="C448" s="83" t="s">
        <v>629</v>
      </c>
      <c r="D448" s="124" t="s">
        <v>620</v>
      </c>
      <c r="E448" s="130">
        <v>2020</v>
      </c>
      <c r="F448" s="125" t="s">
        <v>733</v>
      </c>
      <c r="G448" s="125">
        <v>53</v>
      </c>
      <c r="H448" s="85">
        <v>20664.990000000005</v>
      </c>
      <c r="I448" s="85" t="s">
        <v>630</v>
      </c>
      <c r="J448" s="128">
        <v>84613</v>
      </c>
      <c r="K448" s="128">
        <f t="shared" si="6"/>
        <v>4484489</v>
      </c>
      <c r="L448" s="125" t="s">
        <v>1049</v>
      </c>
      <c r="M448" s="85" t="s">
        <v>47</v>
      </c>
      <c r="N448" s="85" t="s">
        <v>1491</v>
      </c>
    </row>
    <row r="449" spans="2:14" ht="15.75" thickBot="1" x14ac:dyDescent="0.3">
      <c r="B449" s="82" t="s">
        <v>1072</v>
      </c>
      <c r="C449" s="83" t="s">
        <v>629</v>
      </c>
      <c r="D449" s="124" t="s">
        <v>620</v>
      </c>
      <c r="E449" s="130">
        <v>2020</v>
      </c>
      <c r="F449" s="125" t="s">
        <v>733</v>
      </c>
      <c r="G449" s="125">
        <v>53</v>
      </c>
      <c r="H449" s="85">
        <v>15335.05</v>
      </c>
      <c r="I449" s="85" t="s">
        <v>630</v>
      </c>
      <c r="J449" s="128">
        <v>61843</v>
      </c>
      <c r="K449" s="128">
        <f t="shared" si="6"/>
        <v>3277679</v>
      </c>
      <c r="L449" s="125" t="s">
        <v>1050</v>
      </c>
      <c r="M449" s="85" t="s">
        <v>47</v>
      </c>
      <c r="N449" s="85" t="s">
        <v>1491</v>
      </c>
    </row>
    <row r="450" spans="2:14" ht="15.75" thickBot="1" x14ac:dyDescent="0.3">
      <c r="B450" s="82" t="s">
        <v>1072</v>
      </c>
      <c r="C450" s="83" t="s">
        <v>629</v>
      </c>
      <c r="D450" s="124" t="s">
        <v>620</v>
      </c>
      <c r="E450" s="130">
        <v>2020</v>
      </c>
      <c r="F450" s="125" t="s">
        <v>733</v>
      </c>
      <c r="G450" s="125">
        <v>53</v>
      </c>
      <c r="H450" s="85">
        <v>12270.2</v>
      </c>
      <c r="I450" s="85" t="s">
        <v>630</v>
      </c>
      <c r="J450" s="128">
        <v>47127</v>
      </c>
      <c r="K450" s="128">
        <f t="shared" si="6"/>
        <v>2497731</v>
      </c>
      <c r="L450" s="125" t="s">
        <v>1051</v>
      </c>
      <c r="M450" s="85" t="s">
        <v>47</v>
      </c>
      <c r="N450" s="85" t="s">
        <v>1491</v>
      </c>
    </row>
    <row r="451" spans="2:14" ht="15.75" thickBot="1" x14ac:dyDescent="0.3">
      <c r="B451" s="82" t="s">
        <v>1072</v>
      </c>
      <c r="C451" s="83" t="s">
        <v>629</v>
      </c>
      <c r="D451" s="124" t="s">
        <v>620</v>
      </c>
      <c r="E451" s="130">
        <v>2020</v>
      </c>
      <c r="F451" s="125" t="s">
        <v>733</v>
      </c>
      <c r="G451" s="125">
        <v>53</v>
      </c>
      <c r="H451" s="85">
        <v>13970.84</v>
      </c>
      <c r="I451" s="85" t="s">
        <v>630</v>
      </c>
      <c r="J451" s="128">
        <v>56358</v>
      </c>
      <c r="K451" s="128">
        <f t="shared" si="6"/>
        <v>2986974</v>
      </c>
      <c r="L451" s="125" t="s">
        <v>1052</v>
      </c>
      <c r="M451" s="85" t="s">
        <v>47</v>
      </c>
      <c r="N451" s="85" t="s">
        <v>1491</v>
      </c>
    </row>
    <row r="452" spans="2:14" ht="15.75" thickBot="1" x14ac:dyDescent="0.3">
      <c r="B452" s="82" t="s">
        <v>1072</v>
      </c>
      <c r="C452" s="83" t="s">
        <v>629</v>
      </c>
      <c r="D452" s="124" t="s">
        <v>620</v>
      </c>
      <c r="E452" s="130">
        <v>2020</v>
      </c>
      <c r="F452" s="125" t="s">
        <v>733</v>
      </c>
      <c r="G452" s="125">
        <v>53</v>
      </c>
      <c r="H452" s="85">
        <v>17513.62</v>
      </c>
      <c r="I452" s="85" t="s">
        <v>630</v>
      </c>
      <c r="J452" s="128">
        <v>64313</v>
      </c>
      <c r="K452" s="128">
        <f t="shared" si="6"/>
        <v>3408589</v>
      </c>
      <c r="L452" s="125" t="s">
        <v>1053</v>
      </c>
      <c r="M452" s="85" t="s">
        <v>47</v>
      </c>
      <c r="N452" s="85" t="s">
        <v>1491</v>
      </c>
    </row>
    <row r="453" spans="2:14" ht="15.75" thickBot="1" x14ac:dyDescent="0.3">
      <c r="B453" s="82" t="s">
        <v>1072</v>
      </c>
      <c r="C453" s="83" t="s">
        <v>629</v>
      </c>
      <c r="D453" s="124" t="s">
        <v>620</v>
      </c>
      <c r="E453" s="130">
        <v>2020</v>
      </c>
      <c r="F453" s="125" t="s">
        <v>733</v>
      </c>
      <c r="G453" s="125">
        <v>53</v>
      </c>
      <c r="H453" s="85">
        <v>18603.95</v>
      </c>
      <c r="I453" s="85" t="s">
        <v>630</v>
      </c>
      <c r="J453" s="128">
        <v>75469</v>
      </c>
      <c r="K453" s="128">
        <f t="shared" si="6"/>
        <v>3999857</v>
      </c>
      <c r="L453" s="125" t="s">
        <v>1054</v>
      </c>
      <c r="M453" s="85" t="s">
        <v>47</v>
      </c>
      <c r="N453" s="85" t="s">
        <v>1491</v>
      </c>
    </row>
    <row r="454" spans="2:14" ht="15.75" thickBot="1" x14ac:dyDescent="0.3">
      <c r="B454" s="82" t="s">
        <v>1072</v>
      </c>
      <c r="C454" s="83" t="s">
        <v>629</v>
      </c>
      <c r="D454" s="124" t="s">
        <v>620</v>
      </c>
      <c r="E454" s="130">
        <v>2020</v>
      </c>
      <c r="F454" s="125" t="s">
        <v>733</v>
      </c>
      <c r="G454" s="125">
        <v>53</v>
      </c>
      <c r="H454" s="85">
        <v>18041.84</v>
      </c>
      <c r="I454" s="85" t="s">
        <v>630</v>
      </c>
      <c r="J454" s="128">
        <v>79380</v>
      </c>
      <c r="K454" s="128">
        <f t="shared" si="6"/>
        <v>4207140</v>
      </c>
      <c r="L454" s="125" t="s">
        <v>1055</v>
      </c>
      <c r="M454" s="85" t="s">
        <v>47</v>
      </c>
      <c r="N454" s="85" t="s">
        <v>1491</v>
      </c>
    </row>
    <row r="455" spans="2:14" ht="15.75" thickBot="1" x14ac:dyDescent="0.3">
      <c r="B455" s="82" t="s">
        <v>1072</v>
      </c>
      <c r="C455" s="83" t="s">
        <v>629</v>
      </c>
      <c r="D455" s="124" t="s">
        <v>620</v>
      </c>
      <c r="E455" s="130">
        <v>2020</v>
      </c>
      <c r="F455" s="125" t="s">
        <v>733</v>
      </c>
      <c r="G455" s="125">
        <v>53</v>
      </c>
      <c r="H455" s="85">
        <v>17436.509999999998</v>
      </c>
      <c r="I455" s="85" t="s">
        <v>630</v>
      </c>
      <c r="J455" s="128">
        <v>67745</v>
      </c>
      <c r="K455" s="128">
        <f t="shared" si="6"/>
        <v>3590485</v>
      </c>
      <c r="L455" s="125" t="s">
        <v>1056</v>
      </c>
      <c r="M455" s="85" t="s">
        <v>47</v>
      </c>
      <c r="N455" s="85" t="s">
        <v>1491</v>
      </c>
    </row>
    <row r="456" spans="2:14" ht="15.75" thickBot="1" x14ac:dyDescent="0.3">
      <c r="B456" s="82" t="s">
        <v>1072</v>
      </c>
      <c r="C456" s="83" t="s">
        <v>629</v>
      </c>
      <c r="D456" s="124" t="s">
        <v>620</v>
      </c>
      <c r="E456" s="130">
        <v>2020</v>
      </c>
      <c r="F456" s="125" t="s">
        <v>733</v>
      </c>
      <c r="G456" s="125">
        <v>53</v>
      </c>
      <c r="H456" s="85">
        <v>15889.82</v>
      </c>
      <c r="I456" s="85" t="s">
        <v>630</v>
      </c>
      <c r="J456" s="128">
        <v>61845</v>
      </c>
      <c r="K456" s="128">
        <f t="shared" si="6"/>
        <v>3277785</v>
      </c>
      <c r="L456" s="125" t="s">
        <v>1057</v>
      </c>
      <c r="M456" s="85" t="s">
        <v>47</v>
      </c>
      <c r="N456" s="85" t="s">
        <v>1491</v>
      </c>
    </row>
    <row r="457" spans="2:14" ht="15.75" thickBot="1" x14ac:dyDescent="0.3">
      <c r="B457" s="82" t="s">
        <v>1072</v>
      </c>
      <c r="C457" s="83" t="s">
        <v>629</v>
      </c>
      <c r="D457" s="124" t="s">
        <v>620</v>
      </c>
      <c r="E457" s="130">
        <v>2020</v>
      </c>
      <c r="F457" s="125" t="s">
        <v>733</v>
      </c>
      <c r="G457" s="125">
        <v>53</v>
      </c>
      <c r="H457" s="85">
        <v>15146.12</v>
      </c>
      <c r="I457" s="85" t="s">
        <v>630</v>
      </c>
      <c r="J457" s="128">
        <v>55668</v>
      </c>
      <c r="K457" s="128">
        <f t="shared" si="6"/>
        <v>2950404</v>
      </c>
      <c r="L457" s="125" t="s">
        <v>1058</v>
      </c>
      <c r="M457" s="85" t="s">
        <v>47</v>
      </c>
      <c r="N457" s="85" t="s">
        <v>1491</v>
      </c>
    </row>
    <row r="458" spans="2:14" ht="15.75" thickBot="1" x14ac:dyDescent="0.3">
      <c r="B458" s="82" t="s">
        <v>1072</v>
      </c>
      <c r="C458" s="83" t="s">
        <v>629</v>
      </c>
      <c r="D458" s="124" t="s">
        <v>620</v>
      </c>
      <c r="E458" s="130">
        <v>2020</v>
      </c>
      <c r="F458" s="125" t="s">
        <v>733</v>
      </c>
      <c r="G458" s="125">
        <v>53</v>
      </c>
      <c r="H458" s="85">
        <v>13429.23</v>
      </c>
      <c r="I458" s="85" t="s">
        <v>630</v>
      </c>
      <c r="J458" s="128">
        <v>54206</v>
      </c>
      <c r="K458" s="128">
        <f t="shared" si="6"/>
        <v>2872918</v>
      </c>
      <c r="L458" s="125" t="s">
        <v>1059</v>
      </c>
      <c r="M458" s="85" t="s">
        <v>47</v>
      </c>
      <c r="N458" s="85" t="s">
        <v>1491</v>
      </c>
    </row>
    <row r="459" spans="2:14" ht="15.75" thickBot="1" x14ac:dyDescent="0.3">
      <c r="B459" s="82" t="s">
        <v>1072</v>
      </c>
      <c r="C459" s="83" t="s">
        <v>629</v>
      </c>
      <c r="D459" s="124" t="s">
        <v>620</v>
      </c>
      <c r="E459" s="130">
        <v>2020</v>
      </c>
      <c r="F459" s="125" t="s">
        <v>733</v>
      </c>
      <c r="G459" s="125">
        <v>53</v>
      </c>
      <c r="H459" s="85">
        <v>17761.75</v>
      </c>
      <c r="I459" s="85" t="s">
        <v>630</v>
      </c>
      <c r="J459" s="128">
        <v>78733</v>
      </c>
      <c r="K459" s="128">
        <f t="shared" si="6"/>
        <v>4172849</v>
      </c>
      <c r="L459" s="125" t="s">
        <v>1060</v>
      </c>
      <c r="M459" s="85" t="s">
        <v>47</v>
      </c>
      <c r="N459" s="85" t="s">
        <v>1491</v>
      </c>
    </row>
    <row r="460" spans="2:14" ht="15.75" thickBot="1" x14ac:dyDescent="0.3">
      <c r="B460" s="82" t="s">
        <v>1072</v>
      </c>
      <c r="C460" s="83" t="s">
        <v>629</v>
      </c>
      <c r="D460" s="124" t="s">
        <v>620</v>
      </c>
      <c r="E460" s="130">
        <v>2020</v>
      </c>
      <c r="F460" s="125" t="s">
        <v>733</v>
      </c>
      <c r="G460" s="125">
        <v>53</v>
      </c>
      <c r="H460" s="85">
        <v>17230.18</v>
      </c>
      <c r="I460" s="85" t="s">
        <v>630</v>
      </c>
      <c r="J460" s="128">
        <v>69600</v>
      </c>
      <c r="K460" s="128">
        <f t="shared" si="6"/>
        <v>3688800</v>
      </c>
      <c r="L460" s="125" t="s">
        <v>1061</v>
      </c>
      <c r="M460" s="85" t="s">
        <v>47</v>
      </c>
      <c r="N460" s="85" t="s">
        <v>1491</v>
      </c>
    </row>
    <row r="461" spans="2:14" ht="15.75" thickBot="1" x14ac:dyDescent="0.3">
      <c r="B461" s="82" t="s">
        <v>1072</v>
      </c>
      <c r="C461" s="83" t="s">
        <v>629</v>
      </c>
      <c r="D461" s="124" t="s">
        <v>620</v>
      </c>
      <c r="E461" s="130">
        <v>2020</v>
      </c>
      <c r="F461" s="125" t="s">
        <v>733</v>
      </c>
      <c r="G461" s="125">
        <v>53</v>
      </c>
      <c r="H461" s="85">
        <v>17960.440000000002</v>
      </c>
      <c r="I461" s="85" t="s">
        <v>630</v>
      </c>
      <c r="J461" s="128">
        <v>68784</v>
      </c>
      <c r="K461" s="128">
        <f t="shared" si="6"/>
        <v>3645552</v>
      </c>
      <c r="L461" s="125" t="s">
        <v>1062</v>
      </c>
      <c r="M461" s="85" t="s">
        <v>47</v>
      </c>
      <c r="N461" s="85" t="s">
        <v>1491</v>
      </c>
    </row>
    <row r="462" spans="2:14" ht="15.75" thickBot="1" x14ac:dyDescent="0.3">
      <c r="B462" s="82" t="s">
        <v>1072</v>
      </c>
      <c r="C462" s="83" t="s">
        <v>629</v>
      </c>
      <c r="D462" s="124" t="s">
        <v>620</v>
      </c>
      <c r="E462" s="130">
        <v>2020</v>
      </c>
      <c r="F462" s="125" t="s">
        <v>733</v>
      </c>
      <c r="G462" s="125">
        <v>53</v>
      </c>
      <c r="H462" s="85">
        <v>18347.638000000003</v>
      </c>
      <c r="I462" s="85" t="s">
        <v>630</v>
      </c>
      <c r="J462" s="128">
        <v>73065</v>
      </c>
      <c r="K462" s="128">
        <f t="shared" si="6"/>
        <v>3872445</v>
      </c>
      <c r="L462" s="125" t="s">
        <v>1063</v>
      </c>
      <c r="M462" s="85" t="s">
        <v>47</v>
      </c>
      <c r="N462" s="85" t="s">
        <v>1491</v>
      </c>
    </row>
    <row r="463" spans="2:14" ht="15.75" thickBot="1" x14ac:dyDescent="0.3">
      <c r="B463" s="82" t="s">
        <v>1072</v>
      </c>
      <c r="C463" s="83" t="s">
        <v>629</v>
      </c>
      <c r="D463" s="124" t="s">
        <v>620</v>
      </c>
      <c r="E463" s="130">
        <v>2020</v>
      </c>
      <c r="F463" s="125" t="s">
        <v>733</v>
      </c>
      <c r="G463" s="125">
        <v>53</v>
      </c>
      <c r="H463" s="85">
        <v>18665.34</v>
      </c>
      <c r="I463" s="85" t="s">
        <v>630</v>
      </c>
      <c r="J463" s="128">
        <v>74032</v>
      </c>
      <c r="K463" s="128">
        <f t="shared" si="6"/>
        <v>3923696</v>
      </c>
      <c r="L463" s="125" t="s">
        <v>1064</v>
      </c>
      <c r="M463" s="85" t="s">
        <v>47</v>
      </c>
      <c r="N463" s="85" t="s">
        <v>1491</v>
      </c>
    </row>
    <row r="464" spans="2:14" ht="15.75" thickBot="1" x14ac:dyDescent="0.3">
      <c r="B464" s="82" t="s">
        <v>1072</v>
      </c>
      <c r="C464" s="83" t="s">
        <v>629</v>
      </c>
      <c r="D464" s="124" t="s">
        <v>620</v>
      </c>
      <c r="E464" s="130">
        <v>2020</v>
      </c>
      <c r="F464" s="125" t="s">
        <v>733</v>
      </c>
      <c r="G464" s="125">
        <v>53</v>
      </c>
      <c r="H464" s="85">
        <v>19066.93</v>
      </c>
      <c r="I464" s="85" t="s">
        <v>630</v>
      </c>
      <c r="J464" s="128">
        <v>77521</v>
      </c>
      <c r="K464" s="128">
        <f t="shared" si="6"/>
        <v>4108613</v>
      </c>
      <c r="L464" s="125" t="s">
        <v>1065</v>
      </c>
      <c r="M464" s="85" t="s">
        <v>47</v>
      </c>
      <c r="N464" s="85" t="s">
        <v>1491</v>
      </c>
    </row>
    <row r="465" spans="2:14" ht="15.75" thickBot="1" x14ac:dyDescent="0.3">
      <c r="B465" s="82" t="s">
        <v>1072</v>
      </c>
      <c r="C465" s="83" t="s">
        <v>629</v>
      </c>
      <c r="D465" s="124" t="s">
        <v>620</v>
      </c>
      <c r="E465" s="130">
        <v>2020</v>
      </c>
      <c r="F465" s="125" t="s">
        <v>733</v>
      </c>
      <c r="G465" s="125">
        <v>53</v>
      </c>
      <c r="H465" s="85">
        <v>18015.920000000002</v>
      </c>
      <c r="I465" s="85" t="s">
        <v>630</v>
      </c>
      <c r="J465" s="128">
        <v>71564</v>
      </c>
      <c r="K465" s="128">
        <f t="shared" si="6"/>
        <v>3792892</v>
      </c>
      <c r="L465" s="125" t="s">
        <v>1066</v>
      </c>
      <c r="M465" s="85" t="s">
        <v>47</v>
      </c>
      <c r="N465" s="85" t="s">
        <v>1491</v>
      </c>
    </row>
    <row r="466" spans="2:14" ht="15.75" thickBot="1" x14ac:dyDescent="0.3">
      <c r="B466" s="82" t="s">
        <v>1072</v>
      </c>
      <c r="C466" s="83" t="s">
        <v>629</v>
      </c>
      <c r="D466" s="124" t="s">
        <v>620</v>
      </c>
      <c r="E466" s="130">
        <v>2020</v>
      </c>
      <c r="F466" s="125" t="s">
        <v>733</v>
      </c>
      <c r="G466" s="125">
        <v>53</v>
      </c>
      <c r="H466" s="85">
        <v>20321.989999999998</v>
      </c>
      <c r="I466" s="85" t="s">
        <v>630</v>
      </c>
      <c r="J466" s="128">
        <v>78685</v>
      </c>
      <c r="K466" s="128">
        <f t="shared" si="6"/>
        <v>4170305</v>
      </c>
      <c r="L466" s="125" t="s">
        <v>1067</v>
      </c>
      <c r="M466" s="85" t="s">
        <v>47</v>
      </c>
      <c r="N466" s="85" t="s">
        <v>1491</v>
      </c>
    </row>
    <row r="467" spans="2:14" ht="15.75" thickBot="1" x14ac:dyDescent="0.3">
      <c r="B467" s="82" t="s">
        <v>1072</v>
      </c>
      <c r="C467" s="83" t="s">
        <v>629</v>
      </c>
      <c r="D467" s="124" t="s">
        <v>620</v>
      </c>
      <c r="E467" s="130">
        <v>2020</v>
      </c>
      <c r="F467" s="125" t="s">
        <v>733</v>
      </c>
      <c r="G467" s="125">
        <v>53</v>
      </c>
      <c r="H467" s="85">
        <v>16479.09</v>
      </c>
      <c r="I467" s="85" t="s">
        <v>630</v>
      </c>
      <c r="J467" s="128">
        <v>63844</v>
      </c>
      <c r="K467" s="128">
        <f t="shared" si="6"/>
        <v>3383732</v>
      </c>
      <c r="L467" s="125" t="s">
        <v>1068</v>
      </c>
      <c r="M467" s="85" t="s">
        <v>47</v>
      </c>
      <c r="N467" s="85" t="s">
        <v>1491</v>
      </c>
    </row>
    <row r="468" spans="2:14" ht="15.75" thickBot="1" x14ac:dyDescent="0.3">
      <c r="B468" s="82" t="s">
        <v>1072</v>
      </c>
      <c r="C468" s="83" t="s">
        <v>629</v>
      </c>
      <c r="D468" s="124" t="s">
        <v>620</v>
      </c>
      <c r="E468" s="130">
        <v>2020</v>
      </c>
      <c r="F468" s="125" t="s">
        <v>733</v>
      </c>
      <c r="G468" s="125">
        <v>53</v>
      </c>
      <c r="H468" s="85">
        <v>13606.670000000002</v>
      </c>
      <c r="I468" s="85" t="s">
        <v>630</v>
      </c>
      <c r="J468" s="128">
        <v>55026</v>
      </c>
      <c r="K468" s="128">
        <f t="shared" si="6"/>
        <v>2916378</v>
      </c>
      <c r="L468" s="125" t="s">
        <v>1069</v>
      </c>
      <c r="M468" s="85" t="s">
        <v>47</v>
      </c>
      <c r="N468" s="85" t="s">
        <v>1491</v>
      </c>
    </row>
    <row r="469" spans="2:14" ht="15.75" thickBot="1" x14ac:dyDescent="0.3">
      <c r="B469" s="82" t="s">
        <v>1072</v>
      </c>
      <c r="C469" s="83" t="s">
        <v>629</v>
      </c>
      <c r="D469" s="124" t="s">
        <v>620</v>
      </c>
      <c r="E469" s="130">
        <v>2020</v>
      </c>
      <c r="F469" s="125" t="s">
        <v>733</v>
      </c>
      <c r="G469" s="125">
        <v>53</v>
      </c>
      <c r="H469" s="85">
        <v>16157.441999999999</v>
      </c>
      <c r="I469" s="85" t="s">
        <v>630</v>
      </c>
      <c r="J469" s="128">
        <v>61812</v>
      </c>
      <c r="K469" s="128">
        <f t="shared" si="6"/>
        <v>3276036</v>
      </c>
      <c r="L469" s="125" t="s">
        <v>1070</v>
      </c>
      <c r="M469" s="85" t="s">
        <v>47</v>
      </c>
      <c r="N469" s="85" t="s">
        <v>1491</v>
      </c>
    </row>
    <row r="470" spans="2:14" ht="15.75" thickBot="1" x14ac:dyDescent="0.3">
      <c r="B470" s="82" t="s">
        <v>1072</v>
      </c>
      <c r="C470" s="83" t="s">
        <v>629</v>
      </c>
      <c r="D470" s="124" t="s">
        <v>620</v>
      </c>
      <c r="E470" s="130">
        <v>2020</v>
      </c>
      <c r="F470" s="125" t="s">
        <v>733</v>
      </c>
      <c r="G470" s="125">
        <v>53</v>
      </c>
      <c r="H470" s="85">
        <v>16946.89</v>
      </c>
      <c r="I470" s="85" t="s">
        <v>630</v>
      </c>
      <c r="J470" s="128">
        <v>65733</v>
      </c>
      <c r="K470" s="128">
        <f t="shared" si="6"/>
        <v>3483849</v>
      </c>
      <c r="L470" s="125" t="s">
        <v>1071</v>
      </c>
      <c r="M470" s="85" t="s">
        <v>47</v>
      </c>
      <c r="N470" s="85" t="s">
        <v>1491</v>
      </c>
    </row>
    <row r="471" spans="2:14" ht="15.75" thickBot="1" x14ac:dyDescent="0.3">
      <c r="B471" s="82" t="s">
        <v>544</v>
      </c>
      <c r="C471" s="83" t="s">
        <v>629</v>
      </c>
      <c r="D471" s="124" t="s">
        <v>620</v>
      </c>
      <c r="E471" s="130">
        <v>2008</v>
      </c>
      <c r="F471" s="125" t="s">
        <v>731</v>
      </c>
      <c r="G471" s="125">
        <v>55</v>
      </c>
      <c r="H471" s="85">
        <v>7663.8710000000001</v>
      </c>
      <c r="I471" s="85" t="s">
        <v>630</v>
      </c>
      <c r="J471" s="128">
        <v>19308</v>
      </c>
      <c r="K471" s="128">
        <f t="shared" si="6"/>
        <v>1061940</v>
      </c>
      <c r="L471" s="125" t="s">
        <v>1073</v>
      </c>
      <c r="M471" s="85" t="s">
        <v>47</v>
      </c>
      <c r="N471" s="85" t="s">
        <v>1491</v>
      </c>
    </row>
    <row r="472" spans="2:14" ht="15.75" thickBot="1" x14ac:dyDescent="0.3">
      <c r="B472" s="82" t="s">
        <v>544</v>
      </c>
      <c r="C472" s="83" t="s">
        <v>629</v>
      </c>
      <c r="D472" s="124" t="s">
        <v>620</v>
      </c>
      <c r="E472" s="130">
        <v>2008</v>
      </c>
      <c r="F472" s="125" t="s">
        <v>731</v>
      </c>
      <c r="G472" s="125">
        <v>55</v>
      </c>
      <c r="H472" s="85">
        <v>11827.54</v>
      </c>
      <c r="I472" s="85" t="s">
        <v>630</v>
      </c>
      <c r="J472" s="128">
        <v>29645</v>
      </c>
      <c r="K472" s="128">
        <f t="shared" si="6"/>
        <v>1630475</v>
      </c>
      <c r="L472" s="125" t="s">
        <v>1074</v>
      </c>
      <c r="M472" s="85" t="s">
        <v>47</v>
      </c>
      <c r="N472" s="85" t="s">
        <v>1491</v>
      </c>
    </row>
    <row r="473" spans="2:14" ht="15.75" thickBot="1" x14ac:dyDescent="0.3">
      <c r="B473" s="82" t="s">
        <v>544</v>
      </c>
      <c r="C473" s="83" t="s">
        <v>629</v>
      </c>
      <c r="D473" s="124" t="s">
        <v>620</v>
      </c>
      <c r="E473" s="130">
        <v>2008</v>
      </c>
      <c r="F473" s="125" t="s">
        <v>731</v>
      </c>
      <c r="G473" s="125">
        <v>55</v>
      </c>
      <c r="H473" s="85">
        <v>9738.6369999999988</v>
      </c>
      <c r="I473" s="85" t="s">
        <v>630</v>
      </c>
      <c r="J473" s="128">
        <v>23679</v>
      </c>
      <c r="K473" s="128">
        <f t="shared" si="6"/>
        <v>1302345</v>
      </c>
      <c r="L473" s="125" t="s">
        <v>1075</v>
      </c>
      <c r="M473" s="85" t="s">
        <v>47</v>
      </c>
      <c r="N473" s="85" t="s">
        <v>1491</v>
      </c>
    </row>
    <row r="474" spans="2:14" ht="15.75" thickBot="1" x14ac:dyDescent="0.3">
      <c r="B474" s="82" t="s">
        <v>544</v>
      </c>
      <c r="C474" s="83" t="s">
        <v>629</v>
      </c>
      <c r="D474" s="124" t="s">
        <v>620</v>
      </c>
      <c r="E474" s="130">
        <v>2008</v>
      </c>
      <c r="F474" s="125" t="s">
        <v>731</v>
      </c>
      <c r="G474" s="125">
        <v>55</v>
      </c>
      <c r="H474" s="85">
        <v>9195.0460000000003</v>
      </c>
      <c r="I474" s="85" t="s">
        <v>630</v>
      </c>
      <c r="J474" s="128">
        <v>24790</v>
      </c>
      <c r="K474" s="128">
        <f t="shared" si="6"/>
        <v>1363450</v>
      </c>
      <c r="L474" s="125" t="s">
        <v>1076</v>
      </c>
      <c r="M474" s="85" t="s">
        <v>47</v>
      </c>
      <c r="N474" s="85" t="s">
        <v>1491</v>
      </c>
    </row>
    <row r="475" spans="2:14" ht="15.75" thickBot="1" x14ac:dyDescent="0.3">
      <c r="B475" s="82" t="s">
        <v>544</v>
      </c>
      <c r="C475" s="83" t="s">
        <v>629</v>
      </c>
      <c r="D475" s="124" t="s">
        <v>620</v>
      </c>
      <c r="E475" s="130">
        <v>2006</v>
      </c>
      <c r="F475" s="125" t="s">
        <v>731</v>
      </c>
      <c r="G475" s="125">
        <v>59</v>
      </c>
      <c r="H475" s="85">
        <v>18374.928999999996</v>
      </c>
      <c r="I475" s="85" t="s">
        <v>630</v>
      </c>
      <c r="J475" s="128">
        <v>43275</v>
      </c>
      <c r="K475" s="128">
        <f t="shared" si="6"/>
        <v>2553225</v>
      </c>
      <c r="L475" s="125" t="s">
        <v>1077</v>
      </c>
      <c r="M475" s="85" t="s">
        <v>47</v>
      </c>
      <c r="N475" s="85" t="s">
        <v>1491</v>
      </c>
    </row>
    <row r="476" spans="2:14" ht="15.75" thickBot="1" x14ac:dyDescent="0.3">
      <c r="B476" s="82" t="s">
        <v>544</v>
      </c>
      <c r="C476" s="83" t="s">
        <v>629</v>
      </c>
      <c r="D476" s="124" t="s">
        <v>620</v>
      </c>
      <c r="E476" s="130">
        <v>2006</v>
      </c>
      <c r="F476" s="125" t="s">
        <v>731</v>
      </c>
      <c r="G476" s="125">
        <v>59</v>
      </c>
      <c r="H476" s="85">
        <v>14303.306999999999</v>
      </c>
      <c r="I476" s="85" t="s">
        <v>630</v>
      </c>
      <c r="J476" s="128">
        <v>33191</v>
      </c>
      <c r="K476" s="128">
        <f t="shared" si="6"/>
        <v>1958269</v>
      </c>
      <c r="L476" s="125" t="s">
        <v>741</v>
      </c>
      <c r="M476" s="85" t="s">
        <v>47</v>
      </c>
      <c r="N476" s="85" t="s">
        <v>1491</v>
      </c>
    </row>
    <row r="477" spans="2:14" ht="15.75" thickBot="1" x14ac:dyDescent="0.3">
      <c r="B477" s="82" t="s">
        <v>544</v>
      </c>
      <c r="C477" s="83" t="s">
        <v>629</v>
      </c>
      <c r="D477" s="124" t="s">
        <v>620</v>
      </c>
      <c r="E477" s="130">
        <v>2006</v>
      </c>
      <c r="F477" s="125" t="s">
        <v>731</v>
      </c>
      <c r="G477" s="125">
        <v>15</v>
      </c>
      <c r="H477" s="85">
        <v>4312.7699999999995</v>
      </c>
      <c r="I477" s="85" t="s">
        <v>630</v>
      </c>
      <c r="J477" s="128">
        <v>33614</v>
      </c>
      <c r="K477" s="128">
        <f t="shared" si="6"/>
        <v>504210</v>
      </c>
      <c r="L477" s="125" t="s">
        <v>1078</v>
      </c>
      <c r="M477" s="85" t="s">
        <v>47</v>
      </c>
      <c r="N477" s="85" t="s">
        <v>1491</v>
      </c>
    </row>
    <row r="478" spans="2:14" ht="15.75" thickBot="1" x14ac:dyDescent="0.3">
      <c r="B478" s="82" t="s">
        <v>544</v>
      </c>
      <c r="C478" s="83" t="s">
        <v>629</v>
      </c>
      <c r="D478" s="124" t="s">
        <v>620</v>
      </c>
      <c r="E478" s="130">
        <v>2006</v>
      </c>
      <c r="F478" s="125" t="s">
        <v>731</v>
      </c>
      <c r="G478" s="125">
        <v>27</v>
      </c>
      <c r="H478" s="85">
        <v>4908.1000000000004</v>
      </c>
      <c r="I478" s="85" t="s">
        <v>630</v>
      </c>
      <c r="J478" s="128">
        <v>26776</v>
      </c>
      <c r="K478" s="128">
        <f t="shared" si="6"/>
        <v>722952</v>
      </c>
      <c r="L478" s="125" t="s">
        <v>1079</v>
      </c>
      <c r="M478" s="85" t="s">
        <v>47</v>
      </c>
      <c r="N478" s="85" t="s">
        <v>1491</v>
      </c>
    </row>
    <row r="479" spans="2:14" ht="15.75" thickBot="1" x14ac:dyDescent="0.3">
      <c r="B479" s="82" t="s">
        <v>544</v>
      </c>
      <c r="C479" s="83" t="s">
        <v>629</v>
      </c>
      <c r="D479" s="124" t="s">
        <v>620</v>
      </c>
      <c r="E479" s="130">
        <v>2007</v>
      </c>
      <c r="F479" s="125" t="s">
        <v>731</v>
      </c>
      <c r="G479" s="125">
        <v>53</v>
      </c>
      <c r="H479" s="85">
        <v>15328.579999999998</v>
      </c>
      <c r="I479" s="85" t="s">
        <v>630</v>
      </c>
      <c r="J479" s="128">
        <v>38192</v>
      </c>
      <c r="K479" s="128">
        <f t="shared" ref="K479:K542" si="7">J479*G479</f>
        <v>2024176</v>
      </c>
      <c r="L479" s="125" t="s">
        <v>1080</v>
      </c>
      <c r="M479" s="85" t="s">
        <v>47</v>
      </c>
      <c r="N479" s="85" t="s">
        <v>1491</v>
      </c>
    </row>
    <row r="480" spans="2:14" ht="15.75" thickBot="1" x14ac:dyDescent="0.3">
      <c r="B480" s="82" t="s">
        <v>544</v>
      </c>
      <c r="C480" s="83" t="s">
        <v>629</v>
      </c>
      <c r="D480" s="124" t="s">
        <v>620</v>
      </c>
      <c r="E480" s="130">
        <v>2007</v>
      </c>
      <c r="F480" s="125" t="s">
        <v>731</v>
      </c>
      <c r="G480" s="125">
        <v>53</v>
      </c>
      <c r="H480" s="85">
        <v>12068.099999999999</v>
      </c>
      <c r="I480" s="85" t="s">
        <v>630</v>
      </c>
      <c r="J480" s="128">
        <v>31875</v>
      </c>
      <c r="K480" s="128">
        <f t="shared" si="7"/>
        <v>1689375</v>
      </c>
      <c r="L480" s="125" t="s">
        <v>1081</v>
      </c>
      <c r="M480" s="85" t="s">
        <v>47</v>
      </c>
      <c r="N480" s="85" t="s">
        <v>1491</v>
      </c>
    </row>
    <row r="481" spans="2:14" ht="15.75" thickBot="1" x14ac:dyDescent="0.3">
      <c r="B481" s="82" t="s">
        <v>544</v>
      </c>
      <c r="C481" s="83" t="s">
        <v>629</v>
      </c>
      <c r="D481" s="124" t="s">
        <v>620</v>
      </c>
      <c r="E481" s="130">
        <v>2007</v>
      </c>
      <c r="F481" s="125" t="s">
        <v>731</v>
      </c>
      <c r="G481" s="125">
        <v>55</v>
      </c>
      <c r="H481" s="85">
        <v>14938.543000000001</v>
      </c>
      <c r="I481" s="85" t="s">
        <v>630</v>
      </c>
      <c r="J481" s="128">
        <v>43346</v>
      </c>
      <c r="K481" s="128">
        <f t="shared" si="7"/>
        <v>2384030</v>
      </c>
      <c r="L481" s="125" t="s">
        <v>1082</v>
      </c>
      <c r="M481" s="85" t="s">
        <v>47</v>
      </c>
      <c r="N481" s="85" t="s">
        <v>1491</v>
      </c>
    </row>
    <row r="482" spans="2:14" ht="15.75" thickBot="1" x14ac:dyDescent="0.3">
      <c r="B482" s="82" t="s">
        <v>544</v>
      </c>
      <c r="C482" s="83" t="s">
        <v>629</v>
      </c>
      <c r="D482" s="124" t="s">
        <v>620</v>
      </c>
      <c r="E482" s="130">
        <v>2008</v>
      </c>
      <c r="F482" s="125" t="s">
        <v>731</v>
      </c>
      <c r="G482" s="125">
        <v>77</v>
      </c>
      <c r="H482" s="85">
        <v>13937.773999999999</v>
      </c>
      <c r="I482" s="85" t="s">
        <v>630</v>
      </c>
      <c r="J482" s="128">
        <v>35333</v>
      </c>
      <c r="K482" s="128">
        <f t="shared" si="7"/>
        <v>2720641</v>
      </c>
      <c r="L482" s="125" t="s">
        <v>1083</v>
      </c>
      <c r="M482" s="85" t="s">
        <v>47</v>
      </c>
      <c r="N482" s="85" t="s">
        <v>1491</v>
      </c>
    </row>
    <row r="483" spans="2:14" ht="15.75" thickBot="1" x14ac:dyDescent="0.3">
      <c r="B483" s="82" t="s">
        <v>544</v>
      </c>
      <c r="C483" s="83" t="s">
        <v>629</v>
      </c>
      <c r="D483" s="124" t="s">
        <v>620</v>
      </c>
      <c r="E483" s="130">
        <v>1997</v>
      </c>
      <c r="F483" s="125" t="s">
        <v>736</v>
      </c>
      <c r="G483" s="125">
        <v>96</v>
      </c>
      <c r="H483" s="85">
        <v>10585.036999999998</v>
      </c>
      <c r="I483" s="85" t="s">
        <v>630</v>
      </c>
      <c r="J483" s="128">
        <v>23911</v>
      </c>
      <c r="K483" s="128">
        <f t="shared" si="7"/>
        <v>2295456</v>
      </c>
      <c r="L483" s="125" t="s">
        <v>1084</v>
      </c>
      <c r="M483" s="85" t="s">
        <v>47</v>
      </c>
      <c r="N483" s="85" t="s">
        <v>1491</v>
      </c>
    </row>
    <row r="484" spans="2:14" ht="15.75" thickBot="1" x14ac:dyDescent="0.3">
      <c r="B484" s="82" t="s">
        <v>544</v>
      </c>
      <c r="C484" s="83" t="s">
        <v>629</v>
      </c>
      <c r="D484" s="124" t="s">
        <v>620</v>
      </c>
      <c r="E484" s="130">
        <v>2008</v>
      </c>
      <c r="F484" s="125" t="s">
        <v>731</v>
      </c>
      <c r="G484" s="125">
        <v>53</v>
      </c>
      <c r="H484" s="85">
        <v>13098.329999999998</v>
      </c>
      <c r="I484" s="85" t="s">
        <v>630</v>
      </c>
      <c r="J484" s="128">
        <v>36781</v>
      </c>
      <c r="K484" s="128">
        <f t="shared" si="7"/>
        <v>1949393</v>
      </c>
      <c r="L484" s="125" t="s">
        <v>1085</v>
      </c>
      <c r="M484" s="85" t="s">
        <v>47</v>
      </c>
      <c r="N484" s="85" t="s">
        <v>1491</v>
      </c>
    </row>
    <row r="485" spans="2:14" ht="15.75" thickBot="1" x14ac:dyDescent="0.3">
      <c r="B485" s="82" t="s">
        <v>544</v>
      </c>
      <c r="C485" s="83" t="s">
        <v>629</v>
      </c>
      <c r="D485" s="124" t="s">
        <v>620</v>
      </c>
      <c r="E485" s="130">
        <v>2008</v>
      </c>
      <c r="F485" s="125" t="s">
        <v>731</v>
      </c>
      <c r="G485" s="125">
        <v>53</v>
      </c>
      <c r="H485" s="85">
        <v>18233.2</v>
      </c>
      <c r="I485" s="85" t="s">
        <v>630</v>
      </c>
      <c r="J485" s="128">
        <v>52364</v>
      </c>
      <c r="K485" s="128">
        <f t="shared" si="7"/>
        <v>2775292</v>
      </c>
      <c r="L485" s="125" t="s">
        <v>1086</v>
      </c>
      <c r="M485" s="85" t="s">
        <v>47</v>
      </c>
      <c r="N485" s="85" t="s">
        <v>1491</v>
      </c>
    </row>
    <row r="486" spans="2:14" ht="15.75" thickBot="1" x14ac:dyDescent="0.3">
      <c r="B486" s="82" t="s">
        <v>544</v>
      </c>
      <c r="C486" s="83" t="s">
        <v>629</v>
      </c>
      <c r="D486" s="124" t="s">
        <v>620</v>
      </c>
      <c r="E486" s="130">
        <v>2008</v>
      </c>
      <c r="F486" s="125" t="s">
        <v>731</v>
      </c>
      <c r="G486" s="125">
        <v>25</v>
      </c>
      <c r="H486" s="85">
        <v>5022.1499999999996</v>
      </c>
      <c r="I486" s="85" t="s">
        <v>630</v>
      </c>
      <c r="J486" s="128">
        <v>28936</v>
      </c>
      <c r="K486" s="128">
        <f t="shared" si="7"/>
        <v>723400</v>
      </c>
      <c r="L486" s="125" t="s">
        <v>1087</v>
      </c>
      <c r="M486" s="85" t="s">
        <v>47</v>
      </c>
      <c r="N486" s="85" t="s">
        <v>1491</v>
      </c>
    </row>
    <row r="487" spans="2:14" ht="15.75" thickBot="1" x14ac:dyDescent="0.3">
      <c r="B487" s="82" t="s">
        <v>544</v>
      </c>
      <c r="C487" s="83" t="s">
        <v>629</v>
      </c>
      <c r="D487" s="124" t="s">
        <v>620</v>
      </c>
      <c r="E487" s="130">
        <v>2008</v>
      </c>
      <c r="F487" s="125" t="s">
        <v>731</v>
      </c>
      <c r="G487" s="125">
        <v>20</v>
      </c>
      <c r="H487" s="85">
        <v>4144.66</v>
      </c>
      <c r="I487" s="85" t="s">
        <v>630</v>
      </c>
      <c r="J487" s="128">
        <v>21137</v>
      </c>
      <c r="K487" s="128">
        <f t="shared" si="7"/>
        <v>422740</v>
      </c>
      <c r="L487" s="125" t="s">
        <v>1088</v>
      </c>
      <c r="M487" s="85" t="s">
        <v>47</v>
      </c>
      <c r="N487" s="85" t="s">
        <v>1491</v>
      </c>
    </row>
    <row r="488" spans="2:14" ht="15.75" thickBot="1" x14ac:dyDescent="0.3">
      <c r="B488" s="82" t="s">
        <v>544</v>
      </c>
      <c r="C488" s="83" t="s">
        <v>629</v>
      </c>
      <c r="D488" s="124" t="s">
        <v>620</v>
      </c>
      <c r="E488" s="130">
        <v>2009</v>
      </c>
      <c r="F488" s="125" t="s">
        <v>734</v>
      </c>
      <c r="G488" s="125">
        <v>66</v>
      </c>
      <c r="H488" s="85">
        <v>11625.89</v>
      </c>
      <c r="I488" s="85" t="s">
        <v>630</v>
      </c>
      <c r="J488" s="128">
        <v>29641</v>
      </c>
      <c r="K488" s="128">
        <f t="shared" si="7"/>
        <v>1956306</v>
      </c>
      <c r="L488" s="125" t="s">
        <v>1089</v>
      </c>
      <c r="M488" s="85" t="s">
        <v>47</v>
      </c>
      <c r="N488" s="85" t="s">
        <v>1491</v>
      </c>
    </row>
    <row r="489" spans="2:14" ht="15.75" thickBot="1" x14ac:dyDescent="0.3">
      <c r="B489" s="82" t="s">
        <v>544</v>
      </c>
      <c r="C489" s="83" t="s">
        <v>629</v>
      </c>
      <c r="D489" s="124" t="s">
        <v>620</v>
      </c>
      <c r="E489" s="130">
        <v>2009</v>
      </c>
      <c r="F489" s="125" t="s">
        <v>734</v>
      </c>
      <c r="G489" s="125">
        <v>83</v>
      </c>
      <c r="H489" s="85">
        <v>28833.219000000005</v>
      </c>
      <c r="I489" s="85" t="s">
        <v>630</v>
      </c>
      <c r="J489" s="128">
        <v>70873</v>
      </c>
      <c r="K489" s="128">
        <f t="shared" si="7"/>
        <v>5882459</v>
      </c>
      <c r="L489" s="125" t="s">
        <v>1090</v>
      </c>
      <c r="M489" s="85" t="s">
        <v>47</v>
      </c>
      <c r="N489" s="85" t="s">
        <v>1491</v>
      </c>
    </row>
    <row r="490" spans="2:14" ht="15.75" thickBot="1" x14ac:dyDescent="0.3">
      <c r="B490" s="82" t="s">
        <v>544</v>
      </c>
      <c r="C490" s="83" t="s">
        <v>629</v>
      </c>
      <c r="D490" s="124" t="s">
        <v>620</v>
      </c>
      <c r="E490" s="130">
        <v>2009</v>
      </c>
      <c r="F490" s="125" t="s">
        <v>734</v>
      </c>
      <c r="G490" s="125">
        <v>83</v>
      </c>
      <c r="H490" s="85">
        <v>23512.665000000005</v>
      </c>
      <c r="I490" s="85" t="s">
        <v>630</v>
      </c>
      <c r="J490" s="128">
        <v>54794</v>
      </c>
      <c r="K490" s="128">
        <f t="shared" si="7"/>
        <v>4547902</v>
      </c>
      <c r="L490" s="125" t="s">
        <v>1091</v>
      </c>
      <c r="M490" s="85" t="s">
        <v>47</v>
      </c>
      <c r="N490" s="85" t="s">
        <v>1491</v>
      </c>
    </row>
    <row r="491" spans="2:14" ht="15.75" thickBot="1" x14ac:dyDescent="0.3">
      <c r="B491" s="82" t="s">
        <v>544</v>
      </c>
      <c r="C491" s="83" t="s">
        <v>629</v>
      </c>
      <c r="D491" s="124" t="s">
        <v>620</v>
      </c>
      <c r="E491" s="130">
        <v>2009</v>
      </c>
      <c r="F491" s="125" t="s">
        <v>734</v>
      </c>
      <c r="G491" s="125">
        <v>53</v>
      </c>
      <c r="H491" s="85">
        <v>20903.398000000001</v>
      </c>
      <c r="I491" s="85" t="s">
        <v>630</v>
      </c>
      <c r="J491" s="128">
        <v>53384</v>
      </c>
      <c r="K491" s="128">
        <f t="shared" si="7"/>
        <v>2829352</v>
      </c>
      <c r="L491" s="125" t="s">
        <v>1092</v>
      </c>
      <c r="M491" s="85" t="s">
        <v>47</v>
      </c>
      <c r="N491" s="85" t="s">
        <v>1491</v>
      </c>
    </row>
    <row r="492" spans="2:14" ht="15.75" thickBot="1" x14ac:dyDescent="0.3">
      <c r="B492" s="82" t="s">
        <v>544</v>
      </c>
      <c r="C492" s="83" t="s">
        <v>629</v>
      </c>
      <c r="D492" s="124" t="s">
        <v>620</v>
      </c>
      <c r="E492" s="130">
        <v>2009</v>
      </c>
      <c r="F492" s="125" t="s">
        <v>734</v>
      </c>
      <c r="G492" s="125">
        <v>60</v>
      </c>
      <c r="H492" s="85">
        <v>3128.5899999999997</v>
      </c>
      <c r="I492" s="85" t="s">
        <v>630</v>
      </c>
      <c r="J492" s="128">
        <v>8559</v>
      </c>
      <c r="K492" s="128">
        <f t="shared" si="7"/>
        <v>513540</v>
      </c>
      <c r="L492" s="125" t="s">
        <v>1093</v>
      </c>
      <c r="M492" s="85" t="s">
        <v>47</v>
      </c>
      <c r="N492" s="85" t="s">
        <v>1491</v>
      </c>
    </row>
    <row r="493" spans="2:14" ht="15.75" thickBot="1" x14ac:dyDescent="0.3">
      <c r="B493" s="82" t="s">
        <v>544</v>
      </c>
      <c r="C493" s="83" t="s">
        <v>629</v>
      </c>
      <c r="D493" s="124" t="s">
        <v>620</v>
      </c>
      <c r="E493" s="130">
        <v>2008</v>
      </c>
      <c r="F493" s="125" t="s">
        <v>731</v>
      </c>
      <c r="G493" s="125">
        <v>95</v>
      </c>
      <c r="H493" s="85">
        <v>33190.101000000002</v>
      </c>
      <c r="I493" s="85" t="s">
        <v>630</v>
      </c>
      <c r="J493" s="128">
        <v>75551</v>
      </c>
      <c r="K493" s="128">
        <f t="shared" si="7"/>
        <v>7177345</v>
      </c>
      <c r="L493" s="125" t="s">
        <v>1094</v>
      </c>
      <c r="M493" s="85" t="s">
        <v>47</v>
      </c>
      <c r="N493" s="85" t="s">
        <v>1491</v>
      </c>
    </row>
    <row r="494" spans="2:14" ht="15.75" thickBot="1" x14ac:dyDescent="0.3">
      <c r="B494" s="82" t="s">
        <v>544</v>
      </c>
      <c r="C494" s="83" t="s">
        <v>629</v>
      </c>
      <c r="D494" s="124" t="s">
        <v>620</v>
      </c>
      <c r="E494" s="130">
        <v>2010</v>
      </c>
      <c r="F494" s="125" t="s">
        <v>734</v>
      </c>
      <c r="G494" s="125">
        <v>59</v>
      </c>
      <c r="H494" s="85">
        <v>10350.083999999999</v>
      </c>
      <c r="I494" s="85" t="s">
        <v>630</v>
      </c>
      <c r="J494" s="128">
        <v>23961</v>
      </c>
      <c r="K494" s="128">
        <f t="shared" si="7"/>
        <v>1413699</v>
      </c>
      <c r="L494" s="125" t="s">
        <v>1095</v>
      </c>
      <c r="M494" s="85" t="s">
        <v>47</v>
      </c>
      <c r="N494" s="85" t="s">
        <v>1491</v>
      </c>
    </row>
    <row r="495" spans="2:14" ht="15.75" thickBot="1" x14ac:dyDescent="0.3">
      <c r="B495" s="82" t="s">
        <v>544</v>
      </c>
      <c r="C495" s="83" t="s">
        <v>629</v>
      </c>
      <c r="D495" s="124" t="s">
        <v>620</v>
      </c>
      <c r="E495" s="130">
        <v>2007</v>
      </c>
      <c r="F495" s="125" t="s">
        <v>731</v>
      </c>
      <c r="G495" s="125">
        <v>57</v>
      </c>
      <c r="H495" s="85">
        <v>21755.670000000002</v>
      </c>
      <c r="I495" s="85" t="s">
        <v>630</v>
      </c>
      <c r="J495" s="128">
        <v>56393</v>
      </c>
      <c r="K495" s="128">
        <f t="shared" si="7"/>
        <v>3214401</v>
      </c>
      <c r="L495" s="125" t="s">
        <v>1096</v>
      </c>
      <c r="M495" s="85" t="s">
        <v>47</v>
      </c>
      <c r="N495" s="85" t="s">
        <v>1491</v>
      </c>
    </row>
    <row r="496" spans="2:14" ht="15.75" thickBot="1" x14ac:dyDescent="0.3">
      <c r="B496" s="82" t="s">
        <v>544</v>
      </c>
      <c r="C496" s="83" t="s">
        <v>629</v>
      </c>
      <c r="D496" s="124" t="s">
        <v>620</v>
      </c>
      <c r="E496" s="130">
        <v>2009</v>
      </c>
      <c r="F496" s="125" t="s">
        <v>734</v>
      </c>
      <c r="G496" s="125">
        <v>71</v>
      </c>
      <c r="H496" s="85">
        <v>17752.546000000002</v>
      </c>
      <c r="I496" s="85" t="s">
        <v>630</v>
      </c>
      <c r="J496" s="128">
        <v>39841</v>
      </c>
      <c r="K496" s="128">
        <f t="shared" si="7"/>
        <v>2828711</v>
      </c>
      <c r="L496" s="125" t="s">
        <v>1097</v>
      </c>
      <c r="M496" s="85" t="s">
        <v>47</v>
      </c>
      <c r="N496" s="85" t="s">
        <v>1491</v>
      </c>
    </row>
    <row r="497" spans="2:14" ht="15.75" thickBot="1" x14ac:dyDescent="0.3">
      <c r="B497" s="82" t="s">
        <v>544</v>
      </c>
      <c r="C497" s="83" t="s">
        <v>629</v>
      </c>
      <c r="D497" s="124" t="s">
        <v>620</v>
      </c>
      <c r="E497" s="130">
        <v>2009</v>
      </c>
      <c r="F497" s="125" t="s">
        <v>734</v>
      </c>
      <c r="G497" s="125">
        <v>71</v>
      </c>
      <c r="H497" s="85">
        <v>10776.28</v>
      </c>
      <c r="I497" s="85" t="s">
        <v>630</v>
      </c>
      <c r="J497" s="128">
        <v>24725</v>
      </c>
      <c r="K497" s="128">
        <f t="shared" si="7"/>
        <v>1755475</v>
      </c>
      <c r="L497" s="125" t="s">
        <v>1098</v>
      </c>
      <c r="M497" s="85" t="s">
        <v>47</v>
      </c>
      <c r="N497" s="85" t="s">
        <v>1491</v>
      </c>
    </row>
    <row r="498" spans="2:14" ht="15.75" thickBot="1" x14ac:dyDescent="0.3">
      <c r="B498" s="82" t="s">
        <v>544</v>
      </c>
      <c r="C498" s="83" t="s">
        <v>629</v>
      </c>
      <c r="D498" s="124" t="s">
        <v>620</v>
      </c>
      <c r="E498" s="130">
        <v>2001</v>
      </c>
      <c r="F498" s="125" t="s">
        <v>732</v>
      </c>
      <c r="G498" s="125">
        <v>55</v>
      </c>
      <c r="H498" s="85">
        <v>11819.01</v>
      </c>
      <c r="I498" s="85" t="s">
        <v>630</v>
      </c>
      <c r="J498" s="128">
        <v>31831</v>
      </c>
      <c r="K498" s="128">
        <f t="shared" si="7"/>
        <v>1750705</v>
      </c>
      <c r="L498" s="125" t="s">
        <v>1099</v>
      </c>
      <c r="M498" s="85" t="s">
        <v>47</v>
      </c>
      <c r="N498" s="85" t="s">
        <v>1491</v>
      </c>
    </row>
    <row r="499" spans="2:14" ht="15.75" thickBot="1" x14ac:dyDescent="0.3">
      <c r="B499" s="82" t="s">
        <v>544</v>
      </c>
      <c r="C499" s="83" t="s">
        <v>629</v>
      </c>
      <c r="D499" s="124" t="s">
        <v>620</v>
      </c>
      <c r="E499" s="130">
        <v>2001</v>
      </c>
      <c r="F499" s="125" t="s">
        <v>732</v>
      </c>
      <c r="G499" s="125">
        <v>55</v>
      </c>
      <c r="H499" s="85">
        <v>10915.310000000003</v>
      </c>
      <c r="I499" s="85" t="s">
        <v>630</v>
      </c>
      <c r="J499" s="128">
        <v>28022</v>
      </c>
      <c r="K499" s="128">
        <f t="shared" si="7"/>
        <v>1541210</v>
      </c>
      <c r="L499" s="125" t="s">
        <v>1100</v>
      </c>
      <c r="M499" s="85" t="s">
        <v>47</v>
      </c>
      <c r="N499" s="85" t="s">
        <v>1491</v>
      </c>
    </row>
    <row r="500" spans="2:14" ht="15.75" thickBot="1" x14ac:dyDescent="0.3">
      <c r="B500" s="82" t="s">
        <v>544</v>
      </c>
      <c r="C500" s="83" t="s">
        <v>629</v>
      </c>
      <c r="D500" s="124" t="s">
        <v>620</v>
      </c>
      <c r="E500" s="130">
        <v>2001</v>
      </c>
      <c r="F500" s="125" t="s">
        <v>732</v>
      </c>
      <c r="G500" s="125">
        <v>55</v>
      </c>
      <c r="H500" s="85">
        <v>10524.800000000001</v>
      </c>
      <c r="I500" s="85" t="s">
        <v>630</v>
      </c>
      <c r="J500" s="128">
        <v>27814</v>
      </c>
      <c r="K500" s="128">
        <f t="shared" si="7"/>
        <v>1529770</v>
      </c>
      <c r="L500" s="125" t="s">
        <v>1101</v>
      </c>
      <c r="M500" s="85" t="s">
        <v>47</v>
      </c>
      <c r="N500" s="85" t="s">
        <v>1491</v>
      </c>
    </row>
    <row r="501" spans="2:14" ht="15.75" thickBot="1" x14ac:dyDescent="0.3">
      <c r="B501" s="82" t="s">
        <v>544</v>
      </c>
      <c r="C501" s="83" t="s">
        <v>629</v>
      </c>
      <c r="D501" s="124" t="s">
        <v>620</v>
      </c>
      <c r="E501" s="130">
        <v>2001</v>
      </c>
      <c r="F501" s="125" t="s">
        <v>732</v>
      </c>
      <c r="G501" s="125">
        <v>55</v>
      </c>
      <c r="H501" s="85">
        <v>12080.310000000001</v>
      </c>
      <c r="I501" s="85" t="s">
        <v>630</v>
      </c>
      <c r="J501" s="128">
        <v>30827</v>
      </c>
      <c r="K501" s="128">
        <f t="shared" si="7"/>
        <v>1695485</v>
      </c>
      <c r="L501" s="125" t="s">
        <v>1102</v>
      </c>
      <c r="M501" s="85" t="s">
        <v>47</v>
      </c>
      <c r="N501" s="85" t="s">
        <v>1491</v>
      </c>
    </row>
    <row r="502" spans="2:14" ht="15.75" thickBot="1" x14ac:dyDescent="0.3">
      <c r="B502" s="82" t="s">
        <v>544</v>
      </c>
      <c r="C502" s="83" t="s">
        <v>629</v>
      </c>
      <c r="D502" s="124" t="s">
        <v>620</v>
      </c>
      <c r="E502" s="130">
        <v>1996</v>
      </c>
      <c r="F502" s="125" t="s">
        <v>736</v>
      </c>
      <c r="G502" s="125">
        <v>53</v>
      </c>
      <c r="H502" s="85">
        <v>8044.18</v>
      </c>
      <c r="I502" s="85" t="s">
        <v>630</v>
      </c>
      <c r="J502" s="128">
        <v>23421</v>
      </c>
      <c r="K502" s="128">
        <f t="shared" si="7"/>
        <v>1241313</v>
      </c>
      <c r="L502" s="125" t="s">
        <v>782</v>
      </c>
      <c r="M502" s="85" t="s">
        <v>47</v>
      </c>
      <c r="N502" s="85" t="s">
        <v>1491</v>
      </c>
    </row>
    <row r="503" spans="2:14" ht="15.75" thickBot="1" x14ac:dyDescent="0.3">
      <c r="B503" s="82" t="s">
        <v>544</v>
      </c>
      <c r="C503" s="83" t="s">
        <v>629</v>
      </c>
      <c r="D503" s="124" t="s">
        <v>620</v>
      </c>
      <c r="E503" s="130">
        <v>1996</v>
      </c>
      <c r="F503" s="125" t="s">
        <v>736</v>
      </c>
      <c r="G503" s="125">
        <v>53</v>
      </c>
      <c r="H503" s="85">
        <v>6795.07</v>
      </c>
      <c r="I503" s="85" t="s">
        <v>630</v>
      </c>
      <c r="J503" s="128">
        <v>19597</v>
      </c>
      <c r="K503" s="128">
        <f t="shared" si="7"/>
        <v>1038641</v>
      </c>
      <c r="L503" s="125" t="s">
        <v>1103</v>
      </c>
      <c r="M503" s="85" t="s">
        <v>47</v>
      </c>
      <c r="N503" s="85" t="s">
        <v>1491</v>
      </c>
    </row>
    <row r="504" spans="2:14" ht="15.75" thickBot="1" x14ac:dyDescent="0.3">
      <c r="B504" s="82" t="s">
        <v>544</v>
      </c>
      <c r="C504" s="83" t="s">
        <v>629</v>
      </c>
      <c r="D504" s="124" t="s">
        <v>620</v>
      </c>
      <c r="E504" s="130">
        <v>1998</v>
      </c>
      <c r="F504" s="125" t="s">
        <v>736</v>
      </c>
      <c r="G504" s="125">
        <v>98</v>
      </c>
      <c r="H504" s="85">
        <v>6549.9800000000005</v>
      </c>
      <c r="I504" s="85" t="s">
        <v>630</v>
      </c>
      <c r="J504" s="128">
        <v>11996</v>
      </c>
      <c r="K504" s="128">
        <f t="shared" si="7"/>
        <v>1175608</v>
      </c>
      <c r="L504" s="125" t="s">
        <v>1104</v>
      </c>
      <c r="M504" s="85" t="s">
        <v>47</v>
      </c>
      <c r="N504" s="85" t="s">
        <v>1491</v>
      </c>
    </row>
    <row r="505" spans="2:14" ht="15.75" thickBot="1" x14ac:dyDescent="0.3">
      <c r="B505" s="82" t="s">
        <v>544</v>
      </c>
      <c r="C505" s="83" t="s">
        <v>629</v>
      </c>
      <c r="D505" s="124" t="s">
        <v>620</v>
      </c>
      <c r="E505" s="130">
        <v>1998</v>
      </c>
      <c r="F505" s="125" t="s">
        <v>736</v>
      </c>
      <c r="G505" s="125">
        <v>98</v>
      </c>
      <c r="H505" s="85">
        <v>1362.46</v>
      </c>
      <c r="I505" s="85" t="s">
        <v>630</v>
      </c>
      <c r="J505" s="128">
        <v>2627</v>
      </c>
      <c r="K505" s="128">
        <f t="shared" si="7"/>
        <v>257446</v>
      </c>
      <c r="L505" s="125" t="s">
        <v>1105</v>
      </c>
      <c r="M505" s="85" t="s">
        <v>47</v>
      </c>
      <c r="N505" s="85" t="s">
        <v>1491</v>
      </c>
    </row>
    <row r="506" spans="2:14" ht="15.75" thickBot="1" x14ac:dyDescent="0.3">
      <c r="B506" s="82" t="s">
        <v>544</v>
      </c>
      <c r="C506" s="83" t="s">
        <v>629</v>
      </c>
      <c r="D506" s="124" t="s">
        <v>620</v>
      </c>
      <c r="E506" s="130">
        <v>2000</v>
      </c>
      <c r="F506" s="125" t="s">
        <v>735</v>
      </c>
      <c r="G506" s="125">
        <v>71</v>
      </c>
      <c r="H506" s="85">
        <v>16080.009999999998</v>
      </c>
      <c r="I506" s="85" t="s">
        <v>630</v>
      </c>
      <c r="J506" s="128">
        <v>48644</v>
      </c>
      <c r="K506" s="128">
        <f t="shared" si="7"/>
        <v>3453724</v>
      </c>
      <c r="L506" s="125" t="s">
        <v>1106</v>
      </c>
      <c r="M506" s="85" t="s">
        <v>47</v>
      </c>
      <c r="N506" s="85" t="s">
        <v>1491</v>
      </c>
    </row>
    <row r="507" spans="2:14" ht="15.75" thickBot="1" x14ac:dyDescent="0.3">
      <c r="B507" s="82" t="s">
        <v>544</v>
      </c>
      <c r="C507" s="83" t="s">
        <v>629</v>
      </c>
      <c r="D507" s="124" t="s">
        <v>620</v>
      </c>
      <c r="E507" s="130">
        <v>2012</v>
      </c>
      <c r="F507" s="125" t="s">
        <v>734</v>
      </c>
      <c r="G507" s="125">
        <v>53</v>
      </c>
      <c r="H507" s="85">
        <v>22902.079999999998</v>
      </c>
      <c r="I507" s="85" t="s">
        <v>630</v>
      </c>
      <c r="J507" s="128">
        <v>67058</v>
      </c>
      <c r="K507" s="128">
        <f t="shared" si="7"/>
        <v>3554074</v>
      </c>
      <c r="L507" s="125" t="s">
        <v>1107</v>
      </c>
      <c r="M507" s="85" t="s">
        <v>47</v>
      </c>
      <c r="N507" s="85" t="s">
        <v>1491</v>
      </c>
    </row>
    <row r="508" spans="2:14" ht="15.75" thickBot="1" x14ac:dyDescent="0.3">
      <c r="B508" s="82" t="s">
        <v>544</v>
      </c>
      <c r="C508" s="83" t="s">
        <v>629</v>
      </c>
      <c r="D508" s="124" t="s">
        <v>620</v>
      </c>
      <c r="E508" s="130">
        <v>2004</v>
      </c>
      <c r="F508" s="125" t="s">
        <v>732</v>
      </c>
      <c r="G508" s="125">
        <v>85</v>
      </c>
      <c r="H508" s="85">
        <v>11413.87</v>
      </c>
      <c r="I508" s="85" t="s">
        <v>630</v>
      </c>
      <c r="J508" s="128">
        <v>28996</v>
      </c>
      <c r="K508" s="128">
        <f t="shared" si="7"/>
        <v>2464660</v>
      </c>
      <c r="L508" s="125" t="s">
        <v>787</v>
      </c>
      <c r="M508" s="85" t="s">
        <v>47</v>
      </c>
      <c r="N508" s="85" t="s">
        <v>1491</v>
      </c>
    </row>
    <row r="509" spans="2:14" ht="15.75" thickBot="1" x14ac:dyDescent="0.3">
      <c r="B509" s="82" t="s">
        <v>544</v>
      </c>
      <c r="C509" s="83" t="s">
        <v>629</v>
      </c>
      <c r="D509" s="124" t="s">
        <v>620</v>
      </c>
      <c r="E509" s="130">
        <v>1999</v>
      </c>
      <c r="F509" s="125" t="s">
        <v>736</v>
      </c>
      <c r="G509" s="125">
        <v>76</v>
      </c>
      <c r="H509" s="85">
        <v>12473.980000000001</v>
      </c>
      <c r="I509" s="85" t="s">
        <v>630</v>
      </c>
      <c r="J509" s="128">
        <v>31972</v>
      </c>
      <c r="K509" s="128">
        <f t="shared" si="7"/>
        <v>2429872</v>
      </c>
      <c r="L509" s="125" t="s">
        <v>1108</v>
      </c>
      <c r="M509" s="85" t="s">
        <v>47</v>
      </c>
      <c r="N509" s="85" t="s">
        <v>1491</v>
      </c>
    </row>
    <row r="510" spans="2:14" ht="15.75" thickBot="1" x14ac:dyDescent="0.3">
      <c r="B510" s="82" t="s">
        <v>544</v>
      </c>
      <c r="C510" s="83" t="s">
        <v>629</v>
      </c>
      <c r="D510" s="124" t="s">
        <v>620</v>
      </c>
      <c r="E510" s="130">
        <v>1999</v>
      </c>
      <c r="F510" s="125" t="s">
        <v>736</v>
      </c>
      <c r="G510" s="125">
        <v>76</v>
      </c>
      <c r="H510" s="85">
        <v>3786.9400000000005</v>
      </c>
      <c r="I510" s="85" t="s">
        <v>630</v>
      </c>
      <c r="J510" s="128">
        <v>9821</v>
      </c>
      <c r="K510" s="128">
        <f t="shared" si="7"/>
        <v>746396</v>
      </c>
      <c r="L510" s="125" t="s">
        <v>1109</v>
      </c>
      <c r="M510" s="85" t="s">
        <v>47</v>
      </c>
      <c r="N510" s="85" t="s">
        <v>1491</v>
      </c>
    </row>
    <row r="511" spans="2:14" ht="15.75" thickBot="1" x14ac:dyDescent="0.3">
      <c r="B511" s="82" t="s">
        <v>544</v>
      </c>
      <c r="C511" s="83" t="s">
        <v>629</v>
      </c>
      <c r="D511" s="124" t="s">
        <v>620</v>
      </c>
      <c r="E511" s="130">
        <v>1999</v>
      </c>
      <c r="F511" s="125" t="s">
        <v>736</v>
      </c>
      <c r="G511" s="125">
        <v>76</v>
      </c>
      <c r="H511" s="85">
        <v>15933.84</v>
      </c>
      <c r="I511" s="85" t="s">
        <v>630</v>
      </c>
      <c r="J511" s="128">
        <v>42473</v>
      </c>
      <c r="K511" s="128">
        <f t="shared" si="7"/>
        <v>3227948</v>
      </c>
      <c r="L511" s="125" t="s">
        <v>1110</v>
      </c>
      <c r="M511" s="85" t="s">
        <v>47</v>
      </c>
      <c r="N511" s="85" t="s">
        <v>1491</v>
      </c>
    </row>
    <row r="512" spans="2:14" ht="15.75" thickBot="1" x14ac:dyDescent="0.3">
      <c r="B512" s="82" t="s">
        <v>544</v>
      </c>
      <c r="C512" s="83" t="s">
        <v>629</v>
      </c>
      <c r="D512" s="124" t="s">
        <v>620</v>
      </c>
      <c r="E512" s="130">
        <v>1998</v>
      </c>
      <c r="F512" s="125" t="s">
        <v>736</v>
      </c>
      <c r="G512" s="125">
        <v>66</v>
      </c>
      <c r="H512" s="85">
        <v>15794.55</v>
      </c>
      <c r="I512" s="85" t="s">
        <v>630</v>
      </c>
      <c r="J512" s="128">
        <v>39988</v>
      </c>
      <c r="K512" s="128">
        <f t="shared" si="7"/>
        <v>2639208</v>
      </c>
      <c r="L512" s="125" t="s">
        <v>1111</v>
      </c>
      <c r="M512" s="85" t="s">
        <v>47</v>
      </c>
      <c r="N512" s="85" t="s">
        <v>1491</v>
      </c>
    </row>
    <row r="513" spans="2:14" ht="15.75" thickBot="1" x14ac:dyDescent="0.3">
      <c r="B513" s="82" t="s">
        <v>544</v>
      </c>
      <c r="C513" s="83" t="s">
        <v>629</v>
      </c>
      <c r="D513" s="124" t="s">
        <v>620</v>
      </c>
      <c r="E513" s="130">
        <v>1999</v>
      </c>
      <c r="F513" s="125" t="s">
        <v>736</v>
      </c>
      <c r="G513" s="125">
        <v>76</v>
      </c>
      <c r="H513" s="85">
        <v>14924.28</v>
      </c>
      <c r="I513" s="85" t="s">
        <v>630</v>
      </c>
      <c r="J513" s="128">
        <v>41080</v>
      </c>
      <c r="K513" s="128">
        <f t="shared" si="7"/>
        <v>3122080</v>
      </c>
      <c r="L513" s="125" t="s">
        <v>1112</v>
      </c>
      <c r="M513" s="85" t="s">
        <v>47</v>
      </c>
      <c r="N513" s="85" t="s">
        <v>1491</v>
      </c>
    </row>
    <row r="514" spans="2:14" ht="15.75" thickBot="1" x14ac:dyDescent="0.3">
      <c r="B514" s="82" t="s">
        <v>544</v>
      </c>
      <c r="C514" s="83" t="s">
        <v>629</v>
      </c>
      <c r="D514" s="124" t="s">
        <v>620</v>
      </c>
      <c r="E514" s="130">
        <v>2003</v>
      </c>
      <c r="F514" s="125" t="s">
        <v>732</v>
      </c>
      <c r="G514" s="125">
        <v>61</v>
      </c>
      <c r="H514" s="85">
        <v>26690.162</v>
      </c>
      <c r="I514" s="85" t="s">
        <v>630</v>
      </c>
      <c r="J514" s="128">
        <v>61030</v>
      </c>
      <c r="K514" s="128">
        <f t="shared" si="7"/>
        <v>3722830</v>
      </c>
      <c r="L514" s="125" t="s">
        <v>1113</v>
      </c>
      <c r="M514" s="85" t="s">
        <v>47</v>
      </c>
      <c r="N514" s="85" t="s">
        <v>1491</v>
      </c>
    </row>
    <row r="515" spans="2:14" ht="15.75" thickBot="1" x14ac:dyDescent="0.3">
      <c r="B515" s="82" t="s">
        <v>544</v>
      </c>
      <c r="C515" s="83" t="s">
        <v>629</v>
      </c>
      <c r="D515" s="124" t="s">
        <v>620</v>
      </c>
      <c r="E515" s="130">
        <v>2008</v>
      </c>
      <c r="F515" s="125" t="s">
        <v>731</v>
      </c>
      <c r="G515" s="125">
        <v>59</v>
      </c>
      <c r="H515" s="85">
        <v>26158.875000000004</v>
      </c>
      <c r="I515" s="85" t="s">
        <v>630</v>
      </c>
      <c r="J515" s="128">
        <v>60230</v>
      </c>
      <c r="K515" s="128">
        <f t="shared" si="7"/>
        <v>3553570</v>
      </c>
      <c r="L515" s="125" t="s">
        <v>1114</v>
      </c>
      <c r="M515" s="85" t="s">
        <v>47</v>
      </c>
      <c r="N515" s="85" t="s">
        <v>1491</v>
      </c>
    </row>
    <row r="516" spans="2:14" ht="15.75" thickBot="1" x14ac:dyDescent="0.3">
      <c r="B516" s="82" t="s">
        <v>544</v>
      </c>
      <c r="C516" s="83" t="s">
        <v>629</v>
      </c>
      <c r="D516" s="124" t="s">
        <v>620</v>
      </c>
      <c r="E516" s="130">
        <v>2004</v>
      </c>
      <c r="F516" s="125" t="s">
        <v>732</v>
      </c>
      <c r="G516" s="125">
        <v>60</v>
      </c>
      <c r="H516" s="85">
        <v>3896.6</v>
      </c>
      <c r="I516" s="85" t="s">
        <v>630</v>
      </c>
      <c r="J516" s="128">
        <v>10443</v>
      </c>
      <c r="K516" s="128">
        <f t="shared" si="7"/>
        <v>626580</v>
      </c>
      <c r="L516" s="125" t="s">
        <v>1115</v>
      </c>
      <c r="M516" s="85" t="s">
        <v>47</v>
      </c>
      <c r="N516" s="85" t="s">
        <v>1491</v>
      </c>
    </row>
    <row r="517" spans="2:14" ht="15.75" thickBot="1" x14ac:dyDescent="0.3">
      <c r="B517" s="82" t="s">
        <v>544</v>
      </c>
      <c r="C517" s="83" t="s">
        <v>629</v>
      </c>
      <c r="D517" s="124" t="s">
        <v>620</v>
      </c>
      <c r="E517" s="130">
        <v>2005</v>
      </c>
      <c r="F517" s="125" t="s">
        <v>732</v>
      </c>
      <c r="G517" s="125">
        <v>69</v>
      </c>
      <c r="H517" s="85">
        <v>8141.9699999999993</v>
      </c>
      <c r="I517" s="85" t="s">
        <v>630</v>
      </c>
      <c r="J517" s="128">
        <v>17065</v>
      </c>
      <c r="K517" s="128">
        <f t="shared" si="7"/>
        <v>1177485</v>
      </c>
      <c r="L517" s="125" t="s">
        <v>1116</v>
      </c>
      <c r="M517" s="85" t="s">
        <v>47</v>
      </c>
      <c r="N517" s="85" t="s">
        <v>1491</v>
      </c>
    </row>
    <row r="518" spans="2:14" ht="15.75" thickBot="1" x14ac:dyDescent="0.3">
      <c r="B518" s="82" t="s">
        <v>544</v>
      </c>
      <c r="C518" s="83" t="s">
        <v>629</v>
      </c>
      <c r="D518" s="124" t="s">
        <v>620</v>
      </c>
      <c r="E518" s="130">
        <v>2005</v>
      </c>
      <c r="F518" s="125" t="s">
        <v>732</v>
      </c>
      <c r="G518" s="125">
        <v>69</v>
      </c>
      <c r="H518" s="85">
        <v>22616.781000000003</v>
      </c>
      <c r="I518" s="85" t="s">
        <v>630</v>
      </c>
      <c r="J518" s="128">
        <v>45220</v>
      </c>
      <c r="K518" s="128">
        <f t="shared" si="7"/>
        <v>3120180</v>
      </c>
      <c r="L518" s="125" t="s">
        <v>1117</v>
      </c>
      <c r="M518" s="85" t="s">
        <v>47</v>
      </c>
      <c r="N518" s="85" t="s">
        <v>1491</v>
      </c>
    </row>
    <row r="519" spans="2:14" ht="15.75" thickBot="1" x14ac:dyDescent="0.3">
      <c r="B519" s="82" t="s">
        <v>544</v>
      </c>
      <c r="C519" s="83" t="s">
        <v>629</v>
      </c>
      <c r="D519" s="124" t="s">
        <v>620</v>
      </c>
      <c r="E519" s="130">
        <v>2005</v>
      </c>
      <c r="F519" s="125" t="s">
        <v>732</v>
      </c>
      <c r="G519" s="125">
        <v>69</v>
      </c>
      <c r="H519" s="85">
        <v>19932.920000000002</v>
      </c>
      <c r="I519" s="85" t="s">
        <v>630</v>
      </c>
      <c r="J519" s="128">
        <v>39655</v>
      </c>
      <c r="K519" s="128">
        <f t="shared" si="7"/>
        <v>2736195</v>
      </c>
      <c r="L519" s="125" t="s">
        <v>1118</v>
      </c>
      <c r="M519" s="85" t="s">
        <v>47</v>
      </c>
      <c r="N519" s="85" t="s">
        <v>1491</v>
      </c>
    </row>
    <row r="520" spans="2:14" ht="15.75" thickBot="1" x14ac:dyDescent="0.3">
      <c r="B520" s="82" t="s">
        <v>544</v>
      </c>
      <c r="C520" s="83" t="s">
        <v>629</v>
      </c>
      <c r="D520" s="124" t="s">
        <v>620</v>
      </c>
      <c r="E520" s="130">
        <v>2002</v>
      </c>
      <c r="F520" s="125" t="s">
        <v>732</v>
      </c>
      <c r="G520" s="125">
        <v>69</v>
      </c>
      <c r="H520" s="85">
        <v>25661.140000000003</v>
      </c>
      <c r="I520" s="85" t="s">
        <v>630</v>
      </c>
      <c r="J520" s="128">
        <v>55336</v>
      </c>
      <c r="K520" s="128">
        <f t="shared" si="7"/>
        <v>3818184</v>
      </c>
      <c r="L520" s="125" t="s">
        <v>1119</v>
      </c>
      <c r="M520" s="85" t="s">
        <v>47</v>
      </c>
      <c r="N520" s="85" t="s">
        <v>1491</v>
      </c>
    </row>
    <row r="521" spans="2:14" ht="15.75" thickBot="1" x14ac:dyDescent="0.3">
      <c r="B521" s="82" t="s">
        <v>544</v>
      </c>
      <c r="C521" s="83" t="s">
        <v>629</v>
      </c>
      <c r="D521" s="124" t="s">
        <v>620</v>
      </c>
      <c r="E521" s="130">
        <v>2003</v>
      </c>
      <c r="F521" s="125" t="s">
        <v>732</v>
      </c>
      <c r="G521" s="125">
        <v>61</v>
      </c>
      <c r="H521" s="85">
        <v>28464.027000000002</v>
      </c>
      <c r="I521" s="85" t="s">
        <v>630</v>
      </c>
      <c r="J521" s="128">
        <v>66119</v>
      </c>
      <c r="K521" s="128">
        <f t="shared" si="7"/>
        <v>4033259</v>
      </c>
      <c r="L521" s="125" t="s">
        <v>1120</v>
      </c>
      <c r="M521" s="85" t="s">
        <v>47</v>
      </c>
      <c r="N521" s="85" t="s">
        <v>1491</v>
      </c>
    </row>
    <row r="522" spans="2:14" ht="15.75" thickBot="1" x14ac:dyDescent="0.3">
      <c r="B522" s="82" t="s">
        <v>544</v>
      </c>
      <c r="C522" s="83" t="s">
        <v>629</v>
      </c>
      <c r="D522" s="124" t="s">
        <v>620</v>
      </c>
      <c r="E522" s="130">
        <v>2009</v>
      </c>
      <c r="F522" s="125" t="s">
        <v>734</v>
      </c>
      <c r="G522" s="125">
        <v>84</v>
      </c>
      <c r="H522" s="85">
        <v>10715.5</v>
      </c>
      <c r="I522" s="85" t="s">
        <v>630</v>
      </c>
      <c r="J522" s="128">
        <v>25429</v>
      </c>
      <c r="K522" s="128">
        <f t="shared" si="7"/>
        <v>2136036</v>
      </c>
      <c r="L522" s="125" t="s">
        <v>1121</v>
      </c>
      <c r="M522" s="85" t="s">
        <v>47</v>
      </c>
      <c r="N522" s="85" t="s">
        <v>1491</v>
      </c>
    </row>
    <row r="523" spans="2:14" ht="15.75" thickBot="1" x14ac:dyDescent="0.3">
      <c r="B523" s="82" t="s">
        <v>544</v>
      </c>
      <c r="C523" s="83" t="s">
        <v>629</v>
      </c>
      <c r="D523" s="124" t="s">
        <v>620</v>
      </c>
      <c r="E523" s="130">
        <v>2007</v>
      </c>
      <c r="F523" s="125" t="s">
        <v>731</v>
      </c>
      <c r="G523" s="125">
        <v>89</v>
      </c>
      <c r="H523" s="85">
        <v>26153.42</v>
      </c>
      <c r="I523" s="85" t="s">
        <v>630</v>
      </c>
      <c r="J523" s="128">
        <v>64940</v>
      </c>
      <c r="K523" s="128">
        <f t="shared" si="7"/>
        <v>5779660</v>
      </c>
      <c r="L523" s="125" t="s">
        <v>1122</v>
      </c>
      <c r="M523" s="85" t="s">
        <v>47</v>
      </c>
      <c r="N523" s="85" t="s">
        <v>1491</v>
      </c>
    </row>
    <row r="524" spans="2:14" ht="15.75" thickBot="1" x14ac:dyDescent="0.3">
      <c r="B524" s="82" t="s">
        <v>544</v>
      </c>
      <c r="C524" s="83" t="s">
        <v>629</v>
      </c>
      <c r="D524" s="124" t="s">
        <v>620</v>
      </c>
      <c r="E524" s="130">
        <v>2008</v>
      </c>
      <c r="F524" s="125" t="s">
        <v>731</v>
      </c>
      <c r="G524" s="125">
        <v>82</v>
      </c>
      <c r="H524" s="85">
        <v>11918.106</v>
      </c>
      <c r="I524" s="85" t="s">
        <v>630</v>
      </c>
      <c r="J524" s="128">
        <v>27448</v>
      </c>
      <c r="K524" s="128">
        <f t="shared" si="7"/>
        <v>2250736</v>
      </c>
      <c r="L524" s="125" t="s">
        <v>805</v>
      </c>
      <c r="M524" s="85" t="s">
        <v>47</v>
      </c>
      <c r="N524" s="85" t="s">
        <v>1491</v>
      </c>
    </row>
    <row r="525" spans="2:14" ht="15.75" thickBot="1" x14ac:dyDescent="0.3">
      <c r="B525" s="82" t="s">
        <v>544</v>
      </c>
      <c r="C525" s="83" t="s">
        <v>629</v>
      </c>
      <c r="D525" s="124" t="s">
        <v>620</v>
      </c>
      <c r="E525" s="130">
        <v>2008</v>
      </c>
      <c r="F525" s="125" t="s">
        <v>731</v>
      </c>
      <c r="G525" s="125">
        <v>55</v>
      </c>
      <c r="H525" s="85">
        <v>11081.905000000001</v>
      </c>
      <c r="I525" s="85" t="s">
        <v>630</v>
      </c>
      <c r="J525" s="128">
        <v>26517</v>
      </c>
      <c r="K525" s="128">
        <f t="shared" si="7"/>
        <v>1458435</v>
      </c>
      <c r="L525" s="125" t="s">
        <v>1123</v>
      </c>
      <c r="M525" s="85" t="s">
        <v>47</v>
      </c>
      <c r="N525" s="85" t="s">
        <v>1491</v>
      </c>
    </row>
    <row r="526" spans="2:14" ht="15.75" thickBot="1" x14ac:dyDescent="0.3">
      <c r="B526" s="82" t="s">
        <v>544</v>
      </c>
      <c r="C526" s="83" t="s">
        <v>629</v>
      </c>
      <c r="D526" s="124" t="s">
        <v>620</v>
      </c>
      <c r="E526" s="130">
        <v>2007</v>
      </c>
      <c r="F526" s="125" t="s">
        <v>731</v>
      </c>
      <c r="G526" s="125">
        <v>74</v>
      </c>
      <c r="H526" s="85">
        <v>16116.549000000001</v>
      </c>
      <c r="I526" s="85" t="s">
        <v>630</v>
      </c>
      <c r="J526" s="128">
        <v>38508</v>
      </c>
      <c r="K526" s="128">
        <f t="shared" si="7"/>
        <v>2849592</v>
      </c>
      <c r="L526" s="125" t="s">
        <v>1124</v>
      </c>
      <c r="M526" s="85" t="s">
        <v>47</v>
      </c>
      <c r="N526" s="85" t="s">
        <v>1491</v>
      </c>
    </row>
    <row r="527" spans="2:14" ht="15.75" thickBot="1" x14ac:dyDescent="0.3">
      <c r="B527" s="82" t="s">
        <v>544</v>
      </c>
      <c r="C527" s="83" t="s">
        <v>629</v>
      </c>
      <c r="D527" s="124" t="s">
        <v>620</v>
      </c>
      <c r="E527" s="130">
        <v>2008</v>
      </c>
      <c r="F527" s="125" t="s">
        <v>731</v>
      </c>
      <c r="G527" s="125">
        <v>59</v>
      </c>
      <c r="H527" s="85">
        <v>25603.966</v>
      </c>
      <c r="I527" s="85" t="s">
        <v>630</v>
      </c>
      <c r="J527" s="128">
        <v>67073</v>
      </c>
      <c r="K527" s="128">
        <f t="shared" si="7"/>
        <v>3957307</v>
      </c>
      <c r="L527" s="125" t="s">
        <v>1125</v>
      </c>
      <c r="M527" s="85" t="s">
        <v>47</v>
      </c>
      <c r="N527" s="85" t="s">
        <v>1491</v>
      </c>
    </row>
    <row r="528" spans="2:14" ht="15.75" thickBot="1" x14ac:dyDescent="0.3">
      <c r="B528" s="82" t="s">
        <v>544</v>
      </c>
      <c r="C528" s="83" t="s">
        <v>629</v>
      </c>
      <c r="D528" s="124" t="s">
        <v>620</v>
      </c>
      <c r="E528" s="130">
        <v>2000</v>
      </c>
      <c r="F528" s="125" t="s">
        <v>735</v>
      </c>
      <c r="G528" s="125">
        <v>71</v>
      </c>
      <c r="H528" s="85">
        <v>5002.26</v>
      </c>
      <c r="I528" s="85" t="s">
        <v>630</v>
      </c>
      <c r="J528" s="128">
        <v>13458</v>
      </c>
      <c r="K528" s="128">
        <f t="shared" si="7"/>
        <v>955518</v>
      </c>
      <c r="L528" s="125" t="s">
        <v>1126</v>
      </c>
      <c r="M528" s="85" t="s">
        <v>47</v>
      </c>
      <c r="N528" s="85" t="s">
        <v>1491</v>
      </c>
    </row>
    <row r="529" spans="2:14" ht="15.75" thickBot="1" x14ac:dyDescent="0.3">
      <c r="B529" s="82" t="s">
        <v>544</v>
      </c>
      <c r="C529" s="83" t="s">
        <v>629</v>
      </c>
      <c r="D529" s="124" t="s">
        <v>620</v>
      </c>
      <c r="E529" s="130">
        <v>2003</v>
      </c>
      <c r="F529" s="125" t="s">
        <v>732</v>
      </c>
      <c r="G529" s="125">
        <v>63</v>
      </c>
      <c r="H529" s="85">
        <v>11774.140000000001</v>
      </c>
      <c r="I529" s="85" t="s">
        <v>630</v>
      </c>
      <c r="J529" s="128">
        <v>30296</v>
      </c>
      <c r="K529" s="128">
        <f t="shared" si="7"/>
        <v>1908648</v>
      </c>
      <c r="L529" s="125" t="s">
        <v>1127</v>
      </c>
      <c r="M529" s="85" t="s">
        <v>47</v>
      </c>
      <c r="N529" s="85" t="s">
        <v>1491</v>
      </c>
    </row>
    <row r="530" spans="2:14" ht="15.75" thickBot="1" x14ac:dyDescent="0.3">
      <c r="B530" s="82" t="s">
        <v>544</v>
      </c>
      <c r="C530" s="83" t="s">
        <v>629</v>
      </c>
      <c r="D530" s="124" t="s">
        <v>620</v>
      </c>
      <c r="E530" s="130">
        <v>2003</v>
      </c>
      <c r="F530" s="125" t="s">
        <v>732</v>
      </c>
      <c r="G530" s="125">
        <v>63</v>
      </c>
      <c r="H530" s="85">
        <v>11377.96</v>
      </c>
      <c r="I530" s="85" t="s">
        <v>630</v>
      </c>
      <c r="J530" s="128">
        <v>29646</v>
      </c>
      <c r="K530" s="128">
        <f t="shared" si="7"/>
        <v>1867698</v>
      </c>
      <c r="L530" s="125" t="s">
        <v>1128</v>
      </c>
      <c r="M530" s="85" t="s">
        <v>47</v>
      </c>
      <c r="N530" s="85" t="s">
        <v>1491</v>
      </c>
    </row>
    <row r="531" spans="2:14" ht="15.75" thickBot="1" x14ac:dyDescent="0.3">
      <c r="B531" s="82" t="s">
        <v>544</v>
      </c>
      <c r="C531" s="83" t="s">
        <v>629</v>
      </c>
      <c r="D531" s="124" t="s">
        <v>620</v>
      </c>
      <c r="E531" s="130">
        <v>1998</v>
      </c>
      <c r="F531" s="125" t="s">
        <v>736</v>
      </c>
      <c r="G531" s="125">
        <v>83</v>
      </c>
      <c r="H531" s="85">
        <v>15010.710000000001</v>
      </c>
      <c r="I531" s="85" t="s">
        <v>630</v>
      </c>
      <c r="J531" s="128">
        <v>42413</v>
      </c>
      <c r="K531" s="128">
        <f t="shared" si="7"/>
        <v>3520279</v>
      </c>
      <c r="L531" s="125" t="s">
        <v>1129</v>
      </c>
      <c r="M531" s="85" t="s">
        <v>47</v>
      </c>
      <c r="N531" s="85" t="s">
        <v>1491</v>
      </c>
    </row>
    <row r="532" spans="2:14" ht="15.75" thickBot="1" x14ac:dyDescent="0.3">
      <c r="B532" s="82" t="s">
        <v>544</v>
      </c>
      <c r="C532" s="83" t="s">
        <v>629</v>
      </c>
      <c r="D532" s="124" t="s">
        <v>620</v>
      </c>
      <c r="E532" s="130">
        <v>1998</v>
      </c>
      <c r="F532" s="125" t="s">
        <v>736</v>
      </c>
      <c r="G532" s="125">
        <v>83</v>
      </c>
      <c r="H532" s="85">
        <v>13083.739999999998</v>
      </c>
      <c r="I532" s="85" t="s">
        <v>630</v>
      </c>
      <c r="J532" s="128">
        <v>38851</v>
      </c>
      <c r="K532" s="128">
        <f t="shared" si="7"/>
        <v>3224633</v>
      </c>
      <c r="L532" s="125" t="s">
        <v>1130</v>
      </c>
      <c r="M532" s="85" t="s">
        <v>47</v>
      </c>
      <c r="N532" s="85" t="s">
        <v>1491</v>
      </c>
    </row>
    <row r="533" spans="2:14" ht="15.75" thickBot="1" x14ac:dyDescent="0.3">
      <c r="B533" s="82" t="s">
        <v>544</v>
      </c>
      <c r="C533" s="83" t="s">
        <v>629</v>
      </c>
      <c r="D533" s="124" t="s">
        <v>620</v>
      </c>
      <c r="E533" s="130">
        <v>1997</v>
      </c>
      <c r="F533" s="125" t="s">
        <v>736</v>
      </c>
      <c r="G533" s="125">
        <v>80</v>
      </c>
      <c r="H533" s="85">
        <v>6883.74</v>
      </c>
      <c r="I533" s="85" t="s">
        <v>630</v>
      </c>
      <c r="J533" s="128">
        <v>18496</v>
      </c>
      <c r="K533" s="128">
        <f t="shared" si="7"/>
        <v>1479680</v>
      </c>
      <c r="L533" s="125" t="s">
        <v>1131</v>
      </c>
      <c r="M533" s="85" t="s">
        <v>47</v>
      </c>
      <c r="N533" s="85" t="s">
        <v>1491</v>
      </c>
    </row>
    <row r="534" spans="2:14" ht="15.75" thickBot="1" x14ac:dyDescent="0.3">
      <c r="B534" s="82" t="s">
        <v>544</v>
      </c>
      <c r="C534" s="83" t="s">
        <v>629</v>
      </c>
      <c r="D534" s="124" t="s">
        <v>620</v>
      </c>
      <c r="E534" s="130">
        <v>1997</v>
      </c>
      <c r="F534" s="125" t="s">
        <v>736</v>
      </c>
      <c r="G534" s="125">
        <v>80</v>
      </c>
      <c r="H534" s="85">
        <v>5929.1500000000005</v>
      </c>
      <c r="I534" s="85" t="s">
        <v>630</v>
      </c>
      <c r="J534" s="128">
        <v>16766</v>
      </c>
      <c r="K534" s="128">
        <f t="shared" si="7"/>
        <v>1341280</v>
      </c>
      <c r="L534" s="125" t="s">
        <v>1132</v>
      </c>
      <c r="M534" s="85" t="s">
        <v>47</v>
      </c>
      <c r="N534" s="85" t="s">
        <v>1491</v>
      </c>
    </row>
    <row r="535" spans="2:14" ht="15.75" thickBot="1" x14ac:dyDescent="0.3">
      <c r="B535" s="82" t="s">
        <v>544</v>
      </c>
      <c r="C535" s="83" t="s">
        <v>629</v>
      </c>
      <c r="D535" s="124" t="s">
        <v>620</v>
      </c>
      <c r="E535" s="130">
        <v>2007</v>
      </c>
      <c r="F535" s="125" t="s">
        <v>731</v>
      </c>
      <c r="G535" s="125">
        <v>78</v>
      </c>
      <c r="H535" s="85">
        <v>14054.169999999998</v>
      </c>
      <c r="I535" s="85" t="s">
        <v>630</v>
      </c>
      <c r="J535" s="128">
        <v>30710</v>
      </c>
      <c r="K535" s="128">
        <f t="shared" si="7"/>
        <v>2395380</v>
      </c>
      <c r="L535" s="125" t="s">
        <v>1133</v>
      </c>
      <c r="M535" s="85" t="s">
        <v>47</v>
      </c>
      <c r="N535" s="85" t="s">
        <v>1491</v>
      </c>
    </row>
    <row r="536" spans="2:14" ht="15.75" thickBot="1" x14ac:dyDescent="0.3">
      <c r="B536" s="82" t="s">
        <v>544</v>
      </c>
      <c r="C536" s="83" t="s">
        <v>629</v>
      </c>
      <c r="D536" s="124" t="s">
        <v>620</v>
      </c>
      <c r="E536" s="130">
        <v>2008</v>
      </c>
      <c r="F536" s="125" t="s">
        <v>731</v>
      </c>
      <c r="G536" s="125">
        <v>95</v>
      </c>
      <c r="H536" s="85">
        <v>18160.309999999998</v>
      </c>
      <c r="I536" s="85" t="s">
        <v>630</v>
      </c>
      <c r="J536" s="128">
        <v>41503</v>
      </c>
      <c r="K536" s="128">
        <f t="shared" si="7"/>
        <v>3942785</v>
      </c>
      <c r="L536" s="125" t="s">
        <v>1134</v>
      </c>
      <c r="M536" s="85" t="s">
        <v>47</v>
      </c>
      <c r="N536" s="85" t="s">
        <v>1491</v>
      </c>
    </row>
    <row r="537" spans="2:14" ht="15.75" thickBot="1" x14ac:dyDescent="0.3">
      <c r="B537" s="82" t="s">
        <v>544</v>
      </c>
      <c r="C537" s="83" t="s">
        <v>629</v>
      </c>
      <c r="D537" s="124" t="s">
        <v>620</v>
      </c>
      <c r="E537" s="130">
        <v>2009</v>
      </c>
      <c r="F537" s="125" t="s">
        <v>734</v>
      </c>
      <c r="G537" s="125">
        <v>74</v>
      </c>
      <c r="H537" s="85">
        <v>21313.564999999999</v>
      </c>
      <c r="I537" s="85" t="s">
        <v>630</v>
      </c>
      <c r="J537" s="128">
        <v>56691</v>
      </c>
      <c r="K537" s="128">
        <f t="shared" si="7"/>
        <v>4195134</v>
      </c>
      <c r="L537" s="125" t="s">
        <v>1135</v>
      </c>
      <c r="M537" s="85" t="s">
        <v>47</v>
      </c>
      <c r="N537" s="85" t="s">
        <v>1491</v>
      </c>
    </row>
    <row r="538" spans="2:14" ht="15.75" thickBot="1" x14ac:dyDescent="0.3">
      <c r="B538" s="82" t="s">
        <v>544</v>
      </c>
      <c r="C538" s="83" t="s">
        <v>629</v>
      </c>
      <c r="D538" s="124" t="s">
        <v>620</v>
      </c>
      <c r="E538" s="130">
        <v>1998</v>
      </c>
      <c r="F538" s="125" t="s">
        <v>736</v>
      </c>
      <c r="G538" s="125">
        <v>98</v>
      </c>
      <c r="H538" s="85">
        <v>1166.52</v>
      </c>
      <c r="I538" s="85" t="s">
        <v>630</v>
      </c>
      <c r="J538" s="128">
        <v>2297</v>
      </c>
      <c r="K538" s="128">
        <f t="shared" si="7"/>
        <v>225106</v>
      </c>
      <c r="L538" s="125" t="s">
        <v>1136</v>
      </c>
      <c r="M538" s="85" t="s">
        <v>47</v>
      </c>
      <c r="N538" s="85" t="s">
        <v>1491</v>
      </c>
    </row>
    <row r="539" spans="2:14" ht="15.75" thickBot="1" x14ac:dyDescent="0.3">
      <c r="B539" s="82" t="s">
        <v>544</v>
      </c>
      <c r="C539" s="83" t="s">
        <v>629</v>
      </c>
      <c r="D539" s="124" t="s">
        <v>620</v>
      </c>
      <c r="E539" s="130">
        <v>2003</v>
      </c>
      <c r="F539" s="125" t="s">
        <v>732</v>
      </c>
      <c r="G539" s="125">
        <v>33</v>
      </c>
      <c r="H539" s="85">
        <v>150.18</v>
      </c>
      <c r="I539" s="85" t="s">
        <v>630</v>
      </c>
      <c r="J539" s="128">
        <v>750</v>
      </c>
      <c r="K539" s="128">
        <f t="shared" si="7"/>
        <v>24750</v>
      </c>
      <c r="L539" s="125" t="s">
        <v>1137</v>
      </c>
      <c r="M539" s="85" t="s">
        <v>47</v>
      </c>
      <c r="N539" s="85" t="s">
        <v>1491</v>
      </c>
    </row>
    <row r="540" spans="2:14" ht="15.75" thickBot="1" x14ac:dyDescent="0.3">
      <c r="B540" s="82" t="s">
        <v>544</v>
      </c>
      <c r="C540" s="83" t="s">
        <v>629</v>
      </c>
      <c r="D540" s="124" t="s">
        <v>620</v>
      </c>
      <c r="E540" s="130">
        <v>2004</v>
      </c>
      <c r="F540" s="125" t="s">
        <v>732</v>
      </c>
      <c r="G540" s="125">
        <v>55</v>
      </c>
      <c r="H540" s="85">
        <v>9059.0400000000009</v>
      </c>
      <c r="I540" s="85" t="s">
        <v>630</v>
      </c>
      <c r="J540" s="128">
        <v>21856</v>
      </c>
      <c r="K540" s="128">
        <f t="shared" si="7"/>
        <v>1202080</v>
      </c>
      <c r="L540" s="125" t="s">
        <v>1138</v>
      </c>
      <c r="M540" s="85" t="s">
        <v>47</v>
      </c>
      <c r="N540" s="85" t="s">
        <v>1491</v>
      </c>
    </row>
    <row r="541" spans="2:14" ht="15.75" thickBot="1" x14ac:dyDescent="0.3">
      <c r="B541" s="82" t="s">
        <v>544</v>
      </c>
      <c r="C541" s="83" t="s">
        <v>629</v>
      </c>
      <c r="D541" s="124" t="s">
        <v>620</v>
      </c>
      <c r="E541" s="130">
        <v>2004</v>
      </c>
      <c r="F541" s="125" t="s">
        <v>732</v>
      </c>
      <c r="G541" s="125">
        <v>76</v>
      </c>
      <c r="H541" s="85">
        <v>10399.16</v>
      </c>
      <c r="I541" s="85" t="s">
        <v>630</v>
      </c>
      <c r="J541" s="128">
        <v>25598</v>
      </c>
      <c r="K541" s="128">
        <f t="shared" si="7"/>
        <v>1945448</v>
      </c>
      <c r="L541" s="125" t="s">
        <v>829</v>
      </c>
      <c r="M541" s="85" t="s">
        <v>47</v>
      </c>
      <c r="N541" s="85" t="s">
        <v>1491</v>
      </c>
    </row>
    <row r="542" spans="2:14" ht="15.75" thickBot="1" x14ac:dyDescent="0.3">
      <c r="B542" s="82" t="s">
        <v>544</v>
      </c>
      <c r="C542" s="83" t="s">
        <v>629</v>
      </c>
      <c r="D542" s="124" t="s">
        <v>620</v>
      </c>
      <c r="E542" s="130">
        <v>2004</v>
      </c>
      <c r="F542" s="125" t="s">
        <v>732</v>
      </c>
      <c r="G542" s="125">
        <v>76</v>
      </c>
      <c r="H542" s="85">
        <v>11431.134</v>
      </c>
      <c r="I542" s="85" t="s">
        <v>630</v>
      </c>
      <c r="J542" s="128">
        <v>29024</v>
      </c>
      <c r="K542" s="128">
        <f t="shared" si="7"/>
        <v>2205824</v>
      </c>
      <c r="L542" s="125" t="s">
        <v>1139</v>
      </c>
      <c r="M542" s="85" t="s">
        <v>47</v>
      </c>
      <c r="N542" s="85" t="s">
        <v>1491</v>
      </c>
    </row>
    <row r="543" spans="2:14" ht="15.75" thickBot="1" x14ac:dyDescent="0.3">
      <c r="B543" s="82" t="s">
        <v>544</v>
      </c>
      <c r="C543" s="83" t="s">
        <v>629</v>
      </c>
      <c r="D543" s="124" t="s">
        <v>620</v>
      </c>
      <c r="E543" s="130">
        <v>2004</v>
      </c>
      <c r="F543" s="125" t="s">
        <v>732</v>
      </c>
      <c r="G543" s="125">
        <v>76</v>
      </c>
      <c r="H543" s="85">
        <v>10479.68</v>
      </c>
      <c r="I543" s="85" t="s">
        <v>630</v>
      </c>
      <c r="J543" s="128">
        <v>26454</v>
      </c>
      <c r="K543" s="128">
        <f t="shared" ref="K543:K606" si="8">J543*G543</f>
        <v>2010504</v>
      </c>
      <c r="L543" s="125" t="s">
        <v>1140</v>
      </c>
      <c r="M543" s="85" t="s">
        <v>47</v>
      </c>
      <c r="N543" s="85" t="s">
        <v>1491</v>
      </c>
    </row>
    <row r="544" spans="2:14" ht="15.75" thickBot="1" x14ac:dyDescent="0.3">
      <c r="B544" s="82" t="s">
        <v>544</v>
      </c>
      <c r="C544" s="83" t="s">
        <v>629</v>
      </c>
      <c r="D544" s="124" t="s">
        <v>620</v>
      </c>
      <c r="E544" s="130">
        <v>2005</v>
      </c>
      <c r="F544" s="125" t="s">
        <v>732</v>
      </c>
      <c r="G544" s="125">
        <v>34</v>
      </c>
      <c r="H544" s="85">
        <v>2954.92</v>
      </c>
      <c r="I544" s="85" t="s">
        <v>630</v>
      </c>
      <c r="J544" s="128">
        <v>9192</v>
      </c>
      <c r="K544" s="128">
        <f t="shared" si="8"/>
        <v>312528</v>
      </c>
      <c r="L544" s="125" t="s">
        <v>1141</v>
      </c>
      <c r="M544" s="85" t="s">
        <v>47</v>
      </c>
      <c r="N544" s="85" t="s">
        <v>1491</v>
      </c>
    </row>
    <row r="545" spans="2:14" ht="15.75" thickBot="1" x14ac:dyDescent="0.3">
      <c r="B545" s="82" t="s">
        <v>544</v>
      </c>
      <c r="C545" s="83" t="s">
        <v>629</v>
      </c>
      <c r="D545" s="124" t="s">
        <v>620</v>
      </c>
      <c r="E545" s="130">
        <v>2005</v>
      </c>
      <c r="F545" s="125" t="s">
        <v>732</v>
      </c>
      <c r="G545" s="125">
        <v>36</v>
      </c>
      <c r="H545" s="85">
        <v>12029.44</v>
      </c>
      <c r="I545" s="85" t="s">
        <v>630</v>
      </c>
      <c r="J545" s="128">
        <v>36955</v>
      </c>
      <c r="K545" s="128">
        <f t="shared" si="8"/>
        <v>1330380</v>
      </c>
      <c r="L545" s="125" t="s">
        <v>1142</v>
      </c>
      <c r="M545" s="85" t="s">
        <v>47</v>
      </c>
      <c r="N545" s="85" t="s">
        <v>1491</v>
      </c>
    </row>
    <row r="546" spans="2:14" ht="15.75" thickBot="1" x14ac:dyDescent="0.3">
      <c r="B546" s="82" t="s">
        <v>544</v>
      </c>
      <c r="C546" s="83" t="s">
        <v>629</v>
      </c>
      <c r="D546" s="124" t="s">
        <v>620</v>
      </c>
      <c r="E546" s="130">
        <v>2006</v>
      </c>
      <c r="F546" s="125" t="s">
        <v>731</v>
      </c>
      <c r="G546" s="125">
        <v>55</v>
      </c>
      <c r="H546" s="85">
        <v>7235.7160000000013</v>
      </c>
      <c r="I546" s="85" t="s">
        <v>630</v>
      </c>
      <c r="J546" s="128">
        <v>18625</v>
      </c>
      <c r="K546" s="128">
        <f t="shared" si="8"/>
        <v>1024375</v>
      </c>
      <c r="L546" s="125" t="s">
        <v>833</v>
      </c>
      <c r="M546" s="85" t="s">
        <v>47</v>
      </c>
      <c r="N546" s="85" t="s">
        <v>1491</v>
      </c>
    </row>
    <row r="547" spans="2:14" ht="15.75" thickBot="1" x14ac:dyDescent="0.3">
      <c r="B547" s="82" t="s">
        <v>544</v>
      </c>
      <c r="C547" s="83" t="s">
        <v>629</v>
      </c>
      <c r="D547" s="124" t="s">
        <v>620</v>
      </c>
      <c r="E547" s="130">
        <v>2021</v>
      </c>
      <c r="F547" s="125" t="s">
        <v>733</v>
      </c>
      <c r="G547" s="125">
        <v>80</v>
      </c>
      <c r="H547" s="85">
        <v>12320.2</v>
      </c>
      <c r="I547" s="85" t="s">
        <v>630</v>
      </c>
      <c r="J547" s="128">
        <v>35467</v>
      </c>
      <c r="K547" s="128">
        <f t="shared" si="8"/>
        <v>2837360</v>
      </c>
      <c r="L547" s="125" t="s">
        <v>1143</v>
      </c>
      <c r="M547" s="85" t="s">
        <v>47</v>
      </c>
      <c r="N547" s="85" t="s">
        <v>1491</v>
      </c>
    </row>
    <row r="548" spans="2:14" ht="15.75" thickBot="1" x14ac:dyDescent="0.3">
      <c r="B548" s="82" t="s">
        <v>544</v>
      </c>
      <c r="C548" s="83" t="s">
        <v>629</v>
      </c>
      <c r="D548" s="124" t="s">
        <v>620</v>
      </c>
      <c r="E548" s="130">
        <v>2021</v>
      </c>
      <c r="F548" s="125" t="s">
        <v>733</v>
      </c>
      <c r="G548" s="125">
        <v>80</v>
      </c>
      <c r="H548" s="85">
        <v>9962.66</v>
      </c>
      <c r="I548" s="85" t="s">
        <v>630</v>
      </c>
      <c r="J548" s="128">
        <v>29941</v>
      </c>
      <c r="K548" s="128">
        <f t="shared" si="8"/>
        <v>2395280</v>
      </c>
      <c r="L548" s="125" t="s">
        <v>1144</v>
      </c>
      <c r="M548" s="85" t="s">
        <v>47</v>
      </c>
      <c r="N548" s="85" t="s">
        <v>1491</v>
      </c>
    </row>
    <row r="549" spans="2:14" ht="15.75" thickBot="1" x14ac:dyDescent="0.3">
      <c r="B549" s="82" t="s">
        <v>544</v>
      </c>
      <c r="C549" s="83" t="s">
        <v>629</v>
      </c>
      <c r="D549" s="124" t="s">
        <v>620</v>
      </c>
      <c r="E549" s="130">
        <v>2021</v>
      </c>
      <c r="F549" s="125" t="s">
        <v>733</v>
      </c>
      <c r="G549" s="125">
        <v>80</v>
      </c>
      <c r="H549" s="85">
        <v>11277.6</v>
      </c>
      <c r="I549" s="85" t="s">
        <v>630</v>
      </c>
      <c r="J549" s="128">
        <v>30512</v>
      </c>
      <c r="K549" s="128">
        <f t="shared" si="8"/>
        <v>2440960</v>
      </c>
      <c r="L549" s="125" t="s">
        <v>1145</v>
      </c>
      <c r="M549" s="85" t="s">
        <v>47</v>
      </c>
      <c r="N549" s="85" t="s">
        <v>1491</v>
      </c>
    </row>
    <row r="550" spans="2:14" ht="15.75" thickBot="1" x14ac:dyDescent="0.3">
      <c r="B550" s="82" t="s">
        <v>544</v>
      </c>
      <c r="C550" s="83" t="s">
        <v>629</v>
      </c>
      <c r="D550" s="124" t="s">
        <v>620</v>
      </c>
      <c r="E550" s="130">
        <v>2021</v>
      </c>
      <c r="F550" s="125" t="s">
        <v>733</v>
      </c>
      <c r="G550" s="125">
        <v>80</v>
      </c>
      <c r="H550" s="85">
        <v>16292.01</v>
      </c>
      <c r="I550" s="85" t="s">
        <v>630</v>
      </c>
      <c r="J550" s="128">
        <v>42814</v>
      </c>
      <c r="K550" s="128">
        <f t="shared" si="8"/>
        <v>3425120</v>
      </c>
      <c r="L550" s="125" t="s">
        <v>1146</v>
      </c>
      <c r="M550" s="85" t="s">
        <v>47</v>
      </c>
      <c r="N550" s="85" t="s">
        <v>1491</v>
      </c>
    </row>
    <row r="551" spans="2:14" ht="15.75" thickBot="1" x14ac:dyDescent="0.3">
      <c r="B551" s="82" t="s">
        <v>544</v>
      </c>
      <c r="C551" s="83" t="s">
        <v>629</v>
      </c>
      <c r="D551" s="124" t="s">
        <v>620</v>
      </c>
      <c r="E551" s="130">
        <v>2021</v>
      </c>
      <c r="F551" s="125" t="s">
        <v>733</v>
      </c>
      <c r="G551" s="125">
        <v>80</v>
      </c>
      <c r="H551" s="85">
        <v>9118.17</v>
      </c>
      <c r="I551" s="85" t="s">
        <v>630</v>
      </c>
      <c r="J551" s="128">
        <v>24957</v>
      </c>
      <c r="K551" s="128">
        <f t="shared" si="8"/>
        <v>1996560</v>
      </c>
      <c r="L551" s="125" t="s">
        <v>1147</v>
      </c>
      <c r="M551" s="85" t="s">
        <v>47</v>
      </c>
      <c r="N551" s="85" t="s">
        <v>1491</v>
      </c>
    </row>
    <row r="552" spans="2:14" ht="15.75" thickBot="1" x14ac:dyDescent="0.3">
      <c r="B552" s="82" t="s">
        <v>544</v>
      </c>
      <c r="C552" s="83" t="s">
        <v>629</v>
      </c>
      <c r="D552" s="124" t="s">
        <v>620</v>
      </c>
      <c r="E552" s="130">
        <v>2021</v>
      </c>
      <c r="F552" s="125" t="s">
        <v>733</v>
      </c>
      <c r="G552" s="125">
        <v>80</v>
      </c>
      <c r="H552" s="85">
        <v>9465.84</v>
      </c>
      <c r="I552" s="85" t="s">
        <v>630</v>
      </c>
      <c r="J552" s="128">
        <v>26194</v>
      </c>
      <c r="K552" s="128">
        <f t="shared" si="8"/>
        <v>2095520</v>
      </c>
      <c r="L552" s="125" t="s">
        <v>1148</v>
      </c>
      <c r="M552" s="85" t="s">
        <v>47</v>
      </c>
      <c r="N552" s="85" t="s">
        <v>1491</v>
      </c>
    </row>
    <row r="553" spans="2:14" ht="15.75" thickBot="1" x14ac:dyDescent="0.3">
      <c r="B553" s="82" t="s">
        <v>544</v>
      </c>
      <c r="C553" s="83" t="s">
        <v>629</v>
      </c>
      <c r="D553" s="124" t="s">
        <v>620</v>
      </c>
      <c r="E553" s="130">
        <v>2021</v>
      </c>
      <c r="F553" s="125" t="s">
        <v>733</v>
      </c>
      <c r="G553" s="125">
        <v>80</v>
      </c>
      <c r="H553" s="85">
        <v>6809.2000000000007</v>
      </c>
      <c r="I553" s="85" t="s">
        <v>630</v>
      </c>
      <c r="J553" s="128">
        <v>19305</v>
      </c>
      <c r="K553" s="128">
        <f t="shared" si="8"/>
        <v>1544400</v>
      </c>
      <c r="L553" s="125" t="s">
        <v>1149</v>
      </c>
      <c r="M553" s="85" t="s">
        <v>47</v>
      </c>
      <c r="N553" s="85" t="s">
        <v>1491</v>
      </c>
    </row>
    <row r="554" spans="2:14" ht="15.75" thickBot="1" x14ac:dyDescent="0.3">
      <c r="B554" s="82" t="s">
        <v>544</v>
      </c>
      <c r="C554" s="83" t="s">
        <v>629</v>
      </c>
      <c r="D554" s="124" t="s">
        <v>620</v>
      </c>
      <c r="E554" s="130">
        <v>2021</v>
      </c>
      <c r="F554" s="125" t="s">
        <v>733</v>
      </c>
      <c r="G554" s="125">
        <v>80</v>
      </c>
      <c r="H554" s="85">
        <v>5708.3899999999994</v>
      </c>
      <c r="I554" s="85" t="s">
        <v>630</v>
      </c>
      <c r="J554" s="128">
        <v>16590</v>
      </c>
      <c r="K554" s="128">
        <f t="shared" si="8"/>
        <v>1327200</v>
      </c>
      <c r="L554" s="125" t="s">
        <v>1150</v>
      </c>
      <c r="M554" s="85" t="s">
        <v>47</v>
      </c>
      <c r="N554" s="85" t="s">
        <v>1491</v>
      </c>
    </row>
    <row r="555" spans="2:14" ht="15.75" thickBot="1" x14ac:dyDescent="0.3">
      <c r="B555" s="82" t="s">
        <v>544</v>
      </c>
      <c r="C555" s="83" t="s">
        <v>629</v>
      </c>
      <c r="D555" s="124" t="s">
        <v>620</v>
      </c>
      <c r="E555" s="130">
        <v>2021</v>
      </c>
      <c r="F555" s="125" t="s">
        <v>733</v>
      </c>
      <c r="G555" s="125">
        <v>80</v>
      </c>
      <c r="H555" s="85">
        <v>6772.8099999999995</v>
      </c>
      <c r="I555" s="85" t="s">
        <v>630</v>
      </c>
      <c r="J555" s="128">
        <v>19272</v>
      </c>
      <c r="K555" s="128">
        <f t="shared" si="8"/>
        <v>1541760</v>
      </c>
      <c r="L555" s="125" t="s">
        <v>1151</v>
      </c>
      <c r="M555" s="85" t="s">
        <v>47</v>
      </c>
      <c r="N555" s="85" t="s">
        <v>1491</v>
      </c>
    </row>
    <row r="556" spans="2:14" ht="15.75" thickBot="1" x14ac:dyDescent="0.3">
      <c r="B556" s="82" t="s">
        <v>544</v>
      </c>
      <c r="C556" s="83" t="s">
        <v>629</v>
      </c>
      <c r="D556" s="124" t="s">
        <v>620</v>
      </c>
      <c r="E556" s="130">
        <v>2021</v>
      </c>
      <c r="F556" s="125" t="s">
        <v>733</v>
      </c>
      <c r="G556" s="125">
        <v>80</v>
      </c>
      <c r="H556" s="85">
        <v>7356.59</v>
      </c>
      <c r="I556" s="85" t="s">
        <v>630</v>
      </c>
      <c r="J556" s="128">
        <v>19948</v>
      </c>
      <c r="K556" s="128">
        <f t="shared" si="8"/>
        <v>1595840</v>
      </c>
      <c r="L556" s="125" t="s">
        <v>1152</v>
      </c>
      <c r="M556" s="85" t="s">
        <v>47</v>
      </c>
      <c r="N556" s="85" t="s">
        <v>1491</v>
      </c>
    </row>
    <row r="557" spans="2:14" ht="15.75" thickBot="1" x14ac:dyDescent="0.3">
      <c r="B557" s="82" t="s">
        <v>544</v>
      </c>
      <c r="C557" s="83" t="s">
        <v>629</v>
      </c>
      <c r="D557" s="124" t="s">
        <v>620</v>
      </c>
      <c r="E557" s="130">
        <v>2021</v>
      </c>
      <c r="F557" s="125" t="s">
        <v>733</v>
      </c>
      <c r="G557" s="125">
        <v>85</v>
      </c>
      <c r="H557" s="85">
        <v>12472.089999999998</v>
      </c>
      <c r="I557" s="85" t="s">
        <v>630</v>
      </c>
      <c r="J557" s="128">
        <v>36369</v>
      </c>
      <c r="K557" s="128">
        <f t="shared" si="8"/>
        <v>3091365</v>
      </c>
      <c r="L557" s="125" t="s">
        <v>1153</v>
      </c>
      <c r="M557" s="85" t="s">
        <v>47</v>
      </c>
      <c r="N557" s="85" t="s">
        <v>1491</v>
      </c>
    </row>
    <row r="558" spans="2:14" ht="15.75" thickBot="1" x14ac:dyDescent="0.3">
      <c r="B558" s="82" t="s">
        <v>544</v>
      </c>
      <c r="C558" s="83" t="s">
        <v>629</v>
      </c>
      <c r="D558" s="124" t="s">
        <v>620</v>
      </c>
      <c r="E558" s="130">
        <v>2021</v>
      </c>
      <c r="F558" s="125" t="s">
        <v>733</v>
      </c>
      <c r="G558" s="125">
        <v>85</v>
      </c>
      <c r="H558" s="85">
        <v>14114.98</v>
      </c>
      <c r="I558" s="85" t="s">
        <v>630</v>
      </c>
      <c r="J558" s="128">
        <v>40179</v>
      </c>
      <c r="K558" s="128">
        <f t="shared" si="8"/>
        <v>3415215</v>
      </c>
      <c r="L558" s="125" t="s">
        <v>1154</v>
      </c>
      <c r="M558" s="85" t="s">
        <v>47</v>
      </c>
      <c r="N558" s="85" t="s">
        <v>1491</v>
      </c>
    </row>
    <row r="559" spans="2:14" ht="15.75" thickBot="1" x14ac:dyDescent="0.3">
      <c r="B559" s="82" t="s">
        <v>544</v>
      </c>
      <c r="C559" s="83" t="s">
        <v>629</v>
      </c>
      <c r="D559" s="124" t="s">
        <v>620</v>
      </c>
      <c r="E559" s="130">
        <v>2021</v>
      </c>
      <c r="F559" s="125" t="s">
        <v>733</v>
      </c>
      <c r="G559" s="125">
        <v>85</v>
      </c>
      <c r="H559" s="85">
        <v>7022.05</v>
      </c>
      <c r="I559" s="85" t="s">
        <v>630</v>
      </c>
      <c r="J559" s="128">
        <v>19774</v>
      </c>
      <c r="K559" s="128">
        <f t="shared" si="8"/>
        <v>1680790</v>
      </c>
      <c r="L559" s="125" t="s">
        <v>1155</v>
      </c>
      <c r="M559" s="85" t="s">
        <v>47</v>
      </c>
      <c r="N559" s="85" t="s">
        <v>1491</v>
      </c>
    </row>
    <row r="560" spans="2:14" ht="15.75" thickBot="1" x14ac:dyDescent="0.3">
      <c r="B560" s="82" t="s">
        <v>544</v>
      </c>
      <c r="C560" s="83" t="s">
        <v>629</v>
      </c>
      <c r="D560" s="124" t="s">
        <v>620</v>
      </c>
      <c r="E560" s="130">
        <v>2021</v>
      </c>
      <c r="F560" s="125" t="s">
        <v>733</v>
      </c>
      <c r="G560" s="125">
        <v>85</v>
      </c>
      <c r="H560" s="85">
        <v>9226.15</v>
      </c>
      <c r="I560" s="85" t="s">
        <v>630</v>
      </c>
      <c r="J560" s="128">
        <v>24865</v>
      </c>
      <c r="K560" s="128">
        <f t="shared" si="8"/>
        <v>2113525</v>
      </c>
      <c r="L560" s="125" t="s">
        <v>1156</v>
      </c>
      <c r="M560" s="85" t="s">
        <v>47</v>
      </c>
      <c r="N560" s="85" t="s">
        <v>1491</v>
      </c>
    </row>
    <row r="561" spans="2:14" ht="15.75" thickBot="1" x14ac:dyDescent="0.3">
      <c r="B561" s="82" t="s">
        <v>544</v>
      </c>
      <c r="C561" s="83" t="s">
        <v>629</v>
      </c>
      <c r="D561" s="124" t="s">
        <v>620</v>
      </c>
      <c r="E561" s="130">
        <v>2021</v>
      </c>
      <c r="F561" s="125" t="s">
        <v>733</v>
      </c>
      <c r="G561" s="125">
        <v>85</v>
      </c>
      <c r="H561" s="85">
        <v>13301.090000000002</v>
      </c>
      <c r="I561" s="85" t="s">
        <v>630</v>
      </c>
      <c r="J561" s="128">
        <v>36931</v>
      </c>
      <c r="K561" s="128">
        <f t="shared" si="8"/>
        <v>3139135</v>
      </c>
      <c r="L561" s="125" t="s">
        <v>1157</v>
      </c>
      <c r="M561" s="85" t="s">
        <v>47</v>
      </c>
      <c r="N561" s="85" t="s">
        <v>1491</v>
      </c>
    </row>
    <row r="562" spans="2:14" ht="15.75" thickBot="1" x14ac:dyDescent="0.3">
      <c r="B562" s="82" t="s">
        <v>544</v>
      </c>
      <c r="C562" s="83" t="s">
        <v>629</v>
      </c>
      <c r="D562" s="124" t="s">
        <v>620</v>
      </c>
      <c r="E562" s="130">
        <v>2021</v>
      </c>
      <c r="F562" s="125" t="s">
        <v>733</v>
      </c>
      <c r="G562" s="125">
        <v>85</v>
      </c>
      <c r="H562" s="85">
        <v>12387.04</v>
      </c>
      <c r="I562" s="85" t="s">
        <v>630</v>
      </c>
      <c r="J562" s="128">
        <v>37442</v>
      </c>
      <c r="K562" s="128">
        <f t="shared" si="8"/>
        <v>3182570</v>
      </c>
      <c r="L562" s="125" t="s">
        <v>1158</v>
      </c>
      <c r="M562" s="85" t="s">
        <v>47</v>
      </c>
      <c r="N562" s="85" t="s">
        <v>1491</v>
      </c>
    </row>
    <row r="563" spans="2:14" ht="15.75" thickBot="1" x14ac:dyDescent="0.3">
      <c r="B563" s="82" t="s">
        <v>544</v>
      </c>
      <c r="C563" s="83" t="s">
        <v>629</v>
      </c>
      <c r="D563" s="124" t="s">
        <v>620</v>
      </c>
      <c r="E563" s="130">
        <v>2021</v>
      </c>
      <c r="F563" s="125" t="s">
        <v>733</v>
      </c>
      <c r="G563" s="125">
        <v>85</v>
      </c>
      <c r="H563" s="85">
        <v>17421.61</v>
      </c>
      <c r="I563" s="85" t="s">
        <v>630</v>
      </c>
      <c r="J563" s="128">
        <v>48863</v>
      </c>
      <c r="K563" s="128">
        <f t="shared" si="8"/>
        <v>4153355</v>
      </c>
      <c r="L563" s="125" t="s">
        <v>1159</v>
      </c>
      <c r="M563" s="85" t="s">
        <v>47</v>
      </c>
      <c r="N563" s="85" t="s">
        <v>1491</v>
      </c>
    </row>
    <row r="564" spans="2:14" ht="15.75" thickBot="1" x14ac:dyDescent="0.3">
      <c r="B564" s="82" t="s">
        <v>544</v>
      </c>
      <c r="C564" s="83" t="s">
        <v>629</v>
      </c>
      <c r="D564" s="124" t="s">
        <v>620</v>
      </c>
      <c r="E564" s="130">
        <v>2021</v>
      </c>
      <c r="F564" s="125" t="s">
        <v>733</v>
      </c>
      <c r="G564" s="125">
        <v>85</v>
      </c>
      <c r="H564" s="85">
        <v>11131.779999999999</v>
      </c>
      <c r="I564" s="85" t="s">
        <v>630</v>
      </c>
      <c r="J564" s="128">
        <v>31187</v>
      </c>
      <c r="K564" s="128">
        <f t="shared" si="8"/>
        <v>2650895</v>
      </c>
      <c r="L564" s="125" t="s">
        <v>1160</v>
      </c>
      <c r="M564" s="85" t="s">
        <v>47</v>
      </c>
      <c r="N564" s="85" t="s">
        <v>1491</v>
      </c>
    </row>
    <row r="565" spans="2:14" ht="15.75" thickBot="1" x14ac:dyDescent="0.3">
      <c r="B565" s="82" t="s">
        <v>544</v>
      </c>
      <c r="C565" s="83" t="s">
        <v>629</v>
      </c>
      <c r="D565" s="124" t="s">
        <v>620</v>
      </c>
      <c r="E565" s="130">
        <v>2021</v>
      </c>
      <c r="F565" s="125" t="s">
        <v>733</v>
      </c>
      <c r="G565" s="125">
        <v>85</v>
      </c>
      <c r="H565" s="85">
        <v>8075.99</v>
      </c>
      <c r="I565" s="85" t="s">
        <v>630</v>
      </c>
      <c r="J565" s="128">
        <v>24603</v>
      </c>
      <c r="K565" s="128">
        <f t="shared" si="8"/>
        <v>2091255</v>
      </c>
      <c r="L565" s="125" t="s">
        <v>1161</v>
      </c>
      <c r="M565" s="85" t="s">
        <v>47</v>
      </c>
      <c r="N565" s="85" t="s">
        <v>1491</v>
      </c>
    </row>
    <row r="566" spans="2:14" ht="15.75" thickBot="1" x14ac:dyDescent="0.3">
      <c r="B566" s="82" t="s">
        <v>544</v>
      </c>
      <c r="C566" s="83" t="s">
        <v>629</v>
      </c>
      <c r="D566" s="124" t="s">
        <v>620</v>
      </c>
      <c r="E566" s="130">
        <v>2021</v>
      </c>
      <c r="F566" s="125" t="s">
        <v>733</v>
      </c>
      <c r="G566" s="125">
        <v>85</v>
      </c>
      <c r="H566" s="85">
        <v>10642.93</v>
      </c>
      <c r="I566" s="85" t="s">
        <v>630</v>
      </c>
      <c r="J566" s="128">
        <v>30507</v>
      </c>
      <c r="K566" s="128">
        <f t="shared" si="8"/>
        <v>2593095</v>
      </c>
      <c r="L566" s="125" t="s">
        <v>1162</v>
      </c>
      <c r="M566" s="85" t="s">
        <v>47</v>
      </c>
      <c r="N566" s="85" t="s">
        <v>1491</v>
      </c>
    </row>
    <row r="567" spans="2:14" ht="15.75" thickBot="1" x14ac:dyDescent="0.3">
      <c r="B567" s="82" t="s">
        <v>544</v>
      </c>
      <c r="C567" s="83" t="s">
        <v>629</v>
      </c>
      <c r="D567" s="124" t="s">
        <v>620</v>
      </c>
      <c r="E567" s="130">
        <v>2021</v>
      </c>
      <c r="F567" s="125" t="s">
        <v>733</v>
      </c>
      <c r="G567" s="125">
        <v>85</v>
      </c>
      <c r="H567" s="85">
        <v>10622.78</v>
      </c>
      <c r="I567" s="85" t="s">
        <v>630</v>
      </c>
      <c r="J567" s="128">
        <v>30150</v>
      </c>
      <c r="K567" s="128">
        <f t="shared" si="8"/>
        <v>2562750</v>
      </c>
      <c r="L567" s="125" t="s">
        <v>1163</v>
      </c>
      <c r="M567" s="85" t="s">
        <v>47</v>
      </c>
      <c r="N567" s="85" t="s">
        <v>1491</v>
      </c>
    </row>
    <row r="568" spans="2:14" ht="15.75" thickBot="1" x14ac:dyDescent="0.3">
      <c r="B568" s="82" t="s">
        <v>544</v>
      </c>
      <c r="C568" s="83" t="s">
        <v>629</v>
      </c>
      <c r="D568" s="124" t="s">
        <v>620</v>
      </c>
      <c r="E568" s="130">
        <v>2021</v>
      </c>
      <c r="F568" s="125" t="s">
        <v>733</v>
      </c>
      <c r="G568" s="125">
        <v>85</v>
      </c>
      <c r="H568" s="85">
        <v>8533.26</v>
      </c>
      <c r="I568" s="85" t="s">
        <v>630</v>
      </c>
      <c r="J568" s="128">
        <v>24121</v>
      </c>
      <c r="K568" s="128">
        <f t="shared" si="8"/>
        <v>2050285</v>
      </c>
      <c r="L568" s="125" t="s">
        <v>1164</v>
      </c>
      <c r="M568" s="85" t="s">
        <v>47</v>
      </c>
      <c r="N568" s="85" t="s">
        <v>1491</v>
      </c>
    </row>
    <row r="569" spans="2:14" ht="15.75" thickBot="1" x14ac:dyDescent="0.3">
      <c r="B569" s="82" t="s">
        <v>544</v>
      </c>
      <c r="C569" s="83" t="s">
        <v>629</v>
      </c>
      <c r="D569" s="124" t="s">
        <v>620</v>
      </c>
      <c r="E569" s="130">
        <v>2021</v>
      </c>
      <c r="F569" s="125" t="s">
        <v>733</v>
      </c>
      <c r="G569" s="125">
        <v>85</v>
      </c>
      <c r="H569" s="85">
        <v>9661.8299999999981</v>
      </c>
      <c r="I569" s="85" t="s">
        <v>630</v>
      </c>
      <c r="J569" s="128">
        <v>27722</v>
      </c>
      <c r="K569" s="128">
        <f t="shared" si="8"/>
        <v>2356370</v>
      </c>
      <c r="L569" s="125" t="s">
        <v>1165</v>
      </c>
      <c r="M569" s="85" t="s">
        <v>47</v>
      </c>
      <c r="N569" s="85" t="s">
        <v>1491</v>
      </c>
    </row>
    <row r="570" spans="2:14" ht="15.75" thickBot="1" x14ac:dyDescent="0.3">
      <c r="B570" s="82" t="s">
        <v>544</v>
      </c>
      <c r="C570" s="83" t="s">
        <v>629</v>
      </c>
      <c r="D570" s="124" t="s">
        <v>620</v>
      </c>
      <c r="E570" s="130">
        <v>2021</v>
      </c>
      <c r="F570" s="125" t="s">
        <v>733</v>
      </c>
      <c r="G570" s="125">
        <v>85</v>
      </c>
      <c r="H570" s="85">
        <v>9484.0399999999991</v>
      </c>
      <c r="I570" s="85" t="s">
        <v>630</v>
      </c>
      <c r="J570" s="128">
        <v>26101</v>
      </c>
      <c r="K570" s="128">
        <f t="shared" si="8"/>
        <v>2218585</v>
      </c>
      <c r="L570" s="125" t="s">
        <v>1166</v>
      </c>
      <c r="M570" s="85" t="s">
        <v>47</v>
      </c>
      <c r="N570" s="85" t="s">
        <v>1491</v>
      </c>
    </row>
    <row r="571" spans="2:14" ht="15.75" thickBot="1" x14ac:dyDescent="0.3">
      <c r="B571" s="82" t="s">
        <v>544</v>
      </c>
      <c r="C571" s="83" t="s">
        <v>629</v>
      </c>
      <c r="D571" s="124" t="s">
        <v>620</v>
      </c>
      <c r="E571" s="130">
        <v>2021</v>
      </c>
      <c r="F571" s="125" t="s">
        <v>733</v>
      </c>
      <c r="G571" s="125">
        <v>85</v>
      </c>
      <c r="H571" s="85">
        <v>7059.22</v>
      </c>
      <c r="I571" s="85" t="s">
        <v>630</v>
      </c>
      <c r="J571" s="128">
        <v>19616</v>
      </c>
      <c r="K571" s="128">
        <f t="shared" si="8"/>
        <v>1667360</v>
      </c>
      <c r="L571" s="125" t="s">
        <v>1167</v>
      </c>
      <c r="M571" s="85" t="s">
        <v>47</v>
      </c>
      <c r="N571" s="85" t="s">
        <v>1491</v>
      </c>
    </row>
    <row r="572" spans="2:14" ht="15.75" thickBot="1" x14ac:dyDescent="0.3">
      <c r="B572" s="82" t="s">
        <v>544</v>
      </c>
      <c r="C572" s="83" t="s">
        <v>629</v>
      </c>
      <c r="D572" s="124" t="s">
        <v>620</v>
      </c>
      <c r="E572" s="130">
        <v>2021</v>
      </c>
      <c r="F572" s="125" t="s">
        <v>733</v>
      </c>
      <c r="G572" s="125">
        <v>85</v>
      </c>
      <c r="H572" s="85">
        <v>7974.3899999999994</v>
      </c>
      <c r="I572" s="85" t="s">
        <v>630</v>
      </c>
      <c r="J572" s="128">
        <v>23091</v>
      </c>
      <c r="K572" s="128">
        <f t="shared" si="8"/>
        <v>1962735</v>
      </c>
      <c r="L572" s="125" t="s">
        <v>1168</v>
      </c>
      <c r="M572" s="85" t="s">
        <v>47</v>
      </c>
      <c r="N572" s="85" t="s">
        <v>1491</v>
      </c>
    </row>
    <row r="573" spans="2:14" ht="15.75" thickBot="1" x14ac:dyDescent="0.3">
      <c r="B573" s="82" t="s">
        <v>544</v>
      </c>
      <c r="C573" s="83" t="s">
        <v>629</v>
      </c>
      <c r="D573" s="124" t="s">
        <v>620</v>
      </c>
      <c r="E573" s="130">
        <v>2021</v>
      </c>
      <c r="F573" s="125" t="s">
        <v>733</v>
      </c>
      <c r="G573" s="125">
        <v>85</v>
      </c>
      <c r="H573" s="85">
        <v>12584.779999999999</v>
      </c>
      <c r="I573" s="85" t="s">
        <v>630</v>
      </c>
      <c r="J573" s="128">
        <v>34426</v>
      </c>
      <c r="K573" s="128">
        <f t="shared" si="8"/>
        <v>2926210</v>
      </c>
      <c r="L573" s="125" t="s">
        <v>1169</v>
      </c>
      <c r="M573" s="85" t="s">
        <v>47</v>
      </c>
      <c r="N573" s="85" t="s">
        <v>1491</v>
      </c>
    </row>
    <row r="574" spans="2:14" ht="15.75" thickBot="1" x14ac:dyDescent="0.3">
      <c r="B574" s="82" t="s">
        <v>544</v>
      </c>
      <c r="C574" s="83" t="s">
        <v>629</v>
      </c>
      <c r="D574" s="124" t="s">
        <v>620</v>
      </c>
      <c r="E574" s="130">
        <v>2021</v>
      </c>
      <c r="F574" s="125" t="s">
        <v>733</v>
      </c>
      <c r="G574" s="125">
        <v>85</v>
      </c>
      <c r="H574" s="85">
        <v>7620.85</v>
      </c>
      <c r="I574" s="85" t="s">
        <v>630</v>
      </c>
      <c r="J574" s="128">
        <v>21548</v>
      </c>
      <c r="K574" s="128">
        <f t="shared" si="8"/>
        <v>1831580</v>
      </c>
      <c r="L574" s="125" t="s">
        <v>1170</v>
      </c>
      <c r="M574" s="85" t="s">
        <v>47</v>
      </c>
      <c r="N574" s="85" t="s">
        <v>1491</v>
      </c>
    </row>
    <row r="575" spans="2:14" ht="15.75" thickBot="1" x14ac:dyDescent="0.3">
      <c r="B575" s="82" t="s">
        <v>544</v>
      </c>
      <c r="C575" s="83" t="s">
        <v>629</v>
      </c>
      <c r="D575" s="124" t="s">
        <v>620</v>
      </c>
      <c r="E575" s="130">
        <v>2021</v>
      </c>
      <c r="F575" s="125" t="s">
        <v>733</v>
      </c>
      <c r="G575" s="125">
        <v>85</v>
      </c>
      <c r="H575" s="85">
        <v>10720.279999999999</v>
      </c>
      <c r="I575" s="85" t="s">
        <v>630</v>
      </c>
      <c r="J575" s="128">
        <v>28765</v>
      </c>
      <c r="K575" s="128">
        <f t="shared" si="8"/>
        <v>2445025</v>
      </c>
      <c r="L575" s="125" t="s">
        <v>1171</v>
      </c>
      <c r="M575" s="85" t="s">
        <v>47</v>
      </c>
      <c r="N575" s="85" t="s">
        <v>1491</v>
      </c>
    </row>
    <row r="576" spans="2:14" ht="15.75" thickBot="1" x14ac:dyDescent="0.3">
      <c r="B576" s="82" t="s">
        <v>544</v>
      </c>
      <c r="C576" s="83" t="s">
        <v>629</v>
      </c>
      <c r="D576" s="124" t="s">
        <v>620</v>
      </c>
      <c r="E576" s="130">
        <v>2021</v>
      </c>
      <c r="F576" s="125" t="s">
        <v>733</v>
      </c>
      <c r="G576" s="125">
        <v>85</v>
      </c>
      <c r="H576" s="85">
        <v>14572.87</v>
      </c>
      <c r="I576" s="85" t="s">
        <v>630</v>
      </c>
      <c r="J576" s="128">
        <v>38935</v>
      </c>
      <c r="K576" s="128">
        <f t="shared" si="8"/>
        <v>3309475</v>
      </c>
      <c r="L576" s="125" t="s">
        <v>1172</v>
      </c>
      <c r="M576" s="85" t="s">
        <v>47</v>
      </c>
      <c r="N576" s="85" t="s">
        <v>1491</v>
      </c>
    </row>
    <row r="577" spans="2:14" ht="15.75" thickBot="1" x14ac:dyDescent="0.3">
      <c r="B577" s="82" t="s">
        <v>544</v>
      </c>
      <c r="C577" s="83" t="s">
        <v>629</v>
      </c>
      <c r="D577" s="124" t="s">
        <v>620</v>
      </c>
      <c r="E577" s="130">
        <v>2021</v>
      </c>
      <c r="F577" s="125" t="s">
        <v>733</v>
      </c>
      <c r="G577" s="125">
        <v>85</v>
      </c>
      <c r="H577" s="85">
        <v>9173.75</v>
      </c>
      <c r="I577" s="85" t="s">
        <v>630</v>
      </c>
      <c r="J577" s="128">
        <v>26532</v>
      </c>
      <c r="K577" s="128">
        <f t="shared" si="8"/>
        <v>2255220</v>
      </c>
      <c r="L577" s="125" t="s">
        <v>1173</v>
      </c>
      <c r="M577" s="85" t="s">
        <v>47</v>
      </c>
      <c r="N577" s="85" t="s">
        <v>1491</v>
      </c>
    </row>
    <row r="578" spans="2:14" ht="15.75" thickBot="1" x14ac:dyDescent="0.3">
      <c r="B578" s="82" t="s">
        <v>544</v>
      </c>
      <c r="C578" s="83" t="s">
        <v>629</v>
      </c>
      <c r="D578" s="124" t="s">
        <v>620</v>
      </c>
      <c r="E578" s="130">
        <v>2021</v>
      </c>
      <c r="F578" s="125" t="s">
        <v>733</v>
      </c>
      <c r="G578" s="125">
        <v>85</v>
      </c>
      <c r="H578" s="85">
        <v>11408.109999999999</v>
      </c>
      <c r="I578" s="85" t="s">
        <v>630</v>
      </c>
      <c r="J578" s="128">
        <v>32014</v>
      </c>
      <c r="K578" s="128">
        <f t="shared" si="8"/>
        <v>2721190</v>
      </c>
      <c r="L578" s="125" t="s">
        <v>1174</v>
      </c>
      <c r="M578" s="85" t="s">
        <v>47</v>
      </c>
      <c r="N578" s="85" t="s">
        <v>1491</v>
      </c>
    </row>
    <row r="579" spans="2:14" ht="15.75" thickBot="1" x14ac:dyDescent="0.3">
      <c r="B579" s="82" t="s">
        <v>544</v>
      </c>
      <c r="C579" s="83" t="s">
        <v>629</v>
      </c>
      <c r="D579" s="124" t="s">
        <v>620</v>
      </c>
      <c r="E579" s="130">
        <v>2021</v>
      </c>
      <c r="F579" s="125" t="s">
        <v>733</v>
      </c>
      <c r="G579" s="125">
        <v>85</v>
      </c>
      <c r="H579" s="85">
        <v>7831.4900000000007</v>
      </c>
      <c r="I579" s="85" t="s">
        <v>630</v>
      </c>
      <c r="J579" s="128">
        <v>24279</v>
      </c>
      <c r="K579" s="128">
        <f t="shared" si="8"/>
        <v>2063715</v>
      </c>
      <c r="L579" s="125" t="s">
        <v>1175</v>
      </c>
      <c r="M579" s="85" t="s">
        <v>47</v>
      </c>
      <c r="N579" s="85" t="s">
        <v>1491</v>
      </c>
    </row>
    <row r="580" spans="2:14" ht="15.75" thickBot="1" x14ac:dyDescent="0.3">
      <c r="B580" s="82" t="s">
        <v>544</v>
      </c>
      <c r="C580" s="83" t="s">
        <v>629</v>
      </c>
      <c r="D580" s="124" t="s">
        <v>620</v>
      </c>
      <c r="E580" s="130">
        <v>2021</v>
      </c>
      <c r="F580" s="125" t="s">
        <v>733</v>
      </c>
      <c r="G580" s="125">
        <v>85</v>
      </c>
      <c r="H580" s="85">
        <v>8675.02</v>
      </c>
      <c r="I580" s="85" t="s">
        <v>630</v>
      </c>
      <c r="J580" s="128">
        <v>24459</v>
      </c>
      <c r="K580" s="128">
        <f t="shared" si="8"/>
        <v>2079015</v>
      </c>
      <c r="L580" s="125" t="s">
        <v>1176</v>
      </c>
      <c r="M580" s="85" t="s">
        <v>47</v>
      </c>
      <c r="N580" s="85" t="s">
        <v>1491</v>
      </c>
    </row>
    <row r="581" spans="2:14" ht="15.75" thickBot="1" x14ac:dyDescent="0.3">
      <c r="B581" s="82" t="s">
        <v>544</v>
      </c>
      <c r="C581" s="83" t="s">
        <v>629</v>
      </c>
      <c r="D581" s="124" t="s">
        <v>620</v>
      </c>
      <c r="E581" s="130">
        <v>2021</v>
      </c>
      <c r="F581" s="125" t="s">
        <v>733</v>
      </c>
      <c r="G581" s="125">
        <v>85</v>
      </c>
      <c r="H581" s="85">
        <v>7056.05</v>
      </c>
      <c r="I581" s="85" t="s">
        <v>630</v>
      </c>
      <c r="J581" s="128">
        <v>21050</v>
      </c>
      <c r="K581" s="128">
        <f t="shared" si="8"/>
        <v>1789250</v>
      </c>
      <c r="L581" s="125" t="s">
        <v>1177</v>
      </c>
      <c r="M581" s="85" t="s">
        <v>47</v>
      </c>
      <c r="N581" s="85" t="s">
        <v>1491</v>
      </c>
    </row>
    <row r="582" spans="2:14" ht="15.75" thickBot="1" x14ac:dyDescent="0.3">
      <c r="B582" s="82" t="s">
        <v>544</v>
      </c>
      <c r="C582" s="83" t="s">
        <v>629</v>
      </c>
      <c r="D582" s="124" t="s">
        <v>620</v>
      </c>
      <c r="E582" s="130">
        <v>2021</v>
      </c>
      <c r="F582" s="125" t="s">
        <v>733</v>
      </c>
      <c r="G582" s="125">
        <v>85</v>
      </c>
      <c r="H582" s="85">
        <v>7274.76</v>
      </c>
      <c r="I582" s="85" t="s">
        <v>630</v>
      </c>
      <c r="J582" s="128">
        <v>22545</v>
      </c>
      <c r="K582" s="128">
        <f t="shared" si="8"/>
        <v>1916325</v>
      </c>
      <c r="L582" s="125" t="s">
        <v>1178</v>
      </c>
      <c r="M582" s="85" t="s">
        <v>47</v>
      </c>
      <c r="N582" s="85" t="s">
        <v>1491</v>
      </c>
    </row>
    <row r="583" spans="2:14" ht="15.75" thickBot="1" x14ac:dyDescent="0.3">
      <c r="B583" s="82" t="s">
        <v>544</v>
      </c>
      <c r="C583" s="83" t="s">
        <v>629</v>
      </c>
      <c r="D583" s="124" t="s">
        <v>620</v>
      </c>
      <c r="E583" s="130">
        <v>2021</v>
      </c>
      <c r="F583" s="125" t="s">
        <v>733</v>
      </c>
      <c r="G583" s="125">
        <v>85</v>
      </c>
      <c r="H583" s="85">
        <v>6361.1</v>
      </c>
      <c r="I583" s="85" t="s">
        <v>630</v>
      </c>
      <c r="J583" s="128">
        <v>18383</v>
      </c>
      <c r="K583" s="128">
        <f t="shared" si="8"/>
        <v>1562555</v>
      </c>
      <c r="L583" s="125" t="s">
        <v>1179</v>
      </c>
      <c r="M583" s="85" t="s">
        <v>47</v>
      </c>
      <c r="N583" s="85" t="s">
        <v>1491</v>
      </c>
    </row>
    <row r="584" spans="2:14" ht="15.75" thickBot="1" x14ac:dyDescent="0.3">
      <c r="B584" s="82" t="s">
        <v>544</v>
      </c>
      <c r="C584" s="83" t="s">
        <v>629</v>
      </c>
      <c r="D584" s="124" t="s">
        <v>620</v>
      </c>
      <c r="E584" s="130">
        <v>2021</v>
      </c>
      <c r="F584" s="125" t="s">
        <v>733</v>
      </c>
      <c r="G584" s="125">
        <v>85</v>
      </c>
      <c r="H584" s="85">
        <v>7589.14</v>
      </c>
      <c r="I584" s="85" t="s">
        <v>630</v>
      </c>
      <c r="J584" s="128">
        <v>22124</v>
      </c>
      <c r="K584" s="128">
        <f t="shared" si="8"/>
        <v>1880540</v>
      </c>
      <c r="L584" s="125" t="s">
        <v>1180</v>
      </c>
      <c r="M584" s="85" t="s">
        <v>47</v>
      </c>
      <c r="N584" s="85" t="s">
        <v>1491</v>
      </c>
    </row>
    <row r="585" spans="2:14" ht="15.75" thickBot="1" x14ac:dyDescent="0.3">
      <c r="B585" s="82" t="s">
        <v>544</v>
      </c>
      <c r="C585" s="83" t="s">
        <v>629</v>
      </c>
      <c r="D585" s="124" t="s">
        <v>620</v>
      </c>
      <c r="E585" s="130">
        <v>2021</v>
      </c>
      <c r="F585" s="125" t="s">
        <v>733</v>
      </c>
      <c r="G585" s="125">
        <v>85</v>
      </c>
      <c r="H585" s="85">
        <v>10213.23</v>
      </c>
      <c r="I585" s="85" t="s">
        <v>630</v>
      </c>
      <c r="J585" s="128">
        <v>29396</v>
      </c>
      <c r="K585" s="128">
        <f t="shared" si="8"/>
        <v>2498660</v>
      </c>
      <c r="L585" s="125" t="s">
        <v>1181</v>
      </c>
      <c r="M585" s="85" t="s">
        <v>47</v>
      </c>
      <c r="N585" s="85" t="s">
        <v>1491</v>
      </c>
    </row>
    <row r="586" spans="2:14" ht="15.75" thickBot="1" x14ac:dyDescent="0.3">
      <c r="B586" s="82" t="s">
        <v>544</v>
      </c>
      <c r="C586" s="83" t="s">
        <v>629</v>
      </c>
      <c r="D586" s="124" t="s">
        <v>620</v>
      </c>
      <c r="E586" s="130">
        <v>2021</v>
      </c>
      <c r="F586" s="125" t="s">
        <v>733</v>
      </c>
      <c r="G586" s="125">
        <v>85</v>
      </c>
      <c r="H586" s="85">
        <v>11983.33</v>
      </c>
      <c r="I586" s="85" t="s">
        <v>630</v>
      </c>
      <c r="J586" s="128">
        <v>33444</v>
      </c>
      <c r="K586" s="128">
        <f t="shared" si="8"/>
        <v>2842740</v>
      </c>
      <c r="L586" s="125" t="s">
        <v>1182</v>
      </c>
      <c r="M586" s="85" t="s">
        <v>47</v>
      </c>
      <c r="N586" s="85" t="s">
        <v>1491</v>
      </c>
    </row>
    <row r="587" spans="2:14" ht="15.75" thickBot="1" x14ac:dyDescent="0.3">
      <c r="B587" s="82" t="s">
        <v>544</v>
      </c>
      <c r="C587" s="83" t="s">
        <v>629</v>
      </c>
      <c r="D587" s="124" t="s">
        <v>620</v>
      </c>
      <c r="E587" s="130">
        <v>2022</v>
      </c>
      <c r="F587" s="125" t="s">
        <v>733</v>
      </c>
      <c r="G587" s="125">
        <v>83</v>
      </c>
      <c r="H587" s="85">
        <v>4631.28</v>
      </c>
      <c r="I587" s="85" t="s">
        <v>630</v>
      </c>
      <c r="J587" s="128">
        <v>14319</v>
      </c>
      <c r="K587" s="128">
        <f t="shared" si="8"/>
        <v>1188477</v>
      </c>
      <c r="L587" s="125" t="s">
        <v>1183</v>
      </c>
      <c r="M587" s="85" t="s">
        <v>47</v>
      </c>
      <c r="N587" s="85" t="s">
        <v>1491</v>
      </c>
    </row>
    <row r="588" spans="2:14" ht="15.75" thickBot="1" x14ac:dyDescent="0.3">
      <c r="B588" s="82" t="s">
        <v>544</v>
      </c>
      <c r="C588" s="83" t="s">
        <v>629</v>
      </c>
      <c r="D588" s="124" t="s">
        <v>620</v>
      </c>
      <c r="E588" s="130">
        <v>2022</v>
      </c>
      <c r="F588" s="125" t="s">
        <v>733</v>
      </c>
      <c r="G588" s="125">
        <v>83</v>
      </c>
      <c r="H588" s="85">
        <v>70</v>
      </c>
      <c r="I588" s="85" t="s">
        <v>630</v>
      </c>
      <c r="J588" s="128">
        <v>233</v>
      </c>
      <c r="K588" s="128">
        <f t="shared" si="8"/>
        <v>19339</v>
      </c>
      <c r="L588" s="125" t="s">
        <v>1184</v>
      </c>
      <c r="M588" s="85" t="s">
        <v>47</v>
      </c>
      <c r="N588" s="85" t="s">
        <v>1491</v>
      </c>
    </row>
    <row r="589" spans="2:14" ht="15.75" thickBot="1" x14ac:dyDescent="0.3">
      <c r="B589" s="82" t="s">
        <v>544</v>
      </c>
      <c r="C589" s="83" t="s">
        <v>629</v>
      </c>
      <c r="D589" s="124" t="s">
        <v>620</v>
      </c>
      <c r="E589" s="130">
        <v>2022</v>
      </c>
      <c r="F589" s="125" t="s">
        <v>733</v>
      </c>
      <c r="G589" s="125">
        <v>83</v>
      </c>
      <c r="H589" s="85">
        <v>50</v>
      </c>
      <c r="I589" s="85" t="s">
        <v>630</v>
      </c>
      <c r="J589" s="128">
        <v>166</v>
      </c>
      <c r="K589" s="128">
        <f t="shared" si="8"/>
        <v>13778</v>
      </c>
      <c r="L589" s="125" t="s">
        <v>1185</v>
      </c>
      <c r="M589" s="85" t="s">
        <v>47</v>
      </c>
      <c r="N589" s="85" t="s">
        <v>1491</v>
      </c>
    </row>
    <row r="590" spans="2:14" ht="15.75" thickBot="1" x14ac:dyDescent="0.3">
      <c r="B590" s="82" t="s">
        <v>544</v>
      </c>
      <c r="C590" s="83" t="s">
        <v>629</v>
      </c>
      <c r="D590" s="124" t="s">
        <v>620</v>
      </c>
      <c r="E590" s="130">
        <v>2022</v>
      </c>
      <c r="F590" s="125" t="s">
        <v>733</v>
      </c>
      <c r="G590" s="125">
        <v>83</v>
      </c>
      <c r="H590" s="85">
        <v>2064.62</v>
      </c>
      <c r="I590" s="85" t="s">
        <v>630</v>
      </c>
      <c r="J590" s="128">
        <v>5648</v>
      </c>
      <c r="K590" s="128">
        <f t="shared" si="8"/>
        <v>468784</v>
      </c>
      <c r="L590" s="125" t="s">
        <v>1186</v>
      </c>
      <c r="M590" s="85" t="s">
        <v>47</v>
      </c>
      <c r="N590" s="85" t="s">
        <v>1491</v>
      </c>
    </row>
    <row r="591" spans="2:14" ht="15.75" thickBot="1" x14ac:dyDescent="0.3">
      <c r="B591" s="82" t="s">
        <v>544</v>
      </c>
      <c r="C591" s="83" t="s">
        <v>629</v>
      </c>
      <c r="D591" s="124" t="s">
        <v>620</v>
      </c>
      <c r="E591" s="130">
        <v>2022</v>
      </c>
      <c r="F591" s="125" t="s">
        <v>733</v>
      </c>
      <c r="G591" s="125">
        <v>83</v>
      </c>
      <c r="H591" s="85">
        <v>3582.8500000000004</v>
      </c>
      <c r="I591" s="85" t="s">
        <v>630</v>
      </c>
      <c r="J591" s="128">
        <v>9450</v>
      </c>
      <c r="K591" s="128">
        <f t="shared" si="8"/>
        <v>784350</v>
      </c>
      <c r="L591" s="125" t="s">
        <v>1187</v>
      </c>
      <c r="M591" s="85" t="s">
        <v>47</v>
      </c>
      <c r="N591" s="85" t="s">
        <v>1491</v>
      </c>
    </row>
    <row r="592" spans="2:14" ht="15.75" thickBot="1" x14ac:dyDescent="0.3">
      <c r="B592" s="82" t="s">
        <v>544</v>
      </c>
      <c r="C592" s="83" t="s">
        <v>629</v>
      </c>
      <c r="D592" s="124" t="s">
        <v>620</v>
      </c>
      <c r="E592" s="130">
        <v>2022</v>
      </c>
      <c r="F592" s="125" t="s">
        <v>733</v>
      </c>
      <c r="G592" s="125">
        <v>83</v>
      </c>
      <c r="H592" s="85">
        <v>60</v>
      </c>
      <c r="I592" s="85" t="s">
        <v>630</v>
      </c>
      <c r="J592" s="128">
        <v>200</v>
      </c>
      <c r="K592" s="128">
        <f t="shared" si="8"/>
        <v>16600</v>
      </c>
      <c r="L592" s="125" t="s">
        <v>1188</v>
      </c>
      <c r="M592" s="85" t="s">
        <v>47</v>
      </c>
      <c r="N592" s="85" t="s">
        <v>1491</v>
      </c>
    </row>
    <row r="593" spans="2:14" ht="15.75" thickBot="1" x14ac:dyDescent="0.3">
      <c r="B593" s="82" t="s">
        <v>544</v>
      </c>
      <c r="C593" s="83" t="s">
        <v>629</v>
      </c>
      <c r="D593" s="124" t="s">
        <v>620</v>
      </c>
      <c r="E593" s="130">
        <v>2022</v>
      </c>
      <c r="F593" s="125" t="s">
        <v>733</v>
      </c>
      <c r="G593" s="125">
        <v>83</v>
      </c>
      <c r="H593" s="85">
        <v>60</v>
      </c>
      <c r="I593" s="85" t="s">
        <v>630</v>
      </c>
      <c r="J593" s="128">
        <v>200</v>
      </c>
      <c r="K593" s="128">
        <f t="shared" si="8"/>
        <v>16600</v>
      </c>
      <c r="L593" s="125" t="s">
        <v>1189</v>
      </c>
      <c r="M593" s="85" t="s">
        <v>47</v>
      </c>
      <c r="N593" s="85" t="s">
        <v>1491</v>
      </c>
    </row>
    <row r="594" spans="2:14" ht="15.75" thickBot="1" x14ac:dyDescent="0.3">
      <c r="B594" s="82" t="s">
        <v>544</v>
      </c>
      <c r="C594" s="83" t="s">
        <v>629</v>
      </c>
      <c r="D594" s="124" t="s">
        <v>620</v>
      </c>
      <c r="E594" s="130">
        <v>2022</v>
      </c>
      <c r="F594" s="125" t="s">
        <v>733</v>
      </c>
      <c r="G594" s="125">
        <v>83</v>
      </c>
      <c r="H594" s="85">
        <v>4620.53</v>
      </c>
      <c r="I594" s="85" t="s">
        <v>630</v>
      </c>
      <c r="J594" s="128">
        <v>13694</v>
      </c>
      <c r="K594" s="128">
        <f t="shared" si="8"/>
        <v>1136602</v>
      </c>
      <c r="L594" s="125" t="s">
        <v>1190</v>
      </c>
      <c r="M594" s="85" t="s">
        <v>47</v>
      </c>
      <c r="N594" s="85" t="s">
        <v>1491</v>
      </c>
    </row>
    <row r="595" spans="2:14" ht="15.75" thickBot="1" x14ac:dyDescent="0.3">
      <c r="B595" s="82" t="s">
        <v>544</v>
      </c>
      <c r="C595" s="83" t="s">
        <v>629</v>
      </c>
      <c r="D595" s="124" t="s">
        <v>620</v>
      </c>
      <c r="E595" s="130">
        <v>2022</v>
      </c>
      <c r="F595" s="125" t="s">
        <v>733</v>
      </c>
      <c r="G595" s="125">
        <v>83</v>
      </c>
      <c r="H595" s="85">
        <v>50</v>
      </c>
      <c r="I595" s="85" t="s">
        <v>630</v>
      </c>
      <c r="J595" s="128">
        <v>166</v>
      </c>
      <c r="K595" s="128">
        <f t="shared" si="8"/>
        <v>13778</v>
      </c>
      <c r="L595" s="125" t="s">
        <v>1191</v>
      </c>
      <c r="M595" s="85" t="s">
        <v>47</v>
      </c>
      <c r="N595" s="85" t="s">
        <v>1491</v>
      </c>
    </row>
    <row r="596" spans="2:14" ht="15.75" thickBot="1" x14ac:dyDescent="0.3">
      <c r="B596" s="82" t="s">
        <v>544</v>
      </c>
      <c r="C596" s="83" t="s">
        <v>629</v>
      </c>
      <c r="D596" s="124" t="s">
        <v>620</v>
      </c>
      <c r="E596" s="130">
        <v>2022</v>
      </c>
      <c r="F596" s="125" t="s">
        <v>733</v>
      </c>
      <c r="G596" s="125">
        <v>83</v>
      </c>
      <c r="H596" s="85">
        <v>2340.9700000000003</v>
      </c>
      <c r="I596" s="85" t="s">
        <v>630</v>
      </c>
      <c r="J596" s="128">
        <v>7081</v>
      </c>
      <c r="K596" s="128">
        <f t="shared" si="8"/>
        <v>587723</v>
      </c>
      <c r="L596" s="125" t="s">
        <v>1192</v>
      </c>
      <c r="M596" s="85" t="s">
        <v>47</v>
      </c>
      <c r="N596" s="85" t="s">
        <v>1491</v>
      </c>
    </row>
    <row r="597" spans="2:14" ht="15.75" thickBot="1" x14ac:dyDescent="0.3">
      <c r="B597" s="82" t="s">
        <v>544</v>
      </c>
      <c r="C597" s="83" t="s">
        <v>629</v>
      </c>
      <c r="D597" s="124" t="s">
        <v>620</v>
      </c>
      <c r="E597" s="130">
        <v>2022</v>
      </c>
      <c r="F597" s="125" t="s">
        <v>733</v>
      </c>
      <c r="G597" s="125">
        <v>83</v>
      </c>
      <c r="H597" s="85">
        <v>50</v>
      </c>
      <c r="I597" s="85" t="s">
        <v>630</v>
      </c>
      <c r="J597" s="128">
        <v>166</v>
      </c>
      <c r="K597" s="128">
        <f t="shared" si="8"/>
        <v>13778</v>
      </c>
      <c r="L597" s="125" t="s">
        <v>1193</v>
      </c>
      <c r="M597" s="85" t="s">
        <v>47</v>
      </c>
      <c r="N597" s="85" t="s">
        <v>1491</v>
      </c>
    </row>
    <row r="598" spans="2:14" ht="15.75" thickBot="1" x14ac:dyDescent="0.3">
      <c r="B598" s="82" t="s">
        <v>544</v>
      </c>
      <c r="C598" s="83" t="s">
        <v>629</v>
      </c>
      <c r="D598" s="124" t="s">
        <v>620</v>
      </c>
      <c r="E598" s="130">
        <v>2022</v>
      </c>
      <c r="F598" s="125" t="s">
        <v>733</v>
      </c>
      <c r="G598" s="125">
        <v>83</v>
      </c>
      <c r="H598" s="85">
        <v>4419.59</v>
      </c>
      <c r="I598" s="85" t="s">
        <v>630</v>
      </c>
      <c r="J598" s="128">
        <v>12826</v>
      </c>
      <c r="K598" s="128">
        <f t="shared" si="8"/>
        <v>1064558</v>
      </c>
      <c r="L598" s="125" t="s">
        <v>1194</v>
      </c>
      <c r="M598" s="85" t="s">
        <v>47</v>
      </c>
      <c r="N598" s="85" t="s">
        <v>1491</v>
      </c>
    </row>
    <row r="599" spans="2:14" ht="15.75" thickBot="1" x14ac:dyDescent="0.3">
      <c r="B599" s="82" t="s">
        <v>544</v>
      </c>
      <c r="C599" s="83" t="s">
        <v>629</v>
      </c>
      <c r="D599" s="124" t="s">
        <v>620</v>
      </c>
      <c r="E599" s="130">
        <v>2022</v>
      </c>
      <c r="F599" s="125" t="s">
        <v>733</v>
      </c>
      <c r="G599" s="125">
        <v>83</v>
      </c>
      <c r="H599" s="85">
        <v>2852.27</v>
      </c>
      <c r="I599" s="85" t="s">
        <v>630</v>
      </c>
      <c r="J599" s="128">
        <v>8342</v>
      </c>
      <c r="K599" s="128">
        <f t="shared" si="8"/>
        <v>692386</v>
      </c>
      <c r="L599" s="125" t="s">
        <v>1195</v>
      </c>
      <c r="M599" s="85" t="s">
        <v>47</v>
      </c>
      <c r="N599" s="85" t="s">
        <v>1491</v>
      </c>
    </row>
    <row r="600" spans="2:14" ht="15.75" thickBot="1" x14ac:dyDescent="0.3">
      <c r="B600" s="82" t="s">
        <v>544</v>
      </c>
      <c r="C600" s="83" t="s">
        <v>629</v>
      </c>
      <c r="D600" s="124" t="s">
        <v>620</v>
      </c>
      <c r="E600" s="130">
        <v>2019</v>
      </c>
      <c r="F600" s="125" t="s">
        <v>733</v>
      </c>
      <c r="G600" s="125">
        <v>29</v>
      </c>
      <c r="H600" s="85">
        <v>132.01</v>
      </c>
      <c r="I600" s="85" t="s">
        <v>630</v>
      </c>
      <c r="J600" s="128">
        <v>660</v>
      </c>
      <c r="K600" s="128">
        <f t="shared" si="8"/>
        <v>19140</v>
      </c>
      <c r="L600" s="125" t="s">
        <v>1196</v>
      </c>
      <c r="M600" s="85" t="s">
        <v>47</v>
      </c>
      <c r="N600" s="85" t="s">
        <v>1491</v>
      </c>
    </row>
    <row r="601" spans="2:14" ht="15.75" thickBot="1" x14ac:dyDescent="0.3">
      <c r="B601" s="82" t="s">
        <v>544</v>
      </c>
      <c r="C601" s="83" t="s">
        <v>629</v>
      </c>
      <c r="D601" s="124" t="s">
        <v>620</v>
      </c>
      <c r="E601" s="130">
        <v>2019</v>
      </c>
      <c r="F601" s="125" t="s">
        <v>733</v>
      </c>
      <c r="G601" s="125">
        <v>29</v>
      </c>
      <c r="H601" s="85">
        <v>108.05</v>
      </c>
      <c r="I601" s="85" t="s">
        <v>630</v>
      </c>
      <c r="J601" s="128">
        <v>491</v>
      </c>
      <c r="K601" s="128">
        <f t="shared" si="8"/>
        <v>14239</v>
      </c>
      <c r="L601" s="125" t="s">
        <v>1197</v>
      </c>
      <c r="M601" s="85" t="s">
        <v>47</v>
      </c>
      <c r="N601" s="85" t="s">
        <v>1491</v>
      </c>
    </row>
    <row r="602" spans="2:14" ht="15.75" thickBot="1" x14ac:dyDescent="0.3">
      <c r="B602" s="82" t="s">
        <v>544</v>
      </c>
      <c r="C602" s="83" t="s">
        <v>629</v>
      </c>
      <c r="D602" s="124" t="s">
        <v>620</v>
      </c>
      <c r="E602" s="130">
        <v>2022</v>
      </c>
      <c r="F602" s="125" t="s">
        <v>733</v>
      </c>
      <c r="G602" s="125">
        <v>83</v>
      </c>
      <c r="H602" s="85">
        <v>101.8</v>
      </c>
      <c r="I602" s="85" t="s">
        <v>630</v>
      </c>
      <c r="J602" s="128">
        <v>339</v>
      </c>
      <c r="K602" s="128">
        <f t="shared" si="8"/>
        <v>28137</v>
      </c>
      <c r="L602" s="125" t="s">
        <v>1198</v>
      </c>
      <c r="M602" s="85" t="s">
        <v>47</v>
      </c>
      <c r="N602" s="85" t="s">
        <v>1491</v>
      </c>
    </row>
    <row r="603" spans="2:14" ht="15.75" thickBot="1" x14ac:dyDescent="0.3">
      <c r="B603" s="82" t="s">
        <v>544</v>
      </c>
      <c r="C603" s="83" t="s">
        <v>629</v>
      </c>
      <c r="D603" s="124" t="s">
        <v>620</v>
      </c>
      <c r="E603" s="130">
        <v>2022</v>
      </c>
      <c r="F603" s="125" t="s">
        <v>733</v>
      </c>
      <c r="G603" s="125">
        <v>83</v>
      </c>
      <c r="H603" s="85">
        <v>50</v>
      </c>
      <c r="I603" s="85" t="s">
        <v>630</v>
      </c>
      <c r="J603" s="128">
        <v>166</v>
      </c>
      <c r="K603" s="128">
        <f t="shared" si="8"/>
        <v>13778</v>
      </c>
      <c r="L603" s="125" t="s">
        <v>1199</v>
      </c>
      <c r="M603" s="85" t="s">
        <v>47</v>
      </c>
      <c r="N603" s="85" t="s">
        <v>1491</v>
      </c>
    </row>
    <row r="604" spans="2:14" ht="15.75" thickBot="1" x14ac:dyDescent="0.3">
      <c r="B604" s="82" t="s">
        <v>544</v>
      </c>
      <c r="C604" s="83" t="s">
        <v>629</v>
      </c>
      <c r="D604" s="124" t="s">
        <v>620</v>
      </c>
      <c r="E604" s="130">
        <v>2022</v>
      </c>
      <c r="F604" s="125" t="s">
        <v>733</v>
      </c>
      <c r="G604" s="125">
        <v>83</v>
      </c>
      <c r="H604" s="85">
        <v>50</v>
      </c>
      <c r="I604" s="85" t="s">
        <v>630</v>
      </c>
      <c r="J604" s="128">
        <v>166</v>
      </c>
      <c r="K604" s="128">
        <f t="shared" si="8"/>
        <v>13778</v>
      </c>
      <c r="L604" s="125" t="s">
        <v>1200</v>
      </c>
      <c r="M604" s="85" t="s">
        <v>47</v>
      </c>
      <c r="N604" s="85" t="s">
        <v>1491</v>
      </c>
    </row>
    <row r="605" spans="2:14" ht="15.75" thickBot="1" x14ac:dyDescent="0.3">
      <c r="B605" s="82" t="s">
        <v>544</v>
      </c>
      <c r="C605" s="83" t="s">
        <v>629</v>
      </c>
      <c r="D605" s="124" t="s">
        <v>620</v>
      </c>
      <c r="E605" s="130">
        <v>2022</v>
      </c>
      <c r="F605" s="125" t="s">
        <v>733</v>
      </c>
      <c r="G605" s="125">
        <v>83</v>
      </c>
      <c r="H605" s="85">
        <v>100.04</v>
      </c>
      <c r="I605" s="85" t="s">
        <v>630</v>
      </c>
      <c r="J605" s="128">
        <v>333</v>
      </c>
      <c r="K605" s="128">
        <f t="shared" si="8"/>
        <v>27639</v>
      </c>
      <c r="L605" s="125" t="s">
        <v>1201</v>
      </c>
      <c r="M605" s="85" t="s">
        <v>47</v>
      </c>
      <c r="N605" s="85" t="s">
        <v>1491</v>
      </c>
    </row>
    <row r="606" spans="2:14" ht="15.75" thickBot="1" x14ac:dyDescent="0.3">
      <c r="B606" s="82" t="s">
        <v>544</v>
      </c>
      <c r="C606" s="83" t="s">
        <v>629</v>
      </c>
      <c r="D606" s="124" t="s">
        <v>620</v>
      </c>
      <c r="E606" s="130">
        <v>2022</v>
      </c>
      <c r="F606" s="125" t="s">
        <v>733</v>
      </c>
      <c r="G606" s="125">
        <v>83</v>
      </c>
      <c r="H606" s="85">
        <v>289.52999999999997</v>
      </c>
      <c r="I606" s="85" t="s">
        <v>630</v>
      </c>
      <c r="J606" s="128">
        <v>965</v>
      </c>
      <c r="K606" s="128">
        <f t="shared" si="8"/>
        <v>80095</v>
      </c>
      <c r="L606" s="125" t="s">
        <v>1202</v>
      </c>
      <c r="M606" s="85" t="s">
        <v>47</v>
      </c>
      <c r="N606" s="85" t="s">
        <v>1491</v>
      </c>
    </row>
    <row r="607" spans="2:14" ht="15.75" thickBot="1" x14ac:dyDescent="0.3">
      <c r="B607" s="82" t="s">
        <v>544</v>
      </c>
      <c r="C607" s="83" t="s">
        <v>629</v>
      </c>
      <c r="D607" s="124" t="s">
        <v>620</v>
      </c>
      <c r="E607" s="130">
        <v>2022</v>
      </c>
      <c r="F607" s="125" t="s">
        <v>733</v>
      </c>
      <c r="G607" s="125">
        <v>83</v>
      </c>
      <c r="H607" s="85">
        <v>50</v>
      </c>
      <c r="I607" s="85" t="s">
        <v>630</v>
      </c>
      <c r="J607" s="128">
        <v>166</v>
      </c>
      <c r="K607" s="128">
        <f t="shared" ref="K607:K670" si="9">J607*G607</f>
        <v>13778</v>
      </c>
      <c r="L607" s="125" t="s">
        <v>1203</v>
      </c>
      <c r="M607" s="85" t="s">
        <v>47</v>
      </c>
      <c r="N607" s="85" t="s">
        <v>1491</v>
      </c>
    </row>
    <row r="608" spans="2:14" ht="15.75" thickBot="1" x14ac:dyDescent="0.3">
      <c r="B608" s="82" t="s">
        <v>544</v>
      </c>
      <c r="C608" s="83" t="s">
        <v>629</v>
      </c>
      <c r="D608" s="124" t="s">
        <v>620</v>
      </c>
      <c r="E608" s="130">
        <v>2022</v>
      </c>
      <c r="F608" s="125" t="s">
        <v>733</v>
      </c>
      <c r="G608" s="125">
        <v>83</v>
      </c>
      <c r="H608" s="85">
        <v>50</v>
      </c>
      <c r="I608" s="85" t="s">
        <v>630</v>
      </c>
      <c r="J608" s="128">
        <v>166</v>
      </c>
      <c r="K608" s="128">
        <f t="shared" si="9"/>
        <v>13778</v>
      </c>
      <c r="L608" s="125" t="s">
        <v>1204</v>
      </c>
      <c r="M608" s="85" t="s">
        <v>47</v>
      </c>
      <c r="N608" s="85" t="s">
        <v>1491</v>
      </c>
    </row>
    <row r="609" spans="2:14" ht="15.75" thickBot="1" x14ac:dyDescent="0.3">
      <c r="B609" s="82" t="s">
        <v>544</v>
      </c>
      <c r="C609" s="83" t="s">
        <v>629</v>
      </c>
      <c r="D609" s="124" t="s">
        <v>620</v>
      </c>
      <c r="E609" s="130">
        <v>2022</v>
      </c>
      <c r="F609" s="125" t="s">
        <v>733</v>
      </c>
      <c r="G609" s="125">
        <v>83</v>
      </c>
      <c r="H609" s="85">
        <v>50</v>
      </c>
      <c r="I609" s="85" t="s">
        <v>630</v>
      </c>
      <c r="J609" s="128">
        <v>166</v>
      </c>
      <c r="K609" s="128">
        <f t="shared" si="9"/>
        <v>13778</v>
      </c>
      <c r="L609" s="125" t="s">
        <v>1205</v>
      </c>
      <c r="M609" s="85" t="s">
        <v>47</v>
      </c>
      <c r="N609" s="85" t="s">
        <v>1491</v>
      </c>
    </row>
    <row r="610" spans="2:14" ht="15.75" thickBot="1" x14ac:dyDescent="0.3">
      <c r="B610" s="82" t="s">
        <v>544</v>
      </c>
      <c r="C610" s="83" t="s">
        <v>629</v>
      </c>
      <c r="D610" s="124" t="s">
        <v>620</v>
      </c>
      <c r="E610" s="130">
        <v>2000</v>
      </c>
      <c r="F610" s="125" t="s">
        <v>735</v>
      </c>
      <c r="G610" s="125">
        <v>16</v>
      </c>
      <c r="H610" s="85">
        <v>1193.71</v>
      </c>
      <c r="I610" s="85" t="s">
        <v>630</v>
      </c>
      <c r="J610" s="128">
        <v>7547</v>
      </c>
      <c r="K610" s="128">
        <f t="shared" si="9"/>
        <v>120752</v>
      </c>
      <c r="L610" s="125" t="s">
        <v>1206</v>
      </c>
      <c r="M610" s="85" t="s">
        <v>47</v>
      </c>
      <c r="N610" s="85" t="s">
        <v>1491</v>
      </c>
    </row>
    <row r="611" spans="2:14" ht="15.75" thickBot="1" x14ac:dyDescent="0.3">
      <c r="B611" s="82" t="s">
        <v>544</v>
      </c>
      <c r="C611" s="83" t="s">
        <v>629</v>
      </c>
      <c r="D611" s="124" t="s">
        <v>620</v>
      </c>
      <c r="E611" s="130">
        <v>2002</v>
      </c>
      <c r="F611" s="125" t="s">
        <v>732</v>
      </c>
      <c r="G611" s="125">
        <v>19</v>
      </c>
      <c r="H611" s="85">
        <v>277.23</v>
      </c>
      <c r="I611" s="85" t="s">
        <v>630</v>
      </c>
      <c r="J611" s="128">
        <v>1442</v>
      </c>
      <c r="K611" s="128">
        <f t="shared" si="9"/>
        <v>27398</v>
      </c>
      <c r="L611" s="125" t="s">
        <v>1207</v>
      </c>
      <c r="M611" s="85" t="s">
        <v>47</v>
      </c>
      <c r="N611" s="85" t="s">
        <v>1491</v>
      </c>
    </row>
    <row r="612" spans="2:14" ht="15.75" thickBot="1" x14ac:dyDescent="0.3">
      <c r="B612" s="82" t="s">
        <v>544</v>
      </c>
      <c r="C612" s="83" t="s">
        <v>629</v>
      </c>
      <c r="D612" s="124" t="s">
        <v>620</v>
      </c>
      <c r="E612" s="130">
        <v>2011</v>
      </c>
      <c r="F612" s="125" t="s">
        <v>734</v>
      </c>
      <c r="G612" s="125">
        <v>53</v>
      </c>
      <c r="H612" s="85">
        <v>23969.91</v>
      </c>
      <c r="I612" s="85" t="s">
        <v>630</v>
      </c>
      <c r="J612" s="128">
        <v>72576</v>
      </c>
      <c r="K612" s="128">
        <f t="shared" si="9"/>
        <v>3846528</v>
      </c>
      <c r="L612" s="125" t="s">
        <v>1208</v>
      </c>
      <c r="M612" s="85" t="s">
        <v>47</v>
      </c>
      <c r="N612" s="85" t="s">
        <v>1491</v>
      </c>
    </row>
    <row r="613" spans="2:14" ht="15.75" thickBot="1" x14ac:dyDescent="0.3">
      <c r="B613" s="82" t="s">
        <v>544</v>
      </c>
      <c r="C613" s="83" t="s">
        <v>629</v>
      </c>
      <c r="D613" s="124" t="s">
        <v>620</v>
      </c>
      <c r="E613" s="130">
        <v>2000</v>
      </c>
      <c r="F613" s="125" t="s">
        <v>735</v>
      </c>
      <c r="G613" s="125">
        <v>49</v>
      </c>
      <c r="H613" s="85">
        <v>5314.22</v>
      </c>
      <c r="I613" s="85" t="s">
        <v>630</v>
      </c>
      <c r="J613" s="128">
        <v>14090</v>
      </c>
      <c r="K613" s="128">
        <f t="shared" si="9"/>
        <v>690410</v>
      </c>
      <c r="L613" s="125" t="s">
        <v>1209</v>
      </c>
      <c r="M613" s="85" t="s">
        <v>47</v>
      </c>
      <c r="N613" s="85" t="s">
        <v>1491</v>
      </c>
    </row>
    <row r="614" spans="2:14" ht="15.75" thickBot="1" x14ac:dyDescent="0.3">
      <c r="B614" s="82" t="s">
        <v>544</v>
      </c>
      <c r="C614" s="83" t="s">
        <v>629</v>
      </c>
      <c r="D614" s="124" t="s">
        <v>620</v>
      </c>
      <c r="E614" s="130">
        <v>2001</v>
      </c>
      <c r="F614" s="125" t="s">
        <v>732</v>
      </c>
      <c r="G614" s="125">
        <v>55</v>
      </c>
      <c r="H614" s="85">
        <v>10734.21</v>
      </c>
      <c r="I614" s="85" t="s">
        <v>630</v>
      </c>
      <c r="J614" s="128">
        <v>27636</v>
      </c>
      <c r="K614" s="128">
        <f t="shared" si="9"/>
        <v>1519980</v>
      </c>
      <c r="L614" s="125" t="s">
        <v>1210</v>
      </c>
      <c r="M614" s="85" t="s">
        <v>47</v>
      </c>
      <c r="N614" s="85" t="s">
        <v>1491</v>
      </c>
    </row>
    <row r="615" spans="2:14" ht="15.75" thickBot="1" x14ac:dyDescent="0.3">
      <c r="B615" s="82" t="s">
        <v>544</v>
      </c>
      <c r="C615" s="83" t="s">
        <v>629</v>
      </c>
      <c r="D615" s="124" t="s">
        <v>620</v>
      </c>
      <c r="E615" s="130">
        <v>2004</v>
      </c>
      <c r="F615" s="125" t="s">
        <v>732</v>
      </c>
      <c r="G615" s="125">
        <v>19</v>
      </c>
      <c r="H615" s="85">
        <v>2448.52</v>
      </c>
      <c r="I615" s="85" t="s">
        <v>630</v>
      </c>
      <c r="J615" s="128">
        <v>11551</v>
      </c>
      <c r="K615" s="128">
        <f t="shared" si="9"/>
        <v>219469</v>
      </c>
      <c r="L615" s="125" t="s">
        <v>1211</v>
      </c>
      <c r="M615" s="85" t="s">
        <v>47</v>
      </c>
      <c r="N615" s="85" t="s">
        <v>1491</v>
      </c>
    </row>
    <row r="616" spans="2:14" ht="15.75" thickBot="1" x14ac:dyDescent="0.3">
      <c r="B616" s="82" t="s">
        <v>544</v>
      </c>
      <c r="C616" s="83" t="s">
        <v>629</v>
      </c>
      <c r="D616" s="124" t="s">
        <v>620</v>
      </c>
      <c r="E616" s="130">
        <v>2001</v>
      </c>
      <c r="F616" s="125" t="s">
        <v>732</v>
      </c>
      <c r="G616" s="125">
        <v>49</v>
      </c>
      <c r="H616" s="85">
        <v>15394.8</v>
      </c>
      <c r="I616" s="85" t="s">
        <v>630</v>
      </c>
      <c r="J616" s="128">
        <v>37100</v>
      </c>
      <c r="K616" s="128">
        <f t="shared" si="9"/>
        <v>1817900</v>
      </c>
      <c r="L616" s="125" t="s">
        <v>1212</v>
      </c>
      <c r="M616" s="85" t="s">
        <v>47</v>
      </c>
      <c r="N616" s="85" t="s">
        <v>1491</v>
      </c>
    </row>
    <row r="617" spans="2:14" ht="15.75" thickBot="1" x14ac:dyDescent="0.3">
      <c r="B617" s="82" t="s">
        <v>544</v>
      </c>
      <c r="C617" s="83" t="s">
        <v>629</v>
      </c>
      <c r="D617" s="124" t="s">
        <v>620</v>
      </c>
      <c r="E617" s="130">
        <v>2001</v>
      </c>
      <c r="F617" s="125" t="s">
        <v>732</v>
      </c>
      <c r="G617" s="125">
        <v>49</v>
      </c>
      <c r="H617" s="85">
        <v>3056.82</v>
      </c>
      <c r="I617" s="85" t="s">
        <v>630</v>
      </c>
      <c r="J617" s="128">
        <v>7906</v>
      </c>
      <c r="K617" s="128">
        <f t="shared" si="9"/>
        <v>387394</v>
      </c>
      <c r="L617" s="125" t="s">
        <v>1213</v>
      </c>
      <c r="M617" s="85" t="s">
        <v>47</v>
      </c>
      <c r="N617" s="85" t="s">
        <v>1491</v>
      </c>
    </row>
    <row r="618" spans="2:14" ht="15.75" thickBot="1" x14ac:dyDescent="0.3">
      <c r="B618" s="82" t="s">
        <v>544</v>
      </c>
      <c r="C618" s="83" t="s">
        <v>629</v>
      </c>
      <c r="D618" s="124" t="s">
        <v>620</v>
      </c>
      <c r="E618" s="130">
        <v>2001</v>
      </c>
      <c r="F618" s="125" t="s">
        <v>732</v>
      </c>
      <c r="G618" s="125">
        <v>49</v>
      </c>
      <c r="H618" s="85">
        <v>13999.56</v>
      </c>
      <c r="I618" s="85" t="s">
        <v>630</v>
      </c>
      <c r="J618" s="128">
        <v>34818</v>
      </c>
      <c r="K618" s="128">
        <f t="shared" si="9"/>
        <v>1706082</v>
      </c>
      <c r="L618" s="125" t="s">
        <v>1214</v>
      </c>
      <c r="M618" s="85" t="s">
        <v>47</v>
      </c>
      <c r="N618" s="85" t="s">
        <v>1491</v>
      </c>
    </row>
    <row r="619" spans="2:14" ht="15.75" thickBot="1" x14ac:dyDescent="0.3">
      <c r="B619" s="82" t="s">
        <v>544</v>
      </c>
      <c r="C619" s="83" t="s">
        <v>629</v>
      </c>
      <c r="D619" s="124" t="s">
        <v>620</v>
      </c>
      <c r="E619" s="130">
        <v>2001</v>
      </c>
      <c r="F619" s="125" t="s">
        <v>732</v>
      </c>
      <c r="G619" s="125">
        <v>49</v>
      </c>
      <c r="H619" s="85">
        <v>14969.510000000002</v>
      </c>
      <c r="I619" s="85" t="s">
        <v>630</v>
      </c>
      <c r="J619" s="128">
        <v>39045</v>
      </c>
      <c r="K619" s="128">
        <f t="shared" si="9"/>
        <v>1913205</v>
      </c>
      <c r="L619" s="125" t="s">
        <v>1215</v>
      </c>
      <c r="M619" s="85" t="s">
        <v>47</v>
      </c>
      <c r="N619" s="85" t="s">
        <v>1491</v>
      </c>
    </row>
    <row r="620" spans="2:14" ht="15.75" thickBot="1" x14ac:dyDescent="0.3">
      <c r="B620" s="82" t="s">
        <v>544</v>
      </c>
      <c r="C620" s="83" t="s">
        <v>629</v>
      </c>
      <c r="D620" s="124" t="s">
        <v>620</v>
      </c>
      <c r="E620" s="130">
        <v>2004</v>
      </c>
      <c r="F620" s="125" t="s">
        <v>732</v>
      </c>
      <c r="G620" s="125">
        <v>49</v>
      </c>
      <c r="H620" s="85">
        <v>8104.12</v>
      </c>
      <c r="I620" s="85" t="s">
        <v>630</v>
      </c>
      <c r="J620" s="128">
        <v>20836</v>
      </c>
      <c r="K620" s="128">
        <f t="shared" si="9"/>
        <v>1020964</v>
      </c>
      <c r="L620" s="125" t="s">
        <v>843</v>
      </c>
      <c r="M620" s="85" t="s">
        <v>47</v>
      </c>
      <c r="N620" s="85" t="s">
        <v>1491</v>
      </c>
    </row>
    <row r="621" spans="2:14" ht="15.75" thickBot="1" x14ac:dyDescent="0.3">
      <c r="B621" s="82" t="s">
        <v>544</v>
      </c>
      <c r="C621" s="83" t="s">
        <v>629</v>
      </c>
      <c r="D621" s="124" t="s">
        <v>620</v>
      </c>
      <c r="E621" s="130">
        <v>2005</v>
      </c>
      <c r="F621" s="125" t="s">
        <v>732</v>
      </c>
      <c r="G621" s="125">
        <v>66</v>
      </c>
      <c r="H621" s="85">
        <v>10701.02</v>
      </c>
      <c r="I621" s="85" t="s">
        <v>630</v>
      </c>
      <c r="J621" s="128">
        <v>29569</v>
      </c>
      <c r="K621" s="128">
        <f t="shared" si="9"/>
        <v>1951554</v>
      </c>
      <c r="L621" s="125" t="s">
        <v>846</v>
      </c>
      <c r="M621" s="85" t="s">
        <v>47</v>
      </c>
      <c r="N621" s="85" t="s">
        <v>1491</v>
      </c>
    </row>
    <row r="622" spans="2:14" ht="15.75" thickBot="1" x14ac:dyDescent="0.3">
      <c r="B622" s="82" t="s">
        <v>544</v>
      </c>
      <c r="C622" s="83" t="s">
        <v>629</v>
      </c>
      <c r="D622" s="124" t="s">
        <v>620</v>
      </c>
      <c r="E622" s="130">
        <v>2007</v>
      </c>
      <c r="F622" s="125" t="s">
        <v>731</v>
      </c>
      <c r="G622" s="125">
        <v>55</v>
      </c>
      <c r="H622" s="85">
        <v>24115.185000000001</v>
      </c>
      <c r="I622" s="85" t="s">
        <v>630</v>
      </c>
      <c r="J622" s="128">
        <v>67381</v>
      </c>
      <c r="K622" s="128">
        <f t="shared" si="9"/>
        <v>3705955</v>
      </c>
      <c r="L622" s="125" t="s">
        <v>1216</v>
      </c>
      <c r="M622" s="85" t="s">
        <v>47</v>
      </c>
      <c r="N622" s="85" t="s">
        <v>1491</v>
      </c>
    </row>
    <row r="623" spans="2:14" ht="15.75" thickBot="1" x14ac:dyDescent="0.3">
      <c r="B623" s="82" t="s">
        <v>544</v>
      </c>
      <c r="C623" s="83" t="s">
        <v>629</v>
      </c>
      <c r="D623" s="124" t="s">
        <v>620</v>
      </c>
      <c r="E623" s="130">
        <v>2016</v>
      </c>
      <c r="F623" s="125" t="s">
        <v>733</v>
      </c>
      <c r="G623" s="125">
        <v>53</v>
      </c>
      <c r="H623" s="85">
        <v>2423.4899999999998</v>
      </c>
      <c r="I623" s="85" t="s">
        <v>630</v>
      </c>
      <c r="J623" s="128">
        <v>8974</v>
      </c>
      <c r="K623" s="128">
        <f t="shared" si="9"/>
        <v>475622</v>
      </c>
      <c r="L623" s="125" t="s">
        <v>1000</v>
      </c>
      <c r="M623" s="85" t="s">
        <v>47</v>
      </c>
      <c r="N623" s="85" t="s">
        <v>1491</v>
      </c>
    </row>
    <row r="624" spans="2:14" ht="15.75" thickBot="1" x14ac:dyDescent="0.3">
      <c r="B624" s="82" t="s">
        <v>544</v>
      </c>
      <c r="C624" s="83" t="s">
        <v>629</v>
      </c>
      <c r="D624" s="124" t="s">
        <v>620</v>
      </c>
      <c r="E624" s="130">
        <v>2016</v>
      </c>
      <c r="F624" s="125" t="s">
        <v>733</v>
      </c>
      <c r="G624" s="125">
        <v>59</v>
      </c>
      <c r="H624" s="85">
        <v>3337.11</v>
      </c>
      <c r="I624" s="85" t="s">
        <v>630</v>
      </c>
      <c r="J624" s="128">
        <v>11345</v>
      </c>
      <c r="K624" s="128">
        <f t="shared" si="9"/>
        <v>669355</v>
      </c>
      <c r="L624" s="125" t="s">
        <v>1006</v>
      </c>
      <c r="M624" s="85" t="s">
        <v>47</v>
      </c>
      <c r="N624" s="85" t="s">
        <v>1491</v>
      </c>
    </row>
    <row r="625" spans="2:14" ht="15.75" thickBot="1" x14ac:dyDescent="0.3">
      <c r="B625" s="82" t="s">
        <v>544</v>
      </c>
      <c r="C625" s="83" t="s">
        <v>629</v>
      </c>
      <c r="D625" s="124" t="s">
        <v>620</v>
      </c>
      <c r="E625" s="130">
        <v>2016</v>
      </c>
      <c r="F625" s="125" t="s">
        <v>733</v>
      </c>
      <c r="G625" s="125">
        <v>59</v>
      </c>
      <c r="H625" s="85">
        <v>1101.83</v>
      </c>
      <c r="I625" s="85" t="s">
        <v>630</v>
      </c>
      <c r="J625" s="128">
        <v>3369</v>
      </c>
      <c r="K625" s="128">
        <f t="shared" si="9"/>
        <v>198771</v>
      </c>
      <c r="L625" s="125" t="s">
        <v>1008</v>
      </c>
      <c r="M625" s="85" t="s">
        <v>47</v>
      </c>
      <c r="N625" s="85" t="s">
        <v>1491</v>
      </c>
    </row>
    <row r="626" spans="2:14" ht="15.75" thickBot="1" x14ac:dyDescent="0.3">
      <c r="B626" s="82" t="s">
        <v>544</v>
      </c>
      <c r="C626" s="83" t="s">
        <v>629</v>
      </c>
      <c r="D626" s="124" t="s">
        <v>620</v>
      </c>
      <c r="E626" s="130">
        <v>2016</v>
      </c>
      <c r="F626" s="125" t="s">
        <v>733</v>
      </c>
      <c r="G626" s="125">
        <v>53</v>
      </c>
      <c r="H626" s="85">
        <v>2577.5299999999997</v>
      </c>
      <c r="I626" s="85" t="s">
        <v>630</v>
      </c>
      <c r="J626" s="128">
        <v>9869</v>
      </c>
      <c r="K626" s="128">
        <f t="shared" si="9"/>
        <v>523057</v>
      </c>
      <c r="L626" s="125" t="s">
        <v>1009</v>
      </c>
      <c r="M626" s="85" t="s">
        <v>47</v>
      </c>
      <c r="N626" s="85" t="s">
        <v>1491</v>
      </c>
    </row>
    <row r="627" spans="2:14" ht="15.75" thickBot="1" x14ac:dyDescent="0.3">
      <c r="B627" s="82" t="s">
        <v>544</v>
      </c>
      <c r="C627" s="83" t="s">
        <v>629</v>
      </c>
      <c r="D627" s="124" t="s">
        <v>620</v>
      </c>
      <c r="E627" s="130">
        <v>2016</v>
      </c>
      <c r="F627" s="125" t="s">
        <v>733</v>
      </c>
      <c r="G627" s="125">
        <v>53</v>
      </c>
      <c r="H627" s="85">
        <v>1012.9599999999999</v>
      </c>
      <c r="I627" s="85" t="s">
        <v>630</v>
      </c>
      <c r="J627" s="128">
        <v>3591</v>
      </c>
      <c r="K627" s="128">
        <f t="shared" si="9"/>
        <v>190323</v>
      </c>
      <c r="L627" s="125" t="s">
        <v>1010</v>
      </c>
      <c r="M627" s="85" t="s">
        <v>47</v>
      </c>
      <c r="N627" s="85" t="s">
        <v>1491</v>
      </c>
    </row>
    <row r="628" spans="2:14" ht="15.75" thickBot="1" x14ac:dyDescent="0.3">
      <c r="B628" s="82" t="s">
        <v>544</v>
      </c>
      <c r="C628" s="83" t="s">
        <v>629</v>
      </c>
      <c r="D628" s="124" t="s">
        <v>620</v>
      </c>
      <c r="E628" s="130">
        <v>2016</v>
      </c>
      <c r="F628" s="125" t="s">
        <v>733</v>
      </c>
      <c r="G628" s="125">
        <v>53</v>
      </c>
      <c r="H628" s="85">
        <v>259</v>
      </c>
      <c r="I628" s="85" t="s">
        <v>630</v>
      </c>
      <c r="J628" s="128">
        <v>959</v>
      </c>
      <c r="K628" s="128">
        <f t="shared" si="9"/>
        <v>50827</v>
      </c>
      <c r="L628" s="125" t="s">
        <v>1011</v>
      </c>
      <c r="M628" s="85" t="s">
        <v>47</v>
      </c>
      <c r="N628" s="85" t="s">
        <v>1491</v>
      </c>
    </row>
    <row r="629" spans="2:14" ht="15.75" thickBot="1" x14ac:dyDescent="0.3">
      <c r="B629" s="82" t="s">
        <v>544</v>
      </c>
      <c r="C629" s="83" t="s">
        <v>629</v>
      </c>
      <c r="D629" s="124" t="s">
        <v>620</v>
      </c>
      <c r="E629" s="130">
        <v>2016</v>
      </c>
      <c r="F629" s="125" t="s">
        <v>733</v>
      </c>
      <c r="G629" s="125">
        <v>53</v>
      </c>
      <c r="H629" s="85">
        <v>209</v>
      </c>
      <c r="I629" s="85" t="s">
        <v>630</v>
      </c>
      <c r="J629" s="128">
        <v>774</v>
      </c>
      <c r="K629" s="128">
        <f t="shared" si="9"/>
        <v>41022</v>
      </c>
      <c r="L629" s="125" t="s">
        <v>1012</v>
      </c>
      <c r="M629" s="85" t="s">
        <v>47</v>
      </c>
      <c r="N629" s="85" t="s">
        <v>1491</v>
      </c>
    </row>
    <row r="630" spans="2:14" ht="15.75" thickBot="1" x14ac:dyDescent="0.3">
      <c r="B630" s="82" t="s">
        <v>544</v>
      </c>
      <c r="C630" s="83" t="s">
        <v>629</v>
      </c>
      <c r="D630" s="124" t="s">
        <v>620</v>
      </c>
      <c r="E630" s="130">
        <v>2019</v>
      </c>
      <c r="F630" s="125" t="s">
        <v>733</v>
      </c>
      <c r="G630" s="125">
        <v>53</v>
      </c>
      <c r="H630" s="85">
        <v>1929.81</v>
      </c>
      <c r="I630" s="85" t="s">
        <v>630</v>
      </c>
      <c r="J630" s="128">
        <v>8650</v>
      </c>
      <c r="K630" s="128">
        <f t="shared" si="9"/>
        <v>458450</v>
      </c>
      <c r="L630" s="125" t="s">
        <v>985</v>
      </c>
      <c r="M630" s="85" t="s">
        <v>47</v>
      </c>
      <c r="N630" s="85" t="s">
        <v>1491</v>
      </c>
    </row>
    <row r="631" spans="2:14" ht="15.75" thickBot="1" x14ac:dyDescent="0.3">
      <c r="B631" s="82" t="s">
        <v>544</v>
      </c>
      <c r="C631" s="83" t="s">
        <v>629</v>
      </c>
      <c r="D631" s="124" t="s">
        <v>620</v>
      </c>
      <c r="E631" s="130">
        <v>2019</v>
      </c>
      <c r="F631" s="125" t="s">
        <v>733</v>
      </c>
      <c r="G631" s="125">
        <v>53</v>
      </c>
      <c r="H631" s="85">
        <v>358.87</v>
      </c>
      <c r="I631" s="85" t="s">
        <v>630</v>
      </c>
      <c r="J631" s="128">
        <v>1494</v>
      </c>
      <c r="K631" s="128">
        <f t="shared" si="9"/>
        <v>79182</v>
      </c>
      <c r="L631" s="125" t="s">
        <v>986</v>
      </c>
      <c r="M631" s="85" t="s">
        <v>47</v>
      </c>
      <c r="N631" s="85" t="s">
        <v>1491</v>
      </c>
    </row>
    <row r="632" spans="2:14" ht="15.75" thickBot="1" x14ac:dyDescent="0.3">
      <c r="B632" s="82" t="s">
        <v>541</v>
      </c>
      <c r="C632" s="83" t="s">
        <v>629</v>
      </c>
      <c r="D632" s="124" t="s">
        <v>620</v>
      </c>
      <c r="E632" s="130">
        <v>2008</v>
      </c>
      <c r="F632" s="125" t="s">
        <v>731</v>
      </c>
      <c r="G632" s="125">
        <v>53</v>
      </c>
      <c r="H632" s="85">
        <v>15910.334000000003</v>
      </c>
      <c r="I632" s="85" t="s">
        <v>630</v>
      </c>
      <c r="J632" s="128">
        <v>40579</v>
      </c>
      <c r="K632" s="128">
        <f t="shared" si="9"/>
        <v>2150687</v>
      </c>
      <c r="L632" s="125" t="s">
        <v>1217</v>
      </c>
      <c r="M632" s="85" t="s">
        <v>47</v>
      </c>
      <c r="N632" s="85" t="s">
        <v>1491</v>
      </c>
    </row>
    <row r="633" spans="2:14" ht="15.75" thickBot="1" x14ac:dyDescent="0.3">
      <c r="B633" s="82" t="s">
        <v>541</v>
      </c>
      <c r="C633" s="83" t="s">
        <v>629</v>
      </c>
      <c r="D633" s="124" t="s">
        <v>620</v>
      </c>
      <c r="E633" s="130">
        <v>1997</v>
      </c>
      <c r="F633" s="125" t="s">
        <v>736</v>
      </c>
      <c r="G633" s="125">
        <v>80</v>
      </c>
      <c r="H633" s="85">
        <v>558.43000000000006</v>
      </c>
      <c r="I633" s="85" t="s">
        <v>630</v>
      </c>
      <c r="J633" s="128">
        <v>1550</v>
      </c>
      <c r="K633" s="128">
        <f t="shared" si="9"/>
        <v>124000</v>
      </c>
      <c r="L633" s="125" t="s">
        <v>1131</v>
      </c>
      <c r="M633" s="85" t="s">
        <v>47</v>
      </c>
      <c r="N633" s="85" t="s">
        <v>1491</v>
      </c>
    </row>
    <row r="634" spans="2:14" ht="15.75" thickBot="1" x14ac:dyDescent="0.3">
      <c r="B634" s="82" t="s">
        <v>541</v>
      </c>
      <c r="C634" s="83" t="s">
        <v>629</v>
      </c>
      <c r="D634" s="124" t="s">
        <v>620</v>
      </c>
      <c r="E634" s="130">
        <v>1996</v>
      </c>
      <c r="F634" s="125" t="s">
        <v>736</v>
      </c>
      <c r="G634" s="125">
        <v>82</v>
      </c>
      <c r="H634" s="85">
        <v>169.4</v>
      </c>
      <c r="I634" s="85" t="s">
        <v>630</v>
      </c>
      <c r="J634" s="128">
        <v>469</v>
      </c>
      <c r="K634" s="128">
        <f t="shared" si="9"/>
        <v>38458</v>
      </c>
      <c r="L634" s="125" t="s">
        <v>1218</v>
      </c>
      <c r="M634" s="85" t="s">
        <v>47</v>
      </c>
      <c r="N634" s="85" t="s">
        <v>1491</v>
      </c>
    </row>
    <row r="635" spans="2:14" ht="15.75" thickBot="1" x14ac:dyDescent="0.3">
      <c r="B635" s="82" t="s">
        <v>541</v>
      </c>
      <c r="C635" s="83" t="s">
        <v>629</v>
      </c>
      <c r="D635" s="124" t="s">
        <v>620</v>
      </c>
      <c r="E635" s="130">
        <v>2005</v>
      </c>
      <c r="F635" s="125" t="s">
        <v>732</v>
      </c>
      <c r="G635" s="125">
        <v>19</v>
      </c>
      <c r="H635" s="85">
        <v>0</v>
      </c>
      <c r="I635" s="85" t="s">
        <v>630</v>
      </c>
      <c r="J635" s="128">
        <v>0</v>
      </c>
      <c r="K635" s="128">
        <f t="shared" si="9"/>
        <v>0</v>
      </c>
      <c r="L635" s="125" t="s">
        <v>1219</v>
      </c>
      <c r="M635" s="85" t="s">
        <v>47</v>
      </c>
      <c r="N635" s="85" t="s">
        <v>1491</v>
      </c>
    </row>
    <row r="636" spans="2:14" ht="15.75" thickBot="1" x14ac:dyDescent="0.3">
      <c r="B636" s="82" t="s">
        <v>541</v>
      </c>
      <c r="C636" s="83" t="s">
        <v>629</v>
      </c>
      <c r="D636" s="124" t="s">
        <v>620</v>
      </c>
      <c r="E636" s="130">
        <v>2006</v>
      </c>
      <c r="F636" s="125" t="s">
        <v>731</v>
      </c>
      <c r="G636" s="125">
        <v>90</v>
      </c>
      <c r="H636" s="85">
        <v>9726.6799999999985</v>
      </c>
      <c r="I636" s="85" t="s">
        <v>630</v>
      </c>
      <c r="J636" s="128">
        <v>21293</v>
      </c>
      <c r="K636" s="128">
        <f t="shared" si="9"/>
        <v>1916370</v>
      </c>
      <c r="L636" s="125" t="s">
        <v>1220</v>
      </c>
      <c r="M636" s="85" t="s">
        <v>47</v>
      </c>
      <c r="N636" s="85" t="s">
        <v>1491</v>
      </c>
    </row>
    <row r="637" spans="2:14" ht="15.75" thickBot="1" x14ac:dyDescent="0.3">
      <c r="B637" s="82" t="s">
        <v>541</v>
      </c>
      <c r="C637" s="83" t="s">
        <v>629</v>
      </c>
      <c r="D637" s="124" t="s">
        <v>620</v>
      </c>
      <c r="E637" s="130">
        <v>2006</v>
      </c>
      <c r="F637" s="125" t="s">
        <v>731</v>
      </c>
      <c r="G637" s="125">
        <v>53</v>
      </c>
      <c r="H637" s="85">
        <v>14500.126999999999</v>
      </c>
      <c r="I637" s="85" t="s">
        <v>630</v>
      </c>
      <c r="J637" s="128">
        <v>42259</v>
      </c>
      <c r="K637" s="128">
        <f t="shared" si="9"/>
        <v>2239727</v>
      </c>
      <c r="L637" s="125" t="s">
        <v>1221</v>
      </c>
      <c r="M637" s="85" t="s">
        <v>47</v>
      </c>
      <c r="N637" s="85" t="s">
        <v>1491</v>
      </c>
    </row>
    <row r="638" spans="2:14" ht="15.75" thickBot="1" x14ac:dyDescent="0.3">
      <c r="B638" s="82" t="s">
        <v>541</v>
      </c>
      <c r="C638" s="83" t="s">
        <v>629</v>
      </c>
      <c r="D638" s="124" t="s">
        <v>620</v>
      </c>
      <c r="E638" s="130">
        <v>2006</v>
      </c>
      <c r="F638" s="125" t="s">
        <v>731</v>
      </c>
      <c r="G638" s="125">
        <v>19</v>
      </c>
      <c r="H638" s="85">
        <v>0</v>
      </c>
      <c r="I638" s="85" t="s">
        <v>630</v>
      </c>
      <c r="J638" s="128">
        <v>0</v>
      </c>
      <c r="K638" s="128">
        <f t="shared" si="9"/>
        <v>0</v>
      </c>
      <c r="L638" s="125" t="s">
        <v>1222</v>
      </c>
      <c r="M638" s="85" t="s">
        <v>47</v>
      </c>
      <c r="N638" s="85" t="s">
        <v>1491</v>
      </c>
    </row>
    <row r="639" spans="2:14" ht="15.75" thickBot="1" x14ac:dyDescent="0.3">
      <c r="B639" s="82" t="s">
        <v>541</v>
      </c>
      <c r="C639" s="83" t="s">
        <v>629</v>
      </c>
      <c r="D639" s="124" t="s">
        <v>620</v>
      </c>
      <c r="E639" s="130">
        <v>2006</v>
      </c>
      <c r="F639" s="125" t="s">
        <v>731</v>
      </c>
      <c r="G639" s="125">
        <v>15</v>
      </c>
      <c r="H639" s="85">
        <v>0</v>
      </c>
      <c r="I639" s="85" t="s">
        <v>630</v>
      </c>
      <c r="J639" s="128">
        <v>0</v>
      </c>
      <c r="K639" s="128">
        <f t="shared" si="9"/>
        <v>0</v>
      </c>
      <c r="L639" s="125" t="s">
        <v>1223</v>
      </c>
      <c r="M639" s="85" t="s">
        <v>47</v>
      </c>
      <c r="N639" s="85" t="s">
        <v>1491</v>
      </c>
    </row>
    <row r="640" spans="2:14" ht="15.75" thickBot="1" x14ac:dyDescent="0.3">
      <c r="B640" s="82" t="s">
        <v>541</v>
      </c>
      <c r="C640" s="83" t="s">
        <v>629</v>
      </c>
      <c r="D640" s="124" t="s">
        <v>620</v>
      </c>
      <c r="E640" s="130">
        <v>2007</v>
      </c>
      <c r="F640" s="125" t="s">
        <v>731</v>
      </c>
      <c r="G640" s="125">
        <v>53</v>
      </c>
      <c r="H640" s="85">
        <v>14171.634999999998</v>
      </c>
      <c r="I640" s="85" t="s">
        <v>630</v>
      </c>
      <c r="J640" s="128">
        <v>40964</v>
      </c>
      <c r="K640" s="128">
        <f t="shared" si="9"/>
        <v>2171092</v>
      </c>
      <c r="L640" s="125" t="s">
        <v>1224</v>
      </c>
      <c r="M640" s="85" t="s">
        <v>47</v>
      </c>
      <c r="N640" s="85" t="s">
        <v>1491</v>
      </c>
    </row>
    <row r="641" spans="2:14" ht="15.75" thickBot="1" x14ac:dyDescent="0.3">
      <c r="B641" s="82" t="s">
        <v>541</v>
      </c>
      <c r="C641" s="83" t="s">
        <v>629</v>
      </c>
      <c r="D641" s="124" t="s">
        <v>620</v>
      </c>
      <c r="E641" s="130">
        <v>2007</v>
      </c>
      <c r="F641" s="125" t="s">
        <v>731</v>
      </c>
      <c r="G641" s="125">
        <v>53</v>
      </c>
      <c r="H641" s="85">
        <v>5151.8999999999996</v>
      </c>
      <c r="I641" s="85" t="s">
        <v>630</v>
      </c>
      <c r="J641" s="128">
        <v>16279</v>
      </c>
      <c r="K641" s="128">
        <f t="shared" si="9"/>
        <v>862787</v>
      </c>
      <c r="L641" s="125" t="s">
        <v>1225</v>
      </c>
      <c r="M641" s="85" t="s">
        <v>47</v>
      </c>
      <c r="N641" s="85" t="s">
        <v>1491</v>
      </c>
    </row>
    <row r="642" spans="2:14" ht="15.75" thickBot="1" x14ac:dyDescent="0.3">
      <c r="B642" s="82" t="s">
        <v>541</v>
      </c>
      <c r="C642" s="83" t="s">
        <v>629</v>
      </c>
      <c r="D642" s="124" t="s">
        <v>620</v>
      </c>
      <c r="E642" s="130">
        <v>2007</v>
      </c>
      <c r="F642" s="125" t="s">
        <v>731</v>
      </c>
      <c r="G642" s="125">
        <v>53</v>
      </c>
      <c r="H642" s="85">
        <v>14005.802</v>
      </c>
      <c r="I642" s="85" t="s">
        <v>630</v>
      </c>
      <c r="J642" s="128">
        <v>39199</v>
      </c>
      <c r="K642" s="128">
        <f t="shared" si="9"/>
        <v>2077547</v>
      </c>
      <c r="L642" s="125" t="s">
        <v>1226</v>
      </c>
      <c r="M642" s="85" t="s">
        <v>47</v>
      </c>
      <c r="N642" s="85" t="s">
        <v>1491</v>
      </c>
    </row>
    <row r="643" spans="2:14" ht="15.75" thickBot="1" x14ac:dyDescent="0.3">
      <c r="B643" s="82" t="s">
        <v>541</v>
      </c>
      <c r="C643" s="83" t="s">
        <v>629</v>
      </c>
      <c r="D643" s="124" t="s">
        <v>620</v>
      </c>
      <c r="E643" s="130">
        <v>2007</v>
      </c>
      <c r="F643" s="125" t="s">
        <v>731</v>
      </c>
      <c r="G643" s="125">
        <v>53</v>
      </c>
      <c r="H643" s="85">
        <v>15308.208000000001</v>
      </c>
      <c r="I643" s="85" t="s">
        <v>630</v>
      </c>
      <c r="J643" s="128">
        <v>45486</v>
      </c>
      <c r="K643" s="128">
        <f t="shared" si="9"/>
        <v>2410758</v>
      </c>
      <c r="L643" s="125" t="s">
        <v>1227</v>
      </c>
      <c r="M643" s="85" t="s">
        <v>47</v>
      </c>
      <c r="N643" s="85" t="s">
        <v>1491</v>
      </c>
    </row>
    <row r="644" spans="2:14" ht="15.75" thickBot="1" x14ac:dyDescent="0.3">
      <c r="B644" s="82" t="s">
        <v>541</v>
      </c>
      <c r="C644" s="83" t="s">
        <v>629</v>
      </c>
      <c r="D644" s="124" t="s">
        <v>620</v>
      </c>
      <c r="E644" s="130">
        <v>2007</v>
      </c>
      <c r="F644" s="125" t="s">
        <v>731</v>
      </c>
      <c r="G644" s="125">
        <v>53</v>
      </c>
      <c r="H644" s="85">
        <v>12877.996999999998</v>
      </c>
      <c r="I644" s="85" t="s">
        <v>630</v>
      </c>
      <c r="J644" s="128">
        <v>38060</v>
      </c>
      <c r="K644" s="128">
        <f t="shared" si="9"/>
        <v>2017180</v>
      </c>
      <c r="L644" s="125" t="s">
        <v>1228</v>
      </c>
      <c r="M644" s="85" t="s">
        <v>47</v>
      </c>
      <c r="N644" s="85" t="s">
        <v>1491</v>
      </c>
    </row>
    <row r="645" spans="2:14" ht="15.75" thickBot="1" x14ac:dyDescent="0.3">
      <c r="B645" s="82" t="s">
        <v>541</v>
      </c>
      <c r="C645" s="83" t="s">
        <v>629</v>
      </c>
      <c r="D645" s="124" t="s">
        <v>620</v>
      </c>
      <c r="E645" s="130">
        <v>2007</v>
      </c>
      <c r="F645" s="125" t="s">
        <v>731</v>
      </c>
      <c r="G645" s="125">
        <v>53</v>
      </c>
      <c r="H645" s="85">
        <v>14664.96</v>
      </c>
      <c r="I645" s="85" t="s">
        <v>630</v>
      </c>
      <c r="J645" s="128">
        <v>43754</v>
      </c>
      <c r="K645" s="128">
        <f t="shared" si="9"/>
        <v>2318962</v>
      </c>
      <c r="L645" s="125" t="s">
        <v>1229</v>
      </c>
      <c r="M645" s="85" t="s">
        <v>47</v>
      </c>
      <c r="N645" s="85" t="s">
        <v>1491</v>
      </c>
    </row>
    <row r="646" spans="2:14" ht="15.75" thickBot="1" x14ac:dyDescent="0.3">
      <c r="B646" s="82" t="s">
        <v>541</v>
      </c>
      <c r="C646" s="83" t="s">
        <v>629</v>
      </c>
      <c r="D646" s="124" t="s">
        <v>620</v>
      </c>
      <c r="E646" s="130">
        <v>2007</v>
      </c>
      <c r="F646" s="125" t="s">
        <v>731</v>
      </c>
      <c r="G646" s="125">
        <v>55</v>
      </c>
      <c r="H646" s="85">
        <v>15217.975000000002</v>
      </c>
      <c r="I646" s="85" t="s">
        <v>630</v>
      </c>
      <c r="J646" s="128">
        <v>44706</v>
      </c>
      <c r="K646" s="128">
        <f t="shared" si="9"/>
        <v>2458830</v>
      </c>
      <c r="L646" s="125" t="s">
        <v>1230</v>
      </c>
      <c r="M646" s="85" t="s">
        <v>47</v>
      </c>
      <c r="N646" s="85" t="s">
        <v>1491</v>
      </c>
    </row>
    <row r="647" spans="2:14" ht="15.75" thickBot="1" x14ac:dyDescent="0.3">
      <c r="B647" s="82" t="s">
        <v>541</v>
      </c>
      <c r="C647" s="83" t="s">
        <v>629</v>
      </c>
      <c r="D647" s="124" t="s">
        <v>620</v>
      </c>
      <c r="E647" s="130">
        <v>2007</v>
      </c>
      <c r="F647" s="125" t="s">
        <v>731</v>
      </c>
      <c r="G647" s="125">
        <v>53</v>
      </c>
      <c r="H647" s="85">
        <v>15927.255000000001</v>
      </c>
      <c r="I647" s="85" t="s">
        <v>630</v>
      </c>
      <c r="J647" s="128">
        <v>47242</v>
      </c>
      <c r="K647" s="128">
        <f t="shared" si="9"/>
        <v>2503826</v>
      </c>
      <c r="L647" s="125" t="s">
        <v>1231</v>
      </c>
      <c r="M647" s="85" t="s">
        <v>47</v>
      </c>
      <c r="N647" s="85" t="s">
        <v>1491</v>
      </c>
    </row>
    <row r="648" spans="2:14" ht="15.75" thickBot="1" x14ac:dyDescent="0.3">
      <c r="B648" s="82" t="s">
        <v>541</v>
      </c>
      <c r="C648" s="83" t="s">
        <v>629</v>
      </c>
      <c r="D648" s="124" t="s">
        <v>620</v>
      </c>
      <c r="E648" s="130">
        <v>2007</v>
      </c>
      <c r="F648" s="125" t="s">
        <v>731</v>
      </c>
      <c r="G648" s="125">
        <v>53</v>
      </c>
      <c r="H648" s="85">
        <v>0</v>
      </c>
      <c r="I648" s="85" t="s">
        <v>630</v>
      </c>
      <c r="J648" s="128">
        <v>0</v>
      </c>
      <c r="K648" s="128">
        <f t="shared" si="9"/>
        <v>0</v>
      </c>
      <c r="L648" s="125" t="s">
        <v>1232</v>
      </c>
      <c r="M648" s="85" t="s">
        <v>47</v>
      </c>
      <c r="N648" s="85" t="s">
        <v>1491</v>
      </c>
    </row>
    <row r="649" spans="2:14" ht="15.75" thickBot="1" x14ac:dyDescent="0.3">
      <c r="B649" s="82" t="s">
        <v>541</v>
      </c>
      <c r="C649" s="83" t="s">
        <v>629</v>
      </c>
      <c r="D649" s="124" t="s">
        <v>620</v>
      </c>
      <c r="E649" s="130">
        <v>2007</v>
      </c>
      <c r="F649" s="125" t="s">
        <v>731</v>
      </c>
      <c r="G649" s="125">
        <v>53</v>
      </c>
      <c r="H649" s="85">
        <v>18227.508999999998</v>
      </c>
      <c r="I649" s="85" t="s">
        <v>630</v>
      </c>
      <c r="J649" s="128">
        <v>48302</v>
      </c>
      <c r="K649" s="128">
        <f t="shared" si="9"/>
        <v>2560006</v>
      </c>
      <c r="L649" s="125" t="s">
        <v>1233</v>
      </c>
      <c r="M649" s="85" t="s">
        <v>47</v>
      </c>
      <c r="N649" s="85" t="s">
        <v>1491</v>
      </c>
    </row>
    <row r="650" spans="2:14" ht="15.75" thickBot="1" x14ac:dyDescent="0.3">
      <c r="B650" s="82" t="s">
        <v>541</v>
      </c>
      <c r="C650" s="83" t="s">
        <v>629</v>
      </c>
      <c r="D650" s="124" t="s">
        <v>620</v>
      </c>
      <c r="E650" s="130">
        <v>2008</v>
      </c>
      <c r="F650" s="125" t="s">
        <v>731</v>
      </c>
      <c r="G650" s="125">
        <v>59</v>
      </c>
      <c r="H650" s="85">
        <v>17228.713</v>
      </c>
      <c r="I650" s="85" t="s">
        <v>630</v>
      </c>
      <c r="J650" s="128">
        <v>50107</v>
      </c>
      <c r="K650" s="128">
        <f t="shared" si="9"/>
        <v>2956313</v>
      </c>
      <c r="L650" s="125" t="s">
        <v>1234</v>
      </c>
      <c r="M650" s="85" t="s">
        <v>47</v>
      </c>
      <c r="N650" s="85" t="s">
        <v>1491</v>
      </c>
    </row>
    <row r="651" spans="2:14" ht="15.75" thickBot="1" x14ac:dyDescent="0.3">
      <c r="B651" s="82" t="s">
        <v>541</v>
      </c>
      <c r="C651" s="83" t="s">
        <v>629</v>
      </c>
      <c r="D651" s="124" t="s">
        <v>620</v>
      </c>
      <c r="E651" s="130">
        <v>2008</v>
      </c>
      <c r="F651" s="125" t="s">
        <v>731</v>
      </c>
      <c r="G651" s="125">
        <v>59</v>
      </c>
      <c r="H651" s="85">
        <v>19676.445999999996</v>
      </c>
      <c r="I651" s="85" t="s">
        <v>630</v>
      </c>
      <c r="J651" s="128">
        <v>51007</v>
      </c>
      <c r="K651" s="128">
        <f t="shared" si="9"/>
        <v>3009413</v>
      </c>
      <c r="L651" s="125" t="s">
        <v>1235</v>
      </c>
      <c r="M651" s="85" t="s">
        <v>47</v>
      </c>
      <c r="N651" s="85" t="s">
        <v>1491</v>
      </c>
    </row>
    <row r="652" spans="2:14" ht="15.75" thickBot="1" x14ac:dyDescent="0.3">
      <c r="B652" s="82" t="s">
        <v>541</v>
      </c>
      <c r="C652" s="83" t="s">
        <v>629</v>
      </c>
      <c r="D652" s="124" t="s">
        <v>620</v>
      </c>
      <c r="E652" s="130">
        <v>2008</v>
      </c>
      <c r="F652" s="125" t="s">
        <v>731</v>
      </c>
      <c r="G652" s="125">
        <v>53</v>
      </c>
      <c r="H652" s="85">
        <v>0</v>
      </c>
      <c r="I652" s="85" t="s">
        <v>630</v>
      </c>
      <c r="J652" s="128">
        <v>0</v>
      </c>
      <c r="K652" s="128">
        <f t="shared" si="9"/>
        <v>0</v>
      </c>
      <c r="L652" s="125" t="s">
        <v>1236</v>
      </c>
      <c r="M652" s="85" t="s">
        <v>47</v>
      </c>
      <c r="N652" s="85" t="s">
        <v>1491</v>
      </c>
    </row>
    <row r="653" spans="2:14" ht="15.75" thickBot="1" x14ac:dyDescent="0.3">
      <c r="B653" s="82" t="s">
        <v>541</v>
      </c>
      <c r="C653" s="83" t="s">
        <v>629</v>
      </c>
      <c r="D653" s="124" t="s">
        <v>620</v>
      </c>
      <c r="E653" s="130">
        <v>2008</v>
      </c>
      <c r="F653" s="125" t="s">
        <v>731</v>
      </c>
      <c r="G653" s="125">
        <v>53</v>
      </c>
      <c r="H653" s="85">
        <v>14342.043</v>
      </c>
      <c r="I653" s="85" t="s">
        <v>630</v>
      </c>
      <c r="J653" s="128">
        <v>38701</v>
      </c>
      <c r="K653" s="128">
        <f t="shared" si="9"/>
        <v>2051153</v>
      </c>
      <c r="L653" s="125" t="s">
        <v>1237</v>
      </c>
      <c r="M653" s="85" t="s">
        <v>47</v>
      </c>
      <c r="N653" s="85" t="s">
        <v>1491</v>
      </c>
    </row>
    <row r="654" spans="2:14" ht="15.75" thickBot="1" x14ac:dyDescent="0.3">
      <c r="B654" s="82" t="s">
        <v>541</v>
      </c>
      <c r="C654" s="83" t="s">
        <v>629</v>
      </c>
      <c r="D654" s="124" t="s">
        <v>620</v>
      </c>
      <c r="E654" s="130">
        <v>2008</v>
      </c>
      <c r="F654" s="125" t="s">
        <v>731</v>
      </c>
      <c r="G654" s="125">
        <v>53</v>
      </c>
      <c r="H654" s="85">
        <v>12871.809999999998</v>
      </c>
      <c r="I654" s="85" t="s">
        <v>630</v>
      </c>
      <c r="J654" s="128">
        <v>35839</v>
      </c>
      <c r="K654" s="128">
        <f t="shared" si="9"/>
        <v>1899467</v>
      </c>
      <c r="L654" s="125" t="s">
        <v>1238</v>
      </c>
      <c r="M654" s="85" t="s">
        <v>47</v>
      </c>
      <c r="N654" s="85" t="s">
        <v>1491</v>
      </c>
    </row>
    <row r="655" spans="2:14" ht="15.75" thickBot="1" x14ac:dyDescent="0.3">
      <c r="B655" s="82" t="s">
        <v>541</v>
      </c>
      <c r="C655" s="83" t="s">
        <v>629</v>
      </c>
      <c r="D655" s="124" t="s">
        <v>620</v>
      </c>
      <c r="E655" s="130">
        <v>2008</v>
      </c>
      <c r="F655" s="125" t="s">
        <v>731</v>
      </c>
      <c r="G655" s="125">
        <v>34</v>
      </c>
      <c r="H655" s="85">
        <v>2988.3590000000004</v>
      </c>
      <c r="I655" s="85" t="s">
        <v>630</v>
      </c>
      <c r="J655" s="128">
        <v>9078</v>
      </c>
      <c r="K655" s="128">
        <f t="shared" si="9"/>
        <v>308652</v>
      </c>
      <c r="L655" s="125" t="s">
        <v>1239</v>
      </c>
      <c r="M655" s="85" t="s">
        <v>47</v>
      </c>
      <c r="N655" s="85" t="s">
        <v>1491</v>
      </c>
    </row>
    <row r="656" spans="2:14" ht="15.75" thickBot="1" x14ac:dyDescent="0.3">
      <c r="B656" s="82" t="s">
        <v>541</v>
      </c>
      <c r="C656" s="83" t="s">
        <v>629</v>
      </c>
      <c r="D656" s="124" t="s">
        <v>620</v>
      </c>
      <c r="E656" s="130">
        <v>2008</v>
      </c>
      <c r="F656" s="125" t="s">
        <v>731</v>
      </c>
      <c r="G656" s="125">
        <v>34</v>
      </c>
      <c r="H656" s="85">
        <v>320.91000000000003</v>
      </c>
      <c r="I656" s="85" t="s">
        <v>630</v>
      </c>
      <c r="J656" s="128">
        <v>1072</v>
      </c>
      <c r="K656" s="128">
        <f t="shared" si="9"/>
        <v>36448</v>
      </c>
      <c r="L656" s="125" t="s">
        <v>1240</v>
      </c>
      <c r="M656" s="85" t="s">
        <v>47</v>
      </c>
      <c r="N656" s="85" t="s">
        <v>1491</v>
      </c>
    </row>
    <row r="657" spans="2:14" ht="15.75" thickBot="1" x14ac:dyDescent="0.3">
      <c r="B657" s="82" t="s">
        <v>541</v>
      </c>
      <c r="C657" s="83" t="s">
        <v>629</v>
      </c>
      <c r="D657" s="124" t="s">
        <v>620</v>
      </c>
      <c r="E657" s="130">
        <v>2008</v>
      </c>
      <c r="F657" s="125" t="s">
        <v>731</v>
      </c>
      <c r="G657" s="125">
        <v>25</v>
      </c>
      <c r="H657" s="85">
        <v>0</v>
      </c>
      <c r="I657" s="85" t="s">
        <v>630</v>
      </c>
      <c r="J657" s="128">
        <v>0</v>
      </c>
      <c r="K657" s="128">
        <f t="shared" si="9"/>
        <v>0</v>
      </c>
      <c r="L657" s="125" t="s">
        <v>1241</v>
      </c>
      <c r="M657" s="85" t="s">
        <v>47</v>
      </c>
      <c r="N657" s="85" t="s">
        <v>1491</v>
      </c>
    </row>
    <row r="658" spans="2:14" ht="15.75" thickBot="1" x14ac:dyDescent="0.3">
      <c r="B658" s="82" t="s">
        <v>541</v>
      </c>
      <c r="C658" s="83" t="s">
        <v>629</v>
      </c>
      <c r="D658" s="124" t="s">
        <v>620</v>
      </c>
      <c r="E658" s="130">
        <v>2008</v>
      </c>
      <c r="F658" s="125" t="s">
        <v>731</v>
      </c>
      <c r="G658" s="125">
        <v>25</v>
      </c>
      <c r="H658" s="85">
        <v>0</v>
      </c>
      <c r="I658" s="85" t="s">
        <v>630</v>
      </c>
      <c r="J658" s="128">
        <v>0</v>
      </c>
      <c r="K658" s="128">
        <f t="shared" si="9"/>
        <v>0</v>
      </c>
      <c r="L658" s="125" t="s">
        <v>1242</v>
      </c>
      <c r="M658" s="85" t="s">
        <v>47</v>
      </c>
      <c r="N658" s="85" t="s">
        <v>1491</v>
      </c>
    </row>
    <row r="659" spans="2:14" ht="15.75" thickBot="1" x14ac:dyDescent="0.3">
      <c r="B659" s="82" t="s">
        <v>541</v>
      </c>
      <c r="C659" s="83" t="s">
        <v>629</v>
      </c>
      <c r="D659" s="124" t="s">
        <v>620</v>
      </c>
      <c r="E659" s="130">
        <v>2008</v>
      </c>
      <c r="F659" s="125" t="s">
        <v>731</v>
      </c>
      <c r="G659" s="125">
        <v>25</v>
      </c>
      <c r="H659" s="85">
        <v>0</v>
      </c>
      <c r="I659" s="85" t="s">
        <v>630</v>
      </c>
      <c r="J659" s="128">
        <v>0</v>
      </c>
      <c r="K659" s="128">
        <f t="shared" si="9"/>
        <v>0</v>
      </c>
      <c r="L659" s="125" t="s">
        <v>1243</v>
      </c>
      <c r="M659" s="85" t="s">
        <v>47</v>
      </c>
      <c r="N659" s="85" t="s">
        <v>1491</v>
      </c>
    </row>
    <row r="660" spans="2:14" ht="15.75" thickBot="1" x14ac:dyDescent="0.3">
      <c r="B660" s="82" t="s">
        <v>541</v>
      </c>
      <c r="C660" s="83" t="s">
        <v>629</v>
      </c>
      <c r="D660" s="124" t="s">
        <v>620</v>
      </c>
      <c r="E660" s="130">
        <v>2008</v>
      </c>
      <c r="F660" s="125" t="s">
        <v>731</v>
      </c>
      <c r="G660" s="125">
        <v>53</v>
      </c>
      <c r="H660" s="85">
        <v>15116.002</v>
      </c>
      <c r="I660" s="85" t="s">
        <v>630</v>
      </c>
      <c r="J660" s="128">
        <v>42549</v>
      </c>
      <c r="K660" s="128">
        <f t="shared" si="9"/>
        <v>2255097</v>
      </c>
      <c r="L660" s="125" t="s">
        <v>1244</v>
      </c>
      <c r="M660" s="85" t="s">
        <v>47</v>
      </c>
      <c r="N660" s="85" t="s">
        <v>1491</v>
      </c>
    </row>
    <row r="661" spans="2:14" ht="15.75" thickBot="1" x14ac:dyDescent="0.3">
      <c r="B661" s="82" t="s">
        <v>541</v>
      </c>
      <c r="C661" s="83" t="s">
        <v>629</v>
      </c>
      <c r="D661" s="124" t="s">
        <v>620</v>
      </c>
      <c r="E661" s="130">
        <v>2008</v>
      </c>
      <c r="F661" s="125" t="s">
        <v>731</v>
      </c>
      <c r="G661" s="125">
        <v>20</v>
      </c>
      <c r="H661" s="85">
        <v>0</v>
      </c>
      <c r="I661" s="85" t="s">
        <v>630</v>
      </c>
      <c r="J661" s="128">
        <v>0</v>
      </c>
      <c r="K661" s="128">
        <f t="shared" si="9"/>
        <v>0</v>
      </c>
      <c r="L661" s="125" t="s">
        <v>1245</v>
      </c>
      <c r="M661" s="85" t="s">
        <v>47</v>
      </c>
      <c r="N661" s="85" t="s">
        <v>1491</v>
      </c>
    </row>
    <row r="662" spans="2:14" ht="15.75" thickBot="1" x14ac:dyDescent="0.3">
      <c r="B662" s="82" t="s">
        <v>541</v>
      </c>
      <c r="C662" s="83" t="s">
        <v>629</v>
      </c>
      <c r="D662" s="124" t="s">
        <v>620</v>
      </c>
      <c r="E662" s="130">
        <v>2008</v>
      </c>
      <c r="F662" s="125" t="s">
        <v>731</v>
      </c>
      <c r="G662" s="125">
        <v>55</v>
      </c>
      <c r="H662" s="85">
        <v>12732.849</v>
      </c>
      <c r="I662" s="85" t="s">
        <v>630</v>
      </c>
      <c r="J662" s="128">
        <v>38546</v>
      </c>
      <c r="K662" s="128">
        <f t="shared" si="9"/>
        <v>2120030</v>
      </c>
      <c r="L662" s="125" t="s">
        <v>1246</v>
      </c>
      <c r="M662" s="85" t="s">
        <v>47</v>
      </c>
      <c r="N662" s="85" t="s">
        <v>1491</v>
      </c>
    </row>
    <row r="663" spans="2:14" ht="15.75" thickBot="1" x14ac:dyDescent="0.3">
      <c r="B663" s="82" t="s">
        <v>541</v>
      </c>
      <c r="C663" s="83" t="s">
        <v>629</v>
      </c>
      <c r="D663" s="124" t="s">
        <v>620</v>
      </c>
      <c r="E663" s="130">
        <v>2008</v>
      </c>
      <c r="F663" s="125" t="s">
        <v>731</v>
      </c>
      <c r="G663" s="125">
        <v>60</v>
      </c>
      <c r="H663" s="85">
        <v>16346.691999999999</v>
      </c>
      <c r="I663" s="85" t="s">
        <v>630</v>
      </c>
      <c r="J663" s="128">
        <v>44033</v>
      </c>
      <c r="K663" s="128">
        <f t="shared" si="9"/>
        <v>2641980</v>
      </c>
      <c r="L663" s="125" t="s">
        <v>1247</v>
      </c>
      <c r="M663" s="85" t="s">
        <v>47</v>
      </c>
      <c r="N663" s="85" t="s">
        <v>1491</v>
      </c>
    </row>
    <row r="664" spans="2:14" ht="15.75" thickBot="1" x14ac:dyDescent="0.3">
      <c r="B664" s="82" t="s">
        <v>541</v>
      </c>
      <c r="C664" s="83" t="s">
        <v>629</v>
      </c>
      <c r="D664" s="124" t="s">
        <v>620</v>
      </c>
      <c r="E664" s="130">
        <v>2015</v>
      </c>
      <c r="F664" s="125" t="s">
        <v>733</v>
      </c>
      <c r="G664" s="125">
        <v>91</v>
      </c>
      <c r="H664" s="85">
        <v>2392.14</v>
      </c>
      <c r="I664" s="85" t="s">
        <v>630</v>
      </c>
      <c r="J664" s="128">
        <v>9477</v>
      </c>
      <c r="K664" s="128">
        <f t="shared" si="9"/>
        <v>862407</v>
      </c>
      <c r="L664" s="125" t="s">
        <v>1248</v>
      </c>
      <c r="M664" s="85" t="s">
        <v>47</v>
      </c>
      <c r="N664" s="85" t="s">
        <v>1491</v>
      </c>
    </row>
    <row r="665" spans="2:14" ht="15.75" thickBot="1" x14ac:dyDescent="0.3">
      <c r="B665" s="82" t="s">
        <v>541</v>
      </c>
      <c r="C665" s="83" t="s">
        <v>629</v>
      </c>
      <c r="D665" s="124" t="s">
        <v>620</v>
      </c>
      <c r="E665" s="130">
        <v>2015</v>
      </c>
      <c r="F665" s="125" t="s">
        <v>733</v>
      </c>
      <c r="G665" s="125">
        <v>91</v>
      </c>
      <c r="H665" s="85">
        <v>2179.8999999999996</v>
      </c>
      <c r="I665" s="85" t="s">
        <v>630</v>
      </c>
      <c r="J665" s="128">
        <v>7180</v>
      </c>
      <c r="K665" s="128">
        <f t="shared" si="9"/>
        <v>653380</v>
      </c>
      <c r="L665" s="125" t="s">
        <v>1249</v>
      </c>
      <c r="M665" s="85" t="s">
        <v>47</v>
      </c>
      <c r="N665" s="85" t="s">
        <v>1491</v>
      </c>
    </row>
    <row r="666" spans="2:14" ht="15.75" thickBot="1" x14ac:dyDescent="0.3">
      <c r="B666" s="82" t="s">
        <v>541</v>
      </c>
      <c r="C666" s="83" t="s">
        <v>629</v>
      </c>
      <c r="D666" s="124" t="s">
        <v>620</v>
      </c>
      <c r="E666" s="130">
        <v>2015</v>
      </c>
      <c r="F666" s="125" t="s">
        <v>733</v>
      </c>
      <c r="G666" s="125">
        <v>91</v>
      </c>
      <c r="H666" s="85">
        <v>2777.24</v>
      </c>
      <c r="I666" s="85" t="s">
        <v>630</v>
      </c>
      <c r="J666" s="128">
        <v>10680</v>
      </c>
      <c r="K666" s="128">
        <f t="shared" si="9"/>
        <v>971880</v>
      </c>
      <c r="L666" s="125" t="s">
        <v>1250</v>
      </c>
      <c r="M666" s="85" t="s">
        <v>47</v>
      </c>
      <c r="N666" s="85" t="s">
        <v>1491</v>
      </c>
    </row>
    <row r="667" spans="2:14" ht="15.75" thickBot="1" x14ac:dyDescent="0.3">
      <c r="B667" s="82" t="s">
        <v>541</v>
      </c>
      <c r="C667" s="83" t="s">
        <v>629</v>
      </c>
      <c r="D667" s="124" t="s">
        <v>620</v>
      </c>
      <c r="E667" s="130">
        <v>2015</v>
      </c>
      <c r="F667" s="125" t="s">
        <v>733</v>
      </c>
      <c r="G667" s="125">
        <v>91</v>
      </c>
      <c r="H667" s="85">
        <v>2589.5600000000004</v>
      </c>
      <c r="I667" s="85" t="s">
        <v>630</v>
      </c>
      <c r="J667" s="128">
        <v>10422</v>
      </c>
      <c r="K667" s="128">
        <f t="shared" si="9"/>
        <v>948402</v>
      </c>
      <c r="L667" s="125" t="s">
        <v>1251</v>
      </c>
      <c r="M667" s="85" t="s">
        <v>47</v>
      </c>
      <c r="N667" s="85" t="s">
        <v>1491</v>
      </c>
    </row>
    <row r="668" spans="2:14" ht="15.75" thickBot="1" x14ac:dyDescent="0.3">
      <c r="B668" s="82" t="s">
        <v>541</v>
      </c>
      <c r="C668" s="83" t="s">
        <v>629</v>
      </c>
      <c r="D668" s="124" t="s">
        <v>620</v>
      </c>
      <c r="E668" s="130">
        <v>2015</v>
      </c>
      <c r="F668" s="125" t="s">
        <v>733</v>
      </c>
      <c r="G668" s="125">
        <v>91</v>
      </c>
      <c r="H668" s="85">
        <v>3780.1800000000003</v>
      </c>
      <c r="I668" s="85" t="s">
        <v>630</v>
      </c>
      <c r="J668" s="128">
        <v>14239</v>
      </c>
      <c r="K668" s="128">
        <f t="shared" si="9"/>
        <v>1295749</v>
      </c>
      <c r="L668" s="125" t="s">
        <v>1252</v>
      </c>
      <c r="M668" s="85" t="s">
        <v>47</v>
      </c>
      <c r="N668" s="85" t="s">
        <v>1491</v>
      </c>
    </row>
    <row r="669" spans="2:14" ht="15.75" thickBot="1" x14ac:dyDescent="0.3">
      <c r="B669" s="82" t="s">
        <v>541</v>
      </c>
      <c r="C669" s="83" t="s">
        <v>629</v>
      </c>
      <c r="D669" s="124" t="s">
        <v>620</v>
      </c>
      <c r="E669" s="130">
        <v>2015</v>
      </c>
      <c r="F669" s="125" t="s">
        <v>733</v>
      </c>
      <c r="G669" s="125">
        <v>91</v>
      </c>
      <c r="H669" s="85">
        <v>1765.92</v>
      </c>
      <c r="I669" s="85" t="s">
        <v>630</v>
      </c>
      <c r="J669" s="128">
        <v>6116</v>
      </c>
      <c r="K669" s="128">
        <f t="shared" si="9"/>
        <v>556556</v>
      </c>
      <c r="L669" s="125" t="s">
        <v>1253</v>
      </c>
      <c r="M669" s="85" t="s">
        <v>47</v>
      </c>
      <c r="N669" s="85" t="s">
        <v>1491</v>
      </c>
    </row>
    <row r="670" spans="2:14" ht="15.75" thickBot="1" x14ac:dyDescent="0.3">
      <c r="B670" s="82" t="s">
        <v>541</v>
      </c>
      <c r="C670" s="83" t="s">
        <v>629</v>
      </c>
      <c r="D670" s="124" t="s">
        <v>620</v>
      </c>
      <c r="E670" s="130">
        <v>2004</v>
      </c>
      <c r="F670" s="125" t="s">
        <v>732</v>
      </c>
      <c r="G670" s="125">
        <v>19</v>
      </c>
      <c r="H670" s="85">
        <v>0</v>
      </c>
      <c r="I670" s="85" t="s">
        <v>630</v>
      </c>
      <c r="J670" s="128">
        <v>0</v>
      </c>
      <c r="K670" s="128">
        <f t="shared" si="9"/>
        <v>0</v>
      </c>
      <c r="L670" s="125" t="s">
        <v>1254</v>
      </c>
      <c r="M670" s="85" t="s">
        <v>47</v>
      </c>
      <c r="N670" s="85" t="s">
        <v>1491</v>
      </c>
    </row>
    <row r="671" spans="2:14" ht="15.75" thickBot="1" x14ac:dyDescent="0.3">
      <c r="B671" s="82" t="s">
        <v>541</v>
      </c>
      <c r="C671" s="83" t="s">
        <v>629</v>
      </c>
      <c r="D671" s="124" t="s">
        <v>620</v>
      </c>
      <c r="E671" s="130">
        <v>2004</v>
      </c>
      <c r="F671" s="125" t="s">
        <v>732</v>
      </c>
      <c r="G671" s="125">
        <v>19</v>
      </c>
      <c r="H671" s="85">
        <v>0</v>
      </c>
      <c r="I671" s="85" t="s">
        <v>630</v>
      </c>
      <c r="J671" s="128">
        <v>0</v>
      </c>
      <c r="K671" s="128">
        <f t="shared" ref="K671:K734" si="10">J671*G671</f>
        <v>0</v>
      </c>
      <c r="L671" s="125" t="s">
        <v>1255</v>
      </c>
      <c r="M671" s="85" t="s">
        <v>47</v>
      </c>
      <c r="N671" s="85" t="s">
        <v>1491</v>
      </c>
    </row>
    <row r="672" spans="2:14" ht="15.75" thickBot="1" x14ac:dyDescent="0.3">
      <c r="B672" s="82" t="s">
        <v>541</v>
      </c>
      <c r="C672" s="83" t="s">
        <v>629</v>
      </c>
      <c r="D672" s="124" t="s">
        <v>620</v>
      </c>
      <c r="E672" s="130">
        <v>2009</v>
      </c>
      <c r="F672" s="125" t="s">
        <v>734</v>
      </c>
      <c r="G672" s="125">
        <v>34</v>
      </c>
      <c r="H672" s="85">
        <v>6488.0889999999999</v>
      </c>
      <c r="I672" s="85" t="s">
        <v>630</v>
      </c>
      <c r="J672" s="128">
        <v>21609</v>
      </c>
      <c r="K672" s="128">
        <f t="shared" si="10"/>
        <v>734706</v>
      </c>
      <c r="L672" s="125" t="s">
        <v>1256</v>
      </c>
      <c r="M672" s="85" t="s">
        <v>47</v>
      </c>
      <c r="N672" s="85" t="s">
        <v>1491</v>
      </c>
    </row>
    <row r="673" spans="2:14" ht="15.75" thickBot="1" x14ac:dyDescent="0.3">
      <c r="B673" s="82" t="s">
        <v>541</v>
      </c>
      <c r="C673" s="83" t="s">
        <v>629</v>
      </c>
      <c r="D673" s="124" t="s">
        <v>620</v>
      </c>
      <c r="E673" s="130">
        <v>2009</v>
      </c>
      <c r="F673" s="125" t="s">
        <v>734</v>
      </c>
      <c r="G673" s="125">
        <v>34</v>
      </c>
      <c r="H673" s="85">
        <v>3798.57</v>
      </c>
      <c r="I673" s="85" t="s">
        <v>630</v>
      </c>
      <c r="J673" s="128">
        <v>12816</v>
      </c>
      <c r="K673" s="128">
        <f t="shared" si="10"/>
        <v>435744</v>
      </c>
      <c r="L673" s="125" t="s">
        <v>1257</v>
      </c>
      <c r="M673" s="85" t="s">
        <v>47</v>
      </c>
      <c r="N673" s="85" t="s">
        <v>1491</v>
      </c>
    </row>
    <row r="674" spans="2:14" ht="15.75" thickBot="1" x14ac:dyDescent="0.3">
      <c r="B674" s="82" t="s">
        <v>541</v>
      </c>
      <c r="C674" s="83" t="s">
        <v>629</v>
      </c>
      <c r="D674" s="124" t="s">
        <v>620</v>
      </c>
      <c r="E674" s="130">
        <v>2009</v>
      </c>
      <c r="F674" s="125" t="s">
        <v>734</v>
      </c>
      <c r="G674" s="125">
        <v>34</v>
      </c>
      <c r="H674" s="85">
        <v>6392.107</v>
      </c>
      <c r="I674" s="85" t="s">
        <v>630</v>
      </c>
      <c r="J674" s="128">
        <v>20913</v>
      </c>
      <c r="K674" s="128">
        <f t="shared" si="10"/>
        <v>711042</v>
      </c>
      <c r="L674" s="125" t="s">
        <v>1258</v>
      </c>
      <c r="M674" s="85" t="s">
        <v>47</v>
      </c>
      <c r="N674" s="85" t="s">
        <v>1491</v>
      </c>
    </row>
    <row r="675" spans="2:14" ht="15.75" thickBot="1" x14ac:dyDescent="0.3">
      <c r="B675" s="82" t="s">
        <v>541</v>
      </c>
      <c r="C675" s="83" t="s">
        <v>629</v>
      </c>
      <c r="D675" s="124" t="s">
        <v>620</v>
      </c>
      <c r="E675" s="130">
        <v>2009</v>
      </c>
      <c r="F675" s="125" t="s">
        <v>734</v>
      </c>
      <c r="G675" s="125">
        <v>24</v>
      </c>
      <c r="H675" s="85">
        <v>1237.152</v>
      </c>
      <c r="I675" s="85" t="s">
        <v>630</v>
      </c>
      <c r="J675" s="128">
        <v>6395</v>
      </c>
      <c r="K675" s="128">
        <f t="shared" si="10"/>
        <v>153480</v>
      </c>
      <c r="L675" s="125" t="s">
        <v>1259</v>
      </c>
      <c r="M675" s="85" t="s">
        <v>47</v>
      </c>
      <c r="N675" s="85" t="s">
        <v>1491</v>
      </c>
    </row>
    <row r="676" spans="2:14" ht="15.75" thickBot="1" x14ac:dyDescent="0.3">
      <c r="B676" s="82" t="s">
        <v>541</v>
      </c>
      <c r="C676" s="83" t="s">
        <v>629</v>
      </c>
      <c r="D676" s="124" t="s">
        <v>620</v>
      </c>
      <c r="E676" s="130">
        <v>2009</v>
      </c>
      <c r="F676" s="125" t="s">
        <v>734</v>
      </c>
      <c r="G676" s="125">
        <v>24</v>
      </c>
      <c r="H676" s="85">
        <v>2074.7089999999998</v>
      </c>
      <c r="I676" s="85" t="s">
        <v>630</v>
      </c>
      <c r="J676" s="128">
        <v>10343</v>
      </c>
      <c r="K676" s="128">
        <f t="shared" si="10"/>
        <v>248232</v>
      </c>
      <c r="L676" s="125" t="s">
        <v>1260</v>
      </c>
      <c r="M676" s="85" t="s">
        <v>47</v>
      </c>
      <c r="N676" s="85" t="s">
        <v>1491</v>
      </c>
    </row>
    <row r="677" spans="2:14" ht="15.75" thickBot="1" x14ac:dyDescent="0.3">
      <c r="B677" s="82" t="s">
        <v>541</v>
      </c>
      <c r="C677" s="83" t="s">
        <v>629</v>
      </c>
      <c r="D677" s="124" t="s">
        <v>620</v>
      </c>
      <c r="E677" s="130">
        <v>2009</v>
      </c>
      <c r="F677" s="125" t="s">
        <v>734</v>
      </c>
      <c r="G677" s="125">
        <v>69</v>
      </c>
      <c r="H677" s="85">
        <v>12088.854000000001</v>
      </c>
      <c r="I677" s="85" t="s">
        <v>630</v>
      </c>
      <c r="J677" s="128">
        <v>29124</v>
      </c>
      <c r="K677" s="128">
        <f t="shared" si="10"/>
        <v>2009556</v>
      </c>
      <c r="L677" s="125" t="s">
        <v>1261</v>
      </c>
      <c r="M677" s="85" t="s">
        <v>47</v>
      </c>
      <c r="N677" s="85" t="s">
        <v>1491</v>
      </c>
    </row>
    <row r="678" spans="2:14" ht="15.75" thickBot="1" x14ac:dyDescent="0.3">
      <c r="B678" s="82" t="s">
        <v>541</v>
      </c>
      <c r="C678" s="83" t="s">
        <v>629</v>
      </c>
      <c r="D678" s="124" t="s">
        <v>620</v>
      </c>
      <c r="E678" s="130">
        <v>2009</v>
      </c>
      <c r="F678" s="125" t="s">
        <v>734</v>
      </c>
      <c r="G678" s="125">
        <v>27</v>
      </c>
      <c r="H678" s="85">
        <v>1424.1819999999998</v>
      </c>
      <c r="I678" s="85" t="s">
        <v>630</v>
      </c>
      <c r="J678" s="128">
        <v>7637</v>
      </c>
      <c r="K678" s="128">
        <f t="shared" si="10"/>
        <v>206199</v>
      </c>
      <c r="L678" s="125" t="s">
        <v>1262</v>
      </c>
      <c r="M678" s="85" t="s">
        <v>47</v>
      </c>
      <c r="N678" s="85" t="s">
        <v>1491</v>
      </c>
    </row>
    <row r="679" spans="2:14" ht="15.75" thickBot="1" x14ac:dyDescent="0.3">
      <c r="B679" s="82" t="s">
        <v>541</v>
      </c>
      <c r="C679" s="83" t="s">
        <v>629</v>
      </c>
      <c r="D679" s="124" t="s">
        <v>620</v>
      </c>
      <c r="E679" s="130">
        <v>2009</v>
      </c>
      <c r="F679" s="125" t="s">
        <v>734</v>
      </c>
      <c r="G679" s="125">
        <v>27</v>
      </c>
      <c r="H679" s="85">
        <v>2927.6120000000001</v>
      </c>
      <c r="I679" s="85" t="s">
        <v>630</v>
      </c>
      <c r="J679" s="128">
        <v>15225</v>
      </c>
      <c r="K679" s="128">
        <f t="shared" si="10"/>
        <v>411075</v>
      </c>
      <c r="L679" s="125" t="s">
        <v>1263</v>
      </c>
      <c r="M679" s="85" t="s">
        <v>47</v>
      </c>
      <c r="N679" s="85" t="s">
        <v>1491</v>
      </c>
    </row>
    <row r="680" spans="2:14" ht="15.75" thickBot="1" x14ac:dyDescent="0.3">
      <c r="B680" s="82" t="s">
        <v>541</v>
      </c>
      <c r="C680" s="83" t="s">
        <v>629</v>
      </c>
      <c r="D680" s="124" t="s">
        <v>620</v>
      </c>
      <c r="E680" s="130">
        <v>2009</v>
      </c>
      <c r="F680" s="125" t="s">
        <v>734</v>
      </c>
      <c r="G680" s="125">
        <v>27</v>
      </c>
      <c r="H680" s="85">
        <v>1055.7159999999999</v>
      </c>
      <c r="I680" s="85" t="s">
        <v>630</v>
      </c>
      <c r="J680" s="128">
        <v>5535</v>
      </c>
      <c r="K680" s="128">
        <f t="shared" si="10"/>
        <v>149445</v>
      </c>
      <c r="L680" s="125" t="s">
        <v>1264</v>
      </c>
      <c r="M680" s="85" t="s">
        <v>47</v>
      </c>
      <c r="N680" s="85" t="s">
        <v>1491</v>
      </c>
    </row>
    <row r="681" spans="2:14" ht="15.75" thickBot="1" x14ac:dyDescent="0.3">
      <c r="B681" s="82" t="s">
        <v>541</v>
      </c>
      <c r="C681" s="83" t="s">
        <v>629</v>
      </c>
      <c r="D681" s="124" t="s">
        <v>620</v>
      </c>
      <c r="E681" s="130">
        <v>2009</v>
      </c>
      <c r="F681" s="125" t="s">
        <v>734</v>
      </c>
      <c r="G681" s="125">
        <v>27</v>
      </c>
      <c r="H681" s="85">
        <v>1504.6469999999999</v>
      </c>
      <c r="I681" s="85" t="s">
        <v>630</v>
      </c>
      <c r="J681" s="128">
        <v>7925</v>
      </c>
      <c r="K681" s="128">
        <f t="shared" si="10"/>
        <v>213975</v>
      </c>
      <c r="L681" s="125" t="s">
        <v>1265</v>
      </c>
      <c r="M681" s="85" t="s">
        <v>47</v>
      </c>
      <c r="N681" s="85" t="s">
        <v>1491</v>
      </c>
    </row>
    <row r="682" spans="2:14" ht="15.75" thickBot="1" x14ac:dyDescent="0.3">
      <c r="B682" s="82" t="s">
        <v>541</v>
      </c>
      <c r="C682" s="83" t="s">
        <v>629</v>
      </c>
      <c r="D682" s="124" t="s">
        <v>620</v>
      </c>
      <c r="E682" s="130">
        <v>2009</v>
      </c>
      <c r="F682" s="125" t="s">
        <v>734</v>
      </c>
      <c r="G682" s="125">
        <v>27</v>
      </c>
      <c r="H682" s="85">
        <v>777.82399999999996</v>
      </c>
      <c r="I682" s="85" t="s">
        <v>630</v>
      </c>
      <c r="J682" s="128">
        <v>3994</v>
      </c>
      <c r="K682" s="128">
        <f t="shared" si="10"/>
        <v>107838</v>
      </c>
      <c r="L682" s="125" t="s">
        <v>1266</v>
      </c>
      <c r="M682" s="85" t="s">
        <v>47</v>
      </c>
      <c r="N682" s="85" t="s">
        <v>1491</v>
      </c>
    </row>
    <row r="683" spans="2:14" ht="15.75" thickBot="1" x14ac:dyDescent="0.3">
      <c r="B683" s="82" t="s">
        <v>541</v>
      </c>
      <c r="C683" s="83" t="s">
        <v>629</v>
      </c>
      <c r="D683" s="124" t="s">
        <v>620</v>
      </c>
      <c r="E683" s="130">
        <v>2009</v>
      </c>
      <c r="F683" s="125" t="s">
        <v>734</v>
      </c>
      <c r="G683" s="125">
        <v>27</v>
      </c>
      <c r="H683" s="85">
        <v>784.28</v>
      </c>
      <c r="I683" s="85" t="s">
        <v>630</v>
      </c>
      <c r="J683" s="128">
        <v>3929</v>
      </c>
      <c r="K683" s="128">
        <f t="shared" si="10"/>
        <v>106083</v>
      </c>
      <c r="L683" s="125" t="s">
        <v>1267</v>
      </c>
      <c r="M683" s="85" t="s">
        <v>47</v>
      </c>
      <c r="N683" s="85" t="s">
        <v>1491</v>
      </c>
    </row>
    <row r="684" spans="2:14" ht="15.75" thickBot="1" x14ac:dyDescent="0.3">
      <c r="B684" s="82" t="s">
        <v>541</v>
      </c>
      <c r="C684" s="83" t="s">
        <v>629</v>
      </c>
      <c r="D684" s="124" t="s">
        <v>620</v>
      </c>
      <c r="E684" s="130">
        <v>2009</v>
      </c>
      <c r="F684" s="125" t="s">
        <v>734</v>
      </c>
      <c r="G684" s="125">
        <v>27</v>
      </c>
      <c r="H684" s="85">
        <v>31.58</v>
      </c>
      <c r="I684" s="85" t="s">
        <v>630</v>
      </c>
      <c r="J684" s="128">
        <v>175</v>
      </c>
      <c r="K684" s="128">
        <f t="shared" si="10"/>
        <v>4725</v>
      </c>
      <c r="L684" s="125" t="s">
        <v>1268</v>
      </c>
      <c r="M684" s="85" t="s">
        <v>47</v>
      </c>
      <c r="N684" s="85" t="s">
        <v>1491</v>
      </c>
    </row>
    <row r="685" spans="2:14" ht="15.75" thickBot="1" x14ac:dyDescent="0.3">
      <c r="B685" s="82" t="s">
        <v>541</v>
      </c>
      <c r="C685" s="83" t="s">
        <v>629</v>
      </c>
      <c r="D685" s="124" t="s">
        <v>620</v>
      </c>
      <c r="E685" s="130">
        <v>2009</v>
      </c>
      <c r="F685" s="125" t="s">
        <v>734</v>
      </c>
      <c r="G685" s="125">
        <v>27</v>
      </c>
      <c r="H685" s="85">
        <v>4191.4260000000004</v>
      </c>
      <c r="I685" s="85" t="s">
        <v>630</v>
      </c>
      <c r="J685" s="128">
        <v>27508</v>
      </c>
      <c r="K685" s="128">
        <f t="shared" si="10"/>
        <v>742716</v>
      </c>
      <c r="L685" s="125" t="s">
        <v>1269</v>
      </c>
      <c r="M685" s="85" t="s">
        <v>47</v>
      </c>
      <c r="N685" s="85" t="s">
        <v>1491</v>
      </c>
    </row>
    <row r="686" spans="2:14" ht="15.75" thickBot="1" x14ac:dyDescent="0.3">
      <c r="B686" s="82" t="s">
        <v>541</v>
      </c>
      <c r="C686" s="83" t="s">
        <v>629</v>
      </c>
      <c r="D686" s="124" t="s">
        <v>620</v>
      </c>
      <c r="E686" s="130">
        <v>2009</v>
      </c>
      <c r="F686" s="125" t="s">
        <v>734</v>
      </c>
      <c r="G686" s="125">
        <v>27</v>
      </c>
      <c r="H686" s="85">
        <v>3142.6000000000004</v>
      </c>
      <c r="I686" s="85" t="s">
        <v>630</v>
      </c>
      <c r="J686" s="128">
        <v>18337</v>
      </c>
      <c r="K686" s="128">
        <f t="shared" si="10"/>
        <v>495099</v>
      </c>
      <c r="L686" s="125" t="s">
        <v>1270</v>
      </c>
      <c r="M686" s="85" t="s">
        <v>47</v>
      </c>
      <c r="N686" s="85" t="s">
        <v>1491</v>
      </c>
    </row>
    <row r="687" spans="2:14" ht="15.75" thickBot="1" x14ac:dyDescent="0.3">
      <c r="B687" s="82" t="s">
        <v>541</v>
      </c>
      <c r="C687" s="83" t="s">
        <v>629</v>
      </c>
      <c r="D687" s="124" t="s">
        <v>620</v>
      </c>
      <c r="E687" s="130">
        <v>2009</v>
      </c>
      <c r="F687" s="125" t="s">
        <v>734</v>
      </c>
      <c r="G687" s="125">
        <v>51</v>
      </c>
      <c r="H687" s="85">
        <v>0</v>
      </c>
      <c r="I687" s="85" t="s">
        <v>630</v>
      </c>
      <c r="J687" s="128">
        <v>0</v>
      </c>
      <c r="K687" s="128">
        <f t="shared" si="10"/>
        <v>0</v>
      </c>
      <c r="L687" s="125" t="s">
        <v>1271</v>
      </c>
      <c r="M687" s="85" t="s">
        <v>47</v>
      </c>
      <c r="N687" s="85" t="s">
        <v>1491</v>
      </c>
    </row>
    <row r="688" spans="2:14" ht="15.75" thickBot="1" x14ac:dyDescent="0.3">
      <c r="B688" s="82" t="s">
        <v>541</v>
      </c>
      <c r="C688" s="83" t="s">
        <v>629</v>
      </c>
      <c r="D688" s="124" t="s">
        <v>620</v>
      </c>
      <c r="E688" s="130">
        <v>2009</v>
      </c>
      <c r="F688" s="125" t="s">
        <v>734</v>
      </c>
      <c r="G688" s="125">
        <v>51</v>
      </c>
      <c r="H688" s="85">
        <v>0</v>
      </c>
      <c r="I688" s="85" t="s">
        <v>630</v>
      </c>
      <c r="J688" s="128">
        <v>0</v>
      </c>
      <c r="K688" s="128">
        <f t="shared" si="10"/>
        <v>0</v>
      </c>
      <c r="L688" s="125" t="s">
        <v>1272</v>
      </c>
      <c r="M688" s="85" t="s">
        <v>47</v>
      </c>
      <c r="N688" s="85" t="s">
        <v>1491</v>
      </c>
    </row>
    <row r="689" spans="2:14" ht="15.75" thickBot="1" x14ac:dyDescent="0.3">
      <c r="B689" s="82" t="s">
        <v>541</v>
      </c>
      <c r="C689" s="83" t="s">
        <v>629</v>
      </c>
      <c r="D689" s="124" t="s">
        <v>620</v>
      </c>
      <c r="E689" s="130">
        <v>2010</v>
      </c>
      <c r="F689" s="125" t="s">
        <v>734</v>
      </c>
      <c r="G689" s="125">
        <v>58</v>
      </c>
      <c r="H689" s="85">
        <v>16364.618000000002</v>
      </c>
      <c r="I689" s="85" t="s">
        <v>630</v>
      </c>
      <c r="J689" s="128">
        <v>49651</v>
      </c>
      <c r="K689" s="128">
        <f t="shared" si="10"/>
        <v>2879758</v>
      </c>
      <c r="L689" s="125" t="s">
        <v>1273</v>
      </c>
      <c r="M689" s="85" t="s">
        <v>47</v>
      </c>
      <c r="N689" s="85" t="s">
        <v>1491</v>
      </c>
    </row>
    <row r="690" spans="2:14" ht="15.75" thickBot="1" x14ac:dyDescent="0.3">
      <c r="B690" s="82" t="s">
        <v>541</v>
      </c>
      <c r="C690" s="83" t="s">
        <v>629</v>
      </c>
      <c r="D690" s="124" t="s">
        <v>620</v>
      </c>
      <c r="E690" s="130">
        <v>2011</v>
      </c>
      <c r="F690" s="125" t="s">
        <v>734</v>
      </c>
      <c r="G690" s="125">
        <v>24</v>
      </c>
      <c r="H690" s="85">
        <v>1752.577</v>
      </c>
      <c r="I690" s="85" t="s">
        <v>630</v>
      </c>
      <c r="J690" s="128">
        <v>8828</v>
      </c>
      <c r="K690" s="128">
        <f t="shared" si="10"/>
        <v>211872</v>
      </c>
      <c r="L690" s="125" t="s">
        <v>1274</v>
      </c>
      <c r="M690" s="85" t="s">
        <v>47</v>
      </c>
      <c r="N690" s="85" t="s">
        <v>1491</v>
      </c>
    </row>
    <row r="691" spans="2:14" ht="15.75" thickBot="1" x14ac:dyDescent="0.3">
      <c r="B691" s="82" t="s">
        <v>541</v>
      </c>
      <c r="C691" s="83" t="s">
        <v>629</v>
      </c>
      <c r="D691" s="124" t="s">
        <v>620</v>
      </c>
      <c r="E691" s="130">
        <v>2011</v>
      </c>
      <c r="F691" s="125" t="s">
        <v>734</v>
      </c>
      <c r="G691" s="125">
        <v>27</v>
      </c>
      <c r="H691" s="85">
        <v>2768.6169999999997</v>
      </c>
      <c r="I691" s="85" t="s">
        <v>630</v>
      </c>
      <c r="J691" s="128">
        <v>15534</v>
      </c>
      <c r="K691" s="128">
        <f t="shared" si="10"/>
        <v>419418</v>
      </c>
      <c r="L691" s="125" t="s">
        <v>1275</v>
      </c>
      <c r="M691" s="85" t="s">
        <v>47</v>
      </c>
      <c r="N691" s="85" t="s">
        <v>1491</v>
      </c>
    </row>
    <row r="692" spans="2:14" ht="15.75" thickBot="1" x14ac:dyDescent="0.3">
      <c r="B692" s="82" t="s">
        <v>541</v>
      </c>
      <c r="C692" s="83" t="s">
        <v>629</v>
      </c>
      <c r="D692" s="124" t="s">
        <v>620</v>
      </c>
      <c r="E692" s="130">
        <v>2012</v>
      </c>
      <c r="F692" s="125" t="s">
        <v>734</v>
      </c>
      <c r="G692" s="125">
        <v>63</v>
      </c>
      <c r="H692" s="85">
        <v>13780.245000000003</v>
      </c>
      <c r="I692" s="85" t="s">
        <v>630</v>
      </c>
      <c r="J692" s="128">
        <v>38315</v>
      </c>
      <c r="K692" s="128">
        <f t="shared" si="10"/>
        <v>2413845</v>
      </c>
      <c r="L692" s="125" t="s">
        <v>1276</v>
      </c>
      <c r="M692" s="85" t="s">
        <v>47</v>
      </c>
      <c r="N692" s="85" t="s">
        <v>1491</v>
      </c>
    </row>
    <row r="693" spans="2:14" ht="15.75" thickBot="1" x14ac:dyDescent="0.3">
      <c r="B693" s="82" t="s">
        <v>541</v>
      </c>
      <c r="C693" s="83" t="s">
        <v>629</v>
      </c>
      <c r="D693" s="124" t="s">
        <v>620</v>
      </c>
      <c r="E693" s="130">
        <v>2012</v>
      </c>
      <c r="F693" s="125" t="s">
        <v>734</v>
      </c>
      <c r="G693" s="125">
        <v>34</v>
      </c>
      <c r="H693" s="85">
        <v>5668.8020000000006</v>
      </c>
      <c r="I693" s="85" t="s">
        <v>630</v>
      </c>
      <c r="J693" s="128">
        <v>16964</v>
      </c>
      <c r="K693" s="128">
        <f t="shared" si="10"/>
        <v>576776</v>
      </c>
      <c r="L693" s="125" t="s">
        <v>1277</v>
      </c>
      <c r="M693" s="85" t="s">
        <v>47</v>
      </c>
      <c r="N693" s="85" t="s">
        <v>1491</v>
      </c>
    </row>
    <row r="694" spans="2:14" ht="15.75" thickBot="1" x14ac:dyDescent="0.3">
      <c r="B694" s="82" t="s">
        <v>541</v>
      </c>
      <c r="C694" s="83" t="s">
        <v>629</v>
      </c>
      <c r="D694" s="124" t="s">
        <v>620</v>
      </c>
      <c r="E694" s="130">
        <v>2013</v>
      </c>
      <c r="F694" s="125" t="s">
        <v>733</v>
      </c>
      <c r="G694" s="125">
        <v>34</v>
      </c>
      <c r="H694" s="85">
        <v>5355.8899999999994</v>
      </c>
      <c r="I694" s="85" t="s">
        <v>630</v>
      </c>
      <c r="J694" s="128">
        <v>16933</v>
      </c>
      <c r="K694" s="128">
        <f t="shared" si="10"/>
        <v>575722</v>
      </c>
      <c r="L694" s="125" t="s">
        <v>1278</v>
      </c>
      <c r="M694" s="85" t="s">
        <v>47</v>
      </c>
      <c r="N694" s="85" t="s">
        <v>1491</v>
      </c>
    </row>
    <row r="695" spans="2:14" ht="15.75" thickBot="1" x14ac:dyDescent="0.3">
      <c r="B695" s="82" t="s">
        <v>541</v>
      </c>
      <c r="C695" s="83" t="s">
        <v>629</v>
      </c>
      <c r="D695" s="124" t="s">
        <v>620</v>
      </c>
      <c r="E695" s="130">
        <v>2013</v>
      </c>
      <c r="F695" s="125" t="s">
        <v>733</v>
      </c>
      <c r="G695" s="125">
        <v>34</v>
      </c>
      <c r="H695" s="85">
        <v>6880.9660000000003</v>
      </c>
      <c r="I695" s="85" t="s">
        <v>630</v>
      </c>
      <c r="J695" s="128">
        <v>22857</v>
      </c>
      <c r="K695" s="128">
        <f t="shared" si="10"/>
        <v>777138</v>
      </c>
      <c r="L695" s="125" t="s">
        <v>1279</v>
      </c>
      <c r="M695" s="85" t="s">
        <v>47</v>
      </c>
      <c r="N695" s="85" t="s">
        <v>1491</v>
      </c>
    </row>
    <row r="696" spans="2:14" ht="15.75" thickBot="1" x14ac:dyDescent="0.3">
      <c r="B696" s="82" t="s">
        <v>541</v>
      </c>
      <c r="C696" s="83" t="s">
        <v>629</v>
      </c>
      <c r="D696" s="124" t="s">
        <v>620</v>
      </c>
      <c r="E696" s="130">
        <v>2013</v>
      </c>
      <c r="F696" s="125" t="s">
        <v>733</v>
      </c>
      <c r="G696" s="125">
        <v>55</v>
      </c>
      <c r="H696" s="85">
        <v>17205.267</v>
      </c>
      <c r="I696" s="85" t="s">
        <v>630</v>
      </c>
      <c r="J696" s="128">
        <v>48715</v>
      </c>
      <c r="K696" s="128">
        <f t="shared" si="10"/>
        <v>2679325</v>
      </c>
      <c r="L696" s="125" t="s">
        <v>1280</v>
      </c>
      <c r="M696" s="85" t="s">
        <v>47</v>
      </c>
      <c r="N696" s="85" t="s">
        <v>1491</v>
      </c>
    </row>
    <row r="697" spans="2:14" ht="15.75" thickBot="1" x14ac:dyDescent="0.3">
      <c r="B697" s="82" t="s">
        <v>541</v>
      </c>
      <c r="C697" s="83" t="s">
        <v>629</v>
      </c>
      <c r="D697" s="124" t="s">
        <v>620</v>
      </c>
      <c r="E697" s="130">
        <v>2014</v>
      </c>
      <c r="F697" s="125" t="s">
        <v>733</v>
      </c>
      <c r="G697" s="125">
        <v>41</v>
      </c>
      <c r="H697" s="85">
        <v>14986.885999999999</v>
      </c>
      <c r="I697" s="85" t="s">
        <v>630</v>
      </c>
      <c r="J697" s="128">
        <v>56138</v>
      </c>
      <c r="K697" s="128">
        <f t="shared" si="10"/>
        <v>2301658</v>
      </c>
      <c r="L697" s="125" t="s">
        <v>1281</v>
      </c>
      <c r="M697" s="85" t="s">
        <v>47</v>
      </c>
      <c r="N697" s="85" t="s">
        <v>1491</v>
      </c>
    </row>
    <row r="698" spans="2:14" ht="15.75" thickBot="1" x14ac:dyDescent="0.3">
      <c r="B698" s="82" t="s">
        <v>541</v>
      </c>
      <c r="C698" s="83" t="s">
        <v>629</v>
      </c>
      <c r="D698" s="124" t="s">
        <v>620</v>
      </c>
      <c r="E698" s="130">
        <v>2016</v>
      </c>
      <c r="F698" s="125" t="s">
        <v>733</v>
      </c>
      <c r="G698" s="125">
        <v>53</v>
      </c>
      <c r="H698" s="85">
        <v>18533.046000000002</v>
      </c>
      <c r="I698" s="85" t="s">
        <v>630</v>
      </c>
      <c r="J698" s="128">
        <v>54584</v>
      </c>
      <c r="K698" s="128">
        <f t="shared" si="10"/>
        <v>2892952</v>
      </c>
      <c r="L698" s="125" t="s">
        <v>1282</v>
      </c>
      <c r="M698" s="85" t="s">
        <v>47</v>
      </c>
      <c r="N698" s="85" t="s">
        <v>1491</v>
      </c>
    </row>
    <row r="699" spans="2:14" ht="15.75" thickBot="1" x14ac:dyDescent="0.3">
      <c r="B699" s="82" t="s">
        <v>541</v>
      </c>
      <c r="C699" s="83" t="s">
        <v>629</v>
      </c>
      <c r="D699" s="124" t="s">
        <v>620</v>
      </c>
      <c r="E699" s="130">
        <v>2016</v>
      </c>
      <c r="F699" s="125" t="s">
        <v>733</v>
      </c>
      <c r="G699" s="125">
        <v>53</v>
      </c>
      <c r="H699" s="85">
        <v>27640.052999999996</v>
      </c>
      <c r="I699" s="85" t="s">
        <v>630</v>
      </c>
      <c r="J699" s="128">
        <v>90340</v>
      </c>
      <c r="K699" s="128">
        <f t="shared" si="10"/>
        <v>4788020</v>
      </c>
      <c r="L699" s="125" t="s">
        <v>1283</v>
      </c>
      <c r="M699" s="85" t="s">
        <v>47</v>
      </c>
      <c r="N699" s="85" t="s">
        <v>1491</v>
      </c>
    </row>
    <row r="700" spans="2:14" ht="15.75" thickBot="1" x14ac:dyDescent="0.3">
      <c r="B700" s="82" t="s">
        <v>541</v>
      </c>
      <c r="C700" s="83" t="s">
        <v>629</v>
      </c>
      <c r="D700" s="124" t="s">
        <v>620</v>
      </c>
      <c r="E700" s="130">
        <v>2016</v>
      </c>
      <c r="F700" s="125" t="s">
        <v>733</v>
      </c>
      <c r="G700" s="125">
        <v>53</v>
      </c>
      <c r="H700" s="85">
        <v>30584.059000000001</v>
      </c>
      <c r="I700" s="85" t="s">
        <v>630</v>
      </c>
      <c r="J700" s="128">
        <v>100781</v>
      </c>
      <c r="K700" s="128">
        <f t="shared" si="10"/>
        <v>5341393</v>
      </c>
      <c r="L700" s="125" t="s">
        <v>1284</v>
      </c>
      <c r="M700" s="85" t="s">
        <v>47</v>
      </c>
      <c r="N700" s="85" t="s">
        <v>1491</v>
      </c>
    </row>
    <row r="701" spans="2:14" ht="15.75" thickBot="1" x14ac:dyDescent="0.3">
      <c r="B701" s="82" t="s">
        <v>541</v>
      </c>
      <c r="C701" s="83" t="s">
        <v>629</v>
      </c>
      <c r="D701" s="124" t="s">
        <v>620</v>
      </c>
      <c r="E701" s="130">
        <v>2016</v>
      </c>
      <c r="F701" s="125" t="s">
        <v>733</v>
      </c>
      <c r="G701" s="125">
        <v>53</v>
      </c>
      <c r="H701" s="85">
        <v>27579.582999999999</v>
      </c>
      <c r="I701" s="85" t="s">
        <v>630</v>
      </c>
      <c r="J701" s="128">
        <v>89412</v>
      </c>
      <c r="K701" s="128">
        <f t="shared" si="10"/>
        <v>4738836</v>
      </c>
      <c r="L701" s="125" t="s">
        <v>1285</v>
      </c>
      <c r="M701" s="85" t="s">
        <v>47</v>
      </c>
      <c r="N701" s="85" t="s">
        <v>1491</v>
      </c>
    </row>
    <row r="702" spans="2:14" ht="15.75" thickBot="1" x14ac:dyDescent="0.3">
      <c r="B702" s="82" t="s">
        <v>541</v>
      </c>
      <c r="C702" s="83" t="s">
        <v>629</v>
      </c>
      <c r="D702" s="124" t="s">
        <v>620</v>
      </c>
      <c r="E702" s="130">
        <v>2016</v>
      </c>
      <c r="F702" s="125" t="s">
        <v>733</v>
      </c>
      <c r="G702" s="125">
        <v>53</v>
      </c>
      <c r="H702" s="85">
        <v>23104.152000000006</v>
      </c>
      <c r="I702" s="85" t="s">
        <v>630</v>
      </c>
      <c r="J702" s="128">
        <v>69282</v>
      </c>
      <c r="K702" s="128">
        <f t="shared" si="10"/>
        <v>3671946</v>
      </c>
      <c r="L702" s="125" t="s">
        <v>1286</v>
      </c>
      <c r="M702" s="85" t="s">
        <v>47</v>
      </c>
      <c r="N702" s="85" t="s">
        <v>1491</v>
      </c>
    </row>
    <row r="703" spans="2:14" ht="15.75" thickBot="1" x14ac:dyDescent="0.3">
      <c r="B703" s="82" t="s">
        <v>541</v>
      </c>
      <c r="C703" s="83" t="s">
        <v>629</v>
      </c>
      <c r="D703" s="124" t="s">
        <v>620</v>
      </c>
      <c r="E703" s="130">
        <v>2016</v>
      </c>
      <c r="F703" s="125" t="s">
        <v>733</v>
      </c>
      <c r="G703" s="125">
        <v>19</v>
      </c>
      <c r="H703" s="85">
        <v>2344.7399999999998</v>
      </c>
      <c r="I703" s="85" t="s">
        <v>630</v>
      </c>
      <c r="J703" s="128">
        <v>14897</v>
      </c>
      <c r="K703" s="128">
        <f t="shared" si="10"/>
        <v>283043</v>
      </c>
      <c r="L703" s="125" t="s">
        <v>1287</v>
      </c>
      <c r="M703" s="85" t="s">
        <v>47</v>
      </c>
      <c r="N703" s="85" t="s">
        <v>1491</v>
      </c>
    </row>
    <row r="704" spans="2:14" ht="15.75" thickBot="1" x14ac:dyDescent="0.3">
      <c r="B704" s="82" t="s">
        <v>541</v>
      </c>
      <c r="C704" s="83" t="s">
        <v>629</v>
      </c>
      <c r="D704" s="124" t="s">
        <v>620</v>
      </c>
      <c r="E704" s="130">
        <v>2016</v>
      </c>
      <c r="F704" s="125" t="s">
        <v>733</v>
      </c>
      <c r="G704" s="125">
        <v>40</v>
      </c>
      <c r="H704" s="85">
        <v>9404.482</v>
      </c>
      <c r="I704" s="85" t="s">
        <v>630</v>
      </c>
      <c r="J704" s="128">
        <v>31877</v>
      </c>
      <c r="K704" s="128">
        <f t="shared" si="10"/>
        <v>1275080</v>
      </c>
      <c r="L704" s="125" t="s">
        <v>1288</v>
      </c>
      <c r="M704" s="85" t="s">
        <v>47</v>
      </c>
      <c r="N704" s="85" t="s">
        <v>1491</v>
      </c>
    </row>
    <row r="705" spans="2:14" ht="15.75" thickBot="1" x14ac:dyDescent="0.3">
      <c r="B705" s="82" t="s">
        <v>541</v>
      </c>
      <c r="C705" s="83" t="s">
        <v>629</v>
      </c>
      <c r="D705" s="124" t="s">
        <v>620</v>
      </c>
      <c r="E705" s="130">
        <v>2016</v>
      </c>
      <c r="F705" s="125" t="s">
        <v>733</v>
      </c>
      <c r="G705" s="125">
        <v>40</v>
      </c>
      <c r="H705" s="85">
        <v>1908.6200000000001</v>
      </c>
      <c r="I705" s="85" t="s">
        <v>630</v>
      </c>
      <c r="J705" s="128">
        <v>5917</v>
      </c>
      <c r="K705" s="128">
        <f t="shared" si="10"/>
        <v>236680</v>
      </c>
      <c r="L705" s="125" t="s">
        <v>1289</v>
      </c>
      <c r="M705" s="85" t="s">
        <v>47</v>
      </c>
      <c r="N705" s="85" t="s">
        <v>1491</v>
      </c>
    </row>
    <row r="706" spans="2:14" ht="15.75" thickBot="1" x14ac:dyDescent="0.3">
      <c r="B706" s="82" t="s">
        <v>541</v>
      </c>
      <c r="C706" s="83" t="s">
        <v>629</v>
      </c>
      <c r="D706" s="124" t="s">
        <v>620</v>
      </c>
      <c r="E706" s="130">
        <v>2017</v>
      </c>
      <c r="F706" s="125" t="s">
        <v>733</v>
      </c>
      <c r="G706" s="125">
        <v>55</v>
      </c>
      <c r="H706" s="85">
        <v>26951.085000000003</v>
      </c>
      <c r="I706" s="85" t="s">
        <v>630</v>
      </c>
      <c r="J706" s="128">
        <v>82010</v>
      </c>
      <c r="K706" s="128">
        <f t="shared" si="10"/>
        <v>4510550</v>
      </c>
      <c r="L706" s="125" t="s">
        <v>1290</v>
      </c>
      <c r="M706" s="85" t="s">
        <v>47</v>
      </c>
      <c r="N706" s="85" t="s">
        <v>1491</v>
      </c>
    </row>
    <row r="707" spans="2:14" ht="15.75" thickBot="1" x14ac:dyDescent="0.3">
      <c r="B707" s="82" t="s">
        <v>541</v>
      </c>
      <c r="C707" s="83" t="s">
        <v>629</v>
      </c>
      <c r="D707" s="124" t="s">
        <v>620</v>
      </c>
      <c r="E707" s="130">
        <v>2017</v>
      </c>
      <c r="F707" s="125" t="s">
        <v>733</v>
      </c>
      <c r="G707" s="125">
        <v>39</v>
      </c>
      <c r="H707" s="85">
        <v>6755.2210000000014</v>
      </c>
      <c r="I707" s="85" t="s">
        <v>630</v>
      </c>
      <c r="J707" s="128">
        <v>25558</v>
      </c>
      <c r="K707" s="128">
        <f t="shared" si="10"/>
        <v>996762</v>
      </c>
      <c r="L707" s="125" t="s">
        <v>1291</v>
      </c>
      <c r="M707" s="85" t="s">
        <v>47</v>
      </c>
      <c r="N707" s="85" t="s">
        <v>1491</v>
      </c>
    </row>
    <row r="708" spans="2:14" ht="15.75" thickBot="1" x14ac:dyDescent="0.3">
      <c r="B708" s="82" t="s">
        <v>541</v>
      </c>
      <c r="C708" s="83" t="s">
        <v>629</v>
      </c>
      <c r="D708" s="124" t="s">
        <v>620</v>
      </c>
      <c r="E708" s="130">
        <v>2016</v>
      </c>
      <c r="F708" s="125" t="s">
        <v>733</v>
      </c>
      <c r="G708" s="125">
        <v>55</v>
      </c>
      <c r="H708" s="85">
        <v>19868.109999999997</v>
      </c>
      <c r="I708" s="85" t="s">
        <v>630</v>
      </c>
      <c r="J708" s="128">
        <v>58651</v>
      </c>
      <c r="K708" s="128">
        <f t="shared" si="10"/>
        <v>3225805</v>
      </c>
      <c r="L708" s="125" t="s">
        <v>1292</v>
      </c>
      <c r="M708" s="85" t="s">
        <v>47</v>
      </c>
      <c r="N708" s="85" t="s">
        <v>1491</v>
      </c>
    </row>
    <row r="709" spans="2:14" ht="15.75" thickBot="1" x14ac:dyDescent="0.3">
      <c r="B709" s="82" t="s">
        <v>541</v>
      </c>
      <c r="C709" s="83" t="s">
        <v>629</v>
      </c>
      <c r="D709" s="124" t="s">
        <v>620</v>
      </c>
      <c r="E709" s="130">
        <v>2018</v>
      </c>
      <c r="F709" s="125" t="s">
        <v>733</v>
      </c>
      <c r="G709" s="125">
        <v>39</v>
      </c>
      <c r="H709" s="85">
        <v>9254.8780000000006</v>
      </c>
      <c r="I709" s="85" t="s">
        <v>630</v>
      </c>
      <c r="J709" s="128">
        <v>33960</v>
      </c>
      <c r="K709" s="128">
        <f t="shared" si="10"/>
        <v>1324440</v>
      </c>
      <c r="L709" s="125" t="s">
        <v>1293</v>
      </c>
      <c r="M709" s="85" t="s">
        <v>47</v>
      </c>
      <c r="N709" s="85" t="s">
        <v>1491</v>
      </c>
    </row>
    <row r="710" spans="2:14" ht="15.75" thickBot="1" x14ac:dyDescent="0.3">
      <c r="B710" s="82" t="s">
        <v>541</v>
      </c>
      <c r="C710" s="83" t="s">
        <v>629</v>
      </c>
      <c r="D710" s="124" t="s">
        <v>620</v>
      </c>
      <c r="E710" s="130">
        <v>2018</v>
      </c>
      <c r="F710" s="125" t="s">
        <v>733</v>
      </c>
      <c r="G710" s="125">
        <v>39</v>
      </c>
      <c r="H710" s="85">
        <v>10930.446000000002</v>
      </c>
      <c r="I710" s="85" t="s">
        <v>630</v>
      </c>
      <c r="J710" s="128">
        <v>40957</v>
      </c>
      <c r="K710" s="128">
        <f t="shared" si="10"/>
        <v>1597323</v>
      </c>
      <c r="L710" s="125" t="s">
        <v>1294</v>
      </c>
      <c r="M710" s="85" t="s">
        <v>47</v>
      </c>
      <c r="N710" s="85" t="s">
        <v>1491</v>
      </c>
    </row>
    <row r="711" spans="2:14" ht="15.75" thickBot="1" x14ac:dyDescent="0.3">
      <c r="B711" s="82" t="s">
        <v>541</v>
      </c>
      <c r="C711" s="83" t="s">
        <v>629</v>
      </c>
      <c r="D711" s="124" t="s">
        <v>620</v>
      </c>
      <c r="E711" s="130">
        <v>2018</v>
      </c>
      <c r="F711" s="125" t="s">
        <v>733</v>
      </c>
      <c r="G711" s="125">
        <v>39</v>
      </c>
      <c r="H711" s="85">
        <v>11618.116999999998</v>
      </c>
      <c r="I711" s="85" t="s">
        <v>630</v>
      </c>
      <c r="J711" s="128">
        <v>43212</v>
      </c>
      <c r="K711" s="128">
        <f t="shared" si="10"/>
        <v>1685268</v>
      </c>
      <c r="L711" s="125" t="s">
        <v>1295</v>
      </c>
      <c r="M711" s="85" t="s">
        <v>47</v>
      </c>
      <c r="N711" s="85" t="s">
        <v>1491</v>
      </c>
    </row>
    <row r="712" spans="2:14" ht="15.75" thickBot="1" x14ac:dyDescent="0.3">
      <c r="B712" s="82" t="s">
        <v>541</v>
      </c>
      <c r="C712" s="83" t="s">
        <v>629</v>
      </c>
      <c r="D712" s="124" t="s">
        <v>620</v>
      </c>
      <c r="E712" s="130">
        <v>2019</v>
      </c>
      <c r="F712" s="125" t="s">
        <v>733</v>
      </c>
      <c r="G712" s="125">
        <v>53</v>
      </c>
      <c r="H712" s="85">
        <v>30418.862000000001</v>
      </c>
      <c r="I712" s="85" t="s">
        <v>630</v>
      </c>
      <c r="J712" s="128">
        <v>122012</v>
      </c>
      <c r="K712" s="128">
        <f t="shared" si="10"/>
        <v>6466636</v>
      </c>
      <c r="L712" s="125" t="s">
        <v>1296</v>
      </c>
      <c r="M712" s="85" t="s">
        <v>47</v>
      </c>
      <c r="N712" s="85" t="s">
        <v>1491</v>
      </c>
    </row>
    <row r="713" spans="2:14" ht="15.75" thickBot="1" x14ac:dyDescent="0.3">
      <c r="B713" s="82" t="s">
        <v>541</v>
      </c>
      <c r="C713" s="83" t="s">
        <v>629</v>
      </c>
      <c r="D713" s="124" t="s">
        <v>620</v>
      </c>
      <c r="E713" s="130">
        <v>2019</v>
      </c>
      <c r="F713" s="125" t="s">
        <v>733</v>
      </c>
      <c r="G713" s="125">
        <v>53</v>
      </c>
      <c r="H713" s="85">
        <v>24557.69</v>
      </c>
      <c r="I713" s="85" t="s">
        <v>630</v>
      </c>
      <c r="J713" s="128">
        <v>96844</v>
      </c>
      <c r="K713" s="128">
        <f t="shared" si="10"/>
        <v>5132732</v>
      </c>
      <c r="L713" s="125" t="s">
        <v>1297</v>
      </c>
      <c r="M713" s="85" t="s">
        <v>47</v>
      </c>
      <c r="N713" s="85" t="s">
        <v>1491</v>
      </c>
    </row>
    <row r="714" spans="2:14" ht="15.75" thickBot="1" x14ac:dyDescent="0.3">
      <c r="B714" s="82" t="s">
        <v>541</v>
      </c>
      <c r="C714" s="83" t="s">
        <v>629</v>
      </c>
      <c r="D714" s="124" t="s">
        <v>620</v>
      </c>
      <c r="E714" s="130">
        <v>2019</v>
      </c>
      <c r="F714" s="125" t="s">
        <v>733</v>
      </c>
      <c r="G714" s="125">
        <v>39</v>
      </c>
      <c r="H714" s="85">
        <v>13070.733</v>
      </c>
      <c r="I714" s="85" t="s">
        <v>630</v>
      </c>
      <c r="J714" s="128">
        <v>48980</v>
      </c>
      <c r="K714" s="128">
        <f t="shared" si="10"/>
        <v>1910220</v>
      </c>
      <c r="L714" s="125" t="s">
        <v>1298</v>
      </c>
      <c r="M714" s="85" t="s">
        <v>47</v>
      </c>
      <c r="N714" s="85" t="s">
        <v>1491</v>
      </c>
    </row>
    <row r="715" spans="2:14" ht="15.75" thickBot="1" x14ac:dyDescent="0.3">
      <c r="B715" s="82" t="s">
        <v>541</v>
      </c>
      <c r="C715" s="83" t="s">
        <v>629</v>
      </c>
      <c r="D715" s="124" t="s">
        <v>620</v>
      </c>
      <c r="E715" s="130">
        <v>2019</v>
      </c>
      <c r="F715" s="125" t="s">
        <v>733</v>
      </c>
      <c r="G715" s="125">
        <v>39</v>
      </c>
      <c r="H715" s="85">
        <v>11473.458999999999</v>
      </c>
      <c r="I715" s="85" t="s">
        <v>630</v>
      </c>
      <c r="J715" s="128">
        <v>39862</v>
      </c>
      <c r="K715" s="128">
        <f t="shared" si="10"/>
        <v>1554618</v>
      </c>
      <c r="L715" s="125" t="s">
        <v>1299</v>
      </c>
      <c r="M715" s="85" t="s">
        <v>47</v>
      </c>
      <c r="N715" s="85" t="s">
        <v>1491</v>
      </c>
    </row>
    <row r="716" spans="2:14" ht="15.75" thickBot="1" x14ac:dyDescent="0.3">
      <c r="B716" s="82" t="s">
        <v>541</v>
      </c>
      <c r="C716" s="83" t="s">
        <v>629</v>
      </c>
      <c r="D716" s="124" t="s">
        <v>620</v>
      </c>
      <c r="E716" s="130">
        <v>2019</v>
      </c>
      <c r="F716" s="125" t="s">
        <v>733</v>
      </c>
      <c r="G716" s="125">
        <v>19</v>
      </c>
      <c r="H716" s="85">
        <v>5494.7029999999986</v>
      </c>
      <c r="I716" s="85" t="s">
        <v>630</v>
      </c>
      <c r="J716" s="128">
        <v>28539</v>
      </c>
      <c r="K716" s="128">
        <f t="shared" si="10"/>
        <v>542241</v>
      </c>
      <c r="L716" s="125" t="s">
        <v>1300</v>
      </c>
      <c r="M716" s="85" t="s">
        <v>47</v>
      </c>
      <c r="N716" s="85" t="s">
        <v>1491</v>
      </c>
    </row>
    <row r="717" spans="2:14" ht="15.75" thickBot="1" x14ac:dyDescent="0.3">
      <c r="B717" s="82" t="s">
        <v>541</v>
      </c>
      <c r="C717" s="83" t="s">
        <v>629</v>
      </c>
      <c r="D717" s="124" t="s">
        <v>620</v>
      </c>
      <c r="E717" s="130">
        <v>2020</v>
      </c>
      <c r="F717" s="125" t="s">
        <v>733</v>
      </c>
      <c r="G717" s="125">
        <v>53</v>
      </c>
      <c r="H717" s="85">
        <v>25161.516999999996</v>
      </c>
      <c r="I717" s="85" t="s">
        <v>630</v>
      </c>
      <c r="J717" s="128">
        <v>100932</v>
      </c>
      <c r="K717" s="128">
        <f t="shared" si="10"/>
        <v>5349396</v>
      </c>
      <c r="L717" s="125" t="s">
        <v>1301</v>
      </c>
      <c r="M717" s="85" t="s">
        <v>47</v>
      </c>
      <c r="N717" s="85" t="s">
        <v>1491</v>
      </c>
    </row>
    <row r="718" spans="2:14" ht="15.75" thickBot="1" x14ac:dyDescent="0.3">
      <c r="B718" s="82" t="s">
        <v>541</v>
      </c>
      <c r="C718" s="83" t="s">
        <v>629</v>
      </c>
      <c r="D718" s="124" t="s">
        <v>620</v>
      </c>
      <c r="E718" s="130">
        <v>2020</v>
      </c>
      <c r="F718" s="125" t="s">
        <v>733</v>
      </c>
      <c r="G718" s="125">
        <v>63</v>
      </c>
      <c r="H718" s="85">
        <v>78692.513999999996</v>
      </c>
      <c r="I718" s="85" t="s">
        <v>630</v>
      </c>
      <c r="J718" s="128">
        <v>264642</v>
      </c>
      <c r="K718" s="128">
        <f t="shared" si="10"/>
        <v>16672446</v>
      </c>
      <c r="L718" s="125" t="s">
        <v>1302</v>
      </c>
      <c r="M718" s="85" t="s">
        <v>47</v>
      </c>
      <c r="N718" s="85" t="s">
        <v>1491</v>
      </c>
    </row>
    <row r="719" spans="2:14" ht="15.75" thickBot="1" x14ac:dyDescent="0.3">
      <c r="B719" s="82" t="s">
        <v>541</v>
      </c>
      <c r="C719" s="83" t="s">
        <v>629</v>
      </c>
      <c r="D719" s="124" t="s">
        <v>620</v>
      </c>
      <c r="E719" s="130">
        <v>2020</v>
      </c>
      <c r="F719" s="125" t="s">
        <v>733</v>
      </c>
      <c r="G719" s="125">
        <v>29</v>
      </c>
      <c r="H719" s="85">
        <v>4804.7290000000003</v>
      </c>
      <c r="I719" s="85" t="s">
        <v>630</v>
      </c>
      <c r="J719" s="128">
        <v>23668</v>
      </c>
      <c r="K719" s="128">
        <f t="shared" si="10"/>
        <v>686372</v>
      </c>
      <c r="L719" s="125" t="s">
        <v>1303</v>
      </c>
      <c r="M719" s="85" t="s">
        <v>47</v>
      </c>
      <c r="N719" s="85" t="s">
        <v>1491</v>
      </c>
    </row>
    <row r="720" spans="2:14" ht="15.75" thickBot="1" x14ac:dyDescent="0.3">
      <c r="B720" s="82" t="s">
        <v>541</v>
      </c>
      <c r="C720" s="83" t="s">
        <v>629</v>
      </c>
      <c r="D720" s="124" t="s">
        <v>620</v>
      </c>
      <c r="E720" s="130">
        <v>2020</v>
      </c>
      <c r="F720" s="125" t="s">
        <v>733</v>
      </c>
      <c r="G720" s="125">
        <v>29</v>
      </c>
      <c r="H720" s="85">
        <v>5770.2780000000002</v>
      </c>
      <c r="I720" s="85" t="s">
        <v>630</v>
      </c>
      <c r="J720" s="128">
        <v>29266</v>
      </c>
      <c r="K720" s="128">
        <f t="shared" si="10"/>
        <v>848714</v>
      </c>
      <c r="L720" s="125" t="s">
        <v>1304</v>
      </c>
      <c r="M720" s="85" t="s">
        <v>47</v>
      </c>
      <c r="N720" s="85" t="s">
        <v>1491</v>
      </c>
    </row>
    <row r="721" spans="2:14" ht="15.75" thickBot="1" x14ac:dyDescent="0.3">
      <c r="B721" s="82" t="s">
        <v>541</v>
      </c>
      <c r="C721" s="83" t="s">
        <v>629</v>
      </c>
      <c r="D721" s="124" t="s">
        <v>620</v>
      </c>
      <c r="E721" s="130">
        <v>2009</v>
      </c>
      <c r="F721" s="125" t="s">
        <v>734</v>
      </c>
      <c r="G721" s="125">
        <v>34</v>
      </c>
      <c r="H721" s="85">
        <v>6053.0450000000001</v>
      </c>
      <c r="I721" s="85" t="s">
        <v>630</v>
      </c>
      <c r="J721" s="128">
        <v>21004</v>
      </c>
      <c r="K721" s="128">
        <f t="shared" si="10"/>
        <v>714136</v>
      </c>
      <c r="L721" s="125" t="s">
        <v>1305</v>
      </c>
      <c r="M721" s="85" t="s">
        <v>47</v>
      </c>
      <c r="N721" s="85" t="s">
        <v>1491</v>
      </c>
    </row>
    <row r="722" spans="2:14" ht="15.75" thickBot="1" x14ac:dyDescent="0.3">
      <c r="B722" s="82" t="s">
        <v>541</v>
      </c>
      <c r="C722" s="83" t="s">
        <v>629</v>
      </c>
      <c r="D722" s="124" t="s">
        <v>620</v>
      </c>
      <c r="E722" s="130">
        <v>2014</v>
      </c>
      <c r="F722" s="125" t="s">
        <v>733</v>
      </c>
      <c r="G722" s="125">
        <v>62</v>
      </c>
      <c r="H722" s="85">
        <v>11974.539999999997</v>
      </c>
      <c r="I722" s="85" t="s">
        <v>630</v>
      </c>
      <c r="J722" s="128">
        <v>29215</v>
      </c>
      <c r="K722" s="128">
        <f t="shared" si="10"/>
        <v>1811330</v>
      </c>
      <c r="L722" s="125" t="s">
        <v>1306</v>
      </c>
      <c r="M722" s="85" t="s">
        <v>47</v>
      </c>
      <c r="N722" s="85" t="s">
        <v>1491</v>
      </c>
    </row>
    <row r="723" spans="2:14" ht="15.75" thickBot="1" x14ac:dyDescent="0.3">
      <c r="B723" s="82" t="s">
        <v>541</v>
      </c>
      <c r="C723" s="83" t="s">
        <v>629</v>
      </c>
      <c r="D723" s="124" t="s">
        <v>620</v>
      </c>
      <c r="E723" s="130">
        <v>2019</v>
      </c>
      <c r="F723" s="125" t="s">
        <v>733</v>
      </c>
      <c r="G723" s="125">
        <v>16</v>
      </c>
      <c r="H723" s="85">
        <v>399.45</v>
      </c>
      <c r="I723" s="85" t="s">
        <v>630</v>
      </c>
      <c r="J723" s="128">
        <v>2348</v>
      </c>
      <c r="K723" s="128">
        <f t="shared" si="10"/>
        <v>37568</v>
      </c>
      <c r="L723" s="125" t="s">
        <v>1307</v>
      </c>
      <c r="M723" s="85" t="s">
        <v>47</v>
      </c>
      <c r="N723" s="85" t="s">
        <v>1491</v>
      </c>
    </row>
    <row r="724" spans="2:14" ht="15.75" thickBot="1" x14ac:dyDescent="0.3">
      <c r="B724" s="82" t="s">
        <v>541</v>
      </c>
      <c r="C724" s="83" t="s">
        <v>629</v>
      </c>
      <c r="D724" s="124" t="s">
        <v>620</v>
      </c>
      <c r="E724" s="130">
        <v>2006</v>
      </c>
      <c r="F724" s="125" t="s">
        <v>731</v>
      </c>
      <c r="G724" s="125">
        <v>58</v>
      </c>
      <c r="H724" s="85">
        <v>4800.585</v>
      </c>
      <c r="I724" s="85" t="s">
        <v>630</v>
      </c>
      <c r="J724" s="128">
        <v>15259</v>
      </c>
      <c r="K724" s="128">
        <f t="shared" si="10"/>
        <v>885022</v>
      </c>
      <c r="L724" s="125" t="s">
        <v>1308</v>
      </c>
      <c r="M724" s="85" t="s">
        <v>47</v>
      </c>
      <c r="N724" s="85" t="s">
        <v>1491</v>
      </c>
    </row>
    <row r="725" spans="2:14" ht="15.75" thickBot="1" x14ac:dyDescent="0.3">
      <c r="B725" s="82" t="s">
        <v>541</v>
      </c>
      <c r="C725" s="83" t="s">
        <v>629</v>
      </c>
      <c r="D725" s="124" t="s">
        <v>620</v>
      </c>
      <c r="E725" s="130">
        <v>2004</v>
      </c>
      <c r="F725" s="125" t="s">
        <v>732</v>
      </c>
      <c r="G725" s="125">
        <v>19</v>
      </c>
      <c r="H725" s="85">
        <v>0</v>
      </c>
      <c r="I725" s="85" t="s">
        <v>630</v>
      </c>
      <c r="J725" s="128">
        <v>0</v>
      </c>
      <c r="K725" s="128">
        <f t="shared" si="10"/>
        <v>0</v>
      </c>
      <c r="L725" s="125" t="s">
        <v>1309</v>
      </c>
      <c r="M725" s="85" t="s">
        <v>47</v>
      </c>
      <c r="N725" s="85" t="s">
        <v>1491</v>
      </c>
    </row>
    <row r="726" spans="2:14" ht="15.75" thickBot="1" x14ac:dyDescent="0.3">
      <c r="B726" s="82" t="s">
        <v>541</v>
      </c>
      <c r="C726" s="83" t="s">
        <v>629</v>
      </c>
      <c r="D726" s="124" t="s">
        <v>620</v>
      </c>
      <c r="E726" s="130">
        <v>2015</v>
      </c>
      <c r="F726" s="125" t="s">
        <v>733</v>
      </c>
      <c r="G726" s="125">
        <v>53</v>
      </c>
      <c r="H726" s="85">
        <v>1899.4940000000001</v>
      </c>
      <c r="I726" s="85" t="s">
        <v>630</v>
      </c>
      <c r="J726" s="128">
        <v>12280</v>
      </c>
      <c r="K726" s="128">
        <f t="shared" si="10"/>
        <v>650840</v>
      </c>
      <c r="L726" s="125" t="s">
        <v>1310</v>
      </c>
      <c r="M726" s="85" t="s">
        <v>47</v>
      </c>
      <c r="N726" s="85" t="s">
        <v>1491</v>
      </c>
    </row>
    <row r="727" spans="2:14" ht="15.75" thickBot="1" x14ac:dyDescent="0.3">
      <c r="B727" s="82" t="s">
        <v>541</v>
      </c>
      <c r="C727" s="83" t="s">
        <v>629</v>
      </c>
      <c r="D727" s="124" t="s">
        <v>620</v>
      </c>
      <c r="E727" s="130">
        <v>2004</v>
      </c>
      <c r="F727" s="125" t="s">
        <v>732</v>
      </c>
      <c r="G727" s="125">
        <v>53</v>
      </c>
      <c r="H727" s="85">
        <v>0</v>
      </c>
      <c r="I727" s="85" t="s">
        <v>630</v>
      </c>
      <c r="J727" s="128">
        <v>0</v>
      </c>
      <c r="K727" s="128">
        <f t="shared" si="10"/>
        <v>0</v>
      </c>
      <c r="L727" s="125" t="s">
        <v>1311</v>
      </c>
      <c r="M727" s="85" t="s">
        <v>47</v>
      </c>
      <c r="N727" s="85" t="s">
        <v>1491</v>
      </c>
    </row>
    <row r="728" spans="2:14" ht="15.75" thickBot="1" x14ac:dyDescent="0.3">
      <c r="B728" s="82" t="s">
        <v>541</v>
      </c>
      <c r="C728" s="83" t="s">
        <v>629</v>
      </c>
      <c r="D728" s="124" t="s">
        <v>620</v>
      </c>
      <c r="E728" s="130">
        <v>2004</v>
      </c>
      <c r="F728" s="125" t="s">
        <v>732</v>
      </c>
      <c r="G728" s="125">
        <v>53</v>
      </c>
      <c r="H728" s="85">
        <v>2193.0839999999998</v>
      </c>
      <c r="I728" s="85" t="s">
        <v>630</v>
      </c>
      <c r="J728" s="128">
        <v>6512</v>
      </c>
      <c r="K728" s="128">
        <f t="shared" si="10"/>
        <v>345136</v>
      </c>
      <c r="L728" s="125" t="s">
        <v>1312</v>
      </c>
      <c r="M728" s="85" t="s">
        <v>47</v>
      </c>
      <c r="N728" s="85" t="s">
        <v>1491</v>
      </c>
    </row>
    <row r="729" spans="2:14" ht="15.75" thickBot="1" x14ac:dyDescent="0.3">
      <c r="B729" s="82" t="s">
        <v>541</v>
      </c>
      <c r="C729" s="83" t="s">
        <v>629</v>
      </c>
      <c r="D729" s="124" t="s">
        <v>620</v>
      </c>
      <c r="E729" s="130">
        <v>2004</v>
      </c>
      <c r="F729" s="125" t="s">
        <v>732</v>
      </c>
      <c r="G729" s="125">
        <v>53</v>
      </c>
      <c r="H729" s="85">
        <v>0</v>
      </c>
      <c r="I729" s="85" t="s">
        <v>630</v>
      </c>
      <c r="J729" s="128">
        <v>0</v>
      </c>
      <c r="K729" s="128">
        <f t="shared" si="10"/>
        <v>0</v>
      </c>
      <c r="L729" s="125" t="s">
        <v>1313</v>
      </c>
      <c r="M729" s="85" t="s">
        <v>47</v>
      </c>
      <c r="N729" s="85" t="s">
        <v>1491</v>
      </c>
    </row>
    <row r="730" spans="2:14" ht="15.75" thickBot="1" x14ac:dyDescent="0.3">
      <c r="B730" s="82" t="s">
        <v>541</v>
      </c>
      <c r="C730" s="83" t="s">
        <v>629</v>
      </c>
      <c r="D730" s="124" t="s">
        <v>620</v>
      </c>
      <c r="E730" s="130">
        <v>2004</v>
      </c>
      <c r="F730" s="125" t="s">
        <v>732</v>
      </c>
      <c r="G730" s="125">
        <v>49</v>
      </c>
      <c r="H730" s="85">
        <v>14208.113000000001</v>
      </c>
      <c r="I730" s="85" t="s">
        <v>630</v>
      </c>
      <c r="J730" s="128">
        <v>45003</v>
      </c>
      <c r="K730" s="128">
        <f t="shared" si="10"/>
        <v>2205147</v>
      </c>
      <c r="L730" s="125" t="s">
        <v>1314</v>
      </c>
      <c r="M730" s="85" t="s">
        <v>47</v>
      </c>
      <c r="N730" s="85" t="s">
        <v>1491</v>
      </c>
    </row>
    <row r="731" spans="2:14" ht="15.75" thickBot="1" x14ac:dyDescent="0.3">
      <c r="B731" s="82" t="s">
        <v>541</v>
      </c>
      <c r="C731" s="83" t="s">
        <v>629</v>
      </c>
      <c r="D731" s="124" t="s">
        <v>620</v>
      </c>
      <c r="E731" s="130">
        <v>2005</v>
      </c>
      <c r="F731" s="125" t="s">
        <v>732</v>
      </c>
      <c r="G731" s="125">
        <v>37</v>
      </c>
      <c r="H731" s="85">
        <v>10290.300000000001</v>
      </c>
      <c r="I731" s="85" t="s">
        <v>630</v>
      </c>
      <c r="J731" s="128">
        <v>29820</v>
      </c>
      <c r="K731" s="128">
        <f t="shared" si="10"/>
        <v>1103340</v>
      </c>
      <c r="L731" s="125" t="s">
        <v>1315</v>
      </c>
      <c r="M731" s="85" t="s">
        <v>47</v>
      </c>
      <c r="N731" s="85" t="s">
        <v>1491</v>
      </c>
    </row>
    <row r="732" spans="2:14" ht="15.75" thickBot="1" x14ac:dyDescent="0.3">
      <c r="B732" s="82" t="s">
        <v>541</v>
      </c>
      <c r="C732" s="83" t="s">
        <v>629</v>
      </c>
      <c r="D732" s="124" t="s">
        <v>620</v>
      </c>
      <c r="E732" s="130">
        <v>2006</v>
      </c>
      <c r="F732" s="125" t="s">
        <v>731</v>
      </c>
      <c r="G732" s="125">
        <v>53</v>
      </c>
      <c r="H732" s="85">
        <v>14041.046</v>
      </c>
      <c r="I732" s="85" t="s">
        <v>630</v>
      </c>
      <c r="J732" s="128">
        <v>35095</v>
      </c>
      <c r="K732" s="128">
        <f t="shared" si="10"/>
        <v>1860035</v>
      </c>
      <c r="L732" s="125" t="s">
        <v>1316</v>
      </c>
      <c r="M732" s="85" t="s">
        <v>47</v>
      </c>
      <c r="N732" s="85" t="s">
        <v>1491</v>
      </c>
    </row>
    <row r="733" spans="2:14" ht="15.75" thickBot="1" x14ac:dyDescent="0.3">
      <c r="B733" s="82" t="s">
        <v>541</v>
      </c>
      <c r="C733" s="83" t="s">
        <v>629</v>
      </c>
      <c r="D733" s="124" t="s">
        <v>620</v>
      </c>
      <c r="E733" s="130">
        <v>2006</v>
      </c>
      <c r="F733" s="125" t="s">
        <v>731</v>
      </c>
      <c r="G733" s="125">
        <v>51</v>
      </c>
      <c r="H733" s="85">
        <v>10960.237000000003</v>
      </c>
      <c r="I733" s="85" t="s">
        <v>630</v>
      </c>
      <c r="J733" s="128">
        <v>32348</v>
      </c>
      <c r="K733" s="128">
        <f t="shared" si="10"/>
        <v>1649748</v>
      </c>
      <c r="L733" s="125" t="s">
        <v>1317</v>
      </c>
      <c r="M733" s="85" t="s">
        <v>47</v>
      </c>
      <c r="N733" s="85" t="s">
        <v>1491</v>
      </c>
    </row>
    <row r="734" spans="2:14" ht="15.75" thickBot="1" x14ac:dyDescent="0.3">
      <c r="B734" s="82" t="s">
        <v>541</v>
      </c>
      <c r="C734" s="83" t="s">
        <v>629</v>
      </c>
      <c r="D734" s="124" t="s">
        <v>620</v>
      </c>
      <c r="E734" s="130">
        <v>2006</v>
      </c>
      <c r="F734" s="125" t="s">
        <v>731</v>
      </c>
      <c r="G734" s="125">
        <v>51</v>
      </c>
      <c r="H734" s="85">
        <v>3585.84</v>
      </c>
      <c r="I734" s="85" t="s">
        <v>630</v>
      </c>
      <c r="J734" s="128">
        <v>12299</v>
      </c>
      <c r="K734" s="128">
        <f t="shared" si="10"/>
        <v>627249</v>
      </c>
      <c r="L734" s="125" t="s">
        <v>1318</v>
      </c>
      <c r="M734" s="85" t="s">
        <v>47</v>
      </c>
      <c r="N734" s="85" t="s">
        <v>1491</v>
      </c>
    </row>
    <row r="735" spans="2:14" ht="15.75" thickBot="1" x14ac:dyDescent="0.3">
      <c r="B735" s="82" t="s">
        <v>541</v>
      </c>
      <c r="C735" s="83" t="s">
        <v>629</v>
      </c>
      <c r="D735" s="124" t="s">
        <v>620</v>
      </c>
      <c r="E735" s="130">
        <v>2006</v>
      </c>
      <c r="F735" s="125" t="s">
        <v>731</v>
      </c>
      <c r="G735" s="125">
        <v>51</v>
      </c>
      <c r="H735" s="85">
        <v>11794.012000000001</v>
      </c>
      <c r="I735" s="85" t="s">
        <v>630</v>
      </c>
      <c r="J735" s="128">
        <v>34648</v>
      </c>
      <c r="K735" s="128">
        <f t="shared" ref="K735:K798" si="11">J735*G735</f>
        <v>1767048</v>
      </c>
      <c r="L735" s="125" t="s">
        <v>1319</v>
      </c>
      <c r="M735" s="85" t="s">
        <v>47</v>
      </c>
      <c r="N735" s="85" t="s">
        <v>1491</v>
      </c>
    </row>
    <row r="736" spans="2:14" ht="15.75" thickBot="1" x14ac:dyDescent="0.3">
      <c r="B736" s="82" t="s">
        <v>541</v>
      </c>
      <c r="C736" s="83" t="s">
        <v>629</v>
      </c>
      <c r="D736" s="124" t="s">
        <v>620</v>
      </c>
      <c r="E736" s="130">
        <v>2006</v>
      </c>
      <c r="F736" s="125" t="s">
        <v>731</v>
      </c>
      <c r="G736" s="125">
        <v>51</v>
      </c>
      <c r="H736" s="85">
        <v>9899.4290000000001</v>
      </c>
      <c r="I736" s="85" t="s">
        <v>630</v>
      </c>
      <c r="J736" s="128">
        <v>28597</v>
      </c>
      <c r="K736" s="128">
        <f t="shared" si="11"/>
        <v>1458447</v>
      </c>
      <c r="L736" s="125" t="s">
        <v>1320</v>
      </c>
      <c r="M736" s="85" t="s">
        <v>47</v>
      </c>
      <c r="N736" s="85" t="s">
        <v>1491</v>
      </c>
    </row>
    <row r="737" spans="2:14" ht="15.75" thickBot="1" x14ac:dyDescent="0.3">
      <c r="B737" s="82" t="s">
        <v>541</v>
      </c>
      <c r="C737" s="83" t="s">
        <v>629</v>
      </c>
      <c r="D737" s="124" t="s">
        <v>620</v>
      </c>
      <c r="E737" s="130">
        <v>2007</v>
      </c>
      <c r="F737" s="125" t="s">
        <v>731</v>
      </c>
      <c r="G737" s="125">
        <v>55</v>
      </c>
      <c r="H737" s="85">
        <v>11337.277000000002</v>
      </c>
      <c r="I737" s="85" t="s">
        <v>630</v>
      </c>
      <c r="J737" s="128">
        <v>33043</v>
      </c>
      <c r="K737" s="128">
        <f t="shared" si="11"/>
        <v>1817365</v>
      </c>
      <c r="L737" s="125" t="s">
        <v>1321</v>
      </c>
      <c r="M737" s="85" t="s">
        <v>47</v>
      </c>
      <c r="N737" s="85" t="s">
        <v>1491</v>
      </c>
    </row>
    <row r="738" spans="2:14" ht="15.75" thickBot="1" x14ac:dyDescent="0.3">
      <c r="B738" s="82" t="s">
        <v>541</v>
      </c>
      <c r="C738" s="83" t="s">
        <v>629</v>
      </c>
      <c r="D738" s="124" t="s">
        <v>620</v>
      </c>
      <c r="E738" s="130">
        <v>2007</v>
      </c>
      <c r="F738" s="125" t="s">
        <v>731</v>
      </c>
      <c r="G738" s="125">
        <v>55</v>
      </c>
      <c r="H738" s="85">
        <v>12801.24</v>
      </c>
      <c r="I738" s="85" t="s">
        <v>630</v>
      </c>
      <c r="J738" s="128">
        <v>38524</v>
      </c>
      <c r="K738" s="128">
        <f t="shared" si="11"/>
        <v>2118820</v>
      </c>
      <c r="L738" s="125" t="s">
        <v>1322</v>
      </c>
      <c r="M738" s="85" t="s">
        <v>47</v>
      </c>
      <c r="N738" s="85" t="s">
        <v>1491</v>
      </c>
    </row>
    <row r="739" spans="2:14" ht="15.75" thickBot="1" x14ac:dyDescent="0.3">
      <c r="B739" s="82" t="s">
        <v>541</v>
      </c>
      <c r="C739" s="83" t="s">
        <v>629</v>
      </c>
      <c r="D739" s="124" t="s">
        <v>620</v>
      </c>
      <c r="E739" s="130">
        <v>2007</v>
      </c>
      <c r="F739" s="125" t="s">
        <v>731</v>
      </c>
      <c r="G739" s="125">
        <v>55</v>
      </c>
      <c r="H739" s="85">
        <v>14762.460999999999</v>
      </c>
      <c r="I739" s="85" t="s">
        <v>630</v>
      </c>
      <c r="J739" s="128">
        <v>42788</v>
      </c>
      <c r="K739" s="128">
        <f t="shared" si="11"/>
        <v>2353340</v>
      </c>
      <c r="L739" s="125" t="s">
        <v>1323</v>
      </c>
      <c r="M739" s="85" t="s">
        <v>47</v>
      </c>
      <c r="N739" s="85" t="s">
        <v>1491</v>
      </c>
    </row>
    <row r="740" spans="2:14" ht="15.75" thickBot="1" x14ac:dyDescent="0.3">
      <c r="B740" s="82" t="s">
        <v>541</v>
      </c>
      <c r="C740" s="83" t="s">
        <v>629</v>
      </c>
      <c r="D740" s="124" t="s">
        <v>620</v>
      </c>
      <c r="E740" s="130">
        <v>2007</v>
      </c>
      <c r="F740" s="125" t="s">
        <v>731</v>
      </c>
      <c r="G740" s="125">
        <v>55</v>
      </c>
      <c r="H740" s="85">
        <v>14538.562</v>
      </c>
      <c r="I740" s="85" t="s">
        <v>630</v>
      </c>
      <c r="J740" s="128">
        <v>41234</v>
      </c>
      <c r="K740" s="128">
        <f t="shared" si="11"/>
        <v>2267870</v>
      </c>
      <c r="L740" s="125" t="s">
        <v>1324</v>
      </c>
      <c r="M740" s="85" t="s">
        <v>47</v>
      </c>
      <c r="N740" s="85" t="s">
        <v>1491</v>
      </c>
    </row>
    <row r="741" spans="2:14" ht="15.75" thickBot="1" x14ac:dyDescent="0.3">
      <c r="B741" s="82" t="s">
        <v>541</v>
      </c>
      <c r="C741" s="83" t="s">
        <v>629</v>
      </c>
      <c r="D741" s="124" t="s">
        <v>620</v>
      </c>
      <c r="E741" s="130">
        <v>2008</v>
      </c>
      <c r="F741" s="125" t="s">
        <v>731</v>
      </c>
      <c r="G741" s="125">
        <v>53</v>
      </c>
      <c r="H741" s="85">
        <v>14734.53</v>
      </c>
      <c r="I741" s="85" t="s">
        <v>630</v>
      </c>
      <c r="J741" s="128">
        <v>41176</v>
      </c>
      <c r="K741" s="128">
        <f t="shared" si="11"/>
        <v>2182328</v>
      </c>
      <c r="L741" s="125" t="s">
        <v>1325</v>
      </c>
      <c r="M741" s="85" t="s">
        <v>47</v>
      </c>
      <c r="N741" s="85" t="s">
        <v>1491</v>
      </c>
    </row>
    <row r="742" spans="2:14" ht="15.75" thickBot="1" x14ac:dyDescent="0.3">
      <c r="B742" s="82" t="s">
        <v>541</v>
      </c>
      <c r="C742" s="83" t="s">
        <v>629</v>
      </c>
      <c r="D742" s="124" t="s">
        <v>620</v>
      </c>
      <c r="E742" s="130">
        <v>2008</v>
      </c>
      <c r="F742" s="125" t="s">
        <v>731</v>
      </c>
      <c r="G742" s="125">
        <v>53</v>
      </c>
      <c r="H742" s="85">
        <v>13881.819999999998</v>
      </c>
      <c r="I742" s="85" t="s">
        <v>630</v>
      </c>
      <c r="J742" s="128">
        <v>41416</v>
      </c>
      <c r="K742" s="128">
        <f t="shared" si="11"/>
        <v>2195048</v>
      </c>
      <c r="L742" s="125" t="s">
        <v>1326</v>
      </c>
      <c r="M742" s="85" t="s">
        <v>47</v>
      </c>
      <c r="N742" s="85" t="s">
        <v>1491</v>
      </c>
    </row>
    <row r="743" spans="2:14" ht="15.75" thickBot="1" x14ac:dyDescent="0.3">
      <c r="B743" s="82" t="s">
        <v>541</v>
      </c>
      <c r="C743" s="83" t="s">
        <v>629</v>
      </c>
      <c r="D743" s="124" t="s">
        <v>620</v>
      </c>
      <c r="E743" s="130">
        <v>2008</v>
      </c>
      <c r="F743" s="125" t="s">
        <v>731</v>
      </c>
      <c r="G743" s="125">
        <v>53</v>
      </c>
      <c r="H743" s="85">
        <v>19107.637999999999</v>
      </c>
      <c r="I743" s="85" t="s">
        <v>630</v>
      </c>
      <c r="J743" s="128">
        <v>57597</v>
      </c>
      <c r="K743" s="128">
        <f t="shared" si="11"/>
        <v>3052641</v>
      </c>
      <c r="L743" s="125" t="s">
        <v>1327</v>
      </c>
      <c r="M743" s="85" t="s">
        <v>47</v>
      </c>
      <c r="N743" s="85" t="s">
        <v>1491</v>
      </c>
    </row>
    <row r="744" spans="2:14" ht="15.75" thickBot="1" x14ac:dyDescent="0.3">
      <c r="B744" s="82" t="s">
        <v>541</v>
      </c>
      <c r="C744" s="83" t="s">
        <v>629</v>
      </c>
      <c r="D744" s="124" t="s">
        <v>620</v>
      </c>
      <c r="E744" s="130">
        <v>2008</v>
      </c>
      <c r="F744" s="125" t="s">
        <v>731</v>
      </c>
      <c r="G744" s="125">
        <v>53</v>
      </c>
      <c r="H744" s="85">
        <v>0</v>
      </c>
      <c r="I744" s="85" t="s">
        <v>630</v>
      </c>
      <c r="J744" s="128">
        <v>0</v>
      </c>
      <c r="K744" s="128">
        <f t="shared" si="11"/>
        <v>0</v>
      </c>
      <c r="L744" s="125" t="s">
        <v>1328</v>
      </c>
      <c r="M744" s="85" t="s">
        <v>47</v>
      </c>
      <c r="N744" s="85" t="s">
        <v>1491</v>
      </c>
    </row>
    <row r="745" spans="2:14" ht="15.75" thickBot="1" x14ac:dyDescent="0.3">
      <c r="B745" s="82" t="s">
        <v>541</v>
      </c>
      <c r="C745" s="83" t="s">
        <v>629</v>
      </c>
      <c r="D745" s="124" t="s">
        <v>620</v>
      </c>
      <c r="E745" s="130">
        <v>2008</v>
      </c>
      <c r="F745" s="125" t="s">
        <v>731</v>
      </c>
      <c r="G745" s="125">
        <v>53</v>
      </c>
      <c r="H745" s="85">
        <v>10205.735000000001</v>
      </c>
      <c r="I745" s="85" t="s">
        <v>630</v>
      </c>
      <c r="J745" s="128">
        <v>29001</v>
      </c>
      <c r="K745" s="128">
        <f t="shared" si="11"/>
        <v>1537053</v>
      </c>
      <c r="L745" s="125" t="s">
        <v>1329</v>
      </c>
      <c r="M745" s="85" t="s">
        <v>47</v>
      </c>
      <c r="N745" s="85" t="s">
        <v>1491</v>
      </c>
    </row>
    <row r="746" spans="2:14" ht="15.75" thickBot="1" x14ac:dyDescent="0.3">
      <c r="B746" s="82" t="s">
        <v>541</v>
      </c>
      <c r="C746" s="83" t="s">
        <v>629</v>
      </c>
      <c r="D746" s="124" t="s">
        <v>620</v>
      </c>
      <c r="E746" s="130">
        <v>2008</v>
      </c>
      <c r="F746" s="125" t="s">
        <v>731</v>
      </c>
      <c r="G746" s="125">
        <v>53</v>
      </c>
      <c r="H746" s="85">
        <v>17787.803</v>
      </c>
      <c r="I746" s="85" t="s">
        <v>630</v>
      </c>
      <c r="J746" s="128">
        <v>50876</v>
      </c>
      <c r="K746" s="128">
        <f t="shared" si="11"/>
        <v>2696428</v>
      </c>
      <c r="L746" s="125" t="s">
        <v>1330</v>
      </c>
      <c r="M746" s="85" t="s">
        <v>47</v>
      </c>
      <c r="N746" s="85" t="s">
        <v>1491</v>
      </c>
    </row>
    <row r="747" spans="2:14" ht="15.75" thickBot="1" x14ac:dyDescent="0.3">
      <c r="B747" s="82" t="s">
        <v>541</v>
      </c>
      <c r="C747" s="83" t="s">
        <v>629</v>
      </c>
      <c r="D747" s="124" t="s">
        <v>620</v>
      </c>
      <c r="E747" s="130">
        <v>2008</v>
      </c>
      <c r="F747" s="125" t="s">
        <v>731</v>
      </c>
      <c r="G747" s="125">
        <v>53</v>
      </c>
      <c r="H747" s="85">
        <v>19569.421000000002</v>
      </c>
      <c r="I747" s="85" t="s">
        <v>630</v>
      </c>
      <c r="J747" s="128">
        <v>60303</v>
      </c>
      <c r="K747" s="128">
        <f t="shared" si="11"/>
        <v>3196059</v>
      </c>
      <c r="L747" s="125" t="s">
        <v>1331</v>
      </c>
      <c r="M747" s="85" t="s">
        <v>47</v>
      </c>
      <c r="N747" s="85" t="s">
        <v>1491</v>
      </c>
    </row>
    <row r="748" spans="2:14" ht="15.75" thickBot="1" x14ac:dyDescent="0.3">
      <c r="B748" s="82" t="s">
        <v>541</v>
      </c>
      <c r="C748" s="83" t="s">
        <v>629</v>
      </c>
      <c r="D748" s="124" t="s">
        <v>620</v>
      </c>
      <c r="E748" s="130">
        <v>2008</v>
      </c>
      <c r="F748" s="125" t="s">
        <v>731</v>
      </c>
      <c r="G748" s="125">
        <v>53</v>
      </c>
      <c r="H748" s="85">
        <v>12285.554</v>
      </c>
      <c r="I748" s="85" t="s">
        <v>630</v>
      </c>
      <c r="J748" s="128">
        <v>36708</v>
      </c>
      <c r="K748" s="128">
        <f t="shared" si="11"/>
        <v>1945524</v>
      </c>
      <c r="L748" s="125" t="s">
        <v>1332</v>
      </c>
      <c r="M748" s="85" t="s">
        <v>47</v>
      </c>
      <c r="N748" s="85" t="s">
        <v>1491</v>
      </c>
    </row>
    <row r="749" spans="2:14" ht="15.75" thickBot="1" x14ac:dyDescent="0.3">
      <c r="B749" s="82" t="s">
        <v>541</v>
      </c>
      <c r="C749" s="83" t="s">
        <v>629</v>
      </c>
      <c r="D749" s="124" t="s">
        <v>620</v>
      </c>
      <c r="E749" s="130">
        <v>2008</v>
      </c>
      <c r="F749" s="125" t="s">
        <v>731</v>
      </c>
      <c r="G749" s="125">
        <v>34</v>
      </c>
      <c r="H749" s="85">
        <v>13139.721999999998</v>
      </c>
      <c r="I749" s="85" t="s">
        <v>630</v>
      </c>
      <c r="J749" s="128">
        <v>34087</v>
      </c>
      <c r="K749" s="128">
        <f t="shared" si="11"/>
        <v>1158958</v>
      </c>
      <c r="L749" s="125" t="s">
        <v>1333</v>
      </c>
      <c r="M749" s="85" t="s">
        <v>47</v>
      </c>
      <c r="N749" s="85" t="s">
        <v>1491</v>
      </c>
    </row>
    <row r="750" spans="2:14" ht="15.75" thickBot="1" x14ac:dyDescent="0.3">
      <c r="B750" s="82" t="s">
        <v>541</v>
      </c>
      <c r="C750" s="83" t="s">
        <v>629</v>
      </c>
      <c r="D750" s="124" t="s">
        <v>620</v>
      </c>
      <c r="E750" s="130">
        <v>2008</v>
      </c>
      <c r="F750" s="125" t="s">
        <v>731</v>
      </c>
      <c r="G750" s="125">
        <v>34</v>
      </c>
      <c r="H750" s="85">
        <v>15405.339</v>
      </c>
      <c r="I750" s="85" t="s">
        <v>630</v>
      </c>
      <c r="J750" s="128">
        <v>40526</v>
      </c>
      <c r="K750" s="128">
        <f t="shared" si="11"/>
        <v>1377884</v>
      </c>
      <c r="L750" s="125" t="s">
        <v>1334</v>
      </c>
      <c r="M750" s="85" t="s">
        <v>47</v>
      </c>
      <c r="N750" s="85" t="s">
        <v>1491</v>
      </c>
    </row>
    <row r="751" spans="2:14" ht="15.75" thickBot="1" x14ac:dyDescent="0.3">
      <c r="B751" s="82" t="s">
        <v>541</v>
      </c>
      <c r="C751" s="83" t="s">
        <v>629</v>
      </c>
      <c r="D751" s="124" t="s">
        <v>620</v>
      </c>
      <c r="E751" s="130">
        <v>2009</v>
      </c>
      <c r="F751" s="125" t="s">
        <v>734</v>
      </c>
      <c r="G751" s="125">
        <v>53</v>
      </c>
      <c r="H751" s="85">
        <v>25511.771000000001</v>
      </c>
      <c r="I751" s="85" t="s">
        <v>630</v>
      </c>
      <c r="J751" s="128">
        <v>80189</v>
      </c>
      <c r="K751" s="128">
        <f t="shared" si="11"/>
        <v>4250017</v>
      </c>
      <c r="L751" s="125" t="s">
        <v>1335</v>
      </c>
      <c r="M751" s="85" t="s">
        <v>47</v>
      </c>
      <c r="N751" s="85" t="s">
        <v>1491</v>
      </c>
    </row>
    <row r="752" spans="2:14" ht="15.75" thickBot="1" x14ac:dyDescent="0.3">
      <c r="B752" s="82" t="s">
        <v>541</v>
      </c>
      <c r="C752" s="83" t="s">
        <v>629</v>
      </c>
      <c r="D752" s="124" t="s">
        <v>620</v>
      </c>
      <c r="E752" s="130">
        <v>2011</v>
      </c>
      <c r="F752" s="125" t="s">
        <v>734</v>
      </c>
      <c r="G752" s="125">
        <v>53</v>
      </c>
      <c r="H752" s="85">
        <v>22781.541999999998</v>
      </c>
      <c r="I752" s="85" t="s">
        <v>630</v>
      </c>
      <c r="J752" s="128">
        <v>69774</v>
      </c>
      <c r="K752" s="128">
        <f t="shared" si="11"/>
        <v>3698022</v>
      </c>
      <c r="L752" s="125" t="s">
        <v>1336</v>
      </c>
      <c r="M752" s="85" t="s">
        <v>47</v>
      </c>
      <c r="N752" s="85" t="s">
        <v>1491</v>
      </c>
    </row>
    <row r="753" spans="2:14" ht="15.75" thickBot="1" x14ac:dyDescent="0.3">
      <c r="B753" s="82" t="s">
        <v>541</v>
      </c>
      <c r="C753" s="83" t="s">
        <v>629</v>
      </c>
      <c r="D753" s="124" t="s">
        <v>620</v>
      </c>
      <c r="E753" s="130">
        <v>2011</v>
      </c>
      <c r="F753" s="125" t="s">
        <v>734</v>
      </c>
      <c r="G753" s="125">
        <v>53</v>
      </c>
      <c r="H753" s="85">
        <v>19491.171999999999</v>
      </c>
      <c r="I753" s="85" t="s">
        <v>630</v>
      </c>
      <c r="J753" s="128">
        <v>57886</v>
      </c>
      <c r="K753" s="128">
        <f t="shared" si="11"/>
        <v>3067958</v>
      </c>
      <c r="L753" s="125" t="s">
        <v>1337</v>
      </c>
      <c r="M753" s="85" t="s">
        <v>47</v>
      </c>
      <c r="N753" s="85" t="s">
        <v>1491</v>
      </c>
    </row>
    <row r="754" spans="2:14" ht="15.75" thickBot="1" x14ac:dyDescent="0.3">
      <c r="B754" s="82" t="s">
        <v>541</v>
      </c>
      <c r="C754" s="83" t="s">
        <v>629</v>
      </c>
      <c r="D754" s="124" t="s">
        <v>620</v>
      </c>
      <c r="E754" s="130">
        <v>2011</v>
      </c>
      <c r="F754" s="125" t="s">
        <v>734</v>
      </c>
      <c r="G754" s="125">
        <v>53</v>
      </c>
      <c r="H754" s="85">
        <v>19566.760999999999</v>
      </c>
      <c r="I754" s="85" t="s">
        <v>630</v>
      </c>
      <c r="J754" s="128">
        <v>56933</v>
      </c>
      <c r="K754" s="128">
        <f t="shared" si="11"/>
        <v>3017449</v>
      </c>
      <c r="L754" s="125" t="s">
        <v>1338</v>
      </c>
      <c r="M754" s="85" t="s">
        <v>47</v>
      </c>
      <c r="N754" s="85" t="s">
        <v>1491</v>
      </c>
    </row>
    <row r="755" spans="2:14" ht="15.75" thickBot="1" x14ac:dyDescent="0.3">
      <c r="B755" s="82" t="s">
        <v>541</v>
      </c>
      <c r="C755" s="83" t="s">
        <v>629</v>
      </c>
      <c r="D755" s="124" t="s">
        <v>620</v>
      </c>
      <c r="E755" s="130">
        <v>2011</v>
      </c>
      <c r="F755" s="125" t="s">
        <v>734</v>
      </c>
      <c r="G755" s="125">
        <v>53</v>
      </c>
      <c r="H755" s="85">
        <v>20978.825000000001</v>
      </c>
      <c r="I755" s="85" t="s">
        <v>630</v>
      </c>
      <c r="J755" s="128">
        <v>64405</v>
      </c>
      <c r="K755" s="128">
        <f t="shared" si="11"/>
        <v>3413465</v>
      </c>
      <c r="L755" s="125" t="s">
        <v>1339</v>
      </c>
      <c r="M755" s="85" t="s">
        <v>47</v>
      </c>
      <c r="N755" s="85" t="s">
        <v>1491</v>
      </c>
    </row>
    <row r="756" spans="2:14" ht="15.75" thickBot="1" x14ac:dyDescent="0.3">
      <c r="B756" s="82" t="s">
        <v>541</v>
      </c>
      <c r="C756" s="83" t="s">
        <v>629</v>
      </c>
      <c r="D756" s="124" t="s">
        <v>620</v>
      </c>
      <c r="E756" s="130">
        <v>2011</v>
      </c>
      <c r="F756" s="125" t="s">
        <v>734</v>
      </c>
      <c r="G756" s="125">
        <v>53</v>
      </c>
      <c r="H756" s="85">
        <v>16716.853999999999</v>
      </c>
      <c r="I756" s="85" t="s">
        <v>630</v>
      </c>
      <c r="J756" s="128">
        <v>51560</v>
      </c>
      <c r="K756" s="128">
        <f t="shared" si="11"/>
        <v>2732680</v>
      </c>
      <c r="L756" s="125" t="s">
        <v>1340</v>
      </c>
      <c r="M756" s="85" t="s">
        <v>47</v>
      </c>
      <c r="N756" s="85" t="s">
        <v>1491</v>
      </c>
    </row>
    <row r="757" spans="2:14" ht="15.75" thickBot="1" x14ac:dyDescent="0.3">
      <c r="B757" s="82" t="s">
        <v>541</v>
      </c>
      <c r="C757" s="83" t="s">
        <v>629</v>
      </c>
      <c r="D757" s="124" t="s">
        <v>620</v>
      </c>
      <c r="E757" s="130">
        <v>2011</v>
      </c>
      <c r="F757" s="125" t="s">
        <v>734</v>
      </c>
      <c r="G757" s="125">
        <v>53</v>
      </c>
      <c r="H757" s="85">
        <v>15245.787000000002</v>
      </c>
      <c r="I757" s="85" t="s">
        <v>630</v>
      </c>
      <c r="J757" s="128">
        <v>51122</v>
      </c>
      <c r="K757" s="128">
        <f t="shared" si="11"/>
        <v>2709466</v>
      </c>
      <c r="L757" s="125" t="s">
        <v>1341</v>
      </c>
      <c r="M757" s="85" t="s">
        <v>47</v>
      </c>
      <c r="N757" s="85" t="s">
        <v>1491</v>
      </c>
    </row>
    <row r="758" spans="2:14" ht="15.75" thickBot="1" x14ac:dyDescent="0.3">
      <c r="B758" s="82" t="s">
        <v>541</v>
      </c>
      <c r="C758" s="83" t="s">
        <v>629</v>
      </c>
      <c r="D758" s="124" t="s">
        <v>620</v>
      </c>
      <c r="E758" s="130">
        <v>2011</v>
      </c>
      <c r="F758" s="125" t="s">
        <v>734</v>
      </c>
      <c r="G758" s="125">
        <v>53</v>
      </c>
      <c r="H758" s="85">
        <v>24890.617000000002</v>
      </c>
      <c r="I758" s="85" t="s">
        <v>630</v>
      </c>
      <c r="J758" s="128">
        <v>75766</v>
      </c>
      <c r="K758" s="128">
        <f t="shared" si="11"/>
        <v>4015598</v>
      </c>
      <c r="L758" s="125" t="s">
        <v>1342</v>
      </c>
      <c r="M758" s="85" t="s">
        <v>47</v>
      </c>
      <c r="N758" s="85" t="s">
        <v>1491</v>
      </c>
    </row>
    <row r="759" spans="2:14" ht="15.75" thickBot="1" x14ac:dyDescent="0.3">
      <c r="B759" s="82" t="s">
        <v>541</v>
      </c>
      <c r="C759" s="83" t="s">
        <v>629</v>
      </c>
      <c r="D759" s="124" t="s">
        <v>620</v>
      </c>
      <c r="E759" s="130">
        <v>2011</v>
      </c>
      <c r="F759" s="125" t="s">
        <v>734</v>
      </c>
      <c r="G759" s="125">
        <v>53</v>
      </c>
      <c r="H759" s="85">
        <v>22399.293999999998</v>
      </c>
      <c r="I759" s="85" t="s">
        <v>630</v>
      </c>
      <c r="J759" s="128">
        <v>67341</v>
      </c>
      <c r="K759" s="128">
        <f t="shared" si="11"/>
        <v>3569073</v>
      </c>
      <c r="L759" s="125" t="s">
        <v>1343</v>
      </c>
      <c r="M759" s="85" t="s">
        <v>47</v>
      </c>
      <c r="N759" s="85" t="s">
        <v>1491</v>
      </c>
    </row>
    <row r="760" spans="2:14" ht="15.75" thickBot="1" x14ac:dyDescent="0.3">
      <c r="B760" s="82" t="s">
        <v>541</v>
      </c>
      <c r="C760" s="83" t="s">
        <v>629</v>
      </c>
      <c r="D760" s="124" t="s">
        <v>620</v>
      </c>
      <c r="E760" s="130">
        <v>2012</v>
      </c>
      <c r="F760" s="125" t="s">
        <v>734</v>
      </c>
      <c r="G760" s="125">
        <v>53</v>
      </c>
      <c r="H760" s="85">
        <v>16576.670000000002</v>
      </c>
      <c r="I760" s="85" t="s">
        <v>630</v>
      </c>
      <c r="J760" s="128">
        <v>53628</v>
      </c>
      <c r="K760" s="128">
        <f t="shared" si="11"/>
        <v>2842284</v>
      </c>
      <c r="L760" s="125" t="s">
        <v>1344</v>
      </c>
      <c r="M760" s="85" t="s">
        <v>47</v>
      </c>
      <c r="N760" s="85" t="s">
        <v>1491</v>
      </c>
    </row>
    <row r="761" spans="2:14" ht="15.75" thickBot="1" x14ac:dyDescent="0.3">
      <c r="B761" s="82" t="s">
        <v>541</v>
      </c>
      <c r="C761" s="83" t="s">
        <v>629</v>
      </c>
      <c r="D761" s="124" t="s">
        <v>620</v>
      </c>
      <c r="E761" s="130">
        <v>2013</v>
      </c>
      <c r="F761" s="125" t="s">
        <v>733</v>
      </c>
      <c r="G761" s="125">
        <v>53</v>
      </c>
      <c r="H761" s="85">
        <v>24199.774000000001</v>
      </c>
      <c r="I761" s="85" t="s">
        <v>630</v>
      </c>
      <c r="J761" s="128">
        <v>76648</v>
      </c>
      <c r="K761" s="128">
        <f t="shared" si="11"/>
        <v>4062344</v>
      </c>
      <c r="L761" s="125" t="s">
        <v>1345</v>
      </c>
      <c r="M761" s="85" t="s">
        <v>47</v>
      </c>
      <c r="N761" s="85" t="s">
        <v>1491</v>
      </c>
    </row>
    <row r="762" spans="2:14" ht="15.75" thickBot="1" x14ac:dyDescent="0.3">
      <c r="B762" s="82" t="s">
        <v>541</v>
      </c>
      <c r="C762" s="83" t="s">
        <v>629</v>
      </c>
      <c r="D762" s="124" t="s">
        <v>620</v>
      </c>
      <c r="E762" s="130">
        <v>2013</v>
      </c>
      <c r="F762" s="125" t="s">
        <v>733</v>
      </c>
      <c r="G762" s="125">
        <v>55</v>
      </c>
      <c r="H762" s="85">
        <v>26764.061000000002</v>
      </c>
      <c r="I762" s="85" t="s">
        <v>630</v>
      </c>
      <c r="J762" s="128">
        <v>76745</v>
      </c>
      <c r="K762" s="128">
        <f t="shared" si="11"/>
        <v>4220975</v>
      </c>
      <c r="L762" s="125" t="s">
        <v>1346</v>
      </c>
      <c r="M762" s="85" t="s">
        <v>47</v>
      </c>
      <c r="N762" s="85" t="s">
        <v>1491</v>
      </c>
    </row>
    <row r="763" spans="2:14" ht="15.75" thickBot="1" x14ac:dyDescent="0.3">
      <c r="B763" s="82" t="s">
        <v>541</v>
      </c>
      <c r="C763" s="83" t="s">
        <v>629</v>
      </c>
      <c r="D763" s="124" t="s">
        <v>620</v>
      </c>
      <c r="E763" s="130">
        <v>2014</v>
      </c>
      <c r="F763" s="125" t="s">
        <v>733</v>
      </c>
      <c r="G763" s="125">
        <v>53</v>
      </c>
      <c r="H763" s="85">
        <v>49880.796999999999</v>
      </c>
      <c r="I763" s="85" t="s">
        <v>630</v>
      </c>
      <c r="J763" s="128">
        <v>173290</v>
      </c>
      <c r="K763" s="128">
        <f t="shared" si="11"/>
        <v>9184370</v>
      </c>
      <c r="L763" s="125" t="s">
        <v>1347</v>
      </c>
      <c r="M763" s="85" t="s">
        <v>47</v>
      </c>
      <c r="N763" s="85" t="s">
        <v>1491</v>
      </c>
    </row>
    <row r="764" spans="2:14" ht="15.75" thickBot="1" x14ac:dyDescent="0.3">
      <c r="B764" s="82" t="s">
        <v>541</v>
      </c>
      <c r="C764" s="83" t="s">
        <v>629</v>
      </c>
      <c r="D764" s="124" t="s">
        <v>620</v>
      </c>
      <c r="E764" s="130">
        <v>2014</v>
      </c>
      <c r="F764" s="125" t="s">
        <v>733</v>
      </c>
      <c r="G764" s="125">
        <v>53</v>
      </c>
      <c r="H764" s="85">
        <v>42631.003000000004</v>
      </c>
      <c r="I764" s="85" t="s">
        <v>630</v>
      </c>
      <c r="J764" s="128">
        <v>157266</v>
      </c>
      <c r="K764" s="128">
        <f t="shared" si="11"/>
        <v>8335098</v>
      </c>
      <c r="L764" s="125" t="s">
        <v>1348</v>
      </c>
      <c r="M764" s="85" t="s">
        <v>47</v>
      </c>
      <c r="N764" s="85" t="s">
        <v>1491</v>
      </c>
    </row>
    <row r="765" spans="2:14" ht="15.75" thickBot="1" x14ac:dyDescent="0.3">
      <c r="B765" s="82" t="s">
        <v>541</v>
      </c>
      <c r="C765" s="83" t="s">
        <v>629</v>
      </c>
      <c r="D765" s="124" t="s">
        <v>620</v>
      </c>
      <c r="E765" s="130">
        <v>2015</v>
      </c>
      <c r="F765" s="125" t="s">
        <v>733</v>
      </c>
      <c r="G765" s="125">
        <v>53</v>
      </c>
      <c r="H765" s="85">
        <v>32721.629000000001</v>
      </c>
      <c r="I765" s="85" t="s">
        <v>630</v>
      </c>
      <c r="J765" s="128">
        <v>119851</v>
      </c>
      <c r="K765" s="128">
        <f t="shared" si="11"/>
        <v>6352103</v>
      </c>
      <c r="L765" s="125" t="s">
        <v>1349</v>
      </c>
      <c r="M765" s="85" t="s">
        <v>47</v>
      </c>
      <c r="N765" s="85" t="s">
        <v>1491</v>
      </c>
    </row>
    <row r="766" spans="2:14" ht="15.75" thickBot="1" x14ac:dyDescent="0.3">
      <c r="B766" s="82" t="s">
        <v>541</v>
      </c>
      <c r="C766" s="83" t="s">
        <v>629</v>
      </c>
      <c r="D766" s="124" t="s">
        <v>620</v>
      </c>
      <c r="E766" s="130">
        <v>2015</v>
      </c>
      <c r="F766" s="125" t="s">
        <v>733</v>
      </c>
      <c r="G766" s="125">
        <v>53</v>
      </c>
      <c r="H766" s="85">
        <v>38810.126000000004</v>
      </c>
      <c r="I766" s="85" t="s">
        <v>630</v>
      </c>
      <c r="J766" s="128">
        <v>142831</v>
      </c>
      <c r="K766" s="128">
        <f t="shared" si="11"/>
        <v>7570043</v>
      </c>
      <c r="L766" s="125" t="s">
        <v>1350</v>
      </c>
      <c r="M766" s="85" t="s">
        <v>47</v>
      </c>
      <c r="N766" s="85" t="s">
        <v>1491</v>
      </c>
    </row>
    <row r="767" spans="2:14" ht="15.75" thickBot="1" x14ac:dyDescent="0.3">
      <c r="B767" s="82" t="s">
        <v>541</v>
      </c>
      <c r="C767" s="83" t="s">
        <v>629</v>
      </c>
      <c r="D767" s="124" t="s">
        <v>620</v>
      </c>
      <c r="E767" s="130">
        <v>2015</v>
      </c>
      <c r="F767" s="125" t="s">
        <v>733</v>
      </c>
      <c r="G767" s="125">
        <v>53</v>
      </c>
      <c r="H767" s="85">
        <v>59900.791000000005</v>
      </c>
      <c r="I767" s="85" t="s">
        <v>630</v>
      </c>
      <c r="J767" s="128">
        <v>219747</v>
      </c>
      <c r="K767" s="128">
        <f t="shared" si="11"/>
        <v>11646591</v>
      </c>
      <c r="L767" s="125" t="s">
        <v>1351</v>
      </c>
      <c r="M767" s="85" t="s">
        <v>47</v>
      </c>
      <c r="N767" s="85" t="s">
        <v>1491</v>
      </c>
    </row>
    <row r="768" spans="2:14" ht="15.75" thickBot="1" x14ac:dyDescent="0.3">
      <c r="B768" s="82" t="s">
        <v>541</v>
      </c>
      <c r="C768" s="83" t="s">
        <v>629</v>
      </c>
      <c r="D768" s="124" t="s">
        <v>620</v>
      </c>
      <c r="E768" s="130">
        <v>2015</v>
      </c>
      <c r="F768" s="125" t="s">
        <v>733</v>
      </c>
      <c r="G768" s="125">
        <v>53</v>
      </c>
      <c r="H768" s="85">
        <v>48446.445999999996</v>
      </c>
      <c r="I768" s="85" t="s">
        <v>630</v>
      </c>
      <c r="J768" s="128">
        <v>181360</v>
      </c>
      <c r="K768" s="128">
        <f t="shared" si="11"/>
        <v>9612080</v>
      </c>
      <c r="L768" s="125" t="s">
        <v>1352</v>
      </c>
      <c r="M768" s="85" t="s">
        <v>47</v>
      </c>
      <c r="N768" s="85" t="s">
        <v>1491</v>
      </c>
    </row>
    <row r="769" spans="2:14" ht="15.75" thickBot="1" x14ac:dyDescent="0.3">
      <c r="B769" s="82" t="s">
        <v>541</v>
      </c>
      <c r="C769" s="83" t="s">
        <v>629</v>
      </c>
      <c r="D769" s="124" t="s">
        <v>620</v>
      </c>
      <c r="E769" s="130">
        <v>2015</v>
      </c>
      <c r="F769" s="125" t="s">
        <v>733</v>
      </c>
      <c r="G769" s="125">
        <v>53</v>
      </c>
      <c r="H769" s="85">
        <v>47573.140999999989</v>
      </c>
      <c r="I769" s="85" t="s">
        <v>630</v>
      </c>
      <c r="J769" s="128">
        <v>180801</v>
      </c>
      <c r="K769" s="128">
        <f t="shared" si="11"/>
        <v>9582453</v>
      </c>
      <c r="L769" s="125" t="s">
        <v>1353</v>
      </c>
      <c r="M769" s="85" t="s">
        <v>47</v>
      </c>
      <c r="N769" s="85" t="s">
        <v>1491</v>
      </c>
    </row>
    <row r="770" spans="2:14" ht="15.75" thickBot="1" x14ac:dyDescent="0.3">
      <c r="B770" s="82" t="s">
        <v>541</v>
      </c>
      <c r="C770" s="83" t="s">
        <v>629</v>
      </c>
      <c r="D770" s="124" t="s">
        <v>620</v>
      </c>
      <c r="E770" s="130">
        <v>2016</v>
      </c>
      <c r="F770" s="125" t="s">
        <v>733</v>
      </c>
      <c r="G770" s="125">
        <v>53</v>
      </c>
      <c r="H770" s="85">
        <v>32618.466000000004</v>
      </c>
      <c r="I770" s="85" t="s">
        <v>630</v>
      </c>
      <c r="J770" s="128">
        <v>118425</v>
      </c>
      <c r="K770" s="128">
        <f t="shared" si="11"/>
        <v>6276525</v>
      </c>
      <c r="L770" s="125" t="s">
        <v>1354</v>
      </c>
      <c r="M770" s="85" t="s">
        <v>47</v>
      </c>
      <c r="N770" s="85" t="s">
        <v>1491</v>
      </c>
    </row>
    <row r="771" spans="2:14" ht="15.75" thickBot="1" x14ac:dyDescent="0.3">
      <c r="B771" s="82" t="s">
        <v>541</v>
      </c>
      <c r="C771" s="83" t="s">
        <v>629</v>
      </c>
      <c r="D771" s="124" t="s">
        <v>620</v>
      </c>
      <c r="E771" s="130">
        <v>2016</v>
      </c>
      <c r="F771" s="125" t="s">
        <v>733</v>
      </c>
      <c r="G771" s="125">
        <v>53</v>
      </c>
      <c r="H771" s="85">
        <v>29694.453999999998</v>
      </c>
      <c r="I771" s="85" t="s">
        <v>630</v>
      </c>
      <c r="J771" s="128">
        <v>108469</v>
      </c>
      <c r="K771" s="128">
        <f t="shared" si="11"/>
        <v>5748857</v>
      </c>
      <c r="L771" s="125" t="s">
        <v>1355</v>
      </c>
      <c r="M771" s="85" t="s">
        <v>47</v>
      </c>
      <c r="N771" s="85" t="s">
        <v>1491</v>
      </c>
    </row>
    <row r="772" spans="2:14" ht="15.75" thickBot="1" x14ac:dyDescent="0.3">
      <c r="B772" s="82" t="s">
        <v>541</v>
      </c>
      <c r="C772" s="83" t="s">
        <v>629</v>
      </c>
      <c r="D772" s="124" t="s">
        <v>620</v>
      </c>
      <c r="E772" s="130">
        <v>2016</v>
      </c>
      <c r="F772" s="125" t="s">
        <v>733</v>
      </c>
      <c r="G772" s="125">
        <v>53</v>
      </c>
      <c r="H772" s="85">
        <v>31585.492000000002</v>
      </c>
      <c r="I772" s="85" t="s">
        <v>630</v>
      </c>
      <c r="J772" s="128">
        <v>115060</v>
      </c>
      <c r="K772" s="128">
        <f t="shared" si="11"/>
        <v>6098180</v>
      </c>
      <c r="L772" s="125" t="s">
        <v>1356</v>
      </c>
      <c r="M772" s="85" t="s">
        <v>47</v>
      </c>
      <c r="N772" s="85" t="s">
        <v>1491</v>
      </c>
    </row>
    <row r="773" spans="2:14" ht="15.75" thickBot="1" x14ac:dyDescent="0.3">
      <c r="B773" s="82" t="s">
        <v>541</v>
      </c>
      <c r="C773" s="83" t="s">
        <v>629</v>
      </c>
      <c r="D773" s="124" t="s">
        <v>620</v>
      </c>
      <c r="E773" s="130">
        <v>2016</v>
      </c>
      <c r="F773" s="125" t="s">
        <v>733</v>
      </c>
      <c r="G773" s="125">
        <v>53</v>
      </c>
      <c r="H773" s="85">
        <v>37363.274999999994</v>
      </c>
      <c r="I773" s="85" t="s">
        <v>630</v>
      </c>
      <c r="J773" s="128">
        <v>129853</v>
      </c>
      <c r="K773" s="128">
        <f t="shared" si="11"/>
        <v>6882209</v>
      </c>
      <c r="L773" s="125" t="s">
        <v>1357</v>
      </c>
      <c r="M773" s="85" t="s">
        <v>47</v>
      </c>
      <c r="N773" s="85" t="s">
        <v>1491</v>
      </c>
    </row>
    <row r="774" spans="2:14" ht="15.75" thickBot="1" x14ac:dyDescent="0.3">
      <c r="B774" s="82" t="s">
        <v>541</v>
      </c>
      <c r="C774" s="83" t="s">
        <v>629</v>
      </c>
      <c r="D774" s="124" t="s">
        <v>620</v>
      </c>
      <c r="E774" s="130">
        <v>2016</v>
      </c>
      <c r="F774" s="125" t="s">
        <v>733</v>
      </c>
      <c r="G774" s="125">
        <v>59</v>
      </c>
      <c r="H774" s="85">
        <v>5955.6500000000005</v>
      </c>
      <c r="I774" s="85" t="s">
        <v>630</v>
      </c>
      <c r="J774" s="128">
        <v>22415</v>
      </c>
      <c r="K774" s="128">
        <f t="shared" si="11"/>
        <v>1322485</v>
      </c>
      <c r="L774" s="125" t="s">
        <v>1007</v>
      </c>
      <c r="M774" s="85" t="s">
        <v>47</v>
      </c>
      <c r="N774" s="85" t="s">
        <v>1491</v>
      </c>
    </row>
    <row r="775" spans="2:14" ht="15.75" thickBot="1" x14ac:dyDescent="0.3">
      <c r="B775" s="82" t="s">
        <v>541</v>
      </c>
      <c r="C775" s="83" t="s">
        <v>629</v>
      </c>
      <c r="D775" s="124" t="s">
        <v>620</v>
      </c>
      <c r="E775" s="130">
        <v>2017</v>
      </c>
      <c r="F775" s="125" t="s">
        <v>733</v>
      </c>
      <c r="G775" s="125">
        <v>57</v>
      </c>
      <c r="H775" s="85">
        <v>32654.289000000001</v>
      </c>
      <c r="I775" s="85" t="s">
        <v>630</v>
      </c>
      <c r="J775" s="128">
        <v>117038</v>
      </c>
      <c r="K775" s="128">
        <f t="shared" si="11"/>
        <v>6671166</v>
      </c>
      <c r="L775" s="125" t="s">
        <v>1358</v>
      </c>
      <c r="M775" s="85" t="s">
        <v>47</v>
      </c>
      <c r="N775" s="85" t="s">
        <v>1491</v>
      </c>
    </row>
    <row r="776" spans="2:14" ht="15.75" thickBot="1" x14ac:dyDescent="0.3">
      <c r="B776" s="82" t="s">
        <v>541</v>
      </c>
      <c r="C776" s="83" t="s">
        <v>629</v>
      </c>
      <c r="D776" s="124" t="s">
        <v>620</v>
      </c>
      <c r="E776" s="130">
        <v>2017</v>
      </c>
      <c r="F776" s="125" t="s">
        <v>733</v>
      </c>
      <c r="G776" s="125">
        <v>57</v>
      </c>
      <c r="H776" s="85">
        <v>19011.898999999998</v>
      </c>
      <c r="I776" s="85" t="s">
        <v>630</v>
      </c>
      <c r="J776" s="128">
        <v>66747</v>
      </c>
      <c r="K776" s="128">
        <f t="shared" si="11"/>
        <v>3804579</v>
      </c>
      <c r="L776" s="125" t="s">
        <v>1359</v>
      </c>
      <c r="M776" s="85" t="s">
        <v>47</v>
      </c>
      <c r="N776" s="85" t="s">
        <v>1491</v>
      </c>
    </row>
    <row r="777" spans="2:14" ht="15.75" thickBot="1" x14ac:dyDescent="0.3">
      <c r="B777" s="82" t="s">
        <v>541</v>
      </c>
      <c r="C777" s="83" t="s">
        <v>629</v>
      </c>
      <c r="D777" s="124" t="s">
        <v>620</v>
      </c>
      <c r="E777" s="130">
        <v>2019</v>
      </c>
      <c r="F777" s="125" t="s">
        <v>733</v>
      </c>
      <c r="G777" s="125">
        <v>63</v>
      </c>
      <c r="H777" s="85">
        <v>30635.460000000003</v>
      </c>
      <c r="I777" s="85" t="s">
        <v>630</v>
      </c>
      <c r="J777" s="128">
        <v>103022</v>
      </c>
      <c r="K777" s="128">
        <f t="shared" si="11"/>
        <v>6490386</v>
      </c>
      <c r="L777" s="125" t="s">
        <v>1037</v>
      </c>
      <c r="M777" s="85" t="s">
        <v>47</v>
      </c>
      <c r="N777" s="85" t="s">
        <v>1491</v>
      </c>
    </row>
    <row r="778" spans="2:14" ht="15.75" thickBot="1" x14ac:dyDescent="0.3">
      <c r="B778" s="82" t="s">
        <v>535</v>
      </c>
      <c r="C778" s="83" t="s">
        <v>629</v>
      </c>
      <c r="D778" s="124" t="s">
        <v>620</v>
      </c>
      <c r="E778" s="130">
        <v>1997</v>
      </c>
      <c r="F778" s="125" t="s">
        <v>736</v>
      </c>
      <c r="G778" s="125">
        <v>70</v>
      </c>
      <c r="H778" s="85">
        <v>2636.36</v>
      </c>
      <c r="I778" s="85" t="s">
        <v>630</v>
      </c>
      <c r="J778" s="128">
        <v>7623</v>
      </c>
      <c r="K778" s="128">
        <f t="shared" si="11"/>
        <v>533610</v>
      </c>
      <c r="L778" s="125" t="s">
        <v>1360</v>
      </c>
      <c r="M778" s="85" t="s">
        <v>47</v>
      </c>
      <c r="N778" s="85" t="s">
        <v>1491</v>
      </c>
    </row>
    <row r="779" spans="2:14" ht="15.75" thickBot="1" x14ac:dyDescent="0.3">
      <c r="B779" s="82" t="s">
        <v>535</v>
      </c>
      <c r="C779" s="83" t="s">
        <v>629</v>
      </c>
      <c r="D779" s="124" t="s">
        <v>620</v>
      </c>
      <c r="E779" s="130">
        <v>1997</v>
      </c>
      <c r="F779" s="125" t="s">
        <v>736</v>
      </c>
      <c r="G779" s="125">
        <v>70</v>
      </c>
      <c r="H779" s="85">
        <v>270</v>
      </c>
      <c r="I779" s="85" t="s">
        <v>630</v>
      </c>
      <c r="J779" s="128">
        <v>750</v>
      </c>
      <c r="K779" s="128">
        <f t="shared" si="11"/>
        <v>52500</v>
      </c>
      <c r="L779" s="125" t="s">
        <v>1361</v>
      </c>
      <c r="M779" s="85" t="s">
        <v>47</v>
      </c>
      <c r="N779" s="85" t="s">
        <v>1491</v>
      </c>
    </row>
    <row r="780" spans="2:14" ht="15.75" thickBot="1" x14ac:dyDescent="0.3">
      <c r="B780" s="82" t="s">
        <v>535</v>
      </c>
      <c r="C780" s="83" t="s">
        <v>629</v>
      </c>
      <c r="D780" s="124" t="s">
        <v>620</v>
      </c>
      <c r="E780" s="130">
        <v>2007</v>
      </c>
      <c r="F780" s="125" t="s">
        <v>731</v>
      </c>
      <c r="G780" s="125">
        <v>55</v>
      </c>
      <c r="H780" s="85">
        <v>15612.899999999998</v>
      </c>
      <c r="I780" s="85" t="s">
        <v>630</v>
      </c>
      <c r="J780" s="128">
        <v>45994</v>
      </c>
      <c r="K780" s="128">
        <f t="shared" si="11"/>
        <v>2529670</v>
      </c>
      <c r="L780" s="125" t="s">
        <v>1362</v>
      </c>
      <c r="M780" s="85" t="s">
        <v>47</v>
      </c>
      <c r="N780" s="85" t="s">
        <v>1491</v>
      </c>
    </row>
    <row r="781" spans="2:14" ht="15.75" thickBot="1" x14ac:dyDescent="0.3">
      <c r="B781" s="82" t="s">
        <v>535</v>
      </c>
      <c r="C781" s="83" t="s">
        <v>629</v>
      </c>
      <c r="D781" s="124" t="s">
        <v>620</v>
      </c>
      <c r="E781" s="130">
        <v>1997</v>
      </c>
      <c r="F781" s="125" t="s">
        <v>736</v>
      </c>
      <c r="G781" s="125">
        <v>96</v>
      </c>
      <c r="H781" s="85">
        <v>6247.9400000000005</v>
      </c>
      <c r="I781" s="85" t="s">
        <v>630</v>
      </c>
      <c r="J781" s="128">
        <v>15785</v>
      </c>
      <c r="K781" s="128">
        <f t="shared" si="11"/>
        <v>1515360</v>
      </c>
      <c r="L781" s="125" t="s">
        <v>1084</v>
      </c>
      <c r="M781" s="85" t="s">
        <v>47</v>
      </c>
      <c r="N781" s="85" t="s">
        <v>1491</v>
      </c>
    </row>
    <row r="782" spans="2:14" ht="15.75" thickBot="1" x14ac:dyDescent="0.3">
      <c r="B782" s="82" t="s">
        <v>535</v>
      </c>
      <c r="C782" s="83" t="s">
        <v>629</v>
      </c>
      <c r="D782" s="124" t="s">
        <v>620</v>
      </c>
      <c r="E782" s="130">
        <v>2008</v>
      </c>
      <c r="F782" s="125" t="s">
        <v>731</v>
      </c>
      <c r="G782" s="125">
        <v>57</v>
      </c>
      <c r="H782" s="85">
        <v>13427.6</v>
      </c>
      <c r="I782" s="85" t="s">
        <v>630</v>
      </c>
      <c r="J782" s="128">
        <v>41215</v>
      </c>
      <c r="K782" s="128">
        <f t="shared" si="11"/>
        <v>2349255</v>
      </c>
      <c r="L782" s="125" t="s">
        <v>1363</v>
      </c>
      <c r="M782" s="85" t="s">
        <v>47</v>
      </c>
      <c r="N782" s="85" t="s">
        <v>1491</v>
      </c>
    </row>
    <row r="783" spans="2:14" ht="15.75" thickBot="1" x14ac:dyDescent="0.3">
      <c r="B783" s="82" t="s">
        <v>535</v>
      </c>
      <c r="C783" s="83" t="s">
        <v>629</v>
      </c>
      <c r="D783" s="124" t="s">
        <v>620</v>
      </c>
      <c r="E783" s="130">
        <v>2008</v>
      </c>
      <c r="F783" s="125" t="s">
        <v>731</v>
      </c>
      <c r="G783" s="125">
        <v>25</v>
      </c>
      <c r="H783" s="85">
        <v>2381.5699999999997</v>
      </c>
      <c r="I783" s="85" t="s">
        <v>630</v>
      </c>
      <c r="J783" s="128">
        <v>13721</v>
      </c>
      <c r="K783" s="128">
        <f t="shared" si="11"/>
        <v>343025</v>
      </c>
      <c r="L783" s="125" t="s">
        <v>1364</v>
      </c>
      <c r="M783" s="85" t="s">
        <v>47</v>
      </c>
      <c r="N783" s="85" t="s">
        <v>1491</v>
      </c>
    </row>
    <row r="784" spans="2:14" ht="15.75" thickBot="1" x14ac:dyDescent="0.3">
      <c r="B784" s="82" t="s">
        <v>535</v>
      </c>
      <c r="C784" s="83" t="s">
        <v>629</v>
      </c>
      <c r="D784" s="124" t="s">
        <v>620</v>
      </c>
      <c r="E784" s="130">
        <v>2008</v>
      </c>
      <c r="F784" s="125" t="s">
        <v>731</v>
      </c>
      <c r="G784" s="125">
        <v>25</v>
      </c>
      <c r="H784" s="85">
        <v>2794.17</v>
      </c>
      <c r="I784" s="85" t="s">
        <v>630</v>
      </c>
      <c r="J784" s="128">
        <v>16549</v>
      </c>
      <c r="K784" s="128">
        <f t="shared" si="11"/>
        <v>413725</v>
      </c>
      <c r="L784" s="125" t="s">
        <v>1365</v>
      </c>
      <c r="M784" s="85" t="s">
        <v>47</v>
      </c>
      <c r="N784" s="85" t="s">
        <v>1491</v>
      </c>
    </row>
    <row r="785" spans="2:14" ht="15.75" thickBot="1" x14ac:dyDescent="0.3">
      <c r="B785" s="82" t="s">
        <v>535</v>
      </c>
      <c r="C785" s="83" t="s">
        <v>629</v>
      </c>
      <c r="D785" s="124" t="s">
        <v>620</v>
      </c>
      <c r="E785" s="130">
        <v>2008</v>
      </c>
      <c r="F785" s="125" t="s">
        <v>731</v>
      </c>
      <c r="G785" s="125">
        <v>25</v>
      </c>
      <c r="H785" s="85">
        <v>1920.2199999999998</v>
      </c>
      <c r="I785" s="85" t="s">
        <v>630</v>
      </c>
      <c r="J785" s="128">
        <v>11761</v>
      </c>
      <c r="K785" s="128">
        <f t="shared" si="11"/>
        <v>294025</v>
      </c>
      <c r="L785" s="125" t="s">
        <v>1366</v>
      </c>
      <c r="M785" s="85" t="s">
        <v>47</v>
      </c>
      <c r="N785" s="85" t="s">
        <v>1491</v>
      </c>
    </row>
    <row r="786" spans="2:14" ht="15.75" thickBot="1" x14ac:dyDescent="0.3">
      <c r="B786" s="82" t="s">
        <v>535</v>
      </c>
      <c r="C786" s="83" t="s">
        <v>629</v>
      </c>
      <c r="D786" s="124" t="s">
        <v>620</v>
      </c>
      <c r="E786" s="130">
        <v>2008</v>
      </c>
      <c r="F786" s="125" t="s">
        <v>731</v>
      </c>
      <c r="G786" s="125">
        <v>55</v>
      </c>
      <c r="H786" s="85">
        <v>16561.490000000002</v>
      </c>
      <c r="I786" s="85" t="s">
        <v>630</v>
      </c>
      <c r="J786" s="128">
        <v>48545</v>
      </c>
      <c r="K786" s="128">
        <f t="shared" si="11"/>
        <v>2669975</v>
      </c>
      <c r="L786" s="125" t="s">
        <v>1367</v>
      </c>
      <c r="M786" s="85" t="s">
        <v>47</v>
      </c>
      <c r="N786" s="85" t="s">
        <v>1491</v>
      </c>
    </row>
    <row r="787" spans="2:14" ht="15.75" thickBot="1" x14ac:dyDescent="0.3">
      <c r="B787" s="82" t="s">
        <v>535</v>
      </c>
      <c r="C787" s="83" t="s">
        <v>629</v>
      </c>
      <c r="D787" s="124" t="s">
        <v>620</v>
      </c>
      <c r="E787" s="130">
        <v>1993</v>
      </c>
      <c r="F787" s="125" t="s">
        <v>736</v>
      </c>
      <c r="G787" s="125">
        <v>82</v>
      </c>
      <c r="H787" s="85">
        <v>2388.9499999999998</v>
      </c>
      <c r="I787" s="85" t="s">
        <v>630</v>
      </c>
      <c r="J787" s="128">
        <v>7220</v>
      </c>
      <c r="K787" s="128">
        <f t="shared" si="11"/>
        <v>592040</v>
      </c>
      <c r="L787" s="125" t="s">
        <v>1368</v>
      </c>
      <c r="M787" s="85" t="s">
        <v>47</v>
      </c>
      <c r="N787" s="85" t="s">
        <v>1491</v>
      </c>
    </row>
    <row r="788" spans="2:14" ht="15.75" thickBot="1" x14ac:dyDescent="0.3">
      <c r="B788" s="82" t="s">
        <v>535</v>
      </c>
      <c r="C788" s="83" t="s">
        <v>629</v>
      </c>
      <c r="D788" s="124" t="s">
        <v>620</v>
      </c>
      <c r="E788" s="130">
        <v>1993</v>
      </c>
      <c r="F788" s="125" t="s">
        <v>736</v>
      </c>
      <c r="G788" s="125">
        <v>82</v>
      </c>
      <c r="H788" s="85">
        <v>1218.5</v>
      </c>
      <c r="I788" s="85" t="s">
        <v>630</v>
      </c>
      <c r="J788" s="128">
        <v>3796</v>
      </c>
      <c r="K788" s="128">
        <f t="shared" si="11"/>
        <v>311272</v>
      </c>
      <c r="L788" s="125" t="s">
        <v>1369</v>
      </c>
      <c r="M788" s="85" t="s">
        <v>47</v>
      </c>
      <c r="N788" s="85" t="s">
        <v>1491</v>
      </c>
    </row>
    <row r="789" spans="2:14" ht="15.75" thickBot="1" x14ac:dyDescent="0.3">
      <c r="B789" s="82" t="s">
        <v>535</v>
      </c>
      <c r="C789" s="83" t="s">
        <v>629</v>
      </c>
      <c r="D789" s="124" t="s">
        <v>620</v>
      </c>
      <c r="E789" s="130">
        <v>2006</v>
      </c>
      <c r="F789" s="125" t="s">
        <v>731</v>
      </c>
      <c r="G789" s="125">
        <v>94</v>
      </c>
      <c r="H789" s="85">
        <v>17062.939999999999</v>
      </c>
      <c r="I789" s="85" t="s">
        <v>630</v>
      </c>
      <c r="J789" s="128">
        <v>45960</v>
      </c>
      <c r="K789" s="128">
        <f t="shared" si="11"/>
        <v>4320240</v>
      </c>
      <c r="L789" s="125" t="s">
        <v>1370</v>
      </c>
      <c r="M789" s="85" t="s">
        <v>47</v>
      </c>
      <c r="N789" s="85" t="s">
        <v>1491</v>
      </c>
    </row>
    <row r="790" spans="2:14" ht="15.75" thickBot="1" x14ac:dyDescent="0.3">
      <c r="B790" s="82" t="s">
        <v>535</v>
      </c>
      <c r="C790" s="83" t="s">
        <v>629</v>
      </c>
      <c r="D790" s="124" t="s">
        <v>620</v>
      </c>
      <c r="E790" s="130">
        <v>2010</v>
      </c>
      <c r="F790" s="125" t="s">
        <v>734</v>
      </c>
      <c r="G790" s="125">
        <v>25</v>
      </c>
      <c r="H790" s="85">
        <v>21335.082999999995</v>
      </c>
      <c r="I790" s="85" t="s">
        <v>630</v>
      </c>
      <c r="J790" s="128">
        <v>63708</v>
      </c>
      <c r="K790" s="128">
        <f t="shared" si="11"/>
        <v>1592700</v>
      </c>
      <c r="L790" s="125" t="s">
        <v>1371</v>
      </c>
      <c r="M790" s="85" t="s">
        <v>47</v>
      </c>
      <c r="N790" s="85" t="s">
        <v>1491</v>
      </c>
    </row>
    <row r="791" spans="2:14" ht="15.75" thickBot="1" x14ac:dyDescent="0.3">
      <c r="B791" s="82" t="s">
        <v>535</v>
      </c>
      <c r="C791" s="83" t="s">
        <v>629</v>
      </c>
      <c r="D791" s="124" t="s">
        <v>620</v>
      </c>
      <c r="E791" s="130">
        <v>2005</v>
      </c>
      <c r="F791" s="125" t="s">
        <v>732</v>
      </c>
      <c r="G791" s="125">
        <v>57</v>
      </c>
      <c r="H791" s="85">
        <v>17400.14</v>
      </c>
      <c r="I791" s="85" t="s">
        <v>630</v>
      </c>
      <c r="J791" s="128">
        <v>51309</v>
      </c>
      <c r="K791" s="128">
        <f t="shared" si="11"/>
        <v>2924613</v>
      </c>
      <c r="L791" s="125" t="s">
        <v>1372</v>
      </c>
      <c r="M791" s="85" t="s">
        <v>47</v>
      </c>
      <c r="N791" s="85" t="s">
        <v>1491</v>
      </c>
    </row>
    <row r="792" spans="2:14" ht="15.75" thickBot="1" x14ac:dyDescent="0.3">
      <c r="B792" s="82" t="s">
        <v>535</v>
      </c>
      <c r="C792" s="83" t="s">
        <v>629</v>
      </c>
      <c r="D792" s="124" t="s">
        <v>620</v>
      </c>
      <c r="E792" s="130">
        <v>2009</v>
      </c>
      <c r="F792" s="125" t="s">
        <v>734</v>
      </c>
      <c r="G792" s="125">
        <v>53</v>
      </c>
      <c r="H792" s="85">
        <v>15290.883</v>
      </c>
      <c r="I792" s="85" t="s">
        <v>630</v>
      </c>
      <c r="J792" s="128">
        <v>40852</v>
      </c>
      <c r="K792" s="128">
        <f t="shared" si="11"/>
        <v>2165156</v>
      </c>
      <c r="L792" s="125" t="s">
        <v>1373</v>
      </c>
      <c r="M792" s="85" t="s">
        <v>47</v>
      </c>
      <c r="N792" s="85" t="s">
        <v>1491</v>
      </c>
    </row>
    <row r="793" spans="2:14" ht="15.75" thickBot="1" x14ac:dyDescent="0.3">
      <c r="B793" s="82" t="s">
        <v>535</v>
      </c>
      <c r="C793" s="83" t="s">
        <v>629</v>
      </c>
      <c r="D793" s="124" t="s">
        <v>620</v>
      </c>
      <c r="E793" s="130">
        <v>2009</v>
      </c>
      <c r="F793" s="125" t="s">
        <v>734</v>
      </c>
      <c r="G793" s="125">
        <v>53</v>
      </c>
      <c r="H793" s="85">
        <v>11439.130000000001</v>
      </c>
      <c r="I793" s="85" t="s">
        <v>630</v>
      </c>
      <c r="J793" s="128">
        <v>31529</v>
      </c>
      <c r="K793" s="128">
        <f t="shared" si="11"/>
        <v>1671037</v>
      </c>
      <c r="L793" s="125" t="s">
        <v>767</v>
      </c>
      <c r="M793" s="85" t="s">
        <v>47</v>
      </c>
      <c r="N793" s="85" t="s">
        <v>1491</v>
      </c>
    </row>
    <row r="794" spans="2:14" ht="15.75" thickBot="1" x14ac:dyDescent="0.3">
      <c r="B794" s="82" t="s">
        <v>535</v>
      </c>
      <c r="C794" s="83" t="s">
        <v>629</v>
      </c>
      <c r="D794" s="124" t="s">
        <v>620</v>
      </c>
      <c r="E794" s="130">
        <v>2009</v>
      </c>
      <c r="F794" s="125" t="s">
        <v>734</v>
      </c>
      <c r="G794" s="125">
        <v>53</v>
      </c>
      <c r="H794" s="85">
        <v>16414.89</v>
      </c>
      <c r="I794" s="85" t="s">
        <v>630</v>
      </c>
      <c r="J794" s="128">
        <v>44689</v>
      </c>
      <c r="K794" s="128">
        <f t="shared" si="11"/>
        <v>2368517</v>
      </c>
      <c r="L794" s="125" t="s">
        <v>1374</v>
      </c>
      <c r="M794" s="85" t="s">
        <v>47</v>
      </c>
      <c r="N794" s="85" t="s">
        <v>1491</v>
      </c>
    </row>
    <row r="795" spans="2:14" ht="15.75" thickBot="1" x14ac:dyDescent="0.3">
      <c r="B795" s="82" t="s">
        <v>535</v>
      </c>
      <c r="C795" s="83" t="s">
        <v>629</v>
      </c>
      <c r="D795" s="124" t="s">
        <v>620</v>
      </c>
      <c r="E795" s="130">
        <v>2005</v>
      </c>
      <c r="F795" s="125" t="s">
        <v>732</v>
      </c>
      <c r="G795" s="125">
        <v>66</v>
      </c>
      <c r="H795" s="85">
        <v>20547.02</v>
      </c>
      <c r="I795" s="85" t="s">
        <v>630</v>
      </c>
      <c r="J795" s="128">
        <v>55945</v>
      </c>
      <c r="K795" s="128">
        <f t="shared" si="11"/>
        <v>3692370</v>
      </c>
      <c r="L795" s="125" t="s">
        <v>1375</v>
      </c>
      <c r="M795" s="85" t="s">
        <v>47</v>
      </c>
      <c r="N795" s="85" t="s">
        <v>1491</v>
      </c>
    </row>
    <row r="796" spans="2:14" ht="15.75" thickBot="1" x14ac:dyDescent="0.3">
      <c r="B796" s="82" t="s">
        <v>535</v>
      </c>
      <c r="C796" s="83" t="s">
        <v>629</v>
      </c>
      <c r="D796" s="124" t="s">
        <v>620</v>
      </c>
      <c r="E796" s="130">
        <v>2004</v>
      </c>
      <c r="F796" s="125" t="s">
        <v>732</v>
      </c>
      <c r="G796" s="125">
        <v>69</v>
      </c>
      <c r="H796" s="85">
        <v>5808.73</v>
      </c>
      <c r="I796" s="85" t="s">
        <v>630</v>
      </c>
      <c r="J796" s="128">
        <v>13090</v>
      </c>
      <c r="K796" s="128">
        <f t="shared" si="11"/>
        <v>903210</v>
      </c>
      <c r="L796" s="125" t="s">
        <v>1376</v>
      </c>
      <c r="M796" s="85" t="s">
        <v>47</v>
      </c>
      <c r="N796" s="85" t="s">
        <v>1491</v>
      </c>
    </row>
    <row r="797" spans="2:14" ht="15.75" thickBot="1" x14ac:dyDescent="0.3">
      <c r="B797" s="82" t="s">
        <v>535</v>
      </c>
      <c r="C797" s="83" t="s">
        <v>629</v>
      </c>
      <c r="D797" s="124" t="s">
        <v>620</v>
      </c>
      <c r="E797" s="130">
        <v>2006</v>
      </c>
      <c r="F797" s="125" t="s">
        <v>731</v>
      </c>
      <c r="G797" s="125">
        <v>65</v>
      </c>
      <c r="H797" s="85">
        <v>20935.48</v>
      </c>
      <c r="I797" s="85" t="s">
        <v>630</v>
      </c>
      <c r="J797" s="128">
        <v>56432</v>
      </c>
      <c r="K797" s="128">
        <f t="shared" si="11"/>
        <v>3668080</v>
      </c>
      <c r="L797" s="125" t="s">
        <v>1377</v>
      </c>
      <c r="M797" s="85" t="s">
        <v>47</v>
      </c>
      <c r="N797" s="85" t="s">
        <v>1491</v>
      </c>
    </row>
    <row r="798" spans="2:14" ht="15.75" thickBot="1" x14ac:dyDescent="0.3">
      <c r="B798" s="82" t="s">
        <v>535</v>
      </c>
      <c r="C798" s="83" t="s">
        <v>629</v>
      </c>
      <c r="D798" s="124" t="s">
        <v>620</v>
      </c>
      <c r="E798" s="130">
        <v>2004</v>
      </c>
      <c r="F798" s="125" t="s">
        <v>732</v>
      </c>
      <c r="G798" s="125">
        <v>49</v>
      </c>
      <c r="H798" s="85">
        <v>20202.93</v>
      </c>
      <c r="I798" s="85" t="s">
        <v>630</v>
      </c>
      <c r="J798" s="128">
        <v>59286</v>
      </c>
      <c r="K798" s="128">
        <f t="shared" si="11"/>
        <v>2905014</v>
      </c>
      <c r="L798" s="125" t="s">
        <v>1378</v>
      </c>
      <c r="M798" s="85" t="s">
        <v>47</v>
      </c>
      <c r="N798" s="85" t="s">
        <v>1491</v>
      </c>
    </row>
    <row r="799" spans="2:14" ht="15.75" thickBot="1" x14ac:dyDescent="0.3">
      <c r="B799" s="82" t="s">
        <v>535</v>
      </c>
      <c r="C799" s="83" t="s">
        <v>629</v>
      </c>
      <c r="D799" s="124" t="s">
        <v>620</v>
      </c>
      <c r="E799" s="130">
        <v>1998</v>
      </c>
      <c r="F799" s="125" t="s">
        <v>736</v>
      </c>
      <c r="G799" s="125">
        <v>51</v>
      </c>
      <c r="H799" s="85">
        <v>10378.340000000002</v>
      </c>
      <c r="I799" s="85" t="s">
        <v>630</v>
      </c>
      <c r="J799" s="128">
        <v>27640</v>
      </c>
      <c r="K799" s="128">
        <f t="shared" ref="K799:K862" si="12">J799*G799</f>
        <v>1409640</v>
      </c>
      <c r="L799" s="125" t="s">
        <v>1379</v>
      </c>
      <c r="M799" s="85" t="s">
        <v>47</v>
      </c>
      <c r="N799" s="85" t="s">
        <v>1491</v>
      </c>
    </row>
    <row r="800" spans="2:14" ht="15.75" thickBot="1" x14ac:dyDescent="0.3">
      <c r="B800" s="82" t="s">
        <v>535</v>
      </c>
      <c r="C800" s="83" t="s">
        <v>629</v>
      </c>
      <c r="D800" s="124" t="s">
        <v>620</v>
      </c>
      <c r="E800" s="130">
        <v>1999</v>
      </c>
      <c r="F800" s="125" t="s">
        <v>736</v>
      </c>
      <c r="G800" s="125">
        <v>51</v>
      </c>
      <c r="H800" s="85">
        <v>8266.89</v>
      </c>
      <c r="I800" s="85" t="s">
        <v>630</v>
      </c>
      <c r="J800" s="128">
        <v>23147</v>
      </c>
      <c r="K800" s="128">
        <f t="shared" si="12"/>
        <v>1180497</v>
      </c>
      <c r="L800" s="125" t="s">
        <v>1380</v>
      </c>
      <c r="M800" s="85" t="s">
        <v>47</v>
      </c>
      <c r="N800" s="85" t="s">
        <v>1491</v>
      </c>
    </row>
    <row r="801" spans="2:14" ht="15.75" thickBot="1" x14ac:dyDescent="0.3">
      <c r="B801" s="82" t="s">
        <v>535</v>
      </c>
      <c r="C801" s="83" t="s">
        <v>629</v>
      </c>
      <c r="D801" s="124" t="s">
        <v>620</v>
      </c>
      <c r="E801" s="130">
        <v>2001</v>
      </c>
      <c r="F801" s="125" t="s">
        <v>732</v>
      </c>
      <c r="G801" s="125">
        <v>55</v>
      </c>
      <c r="H801" s="85">
        <v>16793.070000000003</v>
      </c>
      <c r="I801" s="85" t="s">
        <v>630</v>
      </c>
      <c r="J801" s="128">
        <v>44912</v>
      </c>
      <c r="K801" s="128">
        <f t="shared" si="12"/>
        <v>2470160</v>
      </c>
      <c r="L801" s="125" t="s">
        <v>1381</v>
      </c>
      <c r="M801" s="85" t="s">
        <v>47</v>
      </c>
      <c r="N801" s="85" t="s">
        <v>1491</v>
      </c>
    </row>
    <row r="802" spans="2:14" ht="15.75" thickBot="1" x14ac:dyDescent="0.3">
      <c r="B802" s="82" t="s">
        <v>535</v>
      </c>
      <c r="C802" s="83" t="s">
        <v>629</v>
      </c>
      <c r="D802" s="124" t="s">
        <v>620</v>
      </c>
      <c r="E802" s="130">
        <v>2002</v>
      </c>
      <c r="F802" s="125" t="s">
        <v>732</v>
      </c>
      <c r="G802" s="125">
        <v>57</v>
      </c>
      <c r="H802" s="85">
        <v>7996.85</v>
      </c>
      <c r="I802" s="85" t="s">
        <v>630</v>
      </c>
      <c r="J802" s="128">
        <v>21566</v>
      </c>
      <c r="K802" s="128">
        <f t="shared" si="12"/>
        <v>1229262</v>
      </c>
      <c r="L802" s="125" t="s">
        <v>1382</v>
      </c>
      <c r="M802" s="85" t="s">
        <v>47</v>
      </c>
      <c r="N802" s="85" t="s">
        <v>1491</v>
      </c>
    </row>
    <row r="803" spans="2:14" ht="15.75" thickBot="1" x14ac:dyDescent="0.3">
      <c r="B803" s="82" t="s">
        <v>535</v>
      </c>
      <c r="C803" s="83" t="s">
        <v>629</v>
      </c>
      <c r="D803" s="124" t="s">
        <v>620</v>
      </c>
      <c r="E803" s="130">
        <v>1999</v>
      </c>
      <c r="F803" s="125" t="s">
        <v>736</v>
      </c>
      <c r="G803" s="125">
        <v>83</v>
      </c>
      <c r="H803" s="85">
        <v>12291.969999999998</v>
      </c>
      <c r="I803" s="85" t="s">
        <v>630</v>
      </c>
      <c r="J803" s="128">
        <v>37270</v>
      </c>
      <c r="K803" s="128">
        <f t="shared" si="12"/>
        <v>3093410</v>
      </c>
      <c r="L803" s="125" t="s">
        <v>1383</v>
      </c>
      <c r="M803" s="85" t="s">
        <v>47</v>
      </c>
      <c r="N803" s="85" t="s">
        <v>1491</v>
      </c>
    </row>
    <row r="804" spans="2:14" ht="15.75" thickBot="1" x14ac:dyDescent="0.3">
      <c r="B804" s="82" t="s">
        <v>535</v>
      </c>
      <c r="C804" s="83" t="s">
        <v>629</v>
      </c>
      <c r="D804" s="124" t="s">
        <v>620</v>
      </c>
      <c r="E804" s="130">
        <v>2000</v>
      </c>
      <c r="F804" s="125" t="s">
        <v>735</v>
      </c>
      <c r="G804" s="125">
        <v>51</v>
      </c>
      <c r="H804" s="85">
        <v>8046.21</v>
      </c>
      <c r="I804" s="85" t="s">
        <v>630</v>
      </c>
      <c r="J804" s="128">
        <v>24305</v>
      </c>
      <c r="K804" s="128">
        <f t="shared" si="12"/>
        <v>1239555</v>
      </c>
      <c r="L804" s="125" t="s">
        <v>1384</v>
      </c>
      <c r="M804" s="85" t="s">
        <v>47</v>
      </c>
      <c r="N804" s="85" t="s">
        <v>1491</v>
      </c>
    </row>
    <row r="805" spans="2:14" ht="15.75" thickBot="1" x14ac:dyDescent="0.3">
      <c r="B805" s="82" t="s">
        <v>535</v>
      </c>
      <c r="C805" s="83" t="s">
        <v>629</v>
      </c>
      <c r="D805" s="124" t="s">
        <v>620</v>
      </c>
      <c r="E805" s="130">
        <v>2004</v>
      </c>
      <c r="F805" s="125" t="s">
        <v>732</v>
      </c>
      <c r="G805" s="125">
        <v>88</v>
      </c>
      <c r="H805" s="85">
        <v>23091.299999999996</v>
      </c>
      <c r="I805" s="85" t="s">
        <v>630</v>
      </c>
      <c r="J805" s="128">
        <v>56436</v>
      </c>
      <c r="K805" s="128">
        <f t="shared" si="12"/>
        <v>4966368</v>
      </c>
      <c r="L805" s="125" t="s">
        <v>1385</v>
      </c>
      <c r="M805" s="85" t="s">
        <v>47</v>
      </c>
      <c r="N805" s="85" t="s">
        <v>1491</v>
      </c>
    </row>
    <row r="806" spans="2:14" ht="15.75" thickBot="1" x14ac:dyDescent="0.3">
      <c r="B806" s="82" t="s">
        <v>535</v>
      </c>
      <c r="C806" s="83" t="s">
        <v>629</v>
      </c>
      <c r="D806" s="124" t="s">
        <v>620</v>
      </c>
      <c r="E806" s="130">
        <v>2015</v>
      </c>
      <c r="F806" s="125" t="s">
        <v>733</v>
      </c>
      <c r="G806" s="125">
        <v>53</v>
      </c>
      <c r="H806" s="85">
        <v>612.69000000000005</v>
      </c>
      <c r="I806" s="85" t="s">
        <v>630</v>
      </c>
      <c r="J806" s="128">
        <v>1786</v>
      </c>
      <c r="K806" s="128">
        <f t="shared" si="12"/>
        <v>94658</v>
      </c>
      <c r="L806" s="125" t="s">
        <v>1386</v>
      </c>
      <c r="M806" s="85" t="s">
        <v>47</v>
      </c>
      <c r="N806" s="85" t="s">
        <v>1491</v>
      </c>
    </row>
    <row r="807" spans="2:14" ht="15.75" thickBot="1" x14ac:dyDescent="0.3">
      <c r="B807" s="82" t="s">
        <v>535</v>
      </c>
      <c r="C807" s="83" t="s">
        <v>629</v>
      </c>
      <c r="D807" s="124" t="s">
        <v>620</v>
      </c>
      <c r="E807" s="130">
        <v>2005</v>
      </c>
      <c r="F807" s="125" t="s">
        <v>732</v>
      </c>
      <c r="G807" s="125">
        <v>75</v>
      </c>
      <c r="H807" s="85">
        <v>16768.46</v>
      </c>
      <c r="I807" s="85" t="s">
        <v>630</v>
      </c>
      <c r="J807" s="128">
        <v>53486</v>
      </c>
      <c r="K807" s="128">
        <f t="shared" si="12"/>
        <v>4011450</v>
      </c>
      <c r="L807" s="125" t="s">
        <v>1387</v>
      </c>
      <c r="M807" s="85" t="s">
        <v>47</v>
      </c>
      <c r="N807" s="85" t="s">
        <v>1491</v>
      </c>
    </row>
    <row r="808" spans="2:14" ht="15.75" thickBot="1" x14ac:dyDescent="0.3">
      <c r="B808" s="82" t="s">
        <v>535</v>
      </c>
      <c r="C808" s="83" t="s">
        <v>629</v>
      </c>
      <c r="D808" s="124" t="s">
        <v>620</v>
      </c>
      <c r="E808" s="130">
        <v>2002</v>
      </c>
      <c r="F808" s="125" t="s">
        <v>732</v>
      </c>
      <c r="G808" s="125">
        <v>97</v>
      </c>
      <c r="H808" s="85">
        <v>8320.9599999999991</v>
      </c>
      <c r="I808" s="85" t="s">
        <v>630</v>
      </c>
      <c r="J808" s="128">
        <v>20960</v>
      </c>
      <c r="K808" s="128">
        <f t="shared" si="12"/>
        <v>2033120</v>
      </c>
      <c r="L808" s="125" t="s">
        <v>1388</v>
      </c>
      <c r="M808" s="85" t="s">
        <v>47</v>
      </c>
      <c r="N808" s="85" t="s">
        <v>1491</v>
      </c>
    </row>
    <row r="809" spans="2:14" ht="15.75" thickBot="1" x14ac:dyDescent="0.3">
      <c r="B809" s="82" t="s">
        <v>535</v>
      </c>
      <c r="C809" s="83" t="s">
        <v>629</v>
      </c>
      <c r="D809" s="124" t="s">
        <v>620</v>
      </c>
      <c r="E809" s="130">
        <v>2004</v>
      </c>
      <c r="F809" s="125" t="s">
        <v>732</v>
      </c>
      <c r="G809" s="125">
        <v>60</v>
      </c>
      <c r="H809" s="85">
        <v>1235.43</v>
      </c>
      <c r="I809" s="85" t="s">
        <v>630</v>
      </c>
      <c r="J809" s="128">
        <v>3437</v>
      </c>
      <c r="K809" s="128">
        <f t="shared" si="12"/>
        <v>206220</v>
      </c>
      <c r="L809" s="125" t="s">
        <v>1115</v>
      </c>
      <c r="M809" s="85" t="s">
        <v>47</v>
      </c>
      <c r="N809" s="85" t="s">
        <v>1491</v>
      </c>
    </row>
    <row r="810" spans="2:14" ht="15.75" thickBot="1" x14ac:dyDescent="0.3">
      <c r="B810" s="82" t="s">
        <v>535</v>
      </c>
      <c r="C810" s="83" t="s">
        <v>629</v>
      </c>
      <c r="D810" s="124" t="s">
        <v>620</v>
      </c>
      <c r="E810" s="130">
        <v>2015</v>
      </c>
      <c r="F810" s="125" t="s">
        <v>733</v>
      </c>
      <c r="G810" s="125">
        <v>55</v>
      </c>
      <c r="H810" s="85">
        <v>7096.16</v>
      </c>
      <c r="I810" s="85" t="s">
        <v>630</v>
      </c>
      <c r="J810" s="128">
        <v>18428</v>
      </c>
      <c r="K810" s="128">
        <f t="shared" si="12"/>
        <v>1013540</v>
      </c>
      <c r="L810" s="125" t="s">
        <v>1389</v>
      </c>
      <c r="M810" s="85" t="s">
        <v>47</v>
      </c>
      <c r="N810" s="85" t="s">
        <v>1491</v>
      </c>
    </row>
    <row r="811" spans="2:14" ht="15.75" thickBot="1" x14ac:dyDescent="0.3">
      <c r="B811" s="82" t="s">
        <v>535</v>
      </c>
      <c r="C811" s="83" t="s">
        <v>629</v>
      </c>
      <c r="D811" s="124" t="s">
        <v>620</v>
      </c>
      <c r="E811" s="130">
        <v>2005</v>
      </c>
      <c r="F811" s="125" t="s">
        <v>732</v>
      </c>
      <c r="G811" s="125">
        <v>69</v>
      </c>
      <c r="H811" s="85">
        <v>6894</v>
      </c>
      <c r="I811" s="85" t="s">
        <v>630</v>
      </c>
      <c r="J811" s="128">
        <v>14981</v>
      </c>
      <c r="K811" s="128">
        <f t="shared" si="12"/>
        <v>1033689</v>
      </c>
      <c r="L811" s="125" t="s">
        <v>1116</v>
      </c>
      <c r="M811" s="85" t="s">
        <v>47</v>
      </c>
      <c r="N811" s="85" t="s">
        <v>1491</v>
      </c>
    </row>
    <row r="812" spans="2:14" ht="15.75" thickBot="1" x14ac:dyDescent="0.3">
      <c r="B812" s="82" t="s">
        <v>535</v>
      </c>
      <c r="C812" s="83" t="s">
        <v>629</v>
      </c>
      <c r="D812" s="124" t="s">
        <v>620</v>
      </c>
      <c r="E812" s="130">
        <v>2005</v>
      </c>
      <c r="F812" s="125" t="s">
        <v>732</v>
      </c>
      <c r="G812" s="125">
        <v>69</v>
      </c>
      <c r="H812" s="85">
        <v>9032.659999999998</v>
      </c>
      <c r="I812" s="85" t="s">
        <v>630</v>
      </c>
      <c r="J812" s="128">
        <v>18908</v>
      </c>
      <c r="K812" s="128">
        <f t="shared" si="12"/>
        <v>1304652</v>
      </c>
      <c r="L812" s="125" t="s">
        <v>1117</v>
      </c>
      <c r="M812" s="85" t="s">
        <v>47</v>
      </c>
      <c r="N812" s="85" t="s">
        <v>1491</v>
      </c>
    </row>
    <row r="813" spans="2:14" ht="15.75" thickBot="1" x14ac:dyDescent="0.3">
      <c r="B813" s="82" t="s">
        <v>535</v>
      </c>
      <c r="C813" s="83" t="s">
        <v>629</v>
      </c>
      <c r="D813" s="124" t="s">
        <v>620</v>
      </c>
      <c r="E813" s="130">
        <v>2005</v>
      </c>
      <c r="F813" s="125" t="s">
        <v>732</v>
      </c>
      <c r="G813" s="125">
        <v>69</v>
      </c>
      <c r="H813" s="85">
        <v>20933.16</v>
      </c>
      <c r="I813" s="85" t="s">
        <v>630</v>
      </c>
      <c r="J813" s="128">
        <v>47393</v>
      </c>
      <c r="K813" s="128">
        <f t="shared" si="12"/>
        <v>3270117</v>
      </c>
      <c r="L813" s="125" t="s">
        <v>1390</v>
      </c>
      <c r="M813" s="85" t="s">
        <v>47</v>
      </c>
      <c r="N813" s="85" t="s">
        <v>1491</v>
      </c>
    </row>
    <row r="814" spans="2:14" ht="15.75" thickBot="1" x14ac:dyDescent="0.3">
      <c r="B814" s="82" t="s">
        <v>535</v>
      </c>
      <c r="C814" s="83" t="s">
        <v>629</v>
      </c>
      <c r="D814" s="124" t="s">
        <v>620</v>
      </c>
      <c r="E814" s="130">
        <v>2005</v>
      </c>
      <c r="F814" s="125" t="s">
        <v>732</v>
      </c>
      <c r="G814" s="125">
        <v>69</v>
      </c>
      <c r="H814" s="85">
        <v>20458.75</v>
      </c>
      <c r="I814" s="85" t="s">
        <v>630</v>
      </c>
      <c r="J814" s="128">
        <v>44781</v>
      </c>
      <c r="K814" s="128">
        <f t="shared" si="12"/>
        <v>3089889</v>
      </c>
      <c r="L814" s="125" t="s">
        <v>1391</v>
      </c>
      <c r="M814" s="85" t="s">
        <v>47</v>
      </c>
      <c r="N814" s="85" t="s">
        <v>1491</v>
      </c>
    </row>
    <row r="815" spans="2:14" ht="15.75" thickBot="1" x14ac:dyDescent="0.3">
      <c r="B815" s="82" t="s">
        <v>535</v>
      </c>
      <c r="C815" s="83" t="s">
        <v>629</v>
      </c>
      <c r="D815" s="124" t="s">
        <v>620</v>
      </c>
      <c r="E815" s="130">
        <v>2003</v>
      </c>
      <c r="F815" s="125" t="s">
        <v>732</v>
      </c>
      <c r="G815" s="125">
        <v>65</v>
      </c>
      <c r="H815" s="85">
        <v>19755.523000000001</v>
      </c>
      <c r="I815" s="85" t="s">
        <v>630</v>
      </c>
      <c r="J815" s="128">
        <v>45517</v>
      </c>
      <c r="K815" s="128">
        <f t="shared" si="12"/>
        <v>2958605</v>
      </c>
      <c r="L815" s="125" t="s">
        <v>1392</v>
      </c>
      <c r="M815" s="85" t="s">
        <v>47</v>
      </c>
      <c r="N815" s="85" t="s">
        <v>1491</v>
      </c>
    </row>
    <row r="816" spans="2:14" ht="15.75" thickBot="1" x14ac:dyDescent="0.3">
      <c r="B816" s="82" t="s">
        <v>535</v>
      </c>
      <c r="C816" s="83" t="s">
        <v>629</v>
      </c>
      <c r="D816" s="124" t="s">
        <v>620</v>
      </c>
      <c r="E816" s="130">
        <v>2007</v>
      </c>
      <c r="F816" s="125" t="s">
        <v>731</v>
      </c>
      <c r="G816" s="125">
        <v>83</v>
      </c>
      <c r="H816" s="85">
        <v>12785.272000000001</v>
      </c>
      <c r="I816" s="85" t="s">
        <v>630</v>
      </c>
      <c r="J816" s="128">
        <v>41364</v>
      </c>
      <c r="K816" s="128">
        <f t="shared" si="12"/>
        <v>3433212</v>
      </c>
      <c r="L816" s="125" t="s">
        <v>1393</v>
      </c>
      <c r="M816" s="85" t="s">
        <v>47</v>
      </c>
      <c r="N816" s="85" t="s">
        <v>1491</v>
      </c>
    </row>
    <row r="817" spans="2:14" ht="15.75" thickBot="1" x14ac:dyDescent="0.3">
      <c r="B817" s="82" t="s">
        <v>535</v>
      </c>
      <c r="C817" s="83" t="s">
        <v>629</v>
      </c>
      <c r="D817" s="124" t="s">
        <v>620</v>
      </c>
      <c r="E817" s="130">
        <v>2007</v>
      </c>
      <c r="F817" s="125" t="s">
        <v>731</v>
      </c>
      <c r="G817" s="125">
        <v>83</v>
      </c>
      <c r="H817" s="85">
        <v>10119.300000000001</v>
      </c>
      <c r="I817" s="85" t="s">
        <v>630</v>
      </c>
      <c r="J817" s="128">
        <v>32187</v>
      </c>
      <c r="K817" s="128">
        <f t="shared" si="12"/>
        <v>2671521</v>
      </c>
      <c r="L817" s="125" t="s">
        <v>1394</v>
      </c>
      <c r="M817" s="85" t="s">
        <v>47</v>
      </c>
      <c r="N817" s="85" t="s">
        <v>1491</v>
      </c>
    </row>
    <row r="818" spans="2:14" ht="15.75" thickBot="1" x14ac:dyDescent="0.3">
      <c r="B818" s="82" t="s">
        <v>535</v>
      </c>
      <c r="C818" s="83" t="s">
        <v>629</v>
      </c>
      <c r="D818" s="124" t="s">
        <v>620</v>
      </c>
      <c r="E818" s="130">
        <v>2007</v>
      </c>
      <c r="F818" s="125" t="s">
        <v>731</v>
      </c>
      <c r="G818" s="125">
        <v>83</v>
      </c>
      <c r="H818" s="85">
        <v>15544.1</v>
      </c>
      <c r="I818" s="85" t="s">
        <v>630</v>
      </c>
      <c r="J818" s="128">
        <v>51069</v>
      </c>
      <c r="K818" s="128">
        <f t="shared" si="12"/>
        <v>4238727</v>
      </c>
      <c r="L818" s="125" t="s">
        <v>1395</v>
      </c>
      <c r="M818" s="85" t="s">
        <v>47</v>
      </c>
      <c r="N818" s="85" t="s">
        <v>1491</v>
      </c>
    </row>
    <row r="819" spans="2:14" ht="15.75" thickBot="1" x14ac:dyDescent="0.3">
      <c r="B819" s="82" t="s">
        <v>535</v>
      </c>
      <c r="C819" s="83" t="s">
        <v>629</v>
      </c>
      <c r="D819" s="124" t="s">
        <v>620</v>
      </c>
      <c r="E819" s="130">
        <v>2007</v>
      </c>
      <c r="F819" s="125" t="s">
        <v>731</v>
      </c>
      <c r="G819" s="125">
        <v>83</v>
      </c>
      <c r="H819" s="85">
        <v>12370.04</v>
      </c>
      <c r="I819" s="85" t="s">
        <v>630</v>
      </c>
      <c r="J819" s="128">
        <v>41081</v>
      </c>
      <c r="K819" s="128">
        <f t="shared" si="12"/>
        <v>3409723</v>
      </c>
      <c r="L819" s="125" t="s">
        <v>1396</v>
      </c>
      <c r="M819" s="85" t="s">
        <v>47</v>
      </c>
      <c r="N819" s="85" t="s">
        <v>1491</v>
      </c>
    </row>
    <row r="820" spans="2:14" ht="15.75" thickBot="1" x14ac:dyDescent="0.3">
      <c r="B820" s="82" t="s">
        <v>535</v>
      </c>
      <c r="C820" s="83" t="s">
        <v>629</v>
      </c>
      <c r="D820" s="124" t="s">
        <v>620</v>
      </c>
      <c r="E820" s="130">
        <v>2004</v>
      </c>
      <c r="F820" s="125" t="s">
        <v>732</v>
      </c>
      <c r="G820" s="125">
        <v>85</v>
      </c>
      <c r="H820" s="85">
        <v>21322.1</v>
      </c>
      <c r="I820" s="85" t="s">
        <v>630</v>
      </c>
      <c r="J820" s="128">
        <v>61951</v>
      </c>
      <c r="K820" s="128">
        <f t="shared" si="12"/>
        <v>5265835</v>
      </c>
      <c r="L820" s="125" t="s">
        <v>1397</v>
      </c>
      <c r="M820" s="85" t="s">
        <v>47</v>
      </c>
      <c r="N820" s="85" t="s">
        <v>1491</v>
      </c>
    </row>
    <row r="821" spans="2:14" ht="15.75" thickBot="1" x14ac:dyDescent="0.3">
      <c r="B821" s="82" t="s">
        <v>535</v>
      </c>
      <c r="C821" s="83" t="s">
        <v>629</v>
      </c>
      <c r="D821" s="124" t="s">
        <v>620</v>
      </c>
      <c r="E821" s="130">
        <v>2008</v>
      </c>
      <c r="F821" s="125" t="s">
        <v>731</v>
      </c>
      <c r="G821" s="125">
        <v>82</v>
      </c>
      <c r="H821" s="85">
        <v>7693.2300000000005</v>
      </c>
      <c r="I821" s="85" t="s">
        <v>630</v>
      </c>
      <c r="J821" s="128">
        <v>17614</v>
      </c>
      <c r="K821" s="128">
        <f t="shared" si="12"/>
        <v>1444348</v>
      </c>
      <c r="L821" s="125" t="s">
        <v>805</v>
      </c>
      <c r="M821" s="85" t="s">
        <v>47</v>
      </c>
      <c r="N821" s="85" t="s">
        <v>1491</v>
      </c>
    </row>
    <row r="822" spans="2:14" ht="15.75" thickBot="1" x14ac:dyDescent="0.3">
      <c r="B822" s="82" t="s">
        <v>535</v>
      </c>
      <c r="C822" s="83" t="s">
        <v>629</v>
      </c>
      <c r="D822" s="124" t="s">
        <v>620</v>
      </c>
      <c r="E822" s="130">
        <v>2008</v>
      </c>
      <c r="F822" s="125" t="s">
        <v>731</v>
      </c>
      <c r="G822" s="125">
        <v>27</v>
      </c>
      <c r="H822" s="85">
        <v>2598.2199999999998</v>
      </c>
      <c r="I822" s="85" t="s">
        <v>630</v>
      </c>
      <c r="J822" s="128">
        <v>13748</v>
      </c>
      <c r="K822" s="128">
        <f t="shared" si="12"/>
        <v>371196</v>
      </c>
      <c r="L822" s="125" t="s">
        <v>1398</v>
      </c>
      <c r="M822" s="85" t="s">
        <v>47</v>
      </c>
      <c r="N822" s="85" t="s">
        <v>1491</v>
      </c>
    </row>
    <row r="823" spans="2:14" ht="15.75" thickBot="1" x14ac:dyDescent="0.3">
      <c r="B823" s="82" t="s">
        <v>535</v>
      </c>
      <c r="C823" s="83" t="s">
        <v>629</v>
      </c>
      <c r="D823" s="124" t="s">
        <v>620</v>
      </c>
      <c r="E823" s="130">
        <v>2001</v>
      </c>
      <c r="F823" s="125" t="s">
        <v>732</v>
      </c>
      <c r="G823" s="125">
        <v>55</v>
      </c>
      <c r="H823" s="85">
        <v>6450.49</v>
      </c>
      <c r="I823" s="85" t="s">
        <v>630</v>
      </c>
      <c r="J823" s="128">
        <v>17450</v>
      </c>
      <c r="K823" s="128">
        <f t="shared" si="12"/>
        <v>959750</v>
      </c>
      <c r="L823" s="125" t="s">
        <v>1399</v>
      </c>
      <c r="M823" s="85" t="s">
        <v>47</v>
      </c>
      <c r="N823" s="85" t="s">
        <v>1491</v>
      </c>
    </row>
    <row r="824" spans="2:14" ht="15.75" thickBot="1" x14ac:dyDescent="0.3">
      <c r="B824" s="82" t="s">
        <v>535</v>
      </c>
      <c r="C824" s="83" t="s">
        <v>629</v>
      </c>
      <c r="D824" s="124" t="s">
        <v>620</v>
      </c>
      <c r="E824" s="130">
        <v>2000</v>
      </c>
      <c r="F824" s="125" t="s">
        <v>735</v>
      </c>
      <c r="G824" s="125">
        <v>51</v>
      </c>
      <c r="H824" s="85">
        <v>7695.35</v>
      </c>
      <c r="I824" s="85" t="s">
        <v>630</v>
      </c>
      <c r="J824" s="128">
        <v>24415</v>
      </c>
      <c r="K824" s="128">
        <f t="shared" si="12"/>
        <v>1245165</v>
      </c>
      <c r="L824" s="125" t="s">
        <v>1400</v>
      </c>
      <c r="M824" s="85" t="s">
        <v>47</v>
      </c>
      <c r="N824" s="85" t="s">
        <v>1491</v>
      </c>
    </row>
    <row r="825" spans="2:14" ht="15.75" thickBot="1" x14ac:dyDescent="0.3">
      <c r="B825" s="82" t="s">
        <v>535</v>
      </c>
      <c r="C825" s="83" t="s">
        <v>629</v>
      </c>
      <c r="D825" s="124" t="s">
        <v>620</v>
      </c>
      <c r="E825" s="130">
        <v>2008</v>
      </c>
      <c r="F825" s="125" t="s">
        <v>731</v>
      </c>
      <c r="G825" s="125">
        <v>75</v>
      </c>
      <c r="H825" s="85">
        <v>20023.730000000003</v>
      </c>
      <c r="I825" s="85" t="s">
        <v>630</v>
      </c>
      <c r="J825" s="128">
        <v>56165</v>
      </c>
      <c r="K825" s="128">
        <f t="shared" si="12"/>
        <v>4212375</v>
      </c>
      <c r="L825" s="125" t="s">
        <v>1401</v>
      </c>
      <c r="M825" s="85" t="s">
        <v>47</v>
      </c>
      <c r="N825" s="85" t="s">
        <v>1491</v>
      </c>
    </row>
    <row r="826" spans="2:14" ht="15.75" thickBot="1" x14ac:dyDescent="0.3">
      <c r="B826" s="82" t="s">
        <v>535</v>
      </c>
      <c r="C826" s="83" t="s">
        <v>629</v>
      </c>
      <c r="D826" s="124" t="s">
        <v>620</v>
      </c>
      <c r="E826" s="130">
        <v>2008</v>
      </c>
      <c r="F826" s="125" t="s">
        <v>731</v>
      </c>
      <c r="G826" s="125">
        <v>75</v>
      </c>
      <c r="H826" s="85">
        <v>16908.41</v>
      </c>
      <c r="I826" s="85" t="s">
        <v>630</v>
      </c>
      <c r="J826" s="128">
        <v>51974</v>
      </c>
      <c r="K826" s="128">
        <f t="shared" si="12"/>
        <v>3898050</v>
      </c>
      <c r="L826" s="125" t="s">
        <v>1402</v>
      </c>
      <c r="M826" s="85" t="s">
        <v>47</v>
      </c>
      <c r="N826" s="85" t="s">
        <v>1491</v>
      </c>
    </row>
    <row r="827" spans="2:14" ht="15.75" thickBot="1" x14ac:dyDescent="0.3">
      <c r="B827" s="82" t="s">
        <v>535</v>
      </c>
      <c r="C827" s="83" t="s">
        <v>629</v>
      </c>
      <c r="D827" s="124" t="s">
        <v>620</v>
      </c>
      <c r="E827" s="130">
        <v>2011</v>
      </c>
      <c r="F827" s="125" t="s">
        <v>734</v>
      </c>
      <c r="G827" s="125">
        <v>53</v>
      </c>
      <c r="H827" s="85">
        <v>18907.649999999998</v>
      </c>
      <c r="I827" s="85" t="s">
        <v>630</v>
      </c>
      <c r="J827" s="128">
        <v>57416</v>
      </c>
      <c r="K827" s="128">
        <f t="shared" si="12"/>
        <v>3043048</v>
      </c>
      <c r="L827" s="125" t="s">
        <v>1403</v>
      </c>
      <c r="M827" s="85" t="s">
        <v>47</v>
      </c>
      <c r="N827" s="85" t="s">
        <v>1491</v>
      </c>
    </row>
    <row r="828" spans="2:14" ht="15.75" thickBot="1" x14ac:dyDescent="0.3">
      <c r="B828" s="82" t="s">
        <v>535</v>
      </c>
      <c r="C828" s="83" t="s">
        <v>629</v>
      </c>
      <c r="D828" s="124" t="s">
        <v>620</v>
      </c>
      <c r="E828" s="130">
        <v>1996</v>
      </c>
      <c r="F828" s="125" t="s">
        <v>736</v>
      </c>
      <c r="G828" s="125">
        <v>52</v>
      </c>
      <c r="H828" s="85">
        <v>3438.91</v>
      </c>
      <c r="I828" s="85" t="s">
        <v>630</v>
      </c>
      <c r="J828" s="128">
        <v>10758</v>
      </c>
      <c r="K828" s="128">
        <f t="shared" si="12"/>
        <v>559416</v>
      </c>
      <c r="L828" s="125" t="s">
        <v>1404</v>
      </c>
      <c r="M828" s="85" t="s">
        <v>47</v>
      </c>
      <c r="N828" s="85" t="s">
        <v>1491</v>
      </c>
    </row>
    <row r="829" spans="2:14" ht="15.75" thickBot="1" x14ac:dyDescent="0.3">
      <c r="B829" s="82" t="s">
        <v>535</v>
      </c>
      <c r="C829" s="83" t="s">
        <v>629</v>
      </c>
      <c r="D829" s="124" t="s">
        <v>620</v>
      </c>
      <c r="E829" s="130">
        <v>1996</v>
      </c>
      <c r="F829" s="125" t="s">
        <v>736</v>
      </c>
      <c r="G829" s="125">
        <v>52</v>
      </c>
      <c r="H829" s="85">
        <v>6014.0800000000008</v>
      </c>
      <c r="I829" s="85" t="s">
        <v>630</v>
      </c>
      <c r="J829" s="128">
        <v>19024</v>
      </c>
      <c r="K829" s="128">
        <f t="shared" si="12"/>
        <v>989248</v>
      </c>
      <c r="L829" s="125" t="s">
        <v>1405</v>
      </c>
      <c r="M829" s="85" t="s">
        <v>47</v>
      </c>
      <c r="N829" s="85" t="s">
        <v>1491</v>
      </c>
    </row>
    <row r="830" spans="2:14" ht="15.75" thickBot="1" x14ac:dyDescent="0.3">
      <c r="B830" s="82" t="s">
        <v>535</v>
      </c>
      <c r="C830" s="83" t="s">
        <v>629</v>
      </c>
      <c r="D830" s="124" t="s">
        <v>620</v>
      </c>
      <c r="E830" s="130">
        <v>1998</v>
      </c>
      <c r="F830" s="125" t="s">
        <v>736</v>
      </c>
      <c r="G830" s="125">
        <v>70</v>
      </c>
      <c r="H830" s="85">
        <v>11912.08</v>
      </c>
      <c r="I830" s="85" t="s">
        <v>630</v>
      </c>
      <c r="J830" s="128">
        <v>33918</v>
      </c>
      <c r="K830" s="128">
        <f t="shared" si="12"/>
        <v>2374260</v>
      </c>
      <c r="L830" s="125" t="s">
        <v>1406</v>
      </c>
      <c r="M830" s="85" t="s">
        <v>47</v>
      </c>
      <c r="N830" s="85" t="s">
        <v>1491</v>
      </c>
    </row>
    <row r="831" spans="2:14" ht="15.75" thickBot="1" x14ac:dyDescent="0.3">
      <c r="B831" s="82" t="s">
        <v>535</v>
      </c>
      <c r="C831" s="83" t="s">
        <v>629</v>
      </c>
      <c r="D831" s="124" t="s">
        <v>620</v>
      </c>
      <c r="E831" s="130">
        <v>1998</v>
      </c>
      <c r="F831" s="125" t="s">
        <v>736</v>
      </c>
      <c r="G831" s="125">
        <v>70</v>
      </c>
      <c r="H831" s="85">
        <v>5763.39</v>
      </c>
      <c r="I831" s="85" t="s">
        <v>630</v>
      </c>
      <c r="J831" s="128">
        <v>16062</v>
      </c>
      <c r="K831" s="128">
        <f t="shared" si="12"/>
        <v>1124340</v>
      </c>
      <c r="L831" s="125" t="s">
        <v>1407</v>
      </c>
      <c r="M831" s="85" t="s">
        <v>47</v>
      </c>
      <c r="N831" s="85" t="s">
        <v>1491</v>
      </c>
    </row>
    <row r="832" spans="2:14" ht="15.75" thickBot="1" x14ac:dyDescent="0.3">
      <c r="B832" s="82" t="s">
        <v>535</v>
      </c>
      <c r="C832" s="83" t="s">
        <v>629</v>
      </c>
      <c r="D832" s="124" t="s">
        <v>620</v>
      </c>
      <c r="E832" s="130">
        <v>2008</v>
      </c>
      <c r="F832" s="125" t="s">
        <v>731</v>
      </c>
      <c r="G832" s="125">
        <v>82</v>
      </c>
      <c r="H832" s="85">
        <v>16987.819999999996</v>
      </c>
      <c r="I832" s="85" t="s">
        <v>630</v>
      </c>
      <c r="J832" s="128">
        <v>46687</v>
      </c>
      <c r="K832" s="128">
        <f t="shared" si="12"/>
        <v>3828334</v>
      </c>
      <c r="L832" s="125" t="s">
        <v>1408</v>
      </c>
      <c r="M832" s="85" t="s">
        <v>47</v>
      </c>
      <c r="N832" s="85" t="s">
        <v>1491</v>
      </c>
    </row>
    <row r="833" spans="2:14" ht="15.75" thickBot="1" x14ac:dyDescent="0.3">
      <c r="B833" s="82" t="s">
        <v>535</v>
      </c>
      <c r="C833" s="83" t="s">
        <v>629</v>
      </c>
      <c r="D833" s="124" t="s">
        <v>620</v>
      </c>
      <c r="E833" s="130">
        <v>2005</v>
      </c>
      <c r="F833" s="125" t="s">
        <v>732</v>
      </c>
      <c r="G833" s="125">
        <v>86</v>
      </c>
      <c r="H833" s="85">
        <v>12880.411999999998</v>
      </c>
      <c r="I833" s="85" t="s">
        <v>630</v>
      </c>
      <c r="J833" s="128">
        <v>33670</v>
      </c>
      <c r="K833" s="128">
        <f t="shared" si="12"/>
        <v>2895620</v>
      </c>
      <c r="L833" s="125" t="s">
        <v>1409</v>
      </c>
      <c r="M833" s="85" t="s">
        <v>47</v>
      </c>
      <c r="N833" s="85" t="s">
        <v>1491</v>
      </c>
    </row>
    <row r="834" spans="2:14" ht="15.75" thickBot="1" x14ac:dyDescent="0.3">
      <c r="B834" s="82" t="s">
        <v>535</v>
      </c>
      <c r="C834" s="83" t="s">
        <v>629</v>
      </c>
      <c r="D834" s="124" t="s">
        <v>620</v>
      </c>
      <c r="E834" s="130">
        <v>2005</v>
      </c>
      <c r="F834" s="125" t="s">
        <v>732</v>
      </c>
      <c r="G834" s="125">
        <v>86</v>
      </c>
      <c r="H834" s="85">
        <v>11282.920000000002</v>
      </c>
      <c r="I834" s="85" t="s">
        <v>630</v>
      </c>
      <c r="J834" s="128">
        <v>30611</v>
      </c>
      <c r="K834" s="128">
        <f t="shared" si="12"/>
        <v>2632546</v>
      </c>
      <c r="L834" s="125" t="s">
        <v>1410</v>
      </c>
      <c r="M834" s="85" t="s">
        <v>47</v>
      </c>
      <c r="N834" s="85" t="s">
        <v>1491</v>
      </c>
    </row>
    <row r="835" spans="2:14" ht="15.75" thickBot="1" x14ac:dyDescent="0.3">
      <c r="B835" s="82" t="s">
        <v>535</v>
      </c>
      <c r="C835" s="83" t="s">
        <v>629</v>
      </c>
      <c r="D835" s="124" t="s">
        <v>620</v>
      </c>
      <c r="E835" s="130">
        <v>2005</v>
      </c>
      <c r="F835" s="125" t="s">
        <v>732</v>
      </c>
      <c r="G835" s="125">
        <v>34</v>
      </c>
      <c r="H835" s="85">
        <v>6447.1900000000005</v>
      </c>
      <c r="I835" s="85" t="s">
        <v>630</v>
      </c>
      <c r="J835" s="128">
        <v>23130</v>
      </c>
      <c r="K835" s="128">
        <f t="shared" si="12"/>
        <v>786420</v>
      </c>
      <c r="L835" s="125" t="s">
        <v>1411</v>
      </c>
      <c r="M835" s="85" t="s">
        <v>47</v>
      </c>
      <c r="N835" s="85" t="s">
        <v>1491</v>
      </c>
    </row>
    <row r="836" spans="2:14" ht="15.75" thickBot="1" x14ac:dyDescent="0.3">
      <c r="B836" s="82" t="s">
        <v>535</v>
      </c>
      <c r="C836" s="83" t="s">
        <v>629</v>
      </c>
      <c r="D836" s="124" t="s">
        <v>620</v>
      </c>
      <c r="E836" s="130">
        <v>2005</v>
      </c>
      <c r="F836" s="125" t="s">
        <v>732</v>
      </c>
      <c r="G836" s="125">
        <v>34</v>
      </c>
      <c r="H836" s="85">
        <v>9673.51</v>
      </c>
      <c r="I836" s="85" t="s">
        <v>630</v>
      </c>
      <c r="J836" s="128">
        <v>33303</v>
      </c>
      <c r="K836" s="128">
        <f t="shared" si="12"/>
        <v>1132302</v>
      </c>
      <c r="L836" s="125" t="s">
        <v>1412</v>
      </c>
      <c r="M836" s="85" t="s">
        <v>47</v>
      </c>
      <c r="N836" s="85" t="s">
        <v>1491</v>
      </c>
    </row>
    <row r="837" spans="2:14" ht="15.75" thickBot="1" x14ac:dyDescent="0.3">
      <c r="B837" s="82" t="s">
        <v>535</v>
      </c>
      <c r="C837" s="83" t="s">
        <v>629</v>
      </c>
      <c r="D837" s="124" t="s">
        <v>620</v>
      </c>
      <c r="E837" s="130">
        <v>2001</v>
      </c>
      <c r="F837" s="125" t="s">
        <v>732</v>
      </c>
      <c r="G837" s="125">
        <v>55</v>
      </c>
      <c r="H837" s="85">
        <v>7827.4400000000005</v>
      </c>
      <c r="I837" s="85" t="s">
        <v>630</v>
      </c>
      <c r="J837" s="128">
        <v>20528</v>
      </c>
      <c r="K837" s="128">
        <f t="shared" si="12"/>
        <v>1129040</v>
      </c>
      <c r="L837" s="125" t="s">
        <v>1413</v>
      </c>
      <c r="M837" s="85" t="s">
        <v>47</v>
      </c>
      <c r="N837" s="85" t="s">
        <v>1491</v>
      </c>
    </row>
    <row r="838" spans="2:14" ht="15.75" thickBot="1" x14ac:dyDescent="0.3">
      <c r="B838" s="82" t="s">
        <v>535</v>
      </c>
      <c r="C838" s="83" t="s">
        <v>629</v>
      </c>
      <c r="D838" s="124" t="s">
        <v>620</v>
      </c>
      <c r="E838" s="130">
        <v>1999</v>
      </c>
      <c r="F838" s="125" t="s">
        <v>736</v>
      </c>
      <c r="G838" s="125">
        <v>51</v>
      </c>
      <c r="H838" s="85">
        <v>7366.5700000000015</v>
      </c>
      <c r="I838" s="85" t="s">
        <v>630</v>
      </c>
      <c r="J838" s="128">
        <v>19297</v>
      </c>
      <c r="K838" s="128">
        <f t="shared" si="12"/>
        <v>984147</v>
      </c>
      <c r="L838" s="125" t="s">
        <v>1414</v>
      </c>
      <c r="M838" s="85" t="s">
        <v>47</v>
      </c>
      <c r="N838" s="85" t="s">
        <v>1491</v>
      </c>
    </row>
    <row r="839" spans="2:14" ht="15.75" thickBot="1" x14ac:dyDescent="0.3">
      <c r="B839" s="82" t="s">
        <v>535</v>
      </c>
      <c r="C839" s="83" t="s">
        <v>629</v>
      </c>
      <c r="D839" s="124" t="s">
        <v>620</v>
      </c>
      <c r="E839" s="130">
        <v>2000</v>
      </c>
      <c r="F839" s="125" t="s">
        <v>735</v>
      </c>
      <c r="G839" s="125">
        <v>49</v>
      </c>
      <c r="H839" s="85">
        <v>11768.87</v>
      </c>
      <c r="I839" s="85" t="s">
        <v>630</v>
      </c>
      <c r="J839" s="128">
        <v>32247</v>
      </c>
      <c r="K839" s="128">
        <f t="shared" si="12"/>
        <v>1580103</v>
      </c>
      <c r="L839" s="125" t="s">
        <v>1415</v>
      </c>
      <c r="M839" s="85" t="s">
        <v>47</v>
      </c>
      <c r="N839" s="85" t="s">
        <v>1491</v>
      </c>
    </row>
    <row r="840" spans="2:14" ht="15.75" thickBot="1" x14ac:dyDescent="0.3">
      <c r="B840" s="82" t="s">
        <v>535</v>
      </c>
      <c r="C840" s="83" t="s">
        <v>629</v>
      </c>
      <c r="D840" s="124" t="s">
        <v>620</v>
      </c>
      <c r="E840" s="130">
        <v>2004</v>
      </c>
      <c r="F840" s="125" t="s">
        <v>732</v>
      </c>
      <c r="G840" s="125">
        <v>53</v>
      </c>
      <c r="H840" s="85">
        <v>17773.616000000002</v>
      </c>
      <c r="I840" s="85" t="s">
        <v>630</v>
      </c>
      <c r="J840" s="128">
        <v>52908</v>
      </c>
      <c r="K840" s="128">
        <f t="shared" si="12"/>
        <v>2804124</v>
      </c>
      <c r="L840" s="125" t="s">
        <v>1416</v>
      </c>
      <c r="M840" s="85" t="s">
        <v>47</v>
      </c>
      <c r="N840" s="85" t="s">
        <v>1491</v>
      </c>
    </row>
    <row r="841" spans="2:14" ht="15.75" thickBot="1" x14ac:dyDescent="0.3">
      <c r="B841" s="82" t="s">
        <v>535</v>
      </c>
      <c r="C841" s="83" t="s">
        <v>629</v>
      </c>
      <c r="D841" s="124" t="s">
        <v>620</v>
      </c>
      <c r="E841" s="130">
        <v>2004</v>
      </c>
      <c r="F841" s="125" t="s">
        <v>732</v>
      </c>
      <c r="G841" s="125">
        <v>53</v>
      </c>
      <c r="H841" s="85">
        <v>13931.394</v>
      </c>
      <c r="I841" s="85" t="s">
        <v>630</v>
      </c>
      <c r="J841" s="128">
        <v>40879</v>
      </c>
      <c r="K841" s="128">
        <f t="shared" si="12"/>
        <v>2166587</v>
      </c>
      <c r="L841" s="125" t="s">
        <v>1417</v>
      </c>
      <c r="M841" s="85" t="s">
        <v>47</v>
      </c>
      <c r="N841" s="85" t="s">
        <v>1491</v>
      </c>
    </row>
    <row r="842" spans="2:14" ht="15.75" thickBot="1" x14ac:dyDescent="0.3">
      <c r="B842" s="82" t="s">
        <v>535</v>
      </c>
      <c r="C842" s="83" t="s">
        <v>629</v>
      </c>
      <c r="D842" s="124" t="s">
        <v>620</v>
      </c>
      <c r="E842" s="130">
        <v>2004</v>
      </c>
      <c r="F842" s="125" t="s">
        <v>732</v>
      </c>
      <c r="G842" s="125">
        <v>55</v>
      </c>
      <c r="H842" s="85">
        <v>20623.939999999999</v>
      </c>
      <c r="I842" s="85" t="s">
        <v>630</v>
      </c>
      <c r="J842" s="128">
        <v>55444</v>
      </c>
      <c r="K842" s="128">
        <f t="shared" si="12"/>
        <v>3049420</v>
      </c>
      <c r="L842" s="125" t="s">
        <v>1418</v>
      </c>
      <c r="M842" s="85" t="s">
        <v>47</v>
      </c>
      <c r="N842" s="85" t="s">
        <v>1491</v>
      </c>
    </row>
    <row r="843" spans="2:14" ht="15.75" thickBot="1" x14ac:dyDescent="0.3">
      <c r="B843" s="82" t="s">
        <v>535</v>
      </c>
      <c r="C843" s="83" t="s">
        <v>629</v>
      </c>
      <c r="D843" s="124" t="s">
        <v>620</v>
      </c>
      <c r="E843" s="130">
        <v>2005</v>
      </c>
      <c r="F843" s="125" t="s">
        <v>732</v>
      </c>
      <c r="G843" s="125">
        <v>37</v>
      </c>
      <c r="H843" s="85">
        <v>9046.1310000000012</v>
      </c>
      <c r="I843" s="85" t="s">
        <v>630</v>
      </c>
      <c r="J843" s="128">
        <v>26063</v>
      </c>
      <c r="K843" s="128">
        <f t="shared" si="12"/>
        <v>964331</v>
      </c>
      <c r="L843" s="125" t="s">
        <v>852</v>
      </c>
      <c r="M843" s="85" t="s">
        <v>47</v>
      </c>
      <c r="N843" s="85" t="s">
        <v>1491</v>
      </c>
    </row>
    <row r="844" spans="2:14" ht="15.75" thickBot="1" x14ac:dyDescent="0.3">
      <c r="B844" s="82" t="s">
        <v>535</v>
      </c>
      <c r="C844" s="83" t="s">
        <v>629</v>
      </c>
      <c r="D844" s="124" t="s">
        <v>620</v>
      </c>
      <c r="E844" s="130">
        <v>2005</v>
      </c>
      <c r="F844" s="125" t="s">
        <v>732</v>
      </c>
      <c r="G844" s="125">
        <v>37</v>
      </c>
      <c r="H844" s="85">
        <v>9857.1099999999988</v>
      </c>
      <c r="I844" s="85" t="s">
        <v>630</v>
      </c>
      <c r="J844" s="128">
        <v>28079</v>
      </c>
      <c r="K844" s="128">
        <f t="shared" si="12"/>
        <v>1038923</v>
      </c>
      <c r="L844" s="125" t="s">
        <v>854</v>
      </c>
      <c r="M844" s="85" t="s">
        <v>47</v>
      </c>
      <c r="N844" s="85" t="s">
        <v>1491</v>
      </c>
    </row>
    <row r="845" spans="2:14" ht="15.75" thickBot="1" x14ac:dyDescent="0.3">
      <c r="B845" s="82" t="s">
        <v>602</v>
      </c>
      <c r="C845" s="83" t="s">
        <v>629</v>
      </c>
      <c r="D845" s="124" t="s">
        <v>620</v>
      </c>
      <c r="E845" s="130">
        <v>2002</v>
      </c>
      <c r="F845" s="125" t="s">
        <v>732</v>
      </c>
      <c r="G845" s="125">
        <v>55</v>
      </c>
      <c r="H845" s="85">
        <v>4626.12</v>
      </c>
      <c r="I845" s="85" t="s">
        <v>630</v>
      </c>
      <c r="J845" s="128">
        <v>15896</v>
      </c>
      <c r="K845" s="128">
        <f t="shared" si="12"/>
        <v>874280</v>
      </c>
      <c r="L845" s="125" t="s">
        <v>1419</v>
      </c>
      <c r="M845" s="85" t="s">
        <v>47</v>
      </c>
      <c r="N845" s="85" t="s">
        <v>1491</v>
      </c>
    </row>
    <row r="846" spans="2:14" ht="15.75" thickBot="1" x14ac:dyDescent="0.3">
      <c r="B846" s="82" t="s">
        <v>602</v>
      </c>
      <c r="C846" s="83" t="s">
        <v>629</v>
      </c>
      <c r="D846" s="124" t="s">
        <v>620</v>
      </c>
      <c r="E846" s="130">
        <v>2004</v>
      </c>
      <c r="F846" s="125" t="s">
        <v>732</v>
      </c>
      <c r="G846" s="125">
        <v>53</v>
      </c>
      <c r="H846" s="85">
        <v>9057.39</v>
      </c>
      <c r="I846" s="85" t="s">
        <v>630</v>
      </c>
      <c r="J846" s="128">
        <v>25654</v>
      </c>
      <c r="K846" s="128">
        <f t="shared" si="12"/>
        <v>1359662</v>
      </c>
      <c r="L846" s="125" t="s">
        <v>1420</v>
      </c>
      <c r="M846" s="85" t="s">
        <v>47</v>
      </c>
      <c r="N846" s="85" t="s">
        <v>1491</v>
      </c>
    </row>
    <row r="847" spans="2:14" ht="15.75" thickBot="1" x14ac:dyDescent="0.3">
      <c r="B847" s="82" t="s">
        <v>602</v>
      </c>
      <c r="C847" s="83" t="s">
        <v>629</v>
      </c>
      <c r="D847" s="124" t="s">
        <v>620</v>
      </c>
      <c r="E847" s="130">
        <v>2006</v>
      </c>
      <c r="F847" s="125" t="s">
        <v>731</v>
      </c>
      <c r="G847" s="125">
        <v>55</v>
      </c>
      <c r="H847" s="85">
        <v>0</v>
      </c>
      <c r="I847" s="85" t="s">
        <v>630</v>
      </c>
      <c r="J847" s="128">
        <v>0</v>
      </c>
      <c r="K847" s="128">
        <f t="shared" si="12"/>
        <v>0</v>
      </c>
      <c r="L847" s="125" t="s">
        <v>1421</v>
      </c>
      <c r="M847" s="85" t="s">
        <v>47</v>
      </c>
      <c r="N847" s="85" t="s">
        <v>1491</v>
      </c>
    </row>
    <row r="848" spans="2:14" ht="15.75" thickBot="1" x14ac:dyDescent="0.3">
      <c r="B848" s="82" t="s">
        <v>602</v>
      </c>
      <c r="C848" s="83" t="s">
        <v>629</v>
      </c>
      <c r="D848" s="124" t="s">
        <v>620</v>
      </c>
      <c r="E848" s="130">
        <v>2007</v>
      </c>
      <c r="F848" s="125" t="s">
        <v>731</v>
      </c>
      <c r="G848" s="125">
        <v>36</v>
      </c>
      <c r="H848" s="85">
        <v>3062.1779999999999</v>
      </c>
      <c r="I848" s="85" t="s">
        <v>630</v>
      </c>
      <c r="J848" s="128">
        <v>10069</v>
      </c>
      <c r="K848" s="128">
        <f t="shared" si="12"/>
        <v>362484</v>
      </c>
      <c r="L848" s="125" t="s">
        <v>1422</v>
      </c>
      <c r="M848" s="85" t="s">
        <v>47</v>
      </c>
      <c r="N848" s="85" t="s">
        <v>1491</v>
      </c>
    </row>
    <row r="849" spans="2:14" ht="15.75" thickBot="1" x14ac:dyDescent="0.3">
      <c r="B849" s="82" t="s">
        <v>602</v>
      </c>
      <c r="C849" s="83" t="s">
        <v>629</v>
      </c>
      <c r="D849" s="124" t="s">
        <v>620</v>
      </c>
      <c r="E849" s="130">
        <v>2008</v>
      </c>
      <c r="F849" s="125" t="s">
        <v>731</v>
      </c>
      <c r="G849" s="125">
        <v>21</v>
      </c>
      <c r="H849" s="85">
        <v>51</v>
      </c>
      <c r="I849" s="85" t="s">
        <v>630</v>
      </c>
      <c r="J849" s="128">
        <v>188</v>
      </c>
      <c r="K849" s="128">
        <f t="shared" si="12"/>
        <v>3948</v>
      </c>
      <c r="L849" s="125" t="s">
        <v>1423</v>
      </c>
      <c r="M849" s="85" t="s">
        <v>47</v>
      </c>
      <c r="N849" s="85" t="s">
        <v>1491</v>
      </c>
    </row>
    <row r="850" spans="2:14" ht="15.75" thickBot="1" x14ac:dyDescent="0.3">
      <c r="B850" s="82" t="s">
        <v>602</v>
      </c>
      <c r="C850" s="83" t="s">
        <v>629</v>
      </c>
      <c r="D850" s="124" t="s">
        <v>620</v>
      </c>
      <c r="E850" s="130">
        <v>2011</v>
      </c>
      <c r="F850" s="125" t="s">
        <v>734</v>
      </c>
      <c r="G850" s="125">
        <v>53</v>
      </c>
      <c r="H850" s="85">
        <v>9566.42</v>
      </c>
      <c r="I850" s="85" t="s">
        <v>630</v>
      </c>
      <c r="J850" s="128">
        <v>29387</v>
      </c>
      <c r="K850" s="128">
        <f t="shared" si="12"/>
        <v>1557511</v>
      </c>
      <c r="L850" s="125" t="s">
        <v>1424</v>
      </c>
      <c r="M850" s="85" t="s">
        <v>47</v>
      </c>
      <c r="N850" s="85" t="s">
        <v>1491</v>
      </c>
    </row>
    <row r="851" spans="2:14" ht="15.75" thickBot="1" x14ac:dyDescent="0.3">
      <c r="B851" s="82" t="s">
        <v>602</v>
      </c>
      <c r="C851" s="83" t="s">
        <v>629</v>
      </c>
      <c r="D851" s="124" t="s">
        <v>620</v>
      </c>
      <c r="E851" s="130">
        <v>2011</v>
      </c>
      <c r="F851" s="125" t="s">
        <v>734</v>
      </c>
      <c r="G851" s="125">
        <v>53</v>
      </c>
      <c r="H851" s="85">
        <v>10759.15</v>
      </c>
      <c r="I851" s="85" t="s">
        <v>630</v>
      </c>
      <c r="J851" s="128">
        <v>32554</v>
      </c>
      <c r="K851" s="128">
        <f t="shared" si="12"/>
        <v>1725362</v>
      </c>
      <c r="L851" s="125" t="s">
        <v>1425</v>
      </c>
      <c r="M851" s="85" t="s">
        <v>47</v>
      </c>
      <c r="N851" s="85" t="s">
        <v>1491</v>
      </c>
    </row>
    <row r="852" spans="2:14" ht="15.75" thickBot="1" x14ac:dyDescent="0.3">
      <c r="B852" s="82" t="s">
        <v>602</v>
      </c>
      <c r="C852" s="83" t="s">
        <v>629</v>
      </c>
      <c r="D852" s="124" t="s">
        <v>620</v>
      </c>
      <c r="E852" s="130">
        <v>2011</v>
      </c>
      <c r="F852" s="125" t="s">
        <v>734</v>
      </c>
      <c r="G852" s="125">
        <v>53</v>
      </c>
      <c r="H852" s="85">
        <v>11748.06</v>
      </c>
      <c r="I852" s="85" t="s">
        <v>630</v>
      </c>
      <c r="J852" s="128">
        <v>36329</v>
      </c>
      <c r="K852" s="128">
        <f t="shared" si="12"/>
        <v>1925437</v>
      </c>
      <c r="L852" s="125" t="s">
        <v>1426</v>
      </c>
      <c r="M852" s="85" t="s">
        <v>47</v>
      </c>
      <c r="N852" s="85" t="s">
        <v>1491</v>
      </c>
    </row>
    <row r="853" spans="2:14" ht="15.75" thickBot="1" x14ac:dyDescent="0.3">
      <c r="B853" s="82" t="s">
        <v>602</v>
      </c>
      <c r="C853" s="83" t="s">
        <v>629</v>
      </c>
      <c r="D853" s="124" t="s">
        <v>620</v>
      </c>
      <c r="E853" s="130">
        <v>2011</v>
      </c>
      <c r="F853" s="125" t="s">
        <v>734</v>
      </c>
      <c r="G853" s="125">
        <v>53</v>
      </c>
      <c r="H853" s="85">
        <v>9661.5000000000018</v>
      </c>
      <c r="I853" s="85" t="s">
        <v>630</v>
      </c>
      <c r="J853" s="128">
        <v>29129</v>
      </c>
      <c r="K853" s="128">
        <f t="shared" si="12"/>
        <v>1543837</v>
      </c>
      <c r="L853" s="125" t="s">
        <v>1427</v>
      </c>
      <c r="M853" s="85" t="s">
        <v>47</v>
      </c>
      <c r="N853" s="85" t="s">
        <v>1491</v>
      </c>
    </row>
    <row r="854" spans="2:14" ht="15.75" thickBot="1" x14ac:dyDescent="0.3">
      <c r="B854" s="82" t="s">
        <v>602</v>
      </c>
      <c r="C854" s="83" t="s">
        <v>629</v>
      </c>
      <c r="D854" s="124" t="s">
        <v>620</v>
      </c>
      <c r="E854" s="130">
        <v>2011</v>
      </c>
      <c r="F854" s="125" t="s">
        <v>734</v>
      </c>
      <c r="G854" s="125">
        <v>53</v>
      </c>
      <c r="H854" s="85">
        <v>13771.939000000002</v>
      </c>
      <c r="I854" s="85" t="s">
        <v>630</v>
      </c>
      <c r="J854" s="128">
        <v>42376</v>
      </c>
      <c r="K854" s="128">
        <f t="shared" si="12"/>
        <v>2245928</v>
      </c>
      <c r="L854" s="125" t="s">
        <v>1428</v>
      </c>
      <c r="M854" s="85" t="s">
        <v>47</v>
      </c>
      <c r="N854" s="85" t="s">
        <v>1491</v>
      </c>
    </row>
    <row r="855" spans="2:14" ht="15.75" thickBot="1" x14ac:dyDescent="0.3">
      <c r="B855" s="82" t="s">
        <v>602</v>
      </c>
      <c r="C855" s="83" t="s">
        <v>629</v>
      </c>
      <c r="D855" s="124" t="s">
        <v>620</v>
      </c>
      <c r="E855" s="130">
        <v>2011</v>
      </c>
      <c r="F855" s="125" t="s">
        <v>734</v>
      </c>
      <c r="G855" s="125">
        <v>53</v>
      </c>
      <c r="H855" s="85">
        <v>9847.08</v>
      </c>
      <c r="I855" s="85" t="s">
        <v>630</v>
      </c>
      <c r="J855" s="128">
        <v>29941</v>
      </c>
      <c r="K855" s="128">
        <f t="shared" si="12"/>
        <v>1586873</v>
      </c>
      <c r="L855" s="125" t="s">
        <v>1429</v>
      </c>
      <c r="M855" s="85" t="s">
        <v>47</v>
      </c>
      <c r="N855" s="85" t="s">
        <v>1491</v>
      </c>
    </row>
    <row r="856" spans="2:14" ht="15.75" thickBot="1" x14ac:dyDescent="0.3">
      <c r="B856" s="82" t="s">
        <v>602</v>
      </c>
      <c r="C856" s="83" t="s">
        <v>629</v>
      </c>
      <c r="D856" s="124" t="s">
        <v>620</v>
      </c>
      <c r="E856" s="130">
        <v>2011</v>
      </c>
      <c r="F856" s="125" t="s">
        <v>734</v>
      </c>
      <c r="G856" s="125">
        <v>19</v>
      </c>
      <c r="H856" s="85">
        <v>0</v>
      </c>
      <c r="I856" s="85" t="s">
        <v>630</v>
      </c>
      <c r="J856" s="128">
        <v>0</v>
      </c>
      <c r="K856" s="128">
        <f t="shared" si="12"/>
        <v>0</v>
      </c>
      <c r="L856" s="125" t="s">
        <v>1430</v>
      </c>
      <c r="M856" s="85" t="s">
        <v>47</v>
      </c>
      <c r="N856" s="85" t="s">
        <v>1491</v>
      </c>
    </row>
    <row r="857" spans="2:14" ht="15.75" thickBot="1" x14ac:dyDescent="0.3">
      <c r="B857" s="82" t="s">
        <v>602</v>
      </c>
      <c r="C857" s="83" t="s">
        <v>629</v>
      </c>
      <c r="D857" s="124" t="s">
        <v>620</v>
      </c>
      <c r="E857" s="130">
        <v>2013</v>
      </c>
      <c r="F857" s="125" t="s">
        <v>733</v>
      </c>
      <c r="G857" s="125">
        <v>21</v>
      </c>
      <c r="H857" s="85">
        <v>359.09000000000003</v>
      </c>
      <c r="I857" s="85" t="s">
        <v>630</v>
      </c>
      <c r="J857" s="128">
        <v>2085</v>
      </c>
      <c r="K857" s="128">
        <f t="shared" si="12"/>
        <v>43785</v>
      </c>
      <c r="L857" s="125" t="s">
        <v>1431</v>
      </c>
      <c r="M857" s="85" t="s">
        <v>47</v>
      </c>
      <c r="N857" s="85" t="s">
        <v>1491</v>
      </c>
    </row>
    <row r="858" spans="2:14" ht="15.75" thickBot="1" x14ac:dyDescent="0.3">
      <c r="B858" s="82" t="s">
        <v>602</v>
      </c>
      <c r="C858" s="83" t="s">
        <v>629</v>
      </c>
      <c r="D858" s="124" t="s">
        <v>620</v>
      </c>
      <c r="E858" s="130">
        <v>2015</v>
      </c>
      <c r="F858" s="125" t="s">
        <v>733</v>
      </c>
      <c r="G858" s="125">
        <v>53</v>
      </c>
      <c r="H858" s="85">
        <v>13159.81</v>
      </c>
      <c r="I858" s="85" t="s">
        <v>630</v>
      </c>
      <c r="J858" s="128">
        <v>45164</v>
      </c>
      <c r="K858" s="128">
        <f t="shared" si="12"/>
        <v>2393692</v>
      </c>
      <c r="L858" s="125" t="s">
        <v>1432</v>
      </c>
      <c r="M858" s="85" t="s">
        <v>47</v>
      </c>
      <c r="N858" s="85" t="s">
        <v>1491</v>
      </c>
    </row>
    <row r="859" spans="2:14" ht="15.75" thickBot="1" x14ac:dyDescent="0.3">
      <c r="B859" s="82" t="s">
        <v>602</v>
      </c>
      <c r="C859" s="83" t="s">
        <v>629</v>
      </c>
      <c r="D859" s="124" t="s">
        <v>620</v>
      </c>
      <c r="E859" s="130">
        <v>2015</v>
      </c>
      <c r="F859" s="125" t="s">
        <v>733</v>
      </c>
      <c r="G859" s="125">
        <v>53</v>
      </c>
      <c r="H859" s="85">
        <v>14262.480000000001</v>
      </c>
      <c r="I859" s="85" t="s">
        <v>630</v>
      </c>
      <c r="J859" s="128">
        <v>47352</v>
      </c>
      <c r="K859" s="128">
        <f t="shared" si="12"/>
        <v>2509656</v>
      </c>
      <c r="L859" s="125" t="s">
        <v>1433</v>
      </c>
      <c r="M859" s="85" t="s">
        <v>47</v>
      </c>
      <c r="N859" s="85" t="s">
        <v>1491</v>
      </c>
    </row>
    <row r="860" spans="2:14" ht="15.75" thickBot="1" x14ac:dyDescent="0.3">
      <c r="B860" s="82" t="s">
        <v>602</v>
      </c>
      <c r="C860" s="83" t="s">
        <v>629</v>
      </c>
      <c r="D860" s="124" t="s">
        <v>620</v>
      </c>
      <c r="E860" s="130">
        <v>2015</v>
      </c>
      <c r="F860" s="125" t="s">
        <v>733</v>
      </c>
      <c r="G860" s="125">
        <v>53</v>
      </c>
      <c r="H860" s="85">
        <v>13601.14</v>
      </c>
      <c r="I860" s="85" t="s">
        <v>630</v>
      </c>
      <c r="J860" s="128">
        <v>46797</v>
      </c>
      <c r="K860" s="128">
        <f t="shared" si="12"/>
        <v>2480241</v>
      </c>
      <c r="L860" s="125" t="s">
        <v>1434</v>
      </c>
      <c r="M860" s="85" t="s">
        <v>47</v>
      </c>
      <c r="N860" s="85" t="s">
        <v>1491</v>
      </c>
    </row>
    <row r="861" spans="2:14" ht="15.75" thickBot="1" x14ac:dyDescent="0.3">
      <c r="B861" s="82" t="s">
        <v>602</v>
      </c>
      <c r="C861" s="83" t="s">
        <v>629</v>
      </c>
      <c r="D861" s="124" t="s">
        <v>620</v>
      </c>
      <c r="E861" s="130">
        <v>2015</v>
      </c>
      <c r="F861" s="125" t="s">
        <v>733</v>
      </c>
      <c r="G861" s="125">
        <v>59</v>
      </c>
      <c r="H861" s="85">
        <v>12887.129000000001</v>
      </c>
      <c r="I861" s="85" t="s">
        <v>630</v>
      </c>
      <c r="J861" s="128">
        <v>37771</v>
      </c>
      <c r="K861" s="128">
        <f t="shared" si="12"/>
        <v>2228489</v>
      </c>
      <c r="L861" s="125" t="s">
        <v>1435</v>
      </c>
      <c r="M861" s="85" t="s">
        <v>47</v>
      </c>
      <c r="N861" s="85" t="s">
        <v>1491</v>
      </c>
    </row>
    <row r="862" spans="2:14" ht="15.75" thickBot="1" x14ac:dyDescent="0.3">
      <c r="B862" s="82" t="s">
        <v>602</v>
      </c>
      <c r="C862" s="83" t="s">
        <v>629</v>
      </c>
      <c r="D862" s="124" t="s">
        <v>620</v>
      </c>
      <c r="E862" s="130">
        <v>2016</v>
      </c>
      <c r="F862" s="125" t="s">
        <v>733</v>
      </c>
      <c r="G862" s="125">
        <v>19</v>
      </c>
      <c r="H862" s="85">
        <v>873.28</v>
      </c>
      <c r="I862" s="85" t="s">
        <v>630</v>
      </c>
      <c r="J862" s="128">
        <v>4997</v>
      </c>
      <c r="K862" s="128">
        <f t="shared" si="12"/>
        <v>94943</v>
      </c>
      <c r="L862" s="125" t="s">
        <v>1436</v>
      </c>
      <c r="M862" s="85" t="s">
        <v>47</v>
      </c>
      <c r="N862" s="85" t="s">
        <v>1491</v>
      </c>
    </row>
    <row r="863" spans="2:14" ht="15.75" thickBot="1" x14ac:dyDescent="0.3">
      <c r="B863" s="82" t="s">
        <v>602</v>
      </c>
      <c r="C863" s="83" t="s">
        <v>629</v>
      </c>
      <c r="D863" s="124" t="s">
        <v>620</v>
      </c>
      <c r="E863" s="130">
        <v>2016</v>
      </c>
      <c r="F863" s="125" t="s">
        <v>733</v>
      </c>
      <c r="G863" s="125">
        <v>57</v>
      </c>
      <c r="H863" s="85">
        <v>12078.029999999999</v>
      </c>
      <c r="I863" s="85" t="s">
        <v>630</v>
      </c>
      <c r="J863" s="128">
        <v>36692</v>
      </c>
      <c r="K863" s="128">
        <f t="shared" ref="K863:K916" si="13">J863*G863</f>
        <v>2091444</v>
      </c>
      <c r="L863" s="125" t="s">
        <v>1437</v>
      </c>
      <c r="M863" s="85" t="s">
        <v>47</v>
      </c>
      <c r="N863" s="85" t="s">
        <v>1491</v>
      </c>
    </row>
    <row r="864" spans="2:14" ht="15.75" thickBot="1" x14ac:dyDescent="0.3">
      <c r="B864" s="82" t="s">
        <v>602</v>
      </c>
      <c r="C864" s="83" t="s">
        <v>629</v>
      </c>
      <c r="D864" s="124" t="s">
        <v>620</v>
      </c>
      <c r="E864" s="130">
        <v>2016</v>
      </c>
      <c r="F864" s="125" t="s">
        <v>733</v>
      </c>
      <c r="G864" s="125">
        <v>57</v>
      </c>
      <c r="H864" s="85">
        <v>12786.09</v>
      </c>
      <c r="I864" s="85" t="s">
        <v>630</v>
      </c>
      <c r="J864" s="128">
        <v>43958</v>
      </c>
      <c r="K864" s="128">
        <f t="shared" si="13"/>
        <v>2505606</v>
      </c>
      <c r="L864" s="125" t="s">
        <v>1438</v>
      </c>
      <c r="M864" s="85" t="s">
        <v>47</v>
      </c>
      <c r="N864" s="85" t="s">
        <v>1491</v>
      </c>
    </row>
    <row r="865" spans="2:14" ht="15.75" thickBot="1" x14ac:dyDescent="0.3">
      <c r="B865" s="82" t="s">
        <v>602</v>
      </c>
      <c r="C865" s="83" t="s">
        <v>629</v>
      </c>
      <c r="D865" s="124" t="s">
        <v>620</v>
      </c>
      <c r="E865" s="130">
        <v>2017</v>
      </c>
      <c r="F865" s="125" t="s">
        <v>733</v>
      </c>
      <c r="G865" s="125">
        <v>27</v>
      </c>
      <c r="H865" s="85">
        <v>3946.6199999999994</v>
      </c>
      <c r="I865" s="85" t="s">
        <v>630</v>
      </c>
      <c r="J865" s="128">
        <v>19234</v>
      </c>
      <c r="K865" s="128">
        <f t="shared" si="13"/>
        <v>519318</v>
      </c>
      <c r="L865" s="125" t="s">
        <v>1439</v>
      </c>
      <c r="M865" s="85" t="s">
        <v>47</v>
      </c>
      <c r="N865" s="85" t="s">
        <v>1491</v>
      </c>
    </row>
    <row r="866" spans="2:14" ht="15.75" thickBot="1" x14ac:dyDescent="0.3">
      <c r="B866" s="82" t="s">
        <v>602</v>
      </c>
      <c r="C866" s="83" t="s">
        <v>629</v>
      </c>
      <c r="D866" s="124" t="s">
        <v>620</v>
      </c>
      <c r="E866" s="130">
        <v>2019</v>
      </c>
      <c r="F866" s="125" t="s">
        <v>733</v>
      </c>
      <c r="G866" s="125">
        <v>19</v>
      </c>
      <c r="H866" s="85">
        <v>3503.5499999999997</v>
      </c>
      <c r="I866" s="85" t="s">
        <v>630</v>
      </c>
      <c r="J866" s="128">
        <v>23733</v>
      </c>
      <c r="K866" s="128">
        <f t="shared" si="13"/>
        <v>450927</v>
      </c>
      <c r="L866" s="125" t="s">
        <v>1440</v>
      </c>
      <c r="M866" s="85" t="s">
        <v>47</v>
      </c>
      <c r="N866" s="85" t="s">
        <v>1491</v>
      </c>
    </row>
    <row r="867" spans="2:14" ht="15.75" thickBot="1" x14ac:dyDescent="0.3">
      <c r="B867" s="82" t="s">
        <v>602</v>
      </c>
      <c r="C867" s="83" t="s">
        <v>629</v>
      </c>
      <c r="D867" s="124" t="s">
        <v>620</v>
      </c>
      <c r="E867" s="130">
        <v>2019</v>
      </c>
      <c r="F867" s="125" t="s">
        <v>733</v>
      </c>
      <c r="G867" s="125">
        <v>19</v>
      </c>
      <c r="H867" s="85">
        <v>2837.73</v>
      </c>
      <c r="I867" s="85" t="s">
        <v>630</v>
      </c>
      <c r="J867" s="128">
        <v>21133</v>
      </c>
      <c r="K867" s="128">
        <f t="shared" si="13"/>
        <v>401527</v>
      </c>
      <c r="L867" s="125" t="s">
        <v>1441</v>
      </c>
      <c r="M867" s="85" t="s">
        <v>47</v>
      </c>
      <c r="N867" s="85" t="s">
        <v>1491</v>
      </c>
    </row>
    <row r="868" spans="2:14" ht="15.75" thickBot="1" x14ac:dyDescent="0.3">
      <c r="B868" s="82" t="s">
        <v>602</v>
      </c>
      <c r="C868" s="83" t="s">
        <v>629</v>
      </c>
      <c r="D868" s="124" t="s">
        <v>620</v>
      </c>
      <c r="E868" s="130">
        <v>2019</v>
      </c>
      <c r="F868" s="125" t="s">
        <v>733</v>
      </c>
      <c r="G868" s="125">
        <v>53</v>
      </c>
      <c r="H868" s="85">
        <v>11244.230000000001</v>
      </c>
      <c r="I868" s="85" t="s">
        <v>630</v>
      </c>
      <c r="J868" s="128">
        <v>43739</v>
      </c>
      <c r="K868" s="128">
        <f t="shared" si="13"/>
        <v>2318167</v>
      </c>
      <c r="L868" s="125" t="s">
        <v>1442</v>
      </c>
      <c r="M868" s="85" t="s">
        <v>47</v>
      </c>
      <c r="N868" s="85" t="s">
        <v>1491</v>
      </c>
    </row>
    <row r="869" spans="2:14" ht="15.75" thickBot="1" x14ac:dyDescent="0.3">
      <c r="B869" s="82" t="s">
        <v>602</v>
      </c>
      <c r="C869" s="83" t="s">
        <v>629</v>
      </c>
      <c r="D869" s="124" t="s">
        <v>620</v>
      </c>
      <c r="E869" s="130">
        <v>2019</v>
      </c>
      <c r="F869" s="125" t="s">
        <v>733</v>
      </c>
      <c r="G869" s="125">
        <v>53</v>
      </c>
      <c r="H869" s="85">
        <v>12311.795000000002</v>
      </c>
      <c r="I869" s="85" t="s">
        <v>630</v>
      </c>
      <c r="J869" s="128">
        <v>48184</v>
      </c>
      <c r="K869" s="128">
        <f t="shared" si="13"/>
        <v>2553752</v>
      </c>
      <c r="L869" s="125" t="s">
        <v>1443</v>
      </c>
      <c r="M869" s="85" t="s">
        <v>47</v>
      </c>
      <c r="N869" s="85" t="s">
        <v>1491</v>
      </c>
    </row>
    <row r="870" spans="2:14" ht="15.75" thickBot="1" x14ac:dyDescent="0.3">
      <c r="B870" s="82" t="s">
        <v>602</v>
      </c>
      <c r="C870" s="83" t="s">
        <v>629</v>
      </c>
      <c r="D870" s="124" t="s">
        <v>620</v>
      </c>
      <c r="E870" s="130">
        <v>2019</v>
      </c>
      <c r="F870" s="125" t="s">
        <v>733</v>
      </c>
      <c r="G870" s="125">
        <v>53</v>
      </c>
      <c r="H870" s="85">
        <v>12666.49</v>
      </c>
      <c r="I870" s="85" t="s">
        <v>630</v>
      </c>
      <c r="J870" s="128">
        <v>51353</v>
      </c>
      <c r="K870" s="128">
        <f t="shared" si="13"/>
        <v>2721709</v>
      </c>
      <c r="L870" s="125" t="s">
        <v>1444</v>
      </c>
      <c r="M870" s="85" t="s">
        <v>47</v>
      </c>
      <c r="N870" s="85" t="s">
        <v>1491</v>
      </c>
    </row>
    <row r="871" spans="2:14" ht="15.75" thickBot="1" x14ac:dyDescent="0.3">
      <c r="B871" s="82" t="s">
        <v>602</v>
      </c>
      <c r="C871" s="83" t="s">
        <v>629</v>
      </c>
      <c r="D871" s="124" t="s">
        <v>620</v>
      </c>
      <c r="E871" s="130">
        <v>2019</v>
      </c>
      <c r="F871" s="125" t="s">
        <v>733</v>
      </c>
      <c r="G871" s="125">
        <v>53</v>
      </c>
      <c r="H871" s="85">
        <v>13616.699999999997</v>
      </c>
      <c r="I871" s="85" t="s">
        <v>630</v>
      </c>
      <c r="J871" s="128">
        <v>52946</v>
      </c>
      <c r="K871" s="128">
        <f t="shared" si="13"/>
        <v>2806138</v>
      </c>
      <c r="L871" s="125" t="s">
        <v>1445</v>
      </c>
      <c r="M871" s="85" t="s">
        <v>47</v>
      </c>
      <c r="N871" s="85" t="s">
        <v>1491</v>
      </c>
    </row>
    <row r="872" spans="2:14" ht="15.75" thickBot="1" x14ac:dyDescent="0.3">
      <c r="B872" s="82" t="s">
        <v>602</v>
      </c>
      <c r="C872" s="83" t="s">
        <v>629</v>
      </c>
      <c r="D872" s="124" t="s">
        <v>620</v>
      </c>
      <c r="E872" s="130">
        <v>2019</v>
      </c>
      <c r="F872" s="125" t="s">
        <v>733</v>
      </c>
      <c r="G872" s="125">
        <v>39</v>
      </c>
      <c r="H872" s="85">
        <v>8903.8000000000011</v>
      </c>
      <c r="I872" s="85" t="s">
        <v>630</v>
      </c>
      <c r="J872" s="128">
        <v>30965</v>
      </c>
      <c r="K872" s="128">
        <f t="shared" si="13"/>
        <v>1207635</v>
      </c>
      <c r="L872" s="125" t="s">
        <v>1446</v>
      </c>
      <c r="M872" s="85" t="s">
        <v>47</v>
      </c>
      <c r="N872" s="85" t="s">
        <v>1491</v>
      </c>
    </row>
    <row r="873" spans="2:14" ht="15.75" thickBot="1" x14ac:dyDescent="0.3">
      <c r="B873" s="82" t="s">
        <v>602</v>
      </c>
      <c r="C873" s="83" t="s">
        <v>629</v>
      </c>
      <c r="D873" s="124" t="s">
        <v>620</v>
      </c>
      <c r="E873" s="130">
        <v>2019</v>
      </c>
      <c r="F873" s="125" t="s">
        <v>733</v>
      </c>
      <c r="G873" s="125">
        <v>39</v>
      </c>
      <c r="H873" s="85">
        <v>10223.376</v>
      </c>
      <c r="I873" s="85" t="s">
        <v>630</v>
      </c>
      <c r="J873" s="128">
        <v>36034</v>
      </c>
      <c r="K873" s="128">
        <f t="shared" si="13"/>
        <v>1405326</v>
      </c>
      <c r="L873" s="125" t="s">
        <v>1447</v>
      </c>
      <c r="M873" s="85" t="s">
        <v>47</v>
      </c>
      <c r="N873" s="85" t="s">
        <v>1491</v>
      </c>
    </row>
    <row r="874" spans="2:14" ht="15.75" thickBot="1" x14ac:dyDescent="0.3">
      <c r="B874" s="82" t="s">
        <v>602</v>
      </c>
      <c r="C874" s="83" t="s">
        <v>629</v>
      </c>
      <c r="D874" s="124" t="s">
        <v>620</v>
      </c>
      <c r="E874" s="130">
        <v>2020</v>
      </c>
      <c r="F874" s="125" t="s">
        <v>733</v>
      </c>
      <c r="G874" s="125">
        <v>53</v>
      </c>
      <c r="H874" s="85">
        <v>10571.279999999999</v>
      </c>
      <c r="I874" s="85" t="s">
        <v>630</v>
      </c>
      <c r="J874" s="128">
        <v>38707</v>
      </c>
      <c r="K874" s="128">
        <f t="shared" si="13"/>
        <v>2051471</v>
      </c>
      <c r="L874" s="125" t="s">
        <v>1448</v>
      </c>
      <c r="M874" s="85" t="s">
        <v>47</v>
      </c>
      <c r="N874" s="85" t="s">
        <v>1491</v>
      </c>
    </row>
    <row r="875" spans="2:14" ht="15.75" thickBot="1" x14ac:dyDescent="0.3">
      <c r="B875" s="82" t="s">
        <v>536</v>
      </c>
      <c r="C875" s="83" t="s">
        <v>629</v>
      </c>
      <c r="D875" s="124" t="s">
        <v>620</v>
      </c>
      <c r="E875" s="130">
        <v>2005</v>
      </c>
      <c r="F875" s="125" t="s">
        <v>732</v>
      </c>
      <c r="G875" s="125">
        <v>21</v>
      </c>
      <c r="H875" s="85">
        <v>279.16999999999996</v>
      </c>
      <c r="I875" s="85" t="s">
        <v>630</v>
      </c>
      <c r="J875" s="128">
        <v>1480</v>
      </c>
      <c r="K875" s="128">
        <f t="shared" si="13"/>
        <v>31080</v>
      </c>
      <c r="L875" s="125" t="s">
        <v>1449</v>
      </c>
      <c r="M875" s="85" t="s">
        <v>47</v>
      </c>
      <c r="N875" s="85" t="s">
        <v>1491</v>
      </c>
    </row>
    <row r="876" spans="2:14" ht="15.75" thickBot="1" x14ac:dyDescent="0.3">
      <c r="B876" s="82" t="s">
        <v>536</v>
      </c>
      <c r="C876" s="83" t="s">
        <v>629</v>
      </c>
      <c r="D876" s="124" t="s">
        <v>620</v>
      </c>
      <c r="E876" s="130">
        <v>2006</v>
      </c>
      <c r="F876" s="125" t="s">
        <v>731</v>
      </c>
      <c r="G876" s="125">
        <v>19</v>
      </c>
      <c r="H876" s="85">
        <v>2315.7400000000002</v>
      </c>
      <c r="I876" s="85" t="s">
        <v>630</v>
      </c>
      <c r="J876" s="128">
        <v>13424</v>
      </c>
      <c r="K876" s="128">
        <f t="shared" si="13"/>
        <v>255056</v>
      </c>
      <c r="L876" s="125" t="s">
        <v>1450</v>
      </c>
      <c r="M876" s="85" t="s">
        <v>47</v>
      </c>
      <c r="N876" s="85" t="s">
        <v>1491</v>
      </c>
    </row>
    <row r="877" spans="2:14" ht="15.75" thickBot="1" x14ac:dyDescent="0.3">
      <c r="B877" s="82" t="s">
        <v>536</v>
      </c>
      <c r="C877" s="83" t="s">
        <v>629</v>
      </c>
      <c r="D877" s="124" t="s">
        <v>620</v>
      </c>
      <c r="E877" s="130">
        <v>2007</v>
      </c>
      <c r="F877" s="125" t="s">
        <v>731</v>
      </c>
      <c r="G877" s="125">
        <v>55</v>
      </c>
      <c r="H877" s="85">
        <v>14595.17</v>
      </c>
      <c r="I877" s="85" t="s">
        <v>630</v>
      </c>
      <c r="J877" s="128">
        <v>40997</v>
      </c>
      <c r="K877" s="128">
        <f t="shared" si="13"/>
        <v>2254835</v>
      </c>
      <c r="L877" s="125" t="s">
        <v>1451</v>
      </c>
      <c r="M877" s="85" t="s">
        <v>47</v>
      </c>
      <c r="N877" s="85" t="s">
        <v>1491</v>
      </c>
    </row>
    <row r="878" spans="2:14" ht="15.75" thickBot="1" x14ac:dyDescent="0.3">
      <c r="B878" s="82" t="s">
        <v>536</v>
      </c>
      <c r="C878" s="83" t="s">
        <v>629</v>
      </c>
      <c r="D878" s="124" t="s">
        <v>620</v>
      </c>
      <c r="E878" s="130">
        <v>2008</v>
      </c>
      <c r="F878" s="125" t="s">
        <v>731</v>
      </c>
      <c r="G878" s="125">
        <v>34</v>
      </c>
      <c r="H878" s="85">
        <v>11122.499999999998</v>
      </c>
      <c r="I878" s="85" t="s">
        <v>630</v>
      </c>
      <c r="J878" s="128">
        <v>31866</v>
      </c>
      <c r="K878" s="128">
        <f t="shared" si="13"/>
        <v>1083444</v>
      </c>
      <c r="L878" s="125" t="s">
        <v>1452</v>
      </c>
      <c r="M878" s="85" t="s">
        <v>47</v>
      </c>
      <c r="N878" s="85" t="s">
        <v>1491</v>
      </c>
    </row>
    <row r="879" spans="2:14" ht="15.75" thickBot="1" x14ac:dyDescent="0.3">
      <c r="B879" s="82" t="s">
        <v>536</v>
      </c>
      <c r="C879" s="83" t="s">
        <v>629</v>
      </c>
      <c r="D879" s="124" t="s">
        <v>620</v>
      </c>
      <c r="E879" s="130">
        <v>2008</v>
      </c>
      <c r="F879" s="125" t="s">
        <v>731</v>
      </c>
      <c r="G879" s="125">
        <v>34</v>
      </c>
      <c r="H879" s="85">
        <v>13420.04</v>
      </c>
      <c r="I879" s="85" t="s">
        <v>630</v>
      </c>
      <c r="J879" s="128">
        <v>38922</v>
      </c>
      <c r="K879" s="128">
        <f t="shared" si="13"/>
        <v>1323348</v>
      </c>
      <c r="L879" s="125" t="s">
        <v>1453</v>
      </c>
      <c r="M879" s="85" t="s">
        <v>47</v>
      </c>
      <c r="N879" s="85" t="s">
        <v>1491</v>
      </c>
    </row>
    <row r="880" spans="2:14" ht="15.75" thickBot="1" x14ac:dyDescent="0.3">
      <c r="B880" s="82" t="s">
        <v>536</v>
      </c>
      <c r="C880" s="83" t="s">
        <v>629</v>
      </c>
      <c r="D880" s="124" t="s">
        <v>620</v>
      </c>
      <c r="E880" s="130">
        <v>2008</v>
      </c>
      <c r="F880" s="125" t="s">
        <v>731</v>
      </c>
      <c r="G880" s="125">
        <v>72</v>
      </c>
      <c r="H880" s="85">
        <v>1422.17</v>
      </c>
      <c r="I880" s="85" t="s">
        <v>630</v>
      </c>
      <c r="J880" s="128">
        <v>3316</v>
      </c>
      <c r="K880" s="128">
        <f t="shared" si="13"/>
        <v>238752</v>
      </c>
      <c r="L880" s="125" t="s">
        <v>1454</v>
      </c>
      <c r="M880" s="85" t="s">
        <v>47</v>
      </c>
      <c r="N880" s="85" t="s">
        <v>1491</v>
      </c>
    </row>
    <row r="881" spans="2:14" ht="15.75" thickBot="1" x14ac:dyDescent="0.3">
      <c r="B881" s="82" t="s">
        <v>536</v>
      </c>
      <c r="C881" s="83" t="s">
        <v>629</v>
      </c>
      <c r="D881" s="124" t="s">
        <v>620</v>
      </c>
      <c r="E881" s="130">
        <v>2009</v>
      </c>
      <c r="F881" s="125" t="s">
        <v>734</v>
      </c>
      <c r="G881" s="125">
        <v>34</v>
      </c>
      <c r="H881" s="85">
        <v>1130.6500000000001</v>
      </c>
      <c r="I881" s="85" t="s">
        <v>630</v>
      </c>
      <c r="J881" s="128">
        <v>3497</v>
      </c>
      <c r="K881" s="128">
        <f t="shared" si="13"/>
        <v>118898</v>
      </c>
      <c r="L881" s="125" t="s">
        <v>1455</v>
      </c>
      <c r="M881" s="85" t="s">
        <v>47</v>
      </c>
      <c r="N881" s="85" t="s">
        <v>1491</v>
      </c>
    </row>
    <row r="882" spans="2:14" ht="15.75" thickBot="1" x14ac:dyDescent="0.3">
      <c r="B882" s="82" t="s">
        <v>536</v>
      </c>
      <c r="C882" s="83" t="s">
        <v>629</v>
      </c>
      <c r="D882" s="124" t="s">
        <v>620</v>
      </c>
      <c r="E882" s="130">
        <v>2010</v>
      </c>
      <c r="F882" s="125" t="s">
        <v>734</v>
      </c>
      <c r="G882" s="125">
        <v>72</v>
      </c>
      <c r="H882" s="85">
        <v>6844.5300000000007</v>
      </c>
      <c r="I882" s="85" t="s">
        <v>630</v>
      </c>
      <c r="J882" s="128">
        <v>18484</v>
      </c>
      <c r="K882" s="128">
        <f t="shared" si="13"/>
        <v>1330848</v>
      </c>
      <c r="L882" s="125" t="s">
        <v>1456</v>
      </c>
      <c r="M882" s="85" t="s">
        <v>47</v>
      </c>
      <c r="N882" s="85" t="s">
        <v>1491</v>
      </c>
    </row>
    <row r="883" spans="2:14" ht="15.75" thickBot="1" x14ac:dyDescent="0.3">
      <c r="B883" s="82" t="s">
        <v>536</v>
      </c>
      <c r="C883" s="83" t="s">
        <v>629</v>
      </c>
      <c r="D883" s="124" t="s">
        <v>620</v>
      </c>
      <c r="E883" s="130">
        <v>2010</v>
      </c>
      <c r="F883" s="125" t="s">
        <v>734</v>
      </c>
      <c r="G883" s="125">
        <v>72</v>
      </c>
      <c r="H883" s="85">
        <v>7057.6600000000008</v>
      </c>
      <c r="I883" s="85" t="s">
        <v>630</v>
      </c>
      <c r="J883" s="128">
        <v>19088</v>
      </c>
      <c r="K883" s="128">
        <f t="shared" si="13"/>
        <v>1374336</v>
      </c>
      <c r="L883" s="125" t="s">
        <v>1457</v>
      </c>
      <c r="M883" s="85" t="s">
        <v>47</v>
      </c>
      <c r="N883" s="85" t="s">
        <v>1491</v>
      </c>
    </row>
    <row r="884" spans="2:14" ht="15.75" thickBot="1" x14ac:dyDescent="0.3">
      <c r="B884" s="82" t="s">
        <v>536</v>
      </c>
      <c r="C884" s="83" t="s">
        <v>629</v>
      </c>
      <c r="D884" s="124" t="s">
        <v>620</v>
      </c>
      <c r="E884" s="130">
        <v>2010</v>
      </c>
      <c r="F884" s="125" t="s">
        <v>734</v>
      </c>
      <c r="G884" s="125">
        <v>72</v>
      </c>
      <c r="H884" s="85">
        <v>5769.0599999999995</v>
      </c>
      <c r="I884" s="85" t="s">
        <v>630</v>
      </c>
      <c r="J884" s="128">
        <v>15995</v>
      </c>
      <c r="K884" s="128">
        <f t="shared" si="13"/>
        <v>1151640</v>
      </c>
      <c r="L884" s="125" t="s">
        <v>1458</v>
      </c>
      <c r="M884" s="85" t="s">
        <v>47</v>
      </c>
      <c r="N884" s="85" t="s">
        <v>1491</v>
      </c>
    </row>
    <row r="885" spans="2:14" ht="15.75" thickBot="1" x14ac:dyDescent="0.3">
      <c r="B885" s="82" t="s">
        <v>536</v>
      </c>
      <c r="C885" s="83" t="s">
        <v>629</v>
      </c>
      <c r="D885" s="124" t="s">
        <v>620</v>
      </c>
      <c r="E885" s="130">
        <v>2010</v>
      </c>
      <c r="F885" s="125" t="s">
        <v>734</v>
      </c>
      <c r="G885" s="125">
        <v>72</v>
      </c>
      <c r="H885" s="85">
        <v>2778.95</v>
      </c>
      <c r="I885" s="85" t="s">
        <v>630</v>
      </c>
      <c r="J885" s="128">
        <v>6286</v>
      </c>
      <c r="K885" s="128">
        <f t="shared" si="13"/>
        <v>452592</v>
      </c>
      <c r="L885" s="125" t="s">
        <v>1459</v>
      </c>
      <c r="M885" s="85" t="s">
        <v>47</v>
      </c>
      <c r="N885" s="85" t="s">
        <v>1491</v>
      </c>
    </row>
    <row r="886" spans="2:14" ht="15.75" thickBot="1" x14ac:dyDescent="0.3">
      <c r="B886" s="82" t="s">
        <v>536</v>
      </c>
      <c r="C886" s="83" t="s">
        <v>629</v>
      </c>
      <c r="D886" s="124" t="s">
        <v>620</v>
      </c>
      <c r="E886" s="130">
        <v>2011</v>
      </c>
      <c r="F886" s="125" t="s">
        <v>734</v>
      </c>
      <c r="G886" s="125">
        <v>22</v>
      </c>
      <c r="H886" s="85">
        <v>1157.6500000000001</v>
      </c>
      <c r="I886" s="85" t="s">
        <v>630</v>
      </c>
      <c r="J886" s="128">
        <v>6630</v>
      </c>
      <c r="K886" s="128">
        <f t="shared" si="13"/>
        <v>145860</v>
      </c>
      <c r="L886" s="125" t="s">
        <v>1460</v>
      </c>
      <c r="M886" s="85" t="s">
        <v>47</v>
      </c>
      <c r="N886" s="85" t="s">
        <v>1491</v>
      </c>
    </row>
    <row r="887" spans="2:14" ht="15.75" thickBot="1" x14ac:dyDescent="0.3">
      <c r="B887" s="82" t="s">
        <v>536</v>
      </c>
      <c r="C887" s="83" t="s">
        <v>629</v>
      </c>
      <c r="D887" s="124" t="s">
        <v>620</v>
      </c>
      <c r="E887" s="130">
        <v>2012</v>
      </c>
      <c r="F887" s="125" t="s">
        <v>734</v>
      </c>
      <c r="G887" s="125">
        <v>72</v>
      </c>
      <c r="H887" s="85">
        <v>4410.6900000000005</v>
      </c>
      <c r="I887" s="85" t="s">
        <v>630</v>
      </c>
      <c r="J887" s="128">
        <v>12539</v>
      </c>
      <c r="K887" s="128">
        <f t="shared" si="13"/>
        <v>902808</v>
      </c>
      <c r="L887" s="125" t="s">
        <v>1461</v>
      </c>
      <c r="M887" s="85" t="s">
        <v>47</v>
      </c>
      <c r="N887" s="85" t="s">
        <v>1491</v>
      </c>
    </row>
    <row r="888" spans="2:14" ht="15.75" thickBot="1" x14ac:dyDescent="0.3">
      <c r="B888" s="82" t="s">
        <v>536</v>
      </c>
      <c r="C888" s="83" t="s">
        <v>629</v>
      </c>
      <c r="D888" s="124" t="s">
        <v>620</v>
      </c>
      <c r="E888" s="130">
        <v>2012</v>
      </c>
      <c r="F888" s="125" t="s">
        <v>734</v>
      </c>
      <c r="G888" s="125">
        <v>72</v>
      </c>
      <c r="H888" s="85">
        <v>5006.46</v>
      </c>
      <c r="I888" s="85" t="s">
        <v>630</v>
      </c>
      <c r="J888" s="128">
        <v>14427</v>
      </c>
      <c r="K888" s="128">
        <f t="shared" si="13"/>
        <v>1038744</v>
      </c>
      <c r="L888" s="125" t="s">
        <v>1462</v>
      </c>
      <c r="M888" s="85" t="s">
        <v>47</v>
      </c>
      <c r="N888" s="85" t="s">
        <v>1491</v>
      </c>
    </row>
    <row r="889" spans="2:14" ht="15.75" thickBot="1" x14ac:dyDescent="0.3">
      <c r="B889" s="82" t="s">
        <v>536</v>
      </c>
      <c r="C889" s="83" t="s">
        <v>629</v>
      </c>
      <c r="D889" s="124" t="s">
        <v>620</v>
      </c>
      <c r="E889" s="130">
        <v>2014</v>
      </c>
      <c r="F889" s="125" t="s">
        <v>733</v>
      </c>
      <c r="G889" s="125">
        <v>16</v>
      </c>
      <c r="H889" s="85">
        <v>4038.5</v>
      </c>
      <c r="I889" s="85" t="s">
        <v>630</v>
      </c>
      <c r="J889" s="128">
        <v>24546</v>
      </c>
      <c r="K889" s="128">
        <f t="shared" si="13"/>
        <v>392736</v>
      </c>
      <c r="L889" s="125" t="s">
        <v>1463</v>
      </c>
      <c r="M889" s="85" t="s">
        <v>47</v>
      </c>
      <c r="N889" s="85" t="s">
        <v>1491</v>
      </c>
    </row>
    <row r="890" spans="2:14" ht="15.75" thickBot="1" x14ac:dyDescent="0.3">
      <c r="B890" s="82" t="s">
        <v>536</v>
      </c>
      <c r="C890" s="83" t="s">
        <v>629</v>
      </c>
      <c r="D890" s="124" t="s">
        <v>620</v>
      </c>
      <c r="E890" s="130">
        <v>2014</v>
      </c>
      <c r="F890" s="125" t="s">
        <v>733</v>
      </c>
      <c r="G890" s="125">
        <v>16</v>
      </c>
      <c r="H890" s="85">
        <v>3807.1</v>
      </c>
      <c r="I890" s="85" t="s">
        <v>630</v>
      </c>
      <c r="J890" s="128">
        <v>24629</v>
      </c>
      <c r="K890" s="128">
        <f t="shared" si="13"/>
        <v>394064</v>
      </c>
      <c r="L890" s="125" t="s">
        <v>1464</v>
      </c>
      <c r="M890" s="85" t="s">
        <v>47</v>
      </c>
      <c r="N890" s="85" t="s">
        <v>1491</v>
      </c>
    </row>
    <row r="891" spans="2:14" ht="15.75" thickBot="1" x14ac:dyDescent="0.3">
      <c r="B891" s="82" t="s">
        <v>536</v>
      </c>
      <c r="C891" s="83" t="s">
        <v>629</v>
      </c>
      <c r="D891" s="124" t="s">
        <v>620</v>
      </c>
      <c r="E891" s="130">
        <v>2014</v>
      </c>
      <c r="F891" s="125" t="s">
        <v>733</v>
      </c>
      <c r="G891" s="125">
        <v>73</v>
      </c>
      <c r="H891" s="85">
        <v>13846.400000000001</v>
      </c>
      <c r="I891" s="85" t="s">
        <v>630</v>
      </c>
      <c r="J891" s="128">
        <v>41356</v>
      </c>
      <c r="K891" s="128">
        <f t="shared" si="13"/>
        <v>3018988</v>
      </c>
      <c r="L891" s="125" t="s">
        <v>1465</v>
      </c>
      <c r="M891" s="85" t="s">
        <v>47</v>
      </c>
      <c r="N891" s="85" t="s">
        <v>1491</v>
      </c>
    </row>
    <row r="892" spans="2:14" ht="15.75" thickBot="1" x14ac:dyDescent="0.3">
      <c r="B892" s="82" t="s">
        <v>536</v>
      </c>
      <c r="C892" s="83" t="s">
        <v>629</v>
      </c>
      <c r="D892" s="124" t="s">
        <v>620</v>
      </c>
      <c r="E892" s="130">
        <v>2015</v>
      </c>
      <c r="F892" s="125" t="s">
        <v>733</v>
      </c>
      <c r="G892" s="125">
        <v>22</v>
      </c>
      <c r="H892" s="85">
        <v>3402.9</v>
      </c>
      <c r="I892" s="85" t="s">
        <v>630</v>
      </c>
      <c r="J892" s="128">
        <v>18691</v>
      </c>
      <c r="K892" s="128">
        <f t="shared" si="13"/>
        <v>411202</v>
      </c>
      <c r="L892" s="125" t="s">
        <v>1466</v>
      </c>
      <c r="M892" s="85" t="s">
        <v>47</v>
      </c>
      <c r="N892" s="85" t="s">
        <v>1491</v>
      </c>
    </row>
    <row r="893" spans="2:14" ht="15.75" thickBot="1" x14ac:dyDescent="0.3">
      <c r="B893" s="82" t="s">
        <v>536</v>
      </c>
      <c r="C893" s="83" t="s">
        <v>629</v>
      </c>
      <c r="D893" s="124" t="s">
        <v>620</v>
      </c>
      <c r="E893" s="130">
        <v>2015</v>
      </c>
      <c r="F893" s="125" t="s">
        <v>733</v>
      </c>
      <c r="G893" s="125">
        <v>73</v>
      </c>
      <c r="H893" s="85">
        <v>12750.990000000002</v>
      </c>
      <c r="I893" s="85" t="s">
        <v>630</v>
      </c>
      <c r="J893" s="128">
        <v>28559</v>
      </c>
      <c r="K893" s="128">
        <f t="shared" si="13"/>
        <v>2084807</v>
      </c>
      <c r="L893" s="125" t="s">
        <v>1467</v>
      </c>
      <c r="M893" s="85" t="s">
        <v>47</v>
      </c>
      <c r="N893" s="85" t="s">
        <v>1491</v>
      </c>
    </row>
    <row r="894" spans="2:14" ht="15.75" thickBot="1" x14ac:dyDescent="0.3">
      <c r="B894" s="82" t="s">
        <v>536</v>
      </c>
      <c r="C894" s="83" t="s">
        <v>629</v>
      </c>
      <c r="D894" s="124" t="s">
        <v>620</v>
      </c>
      <c r="E894" s="130">
        <v>2015</v>
      </c>
      <c r="F894" s="125" t="s">
        <v>733</v>
      </c>
      <c r="G894" s="125">
        <v>73</v>
      </c>
      <c r="H894" s="85">
        <v>13227.36</v>
      </c>
      <c r="I894" s="85" t="s">
        <v>630</v>
      </c>
      <c r="J894" s="128">
        <v>30812</v>
      </c>
      <c r="K894" s="128">
        <f t="shared" si="13"/>
        <v>2249276</v>
      </c>
      <c r="L894" s="125" t="s">
        <v>1468</v>
      </c>
      <c r="M894" s="85" t="s">
        <v>47</v>
      </c>
      <c r="N894" s="85" t="s">
        <v>1491</v>
      </c>
    </row>
    <row r="895" spans="2:14" ht="15.75" thickBot="1" x14ac:dyDescent="0.3">
      <c r="B895" s="82" t="s">
        <v>536</v>
      </c>
      <c r="C895" s="83" t="s">
        <v>629</v>
      </c>
      <c r="D895" s="124" t="s">
        <v>620</v>
      </c>
      <c r="E895" s="130">
        <v>2016</v>
      </c>
      <c r="F895" s="125" t="s">
        <v>733</v>
      </c>
      <c r="G895" s="125">
        <v>22</v>
      </c>
      <c r="H895" s="85">
        <v>2463.62</v>
      </c>
      <c r="I895" s="85" t="s">
        <v>630</v>
      </c>
      <c r="J895" s="128">
        <v>12009</v>
      </c>
      <c r="K895" s="128">
        <f t="shared" si="13"/>
        <v>264198</v>
      </c>
      <c r="L895" s="125" t="s">
        <v>1469</v>
      </c>
      <c r="M895" s="85" t="s">
        <v>47</v>
      </c>
      <c r="N895" s="85" t="s">
        <v>1491</v>
      </c>
    </row>
    <row r="896" spans="2:14" ht="15.75" thickBot="1" x14ac:dyDescent="0.3">
      <c r="B896" s="82" t="s">
        <v>536</v>
      </c>
      <c r="C896" s="83" t="s">
        <v>629</v>
      </c>
      <c r="D896" s="124" t="s">
        <v>620</v>
      </c>
      <c r="E896" s="130">
        <v>2016</v>
      </c>
      <c r="F896" s="125" t="s">
        <v>733</v>
      </c>
      <c r="G896" s="125">
        <v>22</v>
      </c>
      <c r="H896" s="85">
        <v>2096.29</v>
      </c>
      <c r="I896" s="85" t="s">
        <v>630</v>
      </c>
      <c r="J896" s="128">
        <v>10979</v>
      </c>
      <c r="K896" s="128">
        <f t="shared" si="13"/>
        <v>241538</v>
      </c>
      <c r="L896" s="125" t="s">
        <v>1470</v>
      </c>
      <c r="M896" s="85" t="s">
        <v>47</v>
      </c>
      <c r="N896" s="85" t="s">
        <v>1491</v>
      </c>
    </row>
    <row r="897" spans="2:14" ht="15.75" thickBot="1" x14ac:dyDescent="0.3">
      <c r="B897" s="82" t="s">
        <v>536</v>
      </c>
      <c r="C897" s="83" t="s">
        <v>629</v>
      </c>
      <c r="D897" s="124" t="s">
        <v>620</v>
      </c>
      <c r="E897" s="130">
        <v>2016</v>
      </c>
      <c r="F897" s="125" t="s">
        <v>733</v>
      </c>
      <c r="G897" s="125">
        <v>73</v>
      </c>
      <c r="H897" s="85">
        <v>12814.020000000002</v>
      </c>
      <c r="I897" s="85" t="s">
        <v>630</v>
      </c>
      <c r="J897" s="128">
        <v>29826</v>
      </c>
      <c r="K897" s="128">
        <f t="shared" si="13"/>
        <v>2177298</v>
      </c>
      <c r="L897" s="125" t="s">
        <v>1471</v>
      </c>
      <c r="M897" s="85" t="s">
        <v>47</v>
      </c>
      <c r="N897" s="85" t="s">
        <v>1491</v>
      </c>
    </row>
    <row r="898" spans="2:14" ht="15.75" thickBot="1" x14ac:dyDescent="0.3">
      <c r="B898" s="82" t="s">
        <v>536</v>
      </c>
      <c r="C898" s="83" t="s">
        <v>629</v>
      </c>
      <c r="D898" s="124" t="s">
        <v>620</v>
      </c>
      <c r="E898" s="130">
        <v>2016</v>
      </c>
      <c r="F898" s="125" t="s">
        <v>733</v>
      </c>
      <c r="G898" s="125">
        <v>73</v>
      </c>
      <c r="H898" s="85">
        <v>10853.829999999998</v>
      </c>
      <c r="I898" s="85" t="s">
        <v>630</v>
      </c>
      <c r="J898" s="128">
        <v>26351</v>
      </c>
      <c r="K898" s="128">
        <f t="shared" si="13"/>
        <v>1923623</v>
      </c>
      <c r="L898" s="125" t="s">
        <v>1472</v>
      </c>
      <c r="M898" s="85" t="s">
        <v>47</v>
      </c>
      <c r="N898" s="85" t="s">
        <v>1491</v>
      </c>
    </row>
    <row r="899" spans="2:14" ht="15.75" thickBot="1" x14ac:dyDescent="0.3">
      <c r="B899" s="82" t="s">
        <v>536</v>
      </c>
      <c r="C899" s="83" t="s">
        <v>629</v>
      </c>
      <c r="D899" s="124" t="s">
        <v>620</v>
      </c>
      <c r="E899" s="130">
        <v>2017</v>
      </c>
      <c r="F899" s="125" t="s">
        <v>733</v>
      </c>
      <c r="G899" s="125">
        <v>19</v>
      </c>
      <c r="H899" s="85">
        <v>6720.94</v>
      </c>
      <c r="I899" s="85" t="s">
        <v>630</v>
      </c>
      <c r="J899" s="128">
        <v>45001</v>
      </c>
      <c r="K899" s="128">
        <f t="shared" si="13"/>
        <v>855019</v>
      </c>
      <c r="L899" s="125" t="s">
        <v>1473</v>
      </c>
      <c r="M899" s="85" t="s">
        <v>47</v>
      </c>
      <c r="N899" s="85" t="s">
        <v>1491</v>
      </c>
    </row>
    <row r="900" spans="2:14" ht="15.75" thickBot="1" x14ac:dyDescent="0.3">
      <c r="B900" s="82" t="s">
        <v>536</v>
      </c>
      <c r="C900" s="83" t="s">
        <v>629</v>
      </c>
      <c r="D900" s="124" t="s">
        <v>620</v>
      </c>
      <c r="E900" s="130">
        <v>2017</v>
      </c>
      <c r="F900" s="125" t="s">
        <v>733</v>
      </c>
      <c r="G900" s="125">
        <v>22</v>
      </c>
      <c r="H900" s="85">
        <v>3964.03</v>
      </c>
      <c r="I900" s="85" t="s">
        <v>630</v>
      </c>
      <c r="J900" s="128">
        <v>16966</v>
      </c>
      <c r="K900" s="128">
        <f t="shared" si="13"/>
        <v>373252</v>
      </c>
      <c r="L900" s="125" t="s">
        <v>1474</v>
      </c>
      <c r="M900" s="85" t="s">
        <v>47</v>
      </c>
      <c r="N900" s="85" t="s">
        <v>1491</v>
      </c>
    </row>
    <row r="901" spans="2:14" ht="15.75" thickBot="1" x14ac:dyDescent="0.3">
      <c r="B901" s="82" t="s">
        <v>536</v>
      </c>
      <c r="C901" s="83" t="s">
        <v>629</v>
      </c>
      <c r="D901" s="124" t="s">
        <v>620</v>
      </c>
      <c r="E901" s="130">
        <v>2017</v>
      </c>
      <c r="F901" s="125" t="s">
        <v>733</v>
      </c>
      <c r="G901" s="125">
        <v>22</v>
      </c>
      <c r="H901" s="85">
        <v>3391.1000000000004</v>
      </c>
      <c r="I901" s="85" t="s">
        <v>630</v>
      </c>
      <c r="J901" s="128">
        <v>15608</v>
      </c>
      <c r="K901" s="128">
        <f t="shared" si="13"/>
        <v>343376</v>
      </c>
      <c r="L901" s="125" t="s">
        <v>1475</v>
      </c>
      <c r="M901" s="85" t="s">
        <v>47</v>
      </c>
      <c r="N901" s="85" t="s">
        <v>1491</v>
      </c>
    </row>
    <row r="902" spans="2:14" ht="15.75" thickBot="1" x14ac:dyDescent="0.3">
      <c r="B902" s="82" t="s">
        <v>536</v>
      </c>
      <c r="C902" s="83" t="s">
        <v>629</v>
      </c>
      <c r="D902" s="124" t="s">
        <v>620</v>
      </c>
      <c r="E902" s="130">
        <v>2017</v>
      </c>
      <c r="F902" s="125" t="s">
        <v>733</v>
      </c>
      <c r="G902" s="125">
        <v>57</v>
      </c>
      <c r="H902" s="85">
        <v>20112.010000000002</v>
      </c>
      <c r="I902" s="85" t="s">
        <v>630</v>
      </c>
      <c r="J902" s="128">
        <v>69240</v>
      </c>
      <c r="K902" s="128">
        <f t="shared" si="13"/>
        <v>3946680</v>
      </c>
      <c r="L902" s="125" t="s">
        <v>1476</v>
      </c>
      <c r="M902" s="85" t="s">
        <v>47</v>
      </c>
      <c r="N902" s="85" t="s">
        <v>1491</v>
      </c>
    </row>
    <row r="903" spans="2:14" ht="15.75" thickBot="1" x14ac:dyDescent="0.3">
      <c r="B903" s="82" t="s">
        <v>536</v>
      </c>
      <c r="C903" s="83" t="s">
        <v>629</v>
      </c>
      <c r="D903" s="124" t="s">
        <v>620</v>
      </c>
      <c r="E903" s="130">
        <v>2017</v>
      </c>
      <c r="F903" s="125" t="s">
        <v>733</v>
      </c>
      <c r="G903" s="125">
        <v>73</v>
      </c>
      <c r="H903" s="85">
        <v>17971.37</v>
      </c>
      <c r="I903" s="85" t="s">
        <v>630</v>
      </c>
      <c r="J903" s="128">
        <v>43952</v>
      </c>
      <c r="K903" s="128">
        <f t="shared" si="13"/>
        <v>3208496</v>
      </c>
      <c r="L903" s="125" t="s">
        <v>1477</v>
      </c>
      <c r="M903" s="85" t="s">
        <v>47</v>
      </c>
      <c r="N903" s="85" t="s">
        <v>1491</v>
      </c>
    </row>
    <row r="904" spans="2:14" ht="15.75" thickBot="1" x14ac:dyDescent="0.3">
      <c r="B904" s="82" t="s">
        <v>536</v>
      </c>
      <c r="C904" s="83" t="s">
        <v>629</v>
      </c>
      <c r="D904" s="124" t="s">
        <v>620</v>
      </c>
      <c r="E904" s="130">
        <v>2017</v>
      </c>
      <c r="F904" s="125" t="s">
        <v>733</v>
      </c>
      <c r="G904" s="125">
        <v>73</v>
      </c>
      <c r="H904" s="85">
        <v>13943.19</v>
      </c>
      <c r="I904" s="85" t="s">
        <v>630</v>
      </c>
      <c r="J904" s="128">
        <v>33606</v>
      </c>
      <c r="K904" s="128">
        <f t="shared" si="13"/>
        <v>2453238</v>
      </c>
      <c r="L904" s="125" t="s">
        <v>1478</v>
      </c>
      <c r="M904" s="85" t="s">
        <v>47</v>
      </c>
      <c r="N904" s="85" t="s">
        <v>1491</v>
      </c>
    </row>
    <row r="905" spans="2:14" ht="15.75" thickBot="1" x14ac:dyDescent="0.3">
      <c r="B905" s="82" t="s">
        <v>536</v>
      </c>
      <c r="C905" s="83" t="s">
        <v>629</v>
      </c>
      <c r="D905" s="124" t="s">
        <v>620</v>
      </c>
      <c r="E905" s="130">
        <v>2018</v>
      </c>
      <c r="F905" s="125" t="s">
        <v>733</v>
      </c>
      <c r="G905" s="125">
        <v>19</v>
      </c>
      <c r="H905" s="85">
        <v>6714.15</v>
      </c>
      <c r="I905" s="85" t="s">
        <v>630</v>
      </c>
      <c r="J905" s="128">
        <v>44399</v>
      </c>
      <c r="K905" s="128">
        <f t="shared" si="13"/>
        <v>843581</v>
      </c>
      <c r="L905" s="125" t="s">
        <v>1479</v>
      </c>
      <c r="M905" s="85" t="s">
        <v>47</v>
      </c>
      <c r="N905" s="85" t="s">
        <v>1491</v>
      </c>
    </row>
    <row r="906" spans="2:14" ht="15.75" thickBot="1" x14ac:dyDescent="0.3">
      <c r="B906" s="82" t="s">
        <v>536</v>
      </c>
      <c r="C906" s="83" t="s">
        <v>629</v>
      </c>
      <c r="D906" s="124" t="s">
        <v>620</v>
      </c>
      <c r="E906" s="130">
        <v>2018</v>
      </c>
      <c r="F906" s="125" t="s">
        <v>733</v>
      </c>
      <c r="G906" s="125">
        <v>22</v>
      </c>
      <c r="H906" s="85">
        <v>5344.23</v>
      </c>
      <c r="I906" s="85" t="s">
        <v>630</v>
      </c>
      <c r="J906" s="128">
        <v>21708</v>
      </c>
      <c r="K906" s="128">
        <f t="shared" si="13"/>
        <v>477576</v>
      </c>
      <c r="L906" s="125" t="s">
        <v>1480</v>
      </c>
      <c r="M906" s="85" t="s">
        <v>47</v>
      </c>
      <c r="N906" s="85" t="s">
        <v>1491</v>
      </c>
    </row>
    <row r="907" spans="2:14" ht="15.75" thickBot="1" x14ac:dyDescent="0.3">
      <c r="B907" s="82" t="s">
        <v>536</v>
      </c>
      <c r="C907" s="83" t="s">
        <v>629</v>
      </c>
      <c r="D907" s="124" t="s">
        <v>620</v>
      </c>
      <c r="E907" s="130">
        <v>2018</v>
      </c>
      <c r="F907" s="125" t="s">
        <v>733</v>
      </c>
      <c r="G907" s="125">
        <v>39</v>
      </c>
      <c r="H907" s="85">
        <v>16082.58</v>
      </c>
      <c r="I907" s="85" t="s">
        <v>630</v>
      </c>
      <c r="J907" s="128">
        <v>57332</v>
      </c>
      <c r="K907" s="128">
        <f t="shared" si="13"/>
        <v>2235948</v>
      </c>
      <c r="L907" s="125" t="s">
        <v>1481</v>
      </c>
      <c r="M907" s="85" t="s">
        <v>47</v>
      </c>
      <c r="N907" s="85" t="s">
        <v>1491</v>
      </c>
    </row>
    <row r="908" spans="2:14" ht="15.75" thickBot="1" x14ac:dyDescent="0.3">
      <c r="B908" s="82" t="s">
        <v>536</v>
      </c>
      <c r="C908" s="83" t="s">
        <v>629</v>
      </c>
      <c r="D908" s="124" t="s">
        <v>620</v>
      </c>
      <c r="E908" s="130">
        <v>2018</v>
      </c>
      <c r="F908" s="125" t="s">
        <v>733</v>
      </c>
      <c r="G908" s="125">
        <v>73</v>
      </c>
      <c r="H908" s="85">
        <v>14765.65</v>
      </c>
      <c r="I908" s="85" t="s">
        <v>630</v>
      </c>
      <c r="J908" s="128">
        <v>35680</v>
      </c>
      <c r="K908" s="128">
        <f t="shared" si="13"/>
        <v>2604640</v>
      </c>
      <c r="L908" s="125" t="s">
        <v>1482</v>
      </c>
      <c r="M908" s="85" t="s">
        <v>47</v>
      </c>
      <c r="N908" s="85" t="s">
        <v>1491</v>
      </c>
    </row>
    <row r="909" spans="2:14" ht="15.75" thickBot="1" x14ac:dyDescent="0.3">
      <c r="B909" s="82" t="s">
        <v>536</v>
      </c>
      <c r="C909" s="83" t="s">
        <v>629</v>
      </c>
      <c r="D909" s="124" t="s">
        <v>620</v>
      </c>
      <c r="E909" s="130">
        <v>2018</v>
      </c>
      <c r="F909" s="125" t="s">
        <v>733</v>
      </c>
      <c r="G909" s="125">
        <v>73</v>
      </c>
      <c r="H909" s="85">
        <v>12547.949999999999</v>
      </c>
      <c r="I909" s="85" t="s">
        <v>630</v>
      </c>
      <c r="J909" s="128">
        <v>29648</v>
      </c>
      <c r="K909" s="128">
        <f t="shared" si="13"/>
        <v>2164304</v>
      </c>
      <c r="L909" s="125" t="s">
        <v>1483</v>
      </c>
      <c r="M909" s="85" t="s">
        <v>47</v>
      </c>
      <c r="N909" s="85" t="s">
        <v>1491</v>
      </c>
    </row>
    <row r="910" spans="2:14" ht="15.75" thickBot="1" x14ac:dyDescent="0.3">
      <c r="B910" s="82" t="s">
        <v>536</v>
      </c>
      <c r="C910" s="83" t="s">
        <v>629</v>
      </c>
      <c r="D910" s="124" t="s">
        <v>620</v>
      </c>
      <c r="E910" s="130">
        <v>2019</v>
      </c>
      <c r="F910" s="125" t="s">
        <v>733</v>
      </c>
      <c r="G910" s="125">
        <v>22</v>
      </c>
      <c r="H910" s="85">
        <v>6958.7699999999986</v>
      </c>
      <c r="I910" s="85" t="s">
        <v>630</v>
      </c>
      <c r="J910" s="128">
        <v>29309</v>
      </c>
      <c r="K910" s="128">
        <f t="shared" si="13"/>
        <v>644798</v>
      </c>
      <c r="L910" s="125" t="s">
        <v>1484</v>
      </c>
      <c r="M910" s="85" t="s">
        <v>47</v>
      </c>
      <c r="N910" s="85" t="s">
        <v>1491</v>
      </c>
    </row>
    <row r="911" spans="2:14" ht="15.75" thickBot="1" x14ac:dyDescent="0.3">
      <c r="B911" s="82" t="s">
        <v>536</v>
      </c>
      <c r="C911" s="83" t="s">
        <v>629</v>
      </c>
      <c r="D911" s="124" t="s">
        <v>620</v>
      </c>
      <c r="E911" s="130">
        <v>2019</v>
      </c>
      <c r="F911" s="125" t="s">
        <v>733</v>
      </c>
      <c r="G911" s="125">
        <v>22</v>
      </c>
      <c r="H911" s="85">
        <v>5295.93</v>
      </c>
      <c r="I911" s="85" t="s">
        <v>630</v>
      </c>
      <c r="J911" s="128">
        <v>22723</v>
      </c>
      <c r="K911" s="128">
        <f t="shared" si="13"/>
        <v>499906</v>
      </c>
      <c r="L911" s="125" t="s">
        <v>1485</v>
      </c>
      <c r="M911" s="85" t="s">
        <v>47</v>
      </c>
      <c r="N911" s="85" t="s">
        <v>1491</v>
      </c>
    </row>
    <row r="912" spans="2:14" ht="15.75" thickBot="1" x14ac:dyDescent="0.3">
      <c r="B912" s="82" t="s">
        <v>536</v>
      </c>
      <c r="C912" s="83" t="s">
        <v>629</v>
      </c>
      <c r="D912" s="124" t="s">
        <v>620</v>
      </c>
      <c r="E912" s="130">
        <v>2019</v>
      </c>
      <c r="F912" s="125" t="s">
        <v>733</v>
      </c>
      <c r="G912" s="125">
        <v>73</v>
      </c>
      <c r="H912" s="85">
        <v>15434.279999999999</v>
      </c>
      <c r="I912" s="85" t="s">
        <v>630</v>
      </c>
      <c r="J912" s="128">
        <v>38573</v>
      </c>
      <c r="K912" s="128">
        <f t="shared" si="13"/>
        <v>2815829</v>
      </c>
      <c r="L912" s="125" t="s">
        <v>1486</v>
      </c>
      <c r="M912" s="85" t="s">
        <v>47</v>
      </c>
      <c r="N912" s="85" t="s">
        <v>1491</v>
      </c>
    </row>
    <row r="913" spans="2:14" ht="15.75" thickBot="1" x14ac:dyDescent="0.3">
      <c r="B913" s="82" t="s">
        <v>536</v>
      </c>
      <c r="C913" s="83" t="s">
        <v>629</v>
      </c>
      <c r="D913" s="124" t="s">
        <v>620</v>
      </c>
      <c r="E913" s="130">
        <v>2019</v>
      </c>
      <c r="F913" s="125" t="s">
        <v>733</v>
      </c>
      <c r="G913" s="125">
        <v>73</v>
      </c>
      <c r="H913" s="85">
        <v>14751.61</v>
      </c>
      <c r="I913" s="85" t="s">
        <v>630</v>
      </c>
      <c r="J913" s="128">
        <v>37349</v>
      </c>
      <c r="K913" s="128">
        <f t="shared" si="13"/>
        <v>2726477</v>
      </c>
      <c r="L913" s="125" t="s">
        <v>1487</v>
      </c>
      <c r="M913" s="85" t="s">
        <v>47</v>
      </c>
      <c r="N913" s="85" t="s">
        <v>1491</v>
      </c>
    </row>
    <row r="914" spans="2:14" ht="15.75" thickBot="1" x14ac:dyDescent="0.3">
      <c r="B914" s="82" t="s">
        <v>536</v>
      </c>
      <c r="C914" s="83" t="s">
        <v>629</v>
      </c>
      <c r="D914" s="124" t="s">
        <v>620</v>
      </c>
      <c r="E914" s="130">
        <v>1995</v>
      </c>
      <c r="F914" s="125" t="s">
        <v>736</v>
      </c>
      <c r="G914" s="125">
        <v>73</v>
      </c>
      <c r="H914" s="85">
        <v>0</v>
      </c>
      <c r="I914" s="85" t="s">
        <v>630</v>
      </c>
      <c r="J914" s="128">
        <v>0</v>
      </c>
      <c r="K914" s="128">
        <f t="shared" si="13"/>
        <v>0</v>
      </c>
      <c r="L914" s="125" t="s">
        <v>1488</v>
      </c>
      <c r="M914" s="85" t="s">
        <v>47</v>
      </c>
      <c r="N914" s="85" t="s">
        <v>1491</v>
      </c>
    </row>
    <row r="915" spans="2:14" ht="15.75" thickBot="1" x14ac:dyDescent="0.3">
      <c r="B915" s="82" t="s">
        <v>536</v>
      </c>
      <c r="C915" s="83" t="s">
        <v>629</v>
      </c>
      <c r="D915" s="124" t="s">
        <v>620</v>
      </c>
      <c r="E915" s="130">
        <v>1995</v>
      </c>
      <c r="F915" s="125" t="s">
        <v>736</v>
      </c>
      <c r="G915" s="125">
        <v>73</v>
      </c>
      <c r="H915" s="85">
        <v>0</v>
      </c>
      <c r="I915" s="85" t="s">
        <v>630</v>
      </c>
      <c r="J915" s="128">
        <v>0</v>
      </c>
      <c r="K915" s="128">
        <f t="shared" si="13"/>
        <v>0</v>
      </c>
      <c r="L915" s="125" t="s">
        <v>1489</v>
      </c>
      <c r="M915" s="85" t="s">
        <v>47</v>
      </c>
      <c r="N915" s="85" t="s">
        <v>1491</v>
      </c>
    </row>
    <row r="916" spans="2:14" ht="15.75" thickBot="1" x14ac:dyDescent="0.3">
      <c r="B916" s="82" t="s">
        <v>536</v>
      </c>
      <c r="C916" s="83" t="s">
        <v>629</v>
      </c>
      <c r="D916" s="124" t="s">
        <v>620</v>
      </c>
      <c r="E916" s="130">
        <v>1996</v>
      </c>
      <c r="F916" s="125" t="s">
        <v>736</v>
      </c>
      <c r="G916" s="125">
        <v>63</v>
      </c>
      <c r="H916" s="85">
        <v>164.04</v>
      </c>
      <c r="I916" s="85" t="s">
        <v>630</v>
      </c>
      <c r="J916" s="128">
        <v>410</v>
      </c>
      <c r="K916" s="128">
        <f t="shared" si="13"/>
        <v>25830</v>
      </c>
      <c r="L916" s="125" t="s">
        <v>1490</v>
      </c>
      <c r="M916" s="85" t="s">
        <v>47</v>
      </c>
      <c r="N916" s="85" t="s">
        <v>1491</v>
      </c>
    </row>
  </sheetData>
  <autoFilter ref="B28:M916"/>
  <mergeCells count="27">
    <mergeCell ref="B21:T22"/>
    <mergeCell ref="B9:V9"/>
    <mergeCell ref="B11:C11"/>
    <mergeCell ref="D11:Q11"/>
    <mergeCell ref="B12:C12"/>
    <mergeCell ref="D12:Q12"/>
    <mergeCell ref="B13:C13"/>
    <mergeCell ref="D13:Q13"/>
    <mergeCell ref="B14:C14"/>
    <mergeCell ref="D14:Q14"/>
    <mergeCell ref="B15:C15"/>
    <mergeCell ref="D15:Q15"/>
    <mergeCell ref="B17:V17"/>
    <mergeCell ref="L28:L29"/>
    <mergeCell ref="E28:E29"/>
    <mergeCell ref="M28:M29"/>
    <mergeCell ref="B25:T26"/>
    <mergeCell ref="B28:B29"/>
    <mergeCell ref="C28:C29"/>
    <mergeCell ref="D28:D29"/>
    <mergeCell ref="F28:F29"/>
    <mergeCell ref="G28:G29"/>
    <mergeCell ref="H28:H29"/>
    <mergeCell ref="I28:I29"/>
    <mergeCell ref="J28:J29"/>
    <mergeCell ref="K28:K29"/>
    <mergeCell ref="N28:N29"/>
  </mergeCells>
  <dataValidations count="3">
    <dataValidation type="list" allowBlank="1" showInputMessage="1" showErrorMessage="1" sqref="C30:C916">
      <formula1>"Pesado de Passageiros M3, Pesado de Passageiros M2, Ligeiro de Passageiros M1, Pesado de Mercadorias N3, Pesado de Mercadorias N2, Ligeiro de Mercadorias N1, Misto"</formula1>
    </dataValidation>
    <dataValidation type="list" allowBlank="1" showInputMessage="1" showErrorMessage="1" sqref="D30:D916">
      <formula1>"Gasóleo, Gasolina, GPL, GNC, GNV, Butano, Propano, H2"</formula1>
    </dataValidation>
    <dataValidation type="list" allowBlank="1" showInputMessage="1" showErrorMessage="1" sqref="I30:I916">
      <formula1>"l (litros), kg (quilos), Nm3 (metros cubicos norm.), € (euros)"</formula1>
    </dataValidation>
  </dataValidations>
  <pageMargins left="0.7" right="0.7" top="0.75" bottom="0.75" header="0.3" footer="0.3"/>
  <customProperties>
    <customPr name="GUID" r:id="rId1"/>
  </customPropertie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48</vt:i4>
      </vt:variant>
    </vt:vector>
  </HeadingPairs>
  <TitlesOfParts>
    <vt:vector size="48" baseType="lpstr">
      <vt:lpstr>Folha de Rosto</vt:lpstr>
      <vt:lpstr>Indicadores Econ. e Op. copy</vt:lpstr>
      <vt:lpstr>Indicadores Económicos e Op.</vt:lpstr>
      <vt:lpstr>MM</vt:lpstr>
      <vt:lpstr>A1.1</vt:lpstr>
      <vt:lpstr>MM (ex BT)</vt:lpstr>
      <vt:lpstr>Notas</vt:lpstr>
      <vt:lpstr>A1.1 copy</vt:lpstr>
      <vt:lpstr>A1.1.1</vt:lpstr>
      <vt:lpstr>A1.1.1 copy</vt:lpstr>
      <vt:lpstr>A1.2</vt:lpstr>
      <vt:lpstr>A1.2 copy</vt:lpstr>
      <vt:lpstr>A1.2.1</vt:lpstr>
      <vt:lpstr>A1.3</vt:lpstr>
      <vt:lpstr>A1.3 copy</vt:lpstr>
      <vt:lpstr>A1.3.1</vt:lpstr>
      <vt:lpstr>A1.4</vt:lpstr>
      <vt:lpstr>A1.4.1</vt:lpstr>
      <vt:lpstr>A1.4.1 copy</vt:lpstr>
      <vt:lpstr>A1.4.2</vt:lpstr>
      <vt:lpstr>A2</vt:lpstr>
      <vt:lpstr>A3.1</vt:lpstr>
      <vt:lpstr>A2 copy</vt:lpstr>
      <vt:lpstr>A3.1 copy</vt:lpstr>
      <vt:lpstr>A3.2</vt:lpstr>
      <vt:lpstr>A3.2 copy</vt:lpstr>
      <vt:lpstr>A3.3</vt:lpstr>
      <vt:lpstr>A3.3 copy</vt:lpstr>
      <vt:lpstr>A3.4</vt:lpstr>
      <vt:lpstr>A3.4 copy</vt:lpstr>
      <vt:lpstr>A3.5</vt:lpstr>
      <vt:lpstr>A3.5 copy</vt:lpstr>
      <vt:lpstr>A3.6</vt:lpstr>
      <vt:lpstr>A3.7</vt:lpstr>
      <vt:lpstr>A3.7 copy</vt:lpstr>
      <vt:lpstr>A3.8</vt:lpstr>
      <vt:lpstr>A3.8 copy</vt:lpstr>
      <vt:lpstr>A3.9.1</vt:lpstr>
      <vt:lpstr>A3.9.1 copy</vt:lpstr>
      <vt:lpstr>A3.9.1.1</vt:lpstr>
      <vt:lpstr>A3.9.1.2</vt:lpstr>
      <vt:lpstr>A3.9.2</vt:lpstr>
      <vt:lpstr>A3.9.2 copy</vt:lpstr>
      <vt:lpstr>A3.9.2.1</vt:lpstr>
      <vt:lpstr>A3.10</vt:lpstr>
      <vt:lpstr>A3.11</vt:lpstr>
      <vt:lpstr>A3.12</vt:lpstr>
      <vt:lpstr>A3.13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Taveira</dc:creator>
  <cp:lastModifiedBy>AIPC</cp:lastModifiedBy>
  <dcterms:created xsi:type="dcterms:W3CDTF">2024-01-10T11:54:07Z</dcterms:created>
  <dcterms:modified xsi:type="dcterms:W3CDTF">2024-09-18T10:12:32Z</dcterms:modified>
</cp:coreProperties>
</file>